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zv-podklady\Nemocnice\pausal-nemocnice\2023\VYUCTOVANI_2023\89301000\data pro PZS\"/>
    </mc:Choice>
  </mc:AlternateContent>
  <bookViews>
    <workbookView xWindow="0" yWindow="0" windowWidth="28800" windowHeight="13380"/>
  </bookViews>
  <sheets>
    <sheet name="DRGCZ_2023" sheetId="1" r:id="rId1"/>
  </sheets>
  <definedNames>
    <definedName name="_xlnm._FilterDatabase" localSheetId="0" hidden="1">DRGCZ_2023!$A$1:$AN$15661</definedName>
  </definedNames>
  <calcPr calcId="0"/>
</workbook>
</file>

<file path=xl/calcChain.xml><?xml version="1.0" encoding="utf-8"?>
<calcChain xmlns="http://schemas.openxmlformats.org/spreadsheetml/2006/main">
  <c r="B2" i="1" l="1"/>
  <c r="A2" i="1"/>
  <c r="F2" i="1"/>
  <c r="B3" i="1"/>
  <c r="A3" i="1"/>
  <c r="F3" i="1"/>
  <c r="B4" i="1"/>
  <c r="A4" i="1"/>
  <c r="F4" i="1"/>
  <c r="B5" i="1"/>
  <c r="A5" i="1"/>
  <c r="F5" i="1"/>
  <c r="B6" i="1"/>
  <c r="A6" i="1"/>
  <c r="F6" i="1"/>
  <c r="B7" i="1"/>
  <c r="A7" i="1"/>
  <c r="F7" i="1"/>
  <c r="B8" i="1"/>
  <c r="A8" i="1"/>
  <c r="F8" i="1"/>
  <c r="B9" i="1"/>
  <c r="A9" i="1"/>
  <c r="F9" i="1"/>
  <c r="B10" i="1"/>
  <c r="A10" i="1"/>
  <c r="F10" i="1"/>
  <c r="B11" i="1"/>
  <c r="A11" i="1"/>
  <c r="F11" i="1"/>
  <c r="B12" i="1"/>
  <c r="A12" i="1"/>
  <c r="F12" i="1"/>
  <c r="B13" i="1"/>
  <c r="A13" i="1"/>
  <c r="F13" i="1"/>
  <c r="B14" i="1"/>
  <c r="A14" i="1"/>
  <c r="F14" i="1"/>
  <c r="B15" i="1"/>
  <c r="A15" i="1"/>
  <c r="F15" i="1"/>
  <c r="B16" i="1"/>
  <c r="A16" i="1"/>
  <c r="F16" i="1"/>
  <c r="B17" i="1"/>
  <c r="A17" i="1"/>
  <c r="F17" i="1"/>
  <c r="B18" i="1"/>
  <c r="A18" i="1"/>
  <c r="F18" i="1"/>
  <c r="B19" i="1"/>
  <c r="A19" i="1"/>
  <c r="F19" i="1"/>
  <c r="B20" i="1"/>
  <c r="A20" i="1"/>
  <c r="F20" i="1"/>
  <c r="B21" i="1"/>
  <c r="A21" i="1"/>
  <c r="F21" i="1"/>
  <c r="B22" i="1"/>
  <c r="A22" i="1"/>
  <c r="F22" i="1"/>
  <c r="B23" i="1"/>
  <c r="A23" i="1"/>
  <c r="F23" i="1"/>
  <c r="B24" i="1"/>
  <c r="A24" i="1"/>
  <c r="F24" i="1"/>
  <c r="B25" i="1"/>
  <c r="A25" i="1"/>
  <c r="F25" i="1"/>
  <c r="B26" i="1"/>
  <c r="A26" i="1"/>
  <c r="F26" i="1"/>
  <c r="B27" i="1"/>
  <c r="A27" i="1"/>
  <c r="F27" i="1"/>
  <c r="B28" i="1"/>
  <c r="A28" i="1"/>
  <c r="F28" i="1"/>
  <c r="B29" i="1"/>
  <c r="A29" i="1"/>
  <c r="F29" i="1"/>
  <c r="B30" i="1"/>
  <c r="A30" i="1"/>
  <c r="F30" i="1"/>
  <c r="B31" i="1"/>
  <c r="A31" i="1"/>
  <c r="F31" i="1"/>
  <c r="B32" i="1"/>
  <c r="A32" i="1"/>
  <c r="F32" i="1"/>
  <c r="B33" i="1"/>
  <c r="A33" i="1"/>
  <c r="F33" i="1"/>
  <c r="B34" i="1"/>
  <c r="A34" i="1"/>
  <c r="F34" i="1"/>
  <c r="B35" i="1"/>
  <c r="A35" i="1"/>
  <c r="F35" i="1"/>
  <c r="B36" i="1"/>
  <c r="A36" i="1"/>
  <c r="F36" i="1"/>
  <c r="B37" i="1"/>
  <c r="A37" i="1"/>
  <c r="F37" i="1"/>
  <c r="B38" i="1"/>
  <c r="A38" i="1"/>
  <c r="F38" i="1"/>
  <c r="B39" i="1"/>
  <c r="A39" i="1"/>
  <c r="F39" i="1"/>
  <c r="B40" i="1"/>
  <c r="A40" i="1"/>
  <c r="F40" i="1"/>
  <c r="B41" i="1"/>
  <c r="A41" i="1"/>
  <c r="F41" i="1"/>
  <c r="B42" i="1"/>
  <c r="A42" i="1"/>
  <c r="F42" i="1"/>
  <c r="B43" i="1"/>
  <c r="A43" i="1"/>
  <c r="F43" i="1"/>
  <c r="B44" i="1"/>
  <c r="A44" i="1"/>
  <c r="F44" i="1"/>
  <c r="B45" i="1"/>
  <c r="A45" i="1"/>
  <c r="F45" i="1"/>
  <c r="B46" i="1"/>
  <c r="A46" i="1"/>
  <c r="F46" i="1"/>
  <c r="B47" i="1"/>
  <c r="A47" i="1"/>
  <c r="F47" i="1"/>
  <c r="B48" i="1"/>
  <c r="A48" i="1"/>
  <c r="F48" i="1"/>
  <c r="B49" i="1"/>
  <c r="A49" i="1"/>
  <c r="F49" i="1"/>
  <c r="B50" i="1"/>
  <c r="A50" i="1"/>
  <c r="F50" i="1"/>
  <c r="B51" i="1"/>
  <c r="A51" i="1"/>
  <c r="F51" i="1"/>
  <c r="B52" i="1"/>
  <c r="A52" i="1"/>
  <c r="F52" i="1"/>
  <c r="B53" i="1"/>
  <c r="A53" i="1"/>
  <c r="F53" i="1"/>
  <c r="B54" i="1"/>
  <c r="A54" i="1"/>
  <c r="F54" i="1"/>
  <c r="B55" i="1"/>
  <c r="A55" i="1"/>
  <c r="F55" i="1"/>
  <c r="B56" i="1"/>
  <c r="A56" i="1"/>
  <c r="F56" i="1"/>
  <c r="B57" i="1"/>
  <c r="A57" i="1"/>
  <c r="F57" i="1"/>
  <c r="B58" i="1"/>
  <c r="A58" i="1"/>
  <c r="F58" i="1"/>
  <c r="B59" i="1"/>
  <c r="A59" i="1"/>
  <c r="F59" i="1"/>
  <c r="B60" i="1"/>
  <c r="A60" i="1"/>
  <c r="F60" i="1"/>
  <c r="B61" i="1"/>
  <c r="A61" i="1"/>
  <c r="F61" i="1"/>
  <c r="B62" i="1"/>
  <c r="A62" i="1"/>
  <c r="F62" i="1"/>
  <c r="B63" i="1"/>
  <c r="A63" i="1"/>
  <c r="F63" i="1"/>
  <c r="B64" i="1"/>
  <c r="A64" i="1"/>
  <c r="F64" i="1"/>
  <c r="B65" i="1"/>
  <c r="A65" i="1"/>
  <c r="F65" i="1"/>
  <c r="B66" i="1"/>
  <c r="A66" i="1"/>
  <c r="F66" i="1"/>
  <c r="B67" i="1"/>
  <c r="A67" i="1"/>
  <c r="F67" i="1"/>
  <c r="B68" i="1"/>
  <c r="A68" i="1"/>
  <c r="F68" i="1"/>
  <c r="B69" i="1"/>
  <c r="A69" i="1"/>
  <c r="F69" i="1"/>
  <c r="B70" i="1"/>
  <c r="A70" i="1"/>
  <c r="F70" i="1"/>
  <c r="B71" i="1"/>
  <c r="A71" i="1"/>
  <c r="F71" i="1"/>
  <c r="B72" i="1"/>
  <c r="A72" i="1"/>
  <c r="F72" i="1"/>
  <c r="B73" i="1"/>
  <c r="A73" i="1"/>
  <c r="F73" i="1"/>
  <c r="B74" i="1"/>
  <c r="A74" i="1"/>
  <c r="F74" i="1"/>
  <c r="B75" i="1"/>
  <c r="A75" i="1"/>
  <c r="F75" i="1"/>
  <c r="B76" i="1"/>
  <c r="A76" i="1"/>
  <c r="F76" i="1"/>
  <c r="B77" i="1"/>
  <c r="A77" i="1"/>
  <c r="F77" i="1"/>
  <c r="B78" i="1"/>
  <c r="A78" i="1"/>
  <c r="F78" i="1"/>
  <c r="B79" i="1"/>
  <c r="A79" i="1"/>
  <c r="F79" i="1"/>
  <c r="B80" i="1"/>
  <c r="A80" i="1"/>
  <c r="F80" i="1"/>
  <c r="B81" i="1"/>
  <c r="A81" i="1"/>
  <c r="F81" i="1"/>
  <c r="B82" i="1"/>
  <c r="A82" i="1"/>
  <c r="F82" i="1"/>
  <c r="B83" i="1"/>
  <c r="A83" i="1"/>
  <c r="F83" i="1"/>
  <c r="B84" i="1"/>
  <c r="A84" i="1"/>
  <c r="F84" i="1"/>
  <c r="B85" i="1"/>
  <c r="A85" i="1"/>
  <c r="F85" i="1"/>
  <c r="B86" i="1"/>
  <c r="A86" i="1"/>
  <c r="F86" i="1"/>
  <c r="B87" i="1"/>
  <c r="A87" i="1"/>
  <c r="F87" i="1"/>
  <c r="B88" i="1"/>
  <c r="A88" i="1"/>
  <c r="F88" i="1"/>
  <c r="B89" i="1"/>
  <c r="A89" i="1"/>
  <c r="F89" i="1"/>
  <c r="B90" i="1"/>
  <c r="A90" i="1"/>
  <c r="F90" i="1"/>
  <c r="B91" i="1"/>
  <c r="A91" i="1"/>
  <c r="F91" i="1"/>
  <c r="B92" i="1"/>
  <c r="A92" i="1"/>
  <c r="F92" i="1"/>
  <c r="B93" i="1"/>
  <c r="A93" i="1"/>
  <c r="F93" i="1"/>
  <c r="B94" i="1"/>
  <c r="A94" i="1"/>
  <c r="F94" i="1"/>
  <c r="B95" i="1"/>
  <c r="A95" i="1"/>
  <c r="F95" i="1"/>
  <c r="B96" i="1"/>
  <c r="A96" i="1"/>
  <c r="F96" i="1"/>
  <c r="B97" i="1"/>
  <c r="A97" i="1"/>
  <c r="F97" i="1"/>
  <c r="B98" i="1"/>
  <c r="A98" i="1"/>
  <c r="F98" i="1"/>
  <c r="B99" i="1"/>
  <c r="A99" i="1"/>
  <c r="F99" i="1"/>
  <c r="B100" i="1"/>
  <c r="A100" i="1"/>
  <c r="F100" i="1"/>
  <c r="B101" i="1"/>
  <c r="A101" i="1"/>
  <c r="F101" i="1"/>
  <c r="B102" i="1"/>
  <c r="A102" i="1"/>
  <c r="F102" i="1"/>
  <c r="B103" i="1"/>
  <c r="A103" i="1"/>
  <c r="F103" i="1"/>
  <c r="B104" i="1"/>
  <c r="A104" i="1"/>
  <c r="F104" i="1"/>
  <c r="B105" i="1"/>
  <c r="A105" i="1"/>
  <c r="F105" i="1"/>
  <c r="B106" i="1"/>
  <c r="A106" i="1"/>
  <c r="F106" i="1"/>
  <c r="B107" i="1"/>
  <c r="A107" i="1"/>
  <c r="F107" i="1"/>
  <c r="B108" i="1"/>
  <c r="A108" i="1"/>
  <c r="F108" i="1"/>
  <c r="B109" i="1"/>
  <c r="A109" i="1"/>
  <c r="F109" i="1"/>
  <c r="B110" i="1"/>
  <c r="A110" i="1"/>
  <c r="F110" i="1"/>
  <c r="B111" i="1"/>
  <c r="A111" i="1"/>
  <c r="F111" i="1"/>
  <c r="B112" i="1"/>
  <c r="A112" i="1"/>
  <c r="F112" i="1"/>
  <c r="B113" i="1"/>
  <c r="A113" i="1"/>
  <c r="F113" i="1"/>
  <c r="B114" i="1"/>
  <c r="A114" i="1"/>
  <c r="F114" i="1"/>
  <c r="B115" i="1"/>
  <c r="A115" i="1"/>
  <c r="F115" i="1"/>
  <c r="B116" i="1"/>
  <c r="A116" i="1"/>
  <c r="F116" i="1"/>
  <c r="B117" i="1"/>
  <c r="A117" i="1"/>
  <c r="F117" i="1"/>
  <c r="B118" i="1"/>
  <c r="A118" i="1"/>
  <c r="F118" i="1"/>
  <c r="B119" i="1"/>
  <c r="A119" i="1"/>
  <c r="F119" i="1"/>
  <c r="B120" i="1"/>
  <c r="A120" i="1"/>
  <c r="F120" i="1"/>
  <c r="B121" i="1"/>
  <c r="A121" i="1"/>
  <c r="F121" i="1"/>
  <c r="B122" i="1"/>
  <c r="A122" i="1"/>
  <c r="F122" i="1"/>
  <c r="B123" i="1"/>
  <c r="A123" i="1"/>
  <c r="F123" i="1"/>
  <c r="B124" i="1"/>
  <c r="A124" i="1"/>
  <c r="F124" i="1"/>
  <c r="B125" i="1"/>
  <c r="A125" i="1"/>
  <c r="F125" i="1"/>
  <c r="B126" i="1"/>
  <c r="A126" i="1"/>
  <c r="F126" i="1"/>
  <c r="B127" i="1"/>
  <c r="A127" i="1"/>
  <c r="F127" i="1"/>
  <c r="B128" i="1"/>
  <c r="A128" i="1"/>
  <c r="F128" i="1"/>
  <c r="B129" i="1"/>
  <c r="A129" i="1"/>
  <c r="F129" i="1"/>
  <c r="B130" i="1"/>
  <c r="A130" i="1"/>
  <c r="F130" i="1"/>
  <c r="B131" i="1"/>
  <c r="A131" i="1"/>
  <c r="F131" i="1"/>
  <c r="B132" i="1"/>
  <c r="A132" i="1"/>
  <c r="F132" i="1"/>
  <c r="B133" i="1"/>
  <c r="A133" i="1"/>
  <c r="F133" i="1"/>
  <c r="B134" i="1"/>
  <c r="A134" i="1"/>
  <c r="F134" i="1"/>
  <c r="B135" i="1"/>
  <c r="A135" i="1"/>
  <c r="F135" i="1"/>
  <c r="B136" i="1"/>
  <c r="A136" i="1"/>
  <c r="F136" i="1"/>
  <c r="B137" i="1"/>
  <c r="A137" i="1"/>
  <c r="F137" i="1"/>
  <c r="B138" i="1"/>
  <c r="A138" i="1"/>
  <c r="F138" i="1"/>
  <c r="B139" i="1"/>
  <c r="A139" i="1"/>
  <c r="F139" i="1"/>
  <c r="B140" i="1"/>
  <c r="A140" i="1"/>
  <c r="F140" i="1"/>
  <c r="B141" i="1"/>
  <c r="A141" i="1"/>
  <c r="F141" i="1"/>
  <c r="B142" i="1"/>
  <c r="A142" i="1"/>
  <c r="F142" i="1"/>
  <c r="B143" i="1"/>
  <c r="A143" i="1"/>
  <c r="F143" i="1"/>
  <c r="B144" i="1"/>
  <c r="A144" i="1"/>
  <c r="F144" i="1"/>
  <c r="B145" i="1"/>
  <c r="A145" i="1"/>
  <c r="F145" i="1"/>
  <c r="B146" i="1"/>
  <c r="A146" i="1"/>
  <c r="F146" i="1"/>
  <c r="B147" i="1"/>
  <c r="A147" i="1"/>
  <c r="F147" i="1"/>
  <c r="B148" i="1"/>
  <c r="A148" i="1"/>
  <c r="F148" i="1"/>
  <c r="B149" i="1"/>
  <c r="A149" i="1"/>
  <c r="F149" i="1"/>
  <c r="B150" i="1"/>
  <c r="A150" i="1"/>
  <c r="F150" i="1"/>
  <c r="B151" i="1"/>
  <c r="A151" i="1"/>
  <c r="F151" i="1"/>
  <c r="B152" i="1"/>
  <c r="A152" i="1"/>
  <c r="F152" i="1"/>
  <c r="B153" i="1"/>
  <c r="A153" i="1"/>
  <c r="F153" i="1"/>
  <c r="B154" i="1"/>
  <c r="A154" i="1"/>
  <c r="F154" i="1"/>
  <c r="B155" i="1"/>
  <c r="A155" i="1"/>
  <c r="F155" i="1"/>
  <c r="B156" i="1"/>
  <c r="A156" i="1"/>
  <c r="F156" i="1"/>
  <c r="B157" i="1"/>
  <c r="A157" i="1"/>
  <c r="F157" i="1"/>
  <c r="B158" i="1"/>
  <c r="A158" i="1"/>
  <c r="F158" i="1"/>
  <c r="B159" i="1"/>
  <c r="A159" i="1"/>
  <c r="F159" i="1"/>
  <c r="B160" i="1"/>
  <c r="A160" i="1"/>
  <c r="F160" i="1"/>
  <c r="B161" i="1"/>
  <c r="A161" i="1"/>
  <c r="F161" i="1"/>
  <c r="B162" i="1"/>
  <c r="A162" i="1"/>
  <c r="F162" i="1"/>
  <c r="B163" i="1"/>
  <c r="A163" i="1"/>
  <c r="F163" i="1"/>
  <c r="B164" i="1"/>
  <c r="A164" i="1"/>
  <c r="F164" i="1"/>
  <c r="B165" i="1"/>
  <c r="A165" i="1"/>
  <c r="F165" i="1"/>
  <c r="B166" i="1"/>
  <c r="A166" i="1"/>
  <c r="F166" i="1"/>
  <c r="B167" i="1"/>
  <c r="A167" i="1"/>
  <c r="F167" i="1"/>
  <c r="B168" i="1"/>
  <c r="A168" i="1"/>
  <c r="F168" i="1"/>
  <c r="B169" i="1"/>
  <c r="A169" i="1"/>
  <c r="F169" i="1"/>
  <c r="B170" i="1"/>
  <c r="A170" i="1"/>
  <c r="F170" i="1"/>
  <c r="B171" i="1"/>
  <c r="A171" i="1"/>
  <c r="F171" i="1"/>
  <c r="B172" i="1"/>
  <c r="A172" i="1"/>
  <c r="F172" i="1"/>
  <c r="B173" i="1"/>
  <c r="A173" i="1"/>
  <c r="F173" i="1"/>
  <c r="B174" i="1"/>
  <c r="A174" i="1"/>
  <c r="F174" i="1"/>
  <c r="B175" i="1"/>
  <c r="A175" i="1"/>
  <c r="F175" i="1"/>
  <c r="B176" i="1"/>
  <c r="A176" i="1"/>
  <c r="F176" i="1"/>
  <c r="B177" i="1"/>
  <c r="A177" i="1"/>
  <c r="F177" i="1"/>
  <c r="B178" i="1"/>
  <c r="A178" i="1"/>
  <c r="F178" i="1"/>
  <c r="B179" i="1"/>
  <c r="A179" i="1"/>
  <c r="F179" i="1"/>
  <c r="B180" i="1"/>
  <c r="A180" i="1"/>
  <c r="F180" i="1"/>
  <c r="B181" i="1"/>
  <c r="A181" i="1"/>
  <c r="F181" i="1"/>
  <c r="B182" i="1"/>
  <c r="A182" i="1"/>
  <c r="F182" i="1"/>
  <c r="B183" i="1"/>
  <c r="A183" i="1"/>
  <c r="F183" i="1"/>
  <c r="B184" i="1"/>
  <c r="A184" i="1"/>
  <c r="F184" i="1"/>
  <c r="B185" i="1"/>
  <c r="A185" i="1"/>
  <c r="F185" i="1"/>
  <c r="B186" i="1"/>
  <c r="A186" i="1"/>
  <c r="F186" i="1"/>
  <c r="B187" i="1"/>
  <c r="A187" i="1"/>
  <c r="F187" i="1"/>
  <c r="B188" i="1"/>
  <c r="A188" i="1"/>
  <c r="F188" i="1"/>
  <c r="B189" i="1"/>
  <c r="A189" i="1"/>
  <c r="F189" i="1"/>
  <c r="B190" i="1"/>
  <c r="A190" i="1"/>
  <c r="F190" i="1"/>
  <c r="B191" i="1"/>
  <c r="A191" i="1"/>
  <c r="F191" i="1"/>
  <c r="B192" i="1"/>
  <c r="A192" i="1"/>
  <c r="F192" i="1"/>
  <c r="B193" i="1"/>
  <c r="A193" i="1"/>
  <c r="F193" i="1"/>
  <c r="B194" i="1"/>
  <c r="A194" i="1"/>
  <c r="F194" i="1"/>
  <c r="B195" i="1"/>
  <c r="A195" i="1"/>
  <c r="F195" i="1"/>
  <c r="B196" i="1"/>
  <c r="A196" i="1"/>
  <c r="F196" i="1"/>
  <c r="B197" i="1"/>
  <c r="A197" i="1"/>
  <c r="F197" i="1"/>
  <c r="B198" i="1"/>
  <c r="A198" i="1"/>
  <c r="F198" i="1"/>
  <c r="B199" i="1"/>
  <c r="A199" i="1"/>
  <c r="F199" i="1"/>
  <c r="B200" i="1"/>
  <c r="A200" i="1"/>
  <c r="F200" i="1"/>
  <c r="B201" i="1"/>
  <c r="A201" i="1"/>
  <c r="F201" i="1"/>
  <c r="B202" i="1"/>
  <c r="A202" i="1"/>
  <c r="F202" i="1"/>
  <c r="B203" i="1"/>
  <c r="A203" i="1"/>
  <c r="F203" i="1"/>
  <c r="B204" i="1"/>
  <c r="A204" i="1"/>
  <c r="F204" i="1"/>
  <c r="B205" i="1"/>
  <c r="A205" i="1"/>
  <c r="F205" i="1"/>
  <c r="B206" i="1"/>
  <c r="A206" i="1"/>
  <c r="F206" i="1"/>
  <c r="B207" i="1"/>
  <c r="A207" i="1"/>
  <c r="F207" i="1"/>
  <c r="B208" i="1"/>
  <c r="A208" i="1"/>
  <c r="F208" i="1"/>
  <c r="B209" i="1"/>
  <c r="A209" i="1"/>
  <c r="F209" i="1"/>
  <c r="B210" i="1"/>
  <c r="A210" i="1"/>
  <c r="F210" i="1"/>
  <c r="B211" i="1"/>
  <c r="A211" i="1"/>
  <c r="F211" i="1"/>
  <c r="B212" i="1"/>
  <c r="A212" i="1"/>
  <c r="F212" i="1"/>
  <c r="B213" i="1"/>
  <c r="A213" i="1"/>
  <c r="F213" i="1"/>
  <c r="B214" i="1"/>
  <c r="A214" i="1"/>
  <c r="F214" i="1"/>
  <c r="B215" i="1"/>
  <c r="A215" i="1"/>
  <c r="F215" i="1"/>
  <c r="B216" i="1"/>
  <c r="A216" i="1"/>
  <c r="F216" i="1"/>
  <c r="B217" i="1"/>
  <c r="A217" i="1"/>
  <c r="F217" i="1"/>
  <c r="B218" i="1"/>
  <c r="A218" i="1"/>
  <c r="F218" i="1"/>
  <c r="B219" i="1"/>
  <c r="A219" i="1"/>
  <c r="F219" i="1"/>
  <c r="B220" i="1"/>
  <c r="A220" i="1"/>
  <c r="F220" i="1"/>
  <c r="B221" i="1"/>
  <c r="A221" i="1"/>
  <c r="F221" i="1"/>
  <c r="B222" i="1"/>
  <c r="A222" i="1"/>
  <c r="F222" i="1"/>
  <c r="B223" i="1"/>
  <c r="A223" i="1"/>
  <c r="F223" i="1"/>
  <c r="B224" i="1"/>
  <c r="A224" i="1"/>
  <c r="F224" i="1"/>
  <c r="B225" i="1"/>
  <c r="A225" i="1"/>
  <c r="F225" i="1"/>
  <c r="B226" i="1"/>
  <c r="A226" i="1"/>
  <c r="F226" i="1"/>
  <c r="B227" i="1"/>
  <c r="A227" i="1"/>
  <c r="F227" i="1"/>
  <c r="B228" i="1"/>
  <c r="A228" i="1"/>
  <c r="F228" i="1"/>
  <c r="B229" i="1"/>
  <c r="A229" i="1"/>
  <c r="F229" i="1"/>
  <c r="B230" i="1"/>
  <c r="A230" i="1"/>
  <c r="F230" i="1"/>
  <c r="B231" i="1"/>
  <c r="A231" i="1"/>
  <c r="F231" i="1"/>
  <c r="B232" i="1"/>
  <c r="A232" i="1"/>
  <c r="F232" i="1"/>
  <c r="B233" i="1"/>
  <c r="A233" i="1"/>
  <c r="F233" i="1"/>
  <c r="B234" i="1"/>
  <c r="A234" i="1"/>
  <c r="F234" i="1"/>
  <c r="B235" i="1"/>
  <c r="A235" i="1"/>
  <c r="F235" i="1"/>
  <c r="B236" i="1"/>
  <c r="A236" i="1"/>
  <c r="F236" i="1"/>
  <c r="B237" i="1"/>
  <c r="A237" i="1"/>
  <c r="F237" i="1"/>
  <c r="B238" i="1"/>
  <c r="A238" i="1"/>
  <c r="F238" i="1"/>
  <c r="B239" i="1"/>
  <c r="A239" i="1"/>
  <c r="F239" i="1"/>
  <c r="B240" i="1"/>
  <c r="A240" i="1"/>
  <c r="F240" i="1"/>
  <c r="B241" i="1"/>
  <c r="A241" i="1"/>
  <c r="F241" i="1"/>
  <c r="B242" i="1"/>
  <c r="A242" i="1"/>
  <c r="F242" i="1"/>
  <c r="B243" i="1"/>
  <c r="A243" i="1"/>
  <c r="F243" i="1"/>
  <c r="B244" i="1"/>
  <c r="A244" i="1"/>
  <c r="F244" i="1"/>
  <c r="B245" i="1"/>
  <c r="A245" i="1"/>
  <c r="F245" i="1"/>
  <c r="B246" i="1"/>
  <c r="A246" i="1"/>
  <c r="F246" i="1"/>
  <c r="B247" i="1"/>
  <c r="A247" i="1"/>
  <c r="F247" i="1"/>
  <c r="B248" i="1"/>
  <c r="A248" i="1"/>
  <c r="F248" i="1"/>
  <c r="B249" i="1"/>
  <c r="A249" i="1"/>
  <c r="F249" i="1"/>
  <c r="B250" i="1"/>
  <c r="A250" i="1"/>
  <c r="F250" i="1"/>
  <c r="B251" i="1"/>
  <c r="A251" i="1"/>
  <c r="F251" i="1"/>
  <c r="B252" i="1"/>
  <c r="A252" i="1"/>
  <c r="F252" i="1"/>
  <c r="B253" i="1"/>
  <c r="A253" i="1"/>
  <c r="F253" i="1"/>
  <c r="B254" i="1"/>
  <c r="A254" i="1"/>
  <c r="F254" i="1"/>
  <c r="B255" i="1"/>
  <c r="A255" i="1"/>
  <c r="F255" i="1"/>
  <c r="B256" i="1"/>
  <c r="A256" i="1"/>
  <c r="F256" i="1"/>
  <c r="B257" i="1"/>
  <c r="A257" i="1"/>
  <c r="F257" i="1"/>
  <c r="B258" i="1"/>
  <c r="A258" i="1"/>
  <c r="F258" i="1"/>
  <c r="B259" i="1"/>
  <c r="A259" i="1"/>
  <c r="F259" i="1"/>
  <c r="B260" i="1"/>
  <c r="A260" i="1"/>
  <c r="F260" i="1"/>
  <c r="B261" i="1"/>
  <c r="A261" i="1"/>
  <c r="F261" i="1"/>
  <c r="B262" i="1"/>
  <c r="A262" i="1"/>
  <c r="F262" i="1"/>
  <c r="B263" i="1"/>
  <c r="A263" i="1"/>
  <c r="F263" i="1"/>
  <c r="B264" i="1"/>
  <c r="A264" i="1"/>
  <c r="F264" i="1"/>
  <c r="B265" i="1"/>
  <c r="A265" i="1"/>
  <c r="F265" i="1"/>
  <c r="B266" i="1"/>
  <c r="A266" i="1"/>
  <c r="F266" i="1"/>
  <c r="B267" i="1"/>
  <c r="A267" i="1"/>
  <c r="F267" i="1"/>
  <c r="B268" i="1"/>
  <c r="A268" i="1"/>
  <c r="F268" i="1"/>
  <c r="B269" i="1"/>
  <c r="A269" i="1"/>
  <c r="F269" i="1"/>
  <c r="B270" i="1"/>
  <c r="A270" i="1"/>
  <c r="F270" i="1"/>
  <c r="B271" i="1"/>
  <c r="A271" i="1"/>
  <c r="F271" i="1"/>
  <c r="B272" i="1"/>
  <c r="A272" i="1"/>
  <c r="F272" i="1"/>
  <c r="B273" i="1"/>
  <c r="A273" i="1"/>
  <c r="F273" i="1"/>
  <c r="B274" i="1"/>
  <c r="A274" i="1"/>
  <c r="F274" i="1"/>
  <c r="B275" i="1"/>
  <c r="A275" i="1"/>
  <c r="F275" i="1"/>
  <c r="B276" i="1"/>
  <c r="A276" i="1"/>
  <c r="F276" i="1"/>
  <c r="B277" i="1"/>
  <c r="A277" i="1"/>
  <c r="F277" i="1"/>
  <c r="B278" i="1"/>
  <c r="A278" i="1"/>
  <c r="F278" i="1"/>
  <c r="B279" i="1"/>
  <c r="A279" i="1"/>
  <c r="F279" i="1"/>
  <c r="B280" i="1"/>
  <c r="A280" i="1"/>
  <c r="F280" i="1"/>
  <c r="B281" i="1"/>
  <c r="A281" i="1"/>
  <c r="F281" i="1"/>
  <c r="B282" i="1"/>
  <c r="A282" i="1"/>
  <c r="F282" i="1"/>
  <c r="B283" i="1"/>
  <c r="A283" i="1"/>
  <c r="F283" i="1"/>
  <c r="B284" i="1"/>
  <c r="A284" i="1"/>
  <c r="F284" i="1"/>
  <c r="B285" i="1"/>
  <c r="A285" i="1"/>
  <c r="F285" i="1"/>
  <c r="B286" i="1"/>
  <c r="A286" i="1"/>
  <c r="F286" i="1"/>
  <c r="B287" i="1"/>
  <c r="A287" i="1"/>
  <c r="F287" i="1"/>
  <c r="B288" i="1"/>
  <c r="A288" i="1"/>
  <c r="F288" i="1"/>
  <c r="B289" i="1"/>
  <c r="A289" i="1"/>
  <c r="F289" i="1"/>
  <c r="B290" i="1"/>
  <c r="A290" i="1"/>
  <c r="F290" i="1"/>
  <c r="B291" i="1"/>
  <c r="A291" i="1"/>
  <c r="F291" i="1"/>
  <c r="B292" i="1"/>
  <c r="A292" i="1"/>
  <c r="F292" i="1"/>
  <c r="B293" i="1"/>
  <c r="A293" i="1"/>
  <c r="F293" i="1"/>
  <c r="B294" i="1"/>
  <c r="A294" i="1"/>
  <c r="F294" i="1"/>
  <c r="B295" i="1"/>
  <c r="A295" i="1"/>
  <c r="F295" i="1"/>
  <c r="B296" i="1"/>
  <c r="A296" i="1"/>
  <c r="F296" i="1"/>
  <c r="B297" i="1"/>
  <c r="A297" i="1"/>
  <c r="F297" i="1"/>
  <c r="B298" i="1"/>
  <c r="A298" i="1"/>
  <c r="F298" i="1"/>
  <c r="B299" i="1"/>
  <c r="A299" i="1"/>
  <c r="F299" i="1"/>
  <c r="B300" i="1"/>
  <c r="A300" i="1"/>
  <c r="F300" i="1"/>
  <c r="B301" i="1"/>
  <c r="A301" i="1"/>
  <c r="F301" i="1"/>
  <c r="B302" i="1"/>
  <c r="A302" i="1"/>
  <c r="F302" i="1"/>
  <c r="B303" i="1"/>
  <c r="A303" i="1"/>
  <c r="F303" i="1"/>
  <c r="B304" i="1"/>
  <c r="A304" i="1"/>
  <c r="F304" i="1"/>
  <c r="B305" i="1"/>
  <c r="A305" i="1"/>
  <c r="F305" i="1"/>
  <c r="B306" i="1"/>
  <c r="A306" i="1"/>
  <c r="F306" i="1"/>
  <c r="B307" i="1"/>
  <c r="A307" i="1"/>
  <c r="F307" i="1"/>
  <c r="B308" i="1"/>
  <c r="A308" i="1"/>
  <c r="F308" i="1"/>
  <c r="B309" i="1"/>
  <c r="A309" i="1"/>
  <c r="F309" i="1"/>
  <c r="B310" i="1"/>
  <c r="A310" i="1"/>
  <c r="F310" i="1"/>
  <c r="B311" i="1"/>
  <c r="A311" i="1"/>
  <c r="F311" i="1"/>
  <c r="B312" i="1"/>
  <c r="A312" i="1"/>
  <c r="F312" i="1"/>
  <c r="B313" i="1"/>
  <c r="A313" i="1"/>
  <c r="F313" i="1"/>
  <c r="B314" i="1"/>
  <c r="A314" i="1"/>
  <c r="F314" i="1"/>
  <c r="B315" i="1"/>
  <c r="A315" i="1"/>
  <c r="F315" i="1"/>
  <c r="B316" i="1"/>
  <c r="A316" i="1"/>
  <c r="F316" i="1"/>
  <c r="B317" i="1"/>
  <c r="A317" i="1"/>
  <c r="F317" i="1"/>
  <c r="B318" i="1"/>
  <c r="A318" i="1"/>
  <c r="F318" i="1"/>
  <c r="B319" i="1"/>
  <c r="A319" i="1"/>
  <c r="F319" i="1"/>
  <c r="B320" i="1"/>
  <c r="A320" i="1"/>
  <c r="F320" i="1"/>
  <c r="B321" i="1"/>
  <c r="A321" i="1"/>
  <c r="F321" i="1"/>
  <c r="B322" i="1"/>
  <c r="A322" i="1"/>
  <c r="F322" i="1"/>
  <c r="B323" i="1"/>
  <c r="A323" i="1"/>
  <c r="F323" i="1"/>
  <c r="B324" i="1"/>
  <c r="A324" i="1"/>
  <c r="F324" i="1"/>
  <c r="B325" i="1"/>
  <c r="A325" i="1"/>
  <c r="F325" i="1"/>
  <c r="B326" i="1"/>
  <c r="A326" i="1"/>
  <c r="F326" i="1"/>
  <c r="B327" i="1"/>
  <c r="A327" i="1"/>
  <c r="F327" i="1"/>
  <c r="B328" i="1"/>
  <c r="A328" i="1"/>
  <c r="F328" i="1"/>
  <c r="B329" i="1"/>
  <c r="A329" i="1"/>
  <c r="F329" i="1"/>
  <c r="B330" i="1"/>
  <c r="A330" i="1"/>
  <c r="F330" i="1"/>
  <c r="B331" i="1"/>
  <c r="A331" i="1"/>
  <c r="F331" i="1"/>
  <c r="B332" i="1"/>
  <c r="A332" i="1"/>
  <c r="F332" i="1"/>
  <c r="B333" i="1"/>
  <c r="A333" i="1"/>
  <c r="F333" i="1"/>
  <c r="B334" i="1"/>
  <c r="A334" i="1"/>
  <c r="F334" i="1"/>
  <c r="B335" i="1"/>
  <c r="A335" i="1"/>
  <c r="F335" i="1"/>
  <c r="B336" i="1"/>
  <c r="A336" i="1"/>
  <c r="F336" i="1"/>
  <c r="B337" i="1"/>
  <c r="A337" i="1"/>
  <c r="F337" i="1"/>
  <c r="B338" i="1"/>
  <c r="A338" i="1"/>
  <c r="F338" i="1"/>
  <c r="B339" i="1"/>
  <c r="A339" i="1"/>
  <c r="F339" i="1"/>
  <c r="B340" i="1"/>
  <c r="A340" i="1"/>
  <c r="F340" i="1"/>
  <c r="B341" i="1"/>
  <c r="A341" i="1"/>
  <c r="F341" i="1"/>
  <c r="B342" i="1"/>
  <c r="A342" i="1"/>
  <c r="F342" i="1"/>
  <c r="B343" i="1"/>
  <c r="A343" i="1"/>
  <c r="F343" i="1"/>
  <c r="B344" i="1"/>
  <c r="A344" i="1"/>
  <c r="F344" i="1"/>
  <c r="B345" i="1"/>
  <c r="A345" i="1"/>
  <c r="F345" i="1"/>
  <c r="B346" i="1"/>
  <c r="A346" i="1"/>
  <c r="F346" i="1"/>
  <c r="B347" i="1"/>
  <c r="A347" i="1"/>
  <c r="F347" i="1"/>
  <c r="B348" i="1"/>
  <c r="A348" i="1"/>
  <c r="F348" i="1"/>
  <c r="B349" i="1"/>
  <c r="A349" i="1"/>
  <c r="F349" i="1"/>
  <c r="B350" i="1"/>
  <c r="A350" i="1"/>
  <c r="F350" i="1"/>
  <c r="B351" i="1"/>
  <c r="A351" i="1"/>
  <c r="F351" i="1"/>
  <c r="B352" i="1"/>
  <c r="A352" i="1"/>
  <c r="F352" i="1"/>
  <c r="B353" i="1"/>
  <c r="A353" i="1"/>
  <c r="F353" i="1"/>
  <c r="B354" i="1"/>
  <c r="A354" i="1"/>
  <c r="F354" i="1"/>
  <c r="B355" i="1"/>
  <c r="A355" i="1"/>
  <c r="F355" i="1"/>
  <c r="B356" i="1"/>
  <c r="A356" i="1"/>
  <c r="F356" i="1"/>
  <c r="B357" i="1"/>
  <c r="A357" i="1"/>
  <c r="F357" i="1"/>
  <c r="B358" i="1"/>
  <c r="A358" i="1"/>
  <c r="F358" i="1"/>
  <c r="B359" i="1"/>
  <c r="A359" i="1"/>
  <c r="F359" i="1"/>
  <c r="B360" i="1"/>
  <c r="A360" i="1"/>
  <c r="F360" i="1"/>
  <c r="B361" i="1"/>
  <c r="A361" i="1"/>
  <c r="F361" i="1"/>
  <c r="B362" i="1"/>
  <c r="A362" i="1"/>
  <c r="F362" i="1"/>
  <c r="B363" i="1"/>
  <c r="A363" i="1"/>
  <c r="F363" i="1"/>
  <c r="B364" i="1"/>
  <c r="A364" i="1"/>
  <c r="F364" i="1"/>
  <c r="B365" i="1"/>
  <c r="A365" i="1"/>
  <c r="F365" i="1"/>
  <c r="B366" i="1"/>
  <c r="A366" i="1"/>
  <c r="F366" i="1"/>
  <c r="B367" i="1"/>
  <c r="A367" i="1"/>
  <c r="F367" i="1"/>
  <c r="B368" i="1"/>
  <c r="A368" i="1"/>
  <c r="F368" i="1"/>
  <c r="B369" i="1"/>
  <c r="A369" i="1"/>
  <c r="F369" i="1"/>
  <c r="B370" i="1"/>
  <c r="A370" i="1"/>
  <c r="F370" i="1"/>
  <c r="B371" i="1"/>
  <c r="A371" i="1"/>
  <c r="F371" i="1"/>
  <c r="B372" i="1"/>
  <c r="A372" i="1"/>
  <c r="F372" i="1"/>
  <c r="B373" i="1"/>
  <c r="A373" i="1"/>
  <c r="F373" i="1"/>
  <c r="B374" i="1"/>
  <c r="A374" i="1"/>
  <c r="F374" i="1"/>
  <c r="B375" i="1"/>
  <c r="A375" i="1"/>
  <c r="F375" i="1"/>
  <c r="B376" i="1"/>
  <c r="A376" i="1"/>
  <c r="F376" i="1"/>
  <c r="B377" i="1"/>
  <c r="A377" i="1"/>
  <c r="F377" i="1"/>
  <c r="B378" i="1"/>
  <c r="A378" i="1"/>
  <c r="F378" i="1"/>
  <c r="B379" i="1"/>
  <c r="A379" i="1"/>
  <c r="F379" i="1"/>
  <c r="B380" i="1"/>
  <c r="A380" i="1"/>
  <c r="F380" i="1"/>
  <c r="B381" i="1"/>
  <c r="A381" i="1"/>
  <c r="F381" i="1"/>
  <c r="B382" i="1"/>
  <c r="A382" i="1"/>
  <c r="F382" i="1"/>
  <c r="B383" i="1"/>
  <c r="A383" i="1"/>
  <c r="F383" i="1"/>
  <c r="B384" i="1"/>
  <c r="A384" i="1"/>
  <c r="F384" i="1"/>
  <c r="B385" i="1"/>
  <c r="A385" i="1"/>
  <c r="F385" i="1"/>
  <c r="B386" i="1"/>
  <c r="A386" i="1"/>
  <c r="F386" i="1"/>
  <c r="B387" i="1"/>
  <c r="A387" i="1"/>
  <c r="F387" i="1"/>
  <c r="B388" i="1"/>
  <c r="A388" i="1"/>
  <c r="F388" i="1"/>
  <c r="B389" i="1"/>
  <c r="A389" i="1"/>
  <c r="F389" i="1"/>
  <c r="B390" i="1"/>
  <c r="A390" i="1"/>
  <c r="F390" i="1"/>
  <c r="B391" i="1"/>
  <c r="A391" i="1"/>
  <c r="F391" i="1"/>
  <c r="B392" i="1"/>
  <c r="A392" i="1"/>
  <c r="F392" i="1"/>
  <c r="B393" i="1"/>
  <c r="A393" i="1"/>
  <c r="F393" i="1"/>
  <c r="B394" i="1"/>
  <c r="A394" i="1"/>
  <c r="F394" i="1"/>
  <c r="B395" i="1"/>
  <c r="A395" i="1"/>
  <c r="F395" i="1"/>
  <c r="B396" i="1"/>
  <c r="A396" i="1"/>
  <c r="F396" i="1"/>
  <c r="B397" i="1"/>
  <c r="A397" i="1"/>
  <c r="F397" i="1"/>
  <c r="B398" i="1"/>
  <c r="A398" i="1"/>
  <c r="F398" i="1"/>
  <c r="B399" i="1"/>
  <c r="A399" i="1"/>
  <c r="F399" i="1"/>
  <c r="B400" i="1"/>
  <c r="A400" i="1"/>
  <c r="F400" i="1"/>
  <c r="B401" i="1"/>
  <c r="A401" i="1"/>
  <c r="F401" i="1"/>
  <c r="B402" i="1"/>
  <c r="A402" i="1"/>
  <c r="F402" i="1"/>
  <c r="B403" i="1"/>
  <c r="A403" i="1"/>
  <c r="F403" i="1"/>
  <c r="B404" i="1"/>
  <c r="A404" i="1"/>
  <c r="F404" i="1"/>
  <c r="B405" i="1"/>
  <c r="A405" i="1"/>
  <c r="F405" i="1"/>
  <c r="B406" i="1"/>
  <c r="A406" i="1"/>
  <c r="F406" i="1"/>
  <c r="B407" i="1"/>
  <c r="A407" i="1"/>
  <c r="F407" i="1"/>
  <c r="B408" i="1"/>
  <c r="A408" i="1"/>
  <c r="F408" i="1"/>
  <c r="B409" i="1"/>
  <c r="A409" i="1"/>
  <c r="F409" i="1"/>
  <c r="B410" i="1"/>
  <c r="A410" i="1"/>
  <c r="F410" i="1"/>
  <c r="B411" i="1"/>
  <c r="A411" i="1"/>
  <c r="F411" i="1"/>
  <c r="B412" i="1"/>
  <c r="A412" i="1"/>
  <c r="F412" i="1"/>
  <c r="B413" i="1"/>
  <c r="A413" i="1"/>
  <c r="F413" i="1"/>
  <c r="B414" i="1"/>
  <c r="A414" i="1"/>
  <c r="F414" i="1"/>
  <c r="B415" i="1"/>
  <c r="A415" i="1"/>
  <c r="F415" i="1"/>
  <c r="B416" i="1"/>
  <c r="A416" i="1"/>
  <c r="F416" i="1"/>
  <c r="B417" i="1"/>
  <c r="A417" i="1"/>
  <c r="F417" i="1"/>
  <c r="B418" i="1"/>
  <c r="A418" i="1"/>
  <c r="F418" i="1"/>
  <c r="B419" i="1"/>
  <c r="A419" i="1"/>
  <c r="F419" i="1"/>
  <c r="B420" i="1"/>
  <c r="A420" i="1"/>
  <c r="F420" i="1"/>
  <c r="B421" i="1"/>
  <c r="A421" i="1"/>
  <c r="F421" i="1"/>
  <c r="B422" i="1"/>
  <c r="A422" i="1"/>
  <c r="F422" i="1"/>
  <c r="B423" i="1"/>
  <c r="A423" i="1"/>
  <c r="F423" i="1"/>
  <c r="B424" i="1"/>
  <c r="A424" i="1"/>
  <c r="F424" i="1"/>
  <c r="B425" i="1"/>
  <c r="A425" i="1"/>
  <c r="F425" i="1"/>
  <c r="B426" i="1"/>
  <c r="A426" i="1"/>
  <c r="F426" i="1"/>
  <c r="B427" i="1"/>
  <c r="A427" i="1"/>
  <c r="F427" i="1"/>
  <c r="B428" i="1"/>
  <c r="A428" i="1"/>
  <c r="F428" i="1"/>
  <c r="B429" i="1"/>
  <c r="A429" i="1"/>
  <c r="F429" i="1"/>
  <c r="B430" i="1"/>
  <c r="A430" i="1"/>
  <c r="F430" i="1"/>
  <c r="B431" i="1"/>
  <c r="A431" i="1"/>
  <c r="F431" i="1"/>
  <c r="B432" i="1"/>
  <c r="A432" i="1"/>
  <c r="F432" i="1"/>
  <c r="B433" i="1"/>
  <c r="A433" i="1"/>
  <c r="F433" i="1"/>
  <c r="B434" i="1"/>
  <c r="A434" i="1"/>
  <c r="F434" i="1"/>
  <c r="B435" i="1"/>
  <c r="A435" i="1"/>
  <c r="F435" i="1"/>
  <c r="B436" i="1"/>
  <c r="A436" i="1"/>
  <c r="F436" i="1"/>
  <c r="B437" i="1"/>
  <c r="A437" i="1"/>
  <c r="F437" i="1"/>
  <c r="B438" i="1"/>
  <c r="A438" i="1"/>
  <c r="F438" i="1"/>
  <c r="B439" i="1"/>
  <c r="A439" i="1"/>
  <c r="F439" i="1"/>
  <c r="B440" i="1"/>
  <c r="A440" i="1"/>
  <c r="F440" i="1"/>
  <c r="B441" i="1"/>
  <c r="A441" i="1"/>
  <c r="F441" i="1"/>
  <c r="B442" i="1"/>
  <c r="A442" i="1"/>
  <c r="F442" i="1"/>
  <c r="B443" i="1"/>
  <c r="A443" i="1"/>
  <c r="F443" i="1"/>
  <c r="B444" i="1"/>
  <c r="A444" i="1"/>
  <c r="F444" i="1"/>
  <c r="B445" i="1"/>
  <c r="A445" i="1"/>
  <c r="F445" i="1"/>
  <c r="B446" i="1"/>
  <c r="A446" i="1"/>
  <c r="F446" i="1"/>
  <c r="B447" i="1"/>
  <c r="A447" i="1"/>
  <c r="F447" i="1"/>
  <c r="B448" i="1"/>
  <c r="A448" i="1"/>
  <c r="F448" i="1"/>
  <c r="B449" i="1"/>
  <c r="A449" i="1"/>
  <c r="F449" i="1"/>
  <c r="B450" i="1"/>
  <c r="A450" i="1"/>
  <c r="F450" i="1"/>
  <c r="B451" i="1"/>
  <c r="A451" i="1"/>
  <c r="F451" i="1"/>
  <c r="B452" i="1"/>
  <c r="A452" i="1"/>
  <c r="F452" i="1"/>
  <c r="B453" i="1"/>
  <c r="A453" i="1"/>
  <c r="F453" i="1"/>
  <c r="B454" i="1"/>
  <c r="A454" i="1"/>
  <c r="F454" i="1"/>
  <c r="B455" i="1"/>
  <c r="A455" i="1"/>
  <c r="F455" i="1"/>
  <c r="B456" i="1"/>
  <c r="A456" i="1"/>
  <c r="F456" i="1"/>
  <c r="B457" i="1"/>
  <c r="A457" i="1"/>
  <c r="F457" i="1"/>
  <c r="B458" i="1"/>
  <c r="A458" i="1"/>
  <c r="F458" i="1"/>
  <c r="B459" i="1"/>
  <c r="A459" i="1"/>
  <c r="F459" i="1"/>
  <c r="B460" i="1"/>
  <c r="A460" i="1"/>
  <c r="F460" i="1"/>
  <c r="B461" i="1"/>
  <c r="A461" i="1"/>
  <c r="F461" i="1"/>
  <c r="B462" i="1"/>
  <c r="A462" i="1"/>
  <c r="F462" i="1"/>
  <c r="B463" i="1"/>
  <c r="A463" i="1"/>
  <c r="F463" i="1"/>
  <c r="B464" i="1"/>
  <c r="A464" i="1"/>
  <c r="F464" i="1"/>
  <c r="B465" i="1"/>
  <c r="A465" i="1"/>
  <c r="F465" i="1"/>
  <c r="B466" i="1"/>
  <c r="A466" i="1"/>
  <c r="F466" i="1"/>
  <c r="B467" i="1"/>
  <c r="A467" i="1"/>
  <c r="F467" i="1"/>
  <c r="B468" i="1"/>
  <c r="A468" i="1"/>
  <c r="F468" i="1"/>
  <c r="B469" i="1"/>
  <c r="A469" i="1"/>
  <c r="F469" i="1"/>
  <c r="B470" i="1"/>
  <c r="A470" i="1"/>
  <c r="F470" i="1"/>
  <c r="B471" i="1"/>
  <c r="A471" i="1"/>
  <c r="F471" i="1"/>
  <c r="B472" i="1"/>
  <c r="A472" i="1"/>
  <c r="F472" i="1"/>
  <c r="B473" i="1"/>
  <c r="A473" i="1"/>
  <c r="F473" i="1"/>
  <c r="B474" i="1"/>
  <c r="A474" i="1"/>
  <c r="F474" i="1"/>
  <c r="B475" i="1"/>
  <c r="A475" i="1"/>
  <c r="F475" i="1"/>
  <c r="B476" i="1"/>
  <c r="A476" i="1"/>
  <c r="F476" i="1"/>
  <c r="B477" i="1"/>
  <c r="A477" i="1"/>
  <c r="F477" i="1"/>
  <c r="B478" i="1"/>
  <c r="A478" i="1"/>
  <c r="F478" i="1"/>
  <c r="B479" i="1"/>
  <c r="A479" i="1"/>
  <c r="F479" i="1"/>
  <c r="B480" i="1"/>
  <c r="A480" i="1"/>
  <c r="F480" i="1"/>
  <c r="B481" i="1"/>
  <c r="A481" i="1"/>
  <c r="F481" i="1"/>
  <c r="B482" i="1"/>
  <c r="A482" i="1"/>
  <c r="F482" i="1"/>
  <c r="B483" i="1"/>
  <c r="A483" i="1"/>
  <c r="F483" i="1"/>
  <c r="B484" i="1"/>
  <c r="A484" i="1"/>
  <c r="F484" i="1"/>
  <c r="B485" i="1"/>
  <c r="A485" i="1"/>
  <c r="F485" i="1"/>
  <c r="B486" i="1"/>
  <c r="A486" i="1"/>
  <c r="F486" i="1"/>
  <c r="B487" i="1"/>
  <c r="A487" i="1"/>
  <c r="F487" i="1"/>
  <c r="B488" i="1"/>
  <c r="A488" i="1"/>
  <c r="F488" i="1"/>
  <c r="B489" i="1"/>
  <c r="A489" i="1"/>
  <c r="F489" i="1"/>
  <c r="B490" i="1"/>
  <c r="A490" i="1"/>
  <c r="F490" i="1"/>
  <c r="B491" i="1"/>
  <c r="A491" i="1"/>
  <c r="F491" i="1"/>
  <c r="B492" i="1"/>
  <c r="A492" i="1"/>
  <c r="F492" i="1"/>
  <c r="B493" i="1"/>
  <c r="A493" i="1"/>
  <c r="F493" i="1"/>
  <c r="B494" i="1"/>
  <c r="A494" i="1"/>
  <c r="F494" i="1"/>
  <c r="B495" i="1"/>
  <c r="A495" i="1"/>
  <c r="F495" i="1"/>
  <c r="B496" i="1"/>
  <c r="A496" i="1"/>
  <c r="F496" i="1"/>
  <c r="B497" i="1"/>
  <c r="A497" i="1"/>
  <c r="F497" i="1"/>
  <c r="B498" i="1"/>
  <c r="A498" i="1"/>
  <c r="F498" i="1"/>
  <c r="B499" i="1"/>
  <c r="A499" i="1"/>
  <c r="F499" i="1"/>
  <c r="B500" i="1"/>
  <c r="A500" i="1"/>
  <c r="F500" i="1"/>
  <c r="B501" i="1"/>
  <c r="A501" i="1"/>
  <c r="F501" i="1"/>
  <c r="B502" i="1"/>
  <c r="A502" i="1"/>
  <c r="F502" i="1"/>
  <c r="B503" i="1"/>
  <c r="A503" i="1"/>
  <c r="F503" i="1"/>
  <c r="B504" i="1"/>
  <c r="A504" i="1"/>
  <c r="F504" i="1"/>
  <c r="B505" i="1"/>
  <c r="A505" i="1"/>
  <c r="F505" i="1"/>
  <c r="B506" i="1"/>
  <c r="A506" i="1"/>
  <c r="F506" i="1"/>
  <c r="B507" i="1"/>
  <c r="A507" i="1"/>
  <c r="F507" i="1"/>
  <c r="B508" i="1"/>
  <c r="A508" i="1"/>
  <c r="F508" i="1"/>
  <c r="B509" i="1"/>
  <c r="A509" i="1"/>
  <c r="F509" i="1"/>
  <c r="B510" i="1"/>
  <c r="A510" i="1"/>
  <c r="F510" i="1"/>
  <c r="B511" i="1"/>
  <c r="A511" i="1"/>
  <c r="F511" i="1"/>
  <c r="B512" i="1"/>
  <c r="A512" i="1"/>
  <c r="F512" i="1"/>
  <c r="B513" i="1"/>
  <c r="A513" i="1"/>
  <c r="F513" i="1"/>
  <c r="B514" i="1"/>
  <c r="A514" i="1"/>
  <c r="F514" i="1"/>
  <c r="B515" i="1"/>
  <c r="A515" i="1"/>
  <c r="F515" i="1"/>
  <c r="B516" i="1"/>
  <c r="A516" i="1"/>
  <c r="F516" i="1"/>
  <c r="B517" i="1"/>
  <c r="A517" i="1"/>
  <c r="F517" i="1"/>
  <c r="B518" i="1"/>
  <c r="A518" i="1"/>
  <c r="F518" i="1"/>
  <c r="B519" i="1"/>
  <c r="A519" i="1"/>
  <c r="F519" i="1"/>
  <c r="B520" i="1"/>
  <c r="A520" i="1"/>
  <c r="F520" i="1"/>
  <c r="B521" i="1"/>
  <c r="A521" i="1"/>
  <c r="F521" i="1"/>
  <c r="B522" i="1"/>
  <c r="A522" i="1"/>
  <c r="F522" i="1"/>
  <c r="B523" i="1"/>
  <c r="A523" i="1"/>
  <c r="F523" i="1"/>
  <c r="B524" i="1"/>
  <c r="A524" i="1"/>
  <c r="F524" i="1"/>
  <c r="B525" i="1"/>
  <c r="A525" i="1"/>
  <c r="F525" i="1"/>
  <c r="B526" i="1"/>
  <c r="A526" i="1"/>
  <c r="F526" i="1"/>
  <c r="B527" i="1"/>
  <c r="A527" i="1"/>
  <c r="F527" i="1"/>
  <c r="B528" i="1"/>
  <c r="A528" i="1"/>
  <c r="F528" i="1"/>
  <c r="B529" i="1"/>
  <c r="A529" i="1"/>
  <c r="F529" i="1"/>
  <c r="B530" i="1"/>
  <c r="A530" i="1"/>
  <c r="F530" i="1"/>
  <c r="B531" i="1"/>
  <c r="A531" i="1"/>
  <c r="F531" i="1"/>
  <c r="B532" i="1"/>
  <c r="A532" i="1"/>
  <c r="F532" i="1"/>
  <c r="B533" i="1"/>
  <c r="A533" i="1"/>
  <c r="F533" i="1"/>
  <c r="B534" i="1"/>
  <c r="A534" i="1"/>
  <c r="F534" i="1"/>
  <c r="B535" i="1"/>
  <c r="A535" i="1"/>
  <c r="F535" i="1"/>
  <c r="B536" i="1"/>
  <c r="A536" i="1"/>
  <c r="F536" i="1"/>
  <c r="B537" i="1"/>
  <c r="A537" i="1"/>
  <c r="F537" i="1"/>
  <c r="B538" i="1"/>
  <c r="A538" i="1"/>
  <c r="F538" i="1"/>
  <c r="B539" i="1"/>
  <c r="A539" i="1"/>
  <c r="F539" i="1"/>
  <c r="B540" i="1"/>
  <c r="A540" i="1"/>
  <c r="F540" i="1"/>
  <c r="B541" i="1"/>
  <c r="A541" i="1"/>
  <c r="F541" i="1"/>
  <c r="B542" i="1"/>
  <c r="A542" i="1"/>
  <c r="F542" i="1"/>
  <c r="B543" i="1"/>
  <c r="A543" i="1"/>
  <c r="F543" i="1"/>
  <c r="B544" i="1"/>
  <c r="A544" i="1"/>
  <c r="F544" i="1"/>
  <c r="B545" i="1"/>
  <c r="A545" i="1"/>
  <c r="F545" i="1"/>
  <c r="B546" i="1"/>
  <c r="A546" i="1"/>
  <c r="F546" i="1"/>
  <c r="B547" i="1"/>
  <c r="A547" i="1"/>
  <c r="F547" i="1"/>
  <c r="B548" i="1"/>
  <c r="A548" i="1"/>
  <c r="F548" i="1"/>
  <c r="B549" i="1"/>
  <c r="A549" i="1"/>
  <c r="F549" i="1"/>
  <c r="B550" i="1"/>
  <c r="A550" i="1"/>
  <c r="F550" i="1"/>
  <c r="B551" i="1"/>
  <c r="A551" i="1"/>
  <c r="F551" i="1"/>
  <c r="B552" i="1"/>
  <c r="A552" i="1"/>
  <c r="F552" i="1"/>
  <c r="B553" i="1"/>
  <c r="A553" i="1"/>
  <c r="F553" i="1"/>
  <c r="B554" i="1"/>
  <c r="A554" i="1"/>
  <c r="F554" i="1"/>
  <c r="B555" i="1"/>
  <c r="A555" i="1"/>
  <c r="F555" i="1"/>
  <c r="B556" i="1"/>
  <c r="A556" i="1"/>
  <c r="F556" i="1"/>
  <c r="B557" i="1"/>
  <c r="A557" i="1"/>
  <c r="F557" i="1"/>
  <c r="B558" i="1"/>
  <c r="A558" i="1"/>
  <c r="F558" i="1"/>
  <c r="B559" i="1"/>
  <c r="A559" i="1"/>
  <c r="F559" i="1"/>
  <c r="B560" i="1"/>
  <c r="A560" i="1"/>
  <c r="F560" i="1"/>
  <c r="B561" i="1"/>
  <c r="A561" i="1"/>
  <c r="F561" i="1"/>
  <c r="B562" i="1"/>
  <c r="A562" i="1"/>
  <c r="F562" i="1"/>
  <c r="B563" i="1"/>
  <c r="A563" i="1"/>
  <c r="F563" i="1"/>
  <c r="B564" i="1"/>
  <c r="A564" i="1"/>
  <c r="F564" i="1"/>
  <c r="B565" i="1"/>
  <c r="A565" i="1"/>
  <c r="F565" i="1"/>
  <c r="B566" i="1"/>
  <c r="A566" i="1"/>
  <c r="F566" i="1"/>
  <c r="B567" i="1"/>
  <c r="A567" i="1"/>
  <c r="F567" i="1"/>
  <c r="B568" i="1"/>
  <c r="A568" i="1"/>
  <c r="F568" i="1"/>
  <c r="B569" i="1"/>
  <c r="A569" i="1"/>
  <c r="F569" i="1"/>
  <c r="B570" i="1"/>
  <c r="A570" i="1"/>
  <c r="F570" i="1"/>
  <c r="B571" i="1"/>
  <c r="A571" i="1"/>
  <c r="F571" i="1"/>
  <c r="B572" i="1"/>
  <c r="A572" i="1"/>
  <c r="F572" i="1"/>
  <c r="B573" i="1"/>
  <c r="A573" i="1"/>
  <c r="F573" i="1"/>
  <c r="B574" i="1"/>
  <c r="A574" i="1"/>
  <c r="F574" i="1"/>
  <c r="B575" i="1"/>
  <c r="A575" i="1"/>
  <c r="F575" i="1"/>
  <c r="B576" i="1"/>
  <c r="A576" i="1"/>
  <c r="F576" i="1"/>
  <c r="B577" i="1"/>
  <c r="A577" i="1"/>
  <c r="F577" i="1"/>
  <c r="B578" i="1"/>
  <c r="A578" i="1"/>
  <c r="F578" i="1"/>
  <c r="B579" i="1"/>
  <c r="A579" i="1"/>
  <c r="F579" i="1"/>
  <c r="B580" i="1"/>
  <c r="A580" i="1"/>
  <c r="F580" i="1"/>
  <c r="B581" i="1"/>
  <c r="A581" i="1"/>
  <c r="F581" i="1"/>
  <c r="B582" i="1"/>
  <c r="A582" i="1"/>
  <c r="F582" i="1"/>
  <c r="B583" i="1"/>
  <c r="A583" i="1"/>
  <c r="F583" i="1"/>
  <c r="B584" i="1"/>
  <c r="A584" i="1"/>
  <c r="F584" i="1"/>
  <c r="B585" i="1"/>
  <c r="A585" i="1"/>
  <c r="F585" i="1"/>
  <c r="B586" i="1"/>
  <c r="A586" i="1"/>
  <c r="F586" i="1"/>
  <c r="B587" i="1"/>
  <c r="A587" i="1"/>
  <c r="F587" i="1"/>
  <c r="B588" i="1"/>
  <c r="A588" i="1"/>
  <c r="F588" i="1"/>
  <c r="B589" i="1"/>
  <c r="A589" i="1"/>
  <c r="F589" i="1"/>
  <c r="B590" i="1"/>
  <c r="A590" i="1"/>
  <c r="F590" i="1"/>
  <c r="B591" i="1"/>
  <c r="A591" i="1"/>
  <c r="F591" i="1"/>
  <c r="B592" i="1"/>
  <c r="A592" i="1"/>
  <c r="F592" i="1"/>
  <c r="B593" i="1"/>
  <c r="A593" i="1"/>
  <c r="F593" i="1"/>
  <c r="B594" i="1"/>
  <c r="A594" i="1"/>
  <c r="F594" i="1"/>
  <c r="B595" i="1"/>
  <c r="A595" i="1"/>
  <c r="F595" i="1"/>
  <c r="B596" i="1"/>
  <c r="A596" i="1"/>
  <c r="F596" i="1"/>
  <c r="B597" i="1"/>
  <c r="A597" i="1"/>
  <c r="F597" i="1"/>
  <c r="B598" i="1"/>
  <c r="A598" i="1"/>
  <c r="F598" i="1"/>
  <c r="B599" i="1"/>
  <c r="A599" i="1"/>
  <c r="F599" i="1"/>
  <c r="B600" i="1"/>
  <c r="A600" i="1"/>
  <c r="F600" i="1"/>
  <c r="B601" i="1"/>
  <c r="A601" i="1"/>
  <c r="F601" i="1"/>
  <c r="B602" i="1"/>
  <c r="A602" i="1"/>
  <c r="F602" i="1"/>
  <c r="B603" i="1"/>
  <c r="A603" i="1"/>
  <c r="F603" i="1"/>
  <c r="B604" i="1"/>
  <c r="A604" i="1"/>
  <c r="F604" i="1"/>
  <c r="B605" i="1"/>
  <c r="A605" i="1"/>
  <c r="F605" i="1"/>
  <c r="B606" i="1"/>
  <c r="A606" i="1"/>
  <c r="F606" i="1"/>
  <c r="B607" i="1"/>
  <c r="A607" i="1"/>
  <c r="F607" i="1"/>
  <c r="B608" i="1"/>
  <c r="A608" i="1"/>
  <c r="F608" i="1"/>
  <c r="B609" i="1"/>
  <c r="A609" i="1"/>
  <c r="F609" i="1"/>
  <c r="B610" i="1"/>
  <c r="A610" i="1"/>
  <c r="F610" i="1"/>
  <c r="B611" i="1"/>
  <c r="A611" i="1"/>
  <c r="F611" i="1"/>
  <c r="B612" i="1"/>
  <c r="A612" i="1"/>
  <c r="F612" i="1"/>
  <c r="B613" i="1"/>
  <c r="A613" i="1"/>
  <c r="F613" i="1"/>
  <c r="B614" i="1"/>
  <c r="A614" i="1"/>
  <c r="F614" i="1"/>
  <c r="B615" i="1"/>
  <c r="A615" i="1"/>
  <c r="F615" i="1"/>
  <c r="B616" i="1"/>
  <c r="A616" i="1"/>
  <c r="F616" i="1"/>
  <c r="B617" i="1"/>
  <c r="A617" i="1"/>
  <c r="F617" i="1"/>
  <c r="B618" i="1"/>
  <c r="A618" i="1"/>
  <c r="F618" i="1"/>
  <c r="B619" i="1"/>
  <c r="A619" i="1"/>
  <c r="F619" i="1"/>
  <c r="B620" i="1"/>
  <c r="A620" i="1"/>
  <c r="F620" i="1"/>
  <c r="B621" i="1"/>
  <c r="A621" i="1"/>
  <c r="F621" i="1"/>
  <c r="B622" i="1"/>
  <c r="A622" i="1"/>
  <c r="F622" i="1"/>
  <c r="B623" i="1"/>
  <c r="A623" i="1"/>
  <c r="F623" i="1"/>
  <c r="B624" i="1"/>
  <c r="A624" i="1"/>
  <c r="F624" i="1"/>
  <c r="B625" i="1"/>
  <c r="A625" i="1"/>
  <c r="F625" i="1"/>
  <c r="B626" i="1"/>
  <c r="A626" i="1"/>
  <c r="F626" i="1"/>
  <c r="B627" i="1"/>
  <c r="A627" i="1"/>
  <c r="F627" i="1"/>
  <c r="B628" i="1"/>
  <c r="A628" i="1"/>
  <c r="F628" i="1"/>
  <c r="B629" i="1"/>
  <c r="A629" i="1"/>
  <c r="F629" i="1"/>
  <c r="B630" i="1"/>
  <c r="A630" i="1"/>
  <c r="F630" i="1"/>
  <c r="B631" i="1"/>
  <c r="A631" i="1"/>
  <c r="F631" i="1"/>
  <c r="B632" i="1"/>
  <c r="A632" i="1"/>
  <c r="F632" i="1"/>
  <c r="B633" i="1"/>
  <c r="A633" i="1"/>
  <c r="F633" i="1"/>
  <c r="B634" i="1"/>
  <c r="A634" i="1"/>
  <c r="F634" i="1"/>
  <c r="B635" i="1"/>
  <c r="A635" i="1"/>
  <c r="F635" i="1"/>
  <c r="B636" i="1"/>
  <c r="A636" i="1"/>
  <c r="F636" i="1"/>
  <c r="B637" i="1"/>
  <c r="A637" i="1"/>
  <c r="F637" i="1"/>
  <c r="B638" i="1"/>
  <c r="A638" i="1"/>
  <c r="F638" i="1"/>
  <c r="B639" i="1"/>
  <c r="A639" i="1"/>
  <c r="F639" i="1"/>
  <c r="B640" i="1"/>
  <c r="A640" i="1"/>
  <c r="F640" i="1"/>
  <c r="B641" i="1"/>
  <c r="A641" i="1"/>
  <c r="F641" i="1"/>
  <c r="B642" i="1"/>
  <c r="A642" i="1"/>
  <c r="F642" i="1"/>
  <c r="B643" i="1"/>
  <c r="A643" i="1"/>
  <c r="F643" i="1"/>
  <c r="B644" i="1"/>
  <c r="A644" i="1"/>
  <c r="F644" i="1"/>
  <c r="B645" i="1"/>
  <c r="A645" i="1"/>
  <c r="F645" i="1"/>
  <c r="B646" i="1"/>
  <c r="A646" i="1"/>
  <c r="F646" i="1"/>
  <c r="B647" i="1"/>
  <c r="A647" i="1"/>
  <c r="F647" i="1"/>
  <c r="B648" i="1"/>
  <c r="A648" i="1"/>
  <c r="F648" i="1"/>
  <c r="B649" i="1"/>
  <c r="A649" i="1"/>
  <c r="F649" i="1"/>
  <c r="B650" i="1"/>
  <c r="A650" i="1"/>
  <c r="F650" i="1"/>
  <c r="B651" i="1"/>
  <c r="A651" i="1"/>
  <c r="F651" i="1"/>
  <c r="B652" i="1"/>
  <c r="A652" i="1"/>
  <c r="F652" i="1"/>
  <c r="B653" i="1"/>
  <c r="A653" i="1"/>
  <c r="F653" i="1"/>
  <c r="B654" i="1"/>
  <c r="A654" i="1"/>
  <c r="F654" i="1"/>
  <c r="B655" i="1"/>
  <c r="A655" i="1"/>
  <c r="F655" i="1"/>
  <c r="B656" i="1"/>
  <c r="A656" i="1"/>
  <c r="F656" i="1"/>
  <c r="B657" i="1"/>
  <c r="A657" i="1"/>
  <c r="F657" i="1"/>
  <c r="B658" i="1"/>
  <c r="A658" i="1"/>
  <c r="F658" i="1"/>
  <c r="B659" i="1"/>
  <c r="A659" i="1"/>
  <c r="F659" i="1"/>
  <c r="B660" i="1"/>
  <c r="A660" i="1"/>
  <c r="F660" i="1"/>
  <c r="B661" i="1"/>
  <c r="A661" i="1"/>
  <c r="F661" i="1"/>
  <c r="B662" i="1"/>
  <c r="A662" i="1"/>
  <c r="F662" i="1"/>
  <c r="B663" i="1"/>
  <c r="A663" i="1"/>
  <c r="F663" i="1"/>
  <c r="B664" i="1"/>
  <c r="A664" i="1"/>
  <c r="F664" i="1"/>
  <c r="B665" i="1"/>
  <c r="A665" i="1"/>
  <c r="F665" i="1"/>
  <c r="B666" i="1"/>
  <c r="A666" i="1"/>
  <c r="F666" i="1"/>
  <c r="B667" i="1"/>
  <c r="A667" i="1"/>
  <c r="F667" i="1"/>
  <c r="B668" i="1"/>
  <c r="A668" i="1"/>
  <c r="F668" i="1"/>
  <c r="B669" i="1"/>
  <c r="A669" i="1"/>
  <c r="F669" i="1"/>
  <c r="B670" i="1"/>
  <c r="A670" i="1"/>
  <c r="F670" i="1"/>
  <c r="B671" i="1"/>
  <c r="A671" i="1"/>
  <c r="F671" i="1"/>
  <c r="B672" i="1"/>
  <c r="A672" i="1"/>
  <c r="F672" i="1"/>
  <c r="B673" i="1"/>
  <c r="A673" i="1"/>
  <c r="F673" i="1"/>
  <c r="B674" i="1"/>
  <c r="A674" i="1"/>
  <c r="F674" i="1"/>
  <c r="B675" i="1"/>
  <c r="A675" i="1"/>
  <c r="F675" i="1"/>
  <c r="B676" i="1"/>
  <c r="A676" i="1"/>
  <c r="F676" i="1"/>
  <c r="B677" i="1"/>
  <c r="A677" i="1"/>
  <c r="F677" i="1"/>
  <c r="B678" i="1"/>
  <c r="A678" i="1"/>
  <c r="F678" i="1"/>
  <c r="B679" i="1"/>
  <c r="A679" i="1"/>
  <c r="F679" i="1"/>
  <c r="B680" i="1"/>
  <c r="A680" i="1"/>
  <c r="F680" i="1"/>
  <c r="B681" i="1"/>
  <c r="A681" i="1"/>
  <c r="F681" i="1"/>
  <c r="B682" i="1"/>
  <c r="A682" i="1"/>
  <c r="F682" i="1"/>
  <c r="B683" i="1"/>
  <c r="A683" i="1"/>
  <c r="F683" i="1"/>
  <c r="B684" i="1"/>
  <c r="A684" i="1"/>
  <c r="F684" i="1"/>
  <c r="B685" i="1"/>
  <c r="A685" i="1"/>
  <c r="F685" i="1"/>
  <c r="B686" i="1"/>
  <c r="A686" i="1"/>
  <c r="F686" i="1"/>
  <c r="B687" i="1"/>
  <c r="A687" i="1"/>
  <c r="F687" i="1"/>
  <c r="B688" i="1"/>
  <c r="A688" i="1"/>
  <c r="F688" i="1"/>
  <c r="B689" i="1"/>
  <c r="A689" i="1"/>
  <c r="F689" i="1"/>
  <c r="B690" i="1"/>
  <c r="A690" i="1"/>
  <c r="F690" i="1"/>
  <c r="B691" i="1"/>
  <c r="A691" i="1"/>
  <c r="F691" i="1"/>
  <c r="B692" i="1"/>
  <c r="A692" i="1"/>
  <c r="F692" i="1"/>
  <c r="B693" i="1"/>
  <c r="A693" i="1"/>
  <c r="F693" i="1"/>
  <c r="B694" i="1"/>
  <c r="A694" i="1"/>
  <c r="F694" i="1"/>
  <c r="B695" i="1"/>
  <c r="A695" i="1"/>
  <c r="F695" i="1"/>
  <c r="B696" i="1"/>
  <c r="A696" i="1"/>
  <c r="F696" i="1"/>
  <c r="B697" i="1"/>
  <c r="A697" i="1"/>
  <c r="F697" i="1"/>
  <c r="B698" i="1"/>
  <c r="A698" i="1"/>
  <c r="F698" i="1"/>
  <c r="B699" i="1"/>
  <c r="A699" i="1"/>
  <c r="F699" i="1"/>
  <c r="B700" i="1"/>
  <c r="A700" i="1"/>
  <c r="F700" i="1"/>
  <c r="B701" i="1"/>
  <c r="A701" i="1"/>
  <c r="F701" i="1"/>
  <c r="B702" i="1"/>
  <c r="A702" i="1"/>
  <c r="F702" i="1"/>
  <c r="B703" i="1"/>
  <c r="A703" i="1"/>
  <c r="F703" i="1"/>
  <c r="B704" i="1"/>
  <c r="A704" i="1"/>
  <c r="F704" i="1"/>
  <c r="B705" i="1"/>
  <c r="A705" i="1"/>
  <c r="F705" i="1"/>
  <c r="B706" i="1"/>
  <c r="A706" i="1"/>
  <c r="F706" i="1"/>
  <c r="B707" i="1"/>
  <c r="A707" i="1"/>
  <c r="F707" i="1"/>
  <c r="B708" i="1"/>
  <c r="A708" i="1"/>
  <c r="F708" i="1"/>
  <c r="B709" i="1"/>
  <c r="A709" i="1"/>
  <c r="F709" i="1"/>
  <c r="B710" i="1"/>
  <c r="A710" i="1"/>
  <c r="F710" i="1"/>
  <c r="B711" i="1"/>
  <c r="A711" i="1"/>
  <c r="F711" i="1"/>
  <c r="B712" i="1"/>
  <c r="A712" i="1"/>
  <c r="F712" i="1"/>
  <c r="B713" i="1"/>
  <c r="A713" i="1"/>
  <c r="F713" i="1"/>
  <c r="B714" i="1"/>
  <c r="A714" i="1"/>
  <c r="F714" i="1"/>
  <c r="B715" i="1"/>
  <c r="A715" i="1"/>
  <c r="F715" i="1"/>
  <c r="B716" i="1"/>
  <c r="A716" i="1"/>
  <c r="F716" i="1"/>
  <c r="B717" i="1"/>
  <c r="A717" i="1"/>
  <c r="F717" i="1"/>
  <c r="B718" i="1"/>
  <c r="A718" i="1"/>
  <c r="F718" i="1"/>
  <c r="B719" i="1"/>
  <c r="A719" i="1"/>
  <c r="F719" i="1"/>
  <c r="B720" i="1"/>
  <c r="A720" i="1"/>
  <c r="F720" i="1"/>
  <c r="B721" i="1"/>
  <c r="A721" i="1"/>
  <c r="F721" i="1"/>
  <c r="B722" i="1"/>
  <c r="A722" i="1"/>
  <c r="F722" i="1"/>
  <c r="B723" i="1"/>
  <c r="A723" i="1"/>
  <c r="F723" i="1"/>
  <c r="B724" i="1"/>
  <c r="A724" i="1"/>
  <c r="F724" i="1"/>
  <c r="B725" i="1"/>
  <c r="A725" i="1"/>
  <c r="F725" i="1"/>
  <c r="B726" i="1"/>
  <c r="A726" i="1"/>
  <c r="F726" i="1"/>
  <c r="B727" i="1"/>
  <c r="A727" i="1"/>
  <c r="F727" i="1"/>
  <c r="B728" i="1"/>
  <c r="A728" i="1"/>
  <c r="F728" i="1"/>
  <c r="B729" i="1"/>
  <c r="A729" i="1"/>
  <c r="F729" i="1"/>
  <c r="B730" i="1"/>
  <c r="A730" i="1"/>
  <c r="F730" i="1"/>
  <c r="B731" i="1"/>
  <c r="A731" i="1"/>
  <c r="F731" i="1"/>
  <c r="B732" i="1"/>
  <c r="A732" i="1"/>
  <c r="F732" i="1"/>
  <c r="B733" i="1"/>
  <c r="A733" i="1"/>
  <c r="F733" i="1"/>
  <c r="B734" i="1"/>
  <c r="A734" i="1"/>
  <c r="F734" i="1"/>
  <c r="B735" i="1"/>
  <c r="A735" i="1"/>
  <c r="F735" i="1"/>
  <c r="B736" i="1"/>
  <c r="A736" i="1"/>
  <c r="F736" i="1"/>
  <c r="B737" i="1"/>
  <c r="A737" i="1"/>
  <c r="F737" i="1"/>
  <c r="B738" i="1"/>
  <c r="A738" i="1"/>
  <c r="F738" i="1"/>
  <c r="B739" i="1"/>
  <c r="A739" i="1"/>
  <c r="F739" i="1"/>
  <c r="B740" i="1"/>
  <c r="A740" i="1"/>
  <c r="F740" i="1"/>
  <c r="B741" i="1"/>
  <c r="A741" i="1"/>
  <c r="F741" i="1"/>
  <c r="B742" i="1"/>
  <c r="A742" i="1"/>
  <c r="F742" i="1"/>
  <c r="B743" i="1"/>
  <c r="A743" i="1"/>
  <c r="F743" i="1"/>
  <c r="B744" i="1"/>
  <c r="A744" i="1"/>
  <c r="F744" i="1"/>
  <c r="B745" i="1"/>
  <c r="A745" i="1"/>
  <c r="F745" i="1"/>
  <c r="B746" i="1"/>
  <c r="A746" i="1"/>
  <c r="F746" i="1"/>
  <c r="B747" i="1"/>
  <c r="A747" i="1"/>
  <c r="F747" i="1"/>
  <c r="B748" i="1"/>
  <c r="A748" i="1"/>
  <c r="F748" i="1"/>
  <c r="B749" i="1"/>
  <c r="A749" i="1"/>
  <c r="F749" i="1"/>
  <c r="B750" i="1"/>
  <c r="A750" i="1"/>
  <c r="F750" i="1"/>
  <c r="B751" i="1"/>
  <c r="A751" i="1"/>
  <c r="F751" i="1"/>
  <c r="B752" i="1"/>
  <c r="A752" i="1"/>
  <c r="F752" i="1"/>
  <c r="B753" i="1"/>
  <c r="A753" i="1"/>
  <c r="F753" i="1"/>
  <c r="B754" i="1"/>
  <c r="A754" i="1"/>
  <c r="F754" i="1"/>
  <c r="B755" i="1"/>
  <c r="A755" i="1"/>
  <c r="F755" i="1"/>
  <c r="B756" i="1"/>
  <c r="A756" i="1"/>
  <c r="F756" i="1"/>
  <c r="B757" i="1"/>
  <c r="A757" i="1"/>
  <c r="F757" i="1"/>
  <c r="B758" i="1"/>
  <c r="A758" i="1"/>
  <c r="F758" i="1"/>
  <c r="B759" i="1"/>
  <c r="A759" i="1"/>
  <c r="F759" i="1"/>
  <c r="B760" i="1"/>
  <c r="A760" i="1"/>
  <c r="F760" i="1"/>
  <c r="B761" i="1"/>
  <c r="A761" i="1"/>
  <c r="F761" i="1"/>
  <c r="B762" i="1"/>
  <c r="A762" i="1"/>
  <c r="F762" i="1"/>
  <c r="B763" i="1"/>
  <c r="A763" i="1"/>
  <c r="F763" i="1"/>
  <c r="B764" i="1"/>
  <c r="A764" i="1"/>
  <c r="F764" i="1"/>
  <c r="B765" i="1"/>
  <c r="A765" i="1"/>
  <c r="F765" i="1"/>
  <c r="B766" i="1"/>
  <c r="A766" i="1"/>
  <c r="F766" i="1"/>
  <c r="B767" i="1"/>
  <c r="A767" i="1"/>
  <c r="F767" i="1"/>
  <c r="B768" i="1"/>
  <c r="A768" i="1"/>
  <c r="F768" i="1"/>
  <c r="B769" i="1"/>
  <c r="A769" i="1"/>
  <c r="F769" i="1"/>
  <c r="B770" i="1"/>
  <c r="A770" i="1"/>
  <c r="F770" i="1"/>
  <c r="B771" i="1"/>
  <c r="A771" i="1"/>
  <c r="F771" i="1"/>
  <c r="B772" i="1"/>
  <c r="A772" i="1"/>
  <c r="F772" i="1"/>
  <c r="B773" i="1"/>
  <c r="A773" i="1"/>
  <c r="F773" i="1"/>
  <c r="B774" i="1"/>
  <c r="A774" i="1"/>
  <c r="F774" i="1"/>
  <c r="B775" i="1"/>
  <c r="A775" i="1"/>
  <c r="F775" i="1"/>
  <c r="B776" i="1"/>
  <c r="A776" i="1"/>
  <c r="F776" i="1"/>
  <c r="B777" i="1"/>
  <c r="A777" i="1"/>
  <c r="F777" i="1"/>
  <c r="B778" i="1"/>
  <c r="A778" i="1"/>
  <c r="F778" i="1"/>
  <c r="B779" i="1"/>
  <c r="A779" i="1"/>
  <c r="F779" i="1"/>
  <c r="B780" i="1"/>
  <c r="A780" i="1"/>
  <c r="F780" i="1"/>
  <c r="B781" i="1"/>
  <c r="A781" i="1"/>
  <c r="F781" i="1"/>
  <c r="B782" i="1"/>
  <c r="A782" i="1"/>
  <c r="F782" i="1"/>
  <c r="B783" i="1"/>
  <c r="A783" i="1"/>
  <c r="F783" i="1"/>
  <c r="B784" i="1"/>
  <c r="A784" i="1"/>
  <c r="F784" i="1"/>
  <c r="B785" i="1"/>
  <c r="A785" i="1"/>
  <c r="F785" i="1"/>
  <c r="B786" i="1"/>
  <c r="A786" i="1"/>
  <c r="F786" i="1"/>
  <c r="B787" i="1"/>
  <c r="A787" i="1"/>
  <c r="F787" i="1"/>
  <c r="B788" i="1"/>
  <c r="A788" i="1"/>
  <c r="F788" i="1"/>
  <c r="B789" i="1"/>
  <c r="A789" i="1"/>
  <c r="F789" i="1"/>
  <c r="B790" i="1"/>
  <c r="A790" i="1"/>
  <c r="F790" i="1"/>
  <c r="B791" i="1"/>
  <c r="A791" i="1"/>
  <c r="F791" i="1"/>
  <c r="B792" i="1"/>
  <c r="A792" i="1"/>
  <c r="F792" i="1"/>
  <c r="B793" i="1"/>
  <c r="A793" i="1"/>
  <c r="F793" i="1"/>
  <c r="B794" i="1"/>
  <c r="A794" i="1"/>
  <c r="F794" i="1"/>
  <c r="B795" i="1"/>
  <c r="A795" i="1"/>
  <c r="F795" i="1"/>
  <c r="B796" i="1"/>
  <c r="A796" i="1"/>
  <c r="F796" i="1"/>
  <c r="B797" i="1"/>
  <c r="A797" i="1"/>
  <c r="F797" i="1"/>
  <c r="B798" i="1"/>
  <c r="A798" i="1"/>
  <c r="F798" i="1"/>
  <c r="B799" i="1"/>
  <c r="A799" i="1"/>
  <c r="F799" i="1"/>
  <c r="B800" i="1"/>
  <c r="A800" i="1"/>
  <c r="F800" i="1"/>
  <c r="B801" i="1"/>
  <c r="A801" i="1"/>
  <c r="F801" i="1"/>
  <c r="B802" i="1"/>
  <c r="A802" i="1"/>
  <c r="F802" i="1"/>
  <c r="B803" i="1"/>
  <c r="A803" i="1"/>
  <c r="F803" i="1"/>
  <c r="B804" i="1"/>
  <c r="A804" i="1"/>
  <c r="F804" i="1"/>
  <c r="B805" i="1"/>
  <c r="A805" i="1"/>
  <c r="F805" i="1"/>
  <c r="B806" i="1"/>
  <c r="A806" i="1"/>
  <c r="F806" i="1"/>
  <c r="B807" i="1"/>
  <c r="A807" i="1"/>
  <c r="F807" i="1"/>
  <c r="B808" i="1"/>
  <c r="A808" i="1"/>
  <c r="F808" i="1"/>
  <c r="B809" i="1"/>
  <c r="A809" i="1"/>
  <c r="F809" i="1"/>
  <c r="B810" i="1"/>
  <c r="A810" i="1"/>
  <c r="F810" i="1"/>
  <c r="B811" i="1"/>
  <c r="A811" i="1"/>
  <c r="F811" i="1"/>
  <c r="B812" i="1"/>
  <c r="A812" i="1"/>
  <c r="F812" i="1"/>
  <c r="B813" i="1"/>
  <c r="A813" i="1"/>
  <c r="F813" i="1"/>
  <c r="B814" i="1"/>
  <c r="A814" i="1"/>
  <c r="F814" i="1"/>
  <c r="B815" i="1"/>
  <c r="A815" i="1"/>
  <c r="F815" i="1"/>
  <c r="B816" i="1"/>
  <c r="A816" i="1"/>
  <c r="F816" i="1"/>
  <c r="B817" i="1"/>
  <c r="A817" i="1"/>
  <c r="F817" i="1"/>
  <c r="B818" i="1"/>
  <c r="A818" i="1"/>
  <c r="F818" i="1"/>
  <c r="B819" i="1"/>
  <c r="A819" i="1"/>
  <c r="F819" i="1"/>
  <c r="B820" i="1"/>
  <c r="A820" i="1"/>
  <c r="F820" i="1"/>
  <c r="B821" i="1"/>
  <c r="A821" i="1"/>
  <c r="F821" i="1"/>
  <c r="B822" i="1"/>
  <c r="A822" i="1"/>
  <c r="F822" i="1"/>
  <c r="B823" i="1"/>
  <c r="A823" i="1"/>
  <c r="F823" i="1"/>
  <c r="B824" i="1"/>
  <c r="A824" i="1"/>
  <c r="F824" i="1"/>
  <c r="B825" i="1"/>
  <c r="A825" i="1"/>
  <c r="F825" i="1"/>
  <c r="B826" i="1"/>
  <c r="A826" i="1"/>
  <c r="F826" i="1"/>
  <c r="B827" i="1"/>
  <c r="A827" i="1"/>
  <c r="F827" i="1"/>
  <c r="B828" i="1"/>
  <c r="A828" i="1"/>
  <c r="F828" i="1"/>
  <c r="B829" i="1"/>
  <c r="A829" i="1"/>
  <c r="F829" i="1"/>
  <c r="B830" i="1"/>
  <c r="A830" i="1"/>
  <c r="F830" i="1"/>
  <c r="B831" i="1"/>
  <c r="A831" i="1"/>
  <c r="F831" i="1"/>
  <c r="B832" i="1"/>
  <c r="A832" i="1"/>
  <c r="F832" i="1"/>
  <c r="B833" i="1"/>
  <c r="A833" i="1"/>
  <c r="F833" i="1"/>
  <c r="B834" i="1"/>
  <c r="A834" i="1"/>
  <c r="F834" i="1"/>
  <c r="B835" i="1"/>
  <c r="A835" i="1"/>
  <c r="F835" i="1"/>
  <c r="B836" i="1"/>
  <c r="A836" i="1"/>
  <c r="F836" i="1"/>
  <c r="B837" i="1"/>
  <c r="A837" i="1"/>
  <c r="F837" i="1"/>
  <c r="B838" i="1"/>
  <c r="A838" i="1"/>
  <c r="F838" i="1"/>
  <c r="B839" i="1"/>
  <c r="A839" i="1"/>
  <c r="F839" i="1"/>
  <c r="B840" i="1"/>
  <c r="A840" i="1"/>
  <c r="F840" i="1"/>
  <c r="B841" i="1"/>
  <c r="A841" i="1"/>
  <c r="F841" i="1"/>
  <c r="B842" i="1"/>
  <c r="A842" i="1"/>
  <c r="F842" i="1"/>
  <c r="B843" i="1"/>
  <c r="A843" i="1"/>
  <c r="F843" i="1"/>
  <c r="B844" i="1"/>
  <c r="A844" i="1"/>
  <c r="F844" i="1"/>
  <c r="B845" i="1"/>
  <c r="A845" i="1"/>
  <c r="F845" i="1"/>
  <c r="B846" i="1"/>
  <c r="A846" i="1"/>
  <c r="F846" i="1"/>
  <c r="B847" i="1"/>
  <c r="A847" i="1"/>
  <c r="F847" i="1"/>
  <c r="B848" i="1"/>
  <c r="A848" i="1"/>
  <c r="F848" i="1"/>
  <c r="B849" i="1"/>
  <c r="A849" i="1"/>
  <c r="F849" i="1"/>
  <c r="B850" i="1"/>
  <c r="A850" i="1"/>
  <c r="F850" i="1"/>
  <c r="B851" i="1"/>
  <c r="A851" i="1"/>
  <c r="F851" i="1"/>
  <c r="B852" i="1"/>
  <c r="A852" i="1"/>
  <c r="F852" i="1"/>
  <c r="B853" i="1"/>
  <c r="A853" i="1"/>
  <c r="F853" i="1"/>
  <c r="B854" i="1"/>
  <c r="A854" i="1"/>
  <c r="F854" i="1"/>
  <c r="B855" i="1"/>
  <c r="A855" i="1"/>
  <c r="F855" i="1"/>
  <c r="B856" i="1"/>
  <c r="A856" i="1"/>
  <c r="F856" i="1"/>
  <c r="B857" i="1"/>
  <c r="A857" i="1"/>
  <c r="F857" i="1"/>
  <c r="B858" i="1"/>
  <c r="A858" i="1"/>
  <c r="F858" i="1"/>
  <c r="B859" i="1"/>
  <c r="A859" i="1"/>
  <c r="F859" i="1"/>
  <c r="B860" i="1"/>
  <c r="A860" i="1"/>
  <c r="F860" i="1"/>
  <c r="B861" i="1"/>
  <c r="A861" i="1"/>
  <c r="F861" i="1"/>
  <c r="B862" i="1"/>
  <c r="A862" i="1"/>
  <c r="F862" i="1"/>
  <c r="B863" i="1"/>
  <c r="A863" i="1"/>
  <c r="F863" i="1"/>
  <c r="B864" i="1"/>
  <c r="A864" i="1"/>
  <c r="F864" i="1"/>
  <c r="B865" i="1"/>
  <c r="A865" i="1"/>
  <c r="F865" i="1"/>
  <c r="B866" i="1"/>
  <c r="A866" i="1"/>
  <c r="F866" i="1"/>
  <c r="B867" i="1"/>
  <c r="A867" i="1"/>
  <c r="F867" i="1"/>
  <c r="B868" i="1"/>
  <c r="A868" i="1"/>
  <c r="F868" i="1"/>
  <c r="B869" i="1"/>
  <c r="A869" i="1"/>
  <c r="F869" i="1"/>
  <c r="B870" i="1"/>
  <c r="A870" i="1"/>
  <c r="F870" i="1"/>
  <c r="B871" i="1"/>
  <c r="A871" i="1"/>
  <c r="F871" i="1"/>
  <c r="B872" i="1"/>
  <c r="A872" i="1"/>
  <c r="F872" i="1"/>
  <c r="B873" i="1"/>
  <c r="A873" i="1"/>
  <c r="F873" i="1"/>
  <c r="B874" i="1"/>
  <c r="A874" i="1"/>
  <c r="F874" i="1"/>
  <c r="B875" i="1"/>
  <c r="A875" i="1"/>
  <c r="F875" i="1"/>
  <c r="B876" i="1"/>
  <c r="A876" i="1"/>
  <c r="F876" i="1"/>
  <c r="B877" i="1"/>
  <c r="A877" i="1"/>
  <c r="F877" i="1"/>
  <c r="B878" i="1"/>
  <c r="A878" i="1"/>
  <c r="F878" i="1"/>
  <c r="B879" i="1"/>
  <c r="A879" i="1"/>
  <c r="F879" i="1"/>
  <c r="B880" i="1"/>
  <c r="A880" i="1"/>
  <c r="F880" i="1"/>
  <c r="B881" i="1"/>
  <c r="A881" i="1"/>
  <c r="F881" i="1"/>
  <c r="B882" i="1"/>
  <c r="A882" i="1"/>
  <c r="F882" i="1"/>
  <c r="B883" i="1"/>
  <c r="A883" i="1"/>
  <c r="F883" i="1"/>
  <c r="B884" i="1"/>
  <c r="A884" i="1"/>
  <c r="F884" i="1"/>
  <c r="B885" i="1"/>
  <c r="A885" i="1"/>
  <c r="F885" i="1"/>
  <c r="B886" i="1"/>
  <c r="A886" i="1"/>
  <c r="F886" i="1"/>
  <c r="B887" i="1"/>
  <c r="A887" i="1"/>
  <c r="F887" i="1"/>
  <c r="B888" i="1"/>
  <c r="A888" i="1"/>
  <c r="F888" i="1"/>
  <c r="B889" i="1"/>
  <c r="A889" i="1"/>
  <c r="F889" i="1"/>
  <c r="B890" i="1"/>
  <c r="A890" i="1"/>
  <c r="F890" i="1"/>
  <c r="B891" i="1"/>
  <c r="A891" i="1"/>
  <c r="F891" i="1"/>
  <c r="B892" i="1"/>
  <c r="A892" i="1"/>
  <c r="F892" i="1"/>
  <c r="B893" i="1"/>
  <c r="A893" i="1"/>
  <c r="F893" i="1"/>
  <c r="B894" i="1"/>
  <c r="A894" i="1"/>
  <c r="F894" i="1"/>
  <c r="B895" i="1"/>
  <c r="A895" i="1"/>
  <c r="F895" i="1"/>
  <c r="B896" i="1"/>
  <c r="A896" i="1"/>
  <c r="F896" i="1"/>
  <c r="B897" i="1"/>
  <c r="A897" i="1"/>
  <c r="F897" i="1"/>
  <c r="B898" i="1"/>
  <c r="A898" i="1"/>
  <c r="F898" i="1"/>
  <c r="B899" i="1"/>
  <c r="A899" i="1"/>
  <c r="F899" i="1"/>
  <c r="B900" i="1"/>
  <c r="A900" i="1"/>
  <c r="F900" i="1"/>
  <c r="B901" i="1"/>
  <c r="A901" i="1"/>
  <c r="F901" i="1"/>
  <c r="B902" i="1"/>
  <c r="A902" i="1"/>
  <c r="F902" i="1"/>
  <c r="B903" i="1"/>
  <c r="A903" i="1"/>
  <c r="F903" i="1"/>
  <c r="B904" i="1"/>
  <c r="A904" i="1"/>
  <c r="F904" i="1"/>
  <c r="B905" i="1"/>
  <c r="A905" i="1"/>
  <c r="F905" i="1"/>
  <c r="B906" i="1"/>
  <c r="A906" i="1"/>
  <c r="F906" i="1"/>
  <c r="B907" i="1"/>
  <c r="A907" i="1"/>
  <c r="F907" i="1"/>
  <c r="B908" i="1"/>
  <c r="A908" i="1"/>
  <c r="F908" i="1"/>
  <c r="B909" i="1"/>
  <c r="A909" i="1"/>
  <c r="F909" i="1"/>
  <c r="B910" i="1"/>
  <c r="A910" i="1"/>
  <c r="F910" i="1"/>
  <c r="B911" i="1"/>
  <c r="A911" i="1"/>
  <c r="F911" i="1"/>
  <c r="B912" i="1"/>
  <c r="A912" i="1"/>
  <c r="F912" i="1"/>
  <c r="B913" i="1"/>
  <c r="A913" i="1"/>
  <c r="F913" i="1"/>
  <c r="B914" i="1"/>
  <c r="A914" i="1"/>
  <c r="F914" i="1"/>
  <c r="B915" i="1"/>
  <c r="A915" i="1"/>
  <c r="F915" i="1"/>
  <c r="B916" i="1"/>
  <c r="A916" i="1"/>
  <c r="F916" i="1"/>
  <c r="B917" i="1"/>
  <c r="A917" i="1"/>
  <c r="F917" i="1"/>
  <c r="B918" i="1"/>
  <c r="A918" i="1"/>
  <c r="F918" i="1"/>
  <c r="B919" i="1"/>
  <c r="A919" i="1"/>
  <c r="F919" i="1"/>
  <c r="B920" i="1"/>
  <c r="A920" i="1"/>
  <c r="F920" i="1"/>
  <c r="B921" i="1"/>
  <c r="A921" i="1"/>
  <c r="F921" i="1"/>
  <c r="B922" i="1"/>
  <c r="A922" i="1"/>
  <c r="F922" i="1"/>
  <c r="B923" i="1"/>
  <c r="A923" i="1"/>
  <c r="F923" i="1"/>
  <c r="B924" i="1"/>
  <c r="A924" i="1"/>
  <c r="F924" i="1"/>
  <c r="B925" i="1"/>
  <c r="A925" i="1"/>
  <c r="F925" i="1"/>
  <c r="B926" i="1"/>
  <c r="A926" i="1"/>
  <c r="F926" i="1"/>
  <c r="B927" i="1"/>
  <c r="A927" i="1"/>
  <c r="F927" i="1"/>
  <c r="B928" i="1"/>
  <c r="A928" i="1"/>
  <c r="F928" i="1"/>
  <c r="B929" i="1"/>
  <c r="A929" i="1"/>
  <c r="F929" i="1"/>
  <c r="B930" i="1"/>
  <c r="A930" i="1"/>
  <c r="F930" i="1"/>
  <c r="B931" i="1"/>
  <c r="A931" i="1"/>
  <c r="F931" i="1"/>
  <c r="B932" i="1"/>
  <c r="A932" i="1"/>
  <c r="F932" i="1"/>
  <c r="B933" i="1"/>
  <c r="A933" i="1"/>
  <c r="F933" i="1"/>
  <c r="B934" i="1"/>
  <c r="A934" i="1"/>
  <c r="F934" i="1"/>
  <c r="B935" i="1"/>
  <c r="A935" i="1"/>
  <c r="F935" i="1"/>
  <c r="B936" i="1"/>
  <c r="A936" i="1"/>
  <c r="F936" i="1"/>
  <c r="B937" i="1"/>
  <c r="A937" i="1"/>
  <c r="F937" i="1"/>
  <c r="B938" i="1"/>
  <c r="A938" i="1"/>
  <c r="F938" i="1"/>
  <c r="B939" i="1"/>
  <c r="A939" i="1"/>
  <c r="F939" i="1"/>
  <c r="B940" i="1"/>
  <c r="A940" i="1"/>
  <c r="F940" i="1"/>
  <c r="B941" i="1"/>
  <c r="A941" i="1"/>
  <c r="F941" i="1"/>
  <c r="B942" i="1"/>
  <c r="A942" i="1"/>
  <c r="F942" i="1"/>
  <c r="B943" i="1"/>
  <c r="A943" i="1"/>
  <c r="F943" i="1"/>
  <c r="B944" i="1"/>
  <c r="A944" i="1"/>
  <c r="F944" i="1"/>
  <c r="B945" i="1"/>
  <c r="A945" i="1"/>
  <c r="F945" i="1"/>
  <c r="B946" i="1"/>
  <c r="A946" i="1"/>
  <c r="F946" i="1"/>
  <c r="B947" i="1"/>
  <c r="A947" i="1"/>
  <c r="F947" i="1"/>
  <c r="B948" i="1"/>
  <c r="A948" i="1"/>
  <c r="F948" i="1"/>
  <c r="B949" i="1"/>
  <c r="A949" i="1"/>
  <c r="F949" i="1"/>
  <c r="B950" i="1"/>
  <c r="A950" i="1"/>
  <c r="F950" i="1"/>
  <c r="B951" i="1"/>
  <c r="A951" i="1"/>
  <c r="F951" i="1"/>
  <c r="B952" i="1"/>
  <c r="A952" i="1"/>
  <c r="F952" i="1"/>
  <c r="B953" i="1"/>
  <c r="A953" i="1"/>
  <c r="F953" i="1"/>
  <c r="B954" i="1"/>
  <c r="A954" i="1"/>
  <c r="F954" i="1"/>
  <c r="B955" i="1"/>
  <c r="A955" i="1"/>
  <c r="F955" i="1"/>
  <c r="B956" i="1"/>
  <c r="A956" i="1"/>
  <c r="F956" i="1"/>
  <c r="B957" i="1"/>
  <c r="A957" i="1"/>
  <c r="F957" i="1"/>
  <c r="B958" i="1"/>
  <c r="A958" i="1"/>
  <c r="F958" i="1"/>
  <c r="B959" i="1"/>
  <c r="A959" i="1"/>
  <c r="F959" i="1"/>
  <c r="B960" i="1"/>
  <c r="A960" i="1"/>
  <c r="F960" i="1"/>
  <c r="B961" i="1"/>
  <c r="A961" i="1"/>
  <c r="F961" i="1"/>
  <c r="B962" i="1"/>
  <c r="A962" i="1"/>
  <c r="F962" i="1"/>
  <c r="B963" i="1"/>
  <c r="A963" i="1"/>
  <c r="F963" i="1"/>
  <c r="B964" i="1"/>
  <c r="A964" i="1"/>
  <c r="F964" i="1"/>
  <c r="B965" i="1"/>
  <c r="A965" i="1"/>
  <c r="F965" i="1"/>
  <c r="B966" i="1"/>
  <c r="A966" i="1"/>
  <c r="F966" i="1"/>
  <c r="B967" i="1"/>
  <c r="A967" i="1"/>
  <c r="F967" i="1"/>
  <c r="B968" i="1"/>
  <c r="A968" i="1"/>
  <c r="F968" i="1"/>
  <c r="B969" i="1"/>
  <c r="A969" i="1"/>
  <c r="F969" i="1"/>
  <c r="B970" i="1"/>
  <c r="A970" i="1"/>
  <c r="F970" i="1"/>
  <c r="B971" i="1"/>
  <c r="A971" i="1"/>
  <c r="F971" i="1"/>
  <c r="B972" i="1"/>
  <c r="A972" i="1"/>
  <c r="F972" i="1"/>
  <c r="B973" i="1"/>
  <c r="A973" i="1"/>
  <c r="F973" i="1"/>
  <c r="B974" i="1"/>
  <c r="A974" i="1"/>
  <c r="F974" i="1"/>
  <c r="B975" i="1"/>
  <c r="A975" i="1"/>
  <c r="F975" i="1"/>
  <c r="B976" i="1"/>
  <c r="A976" i="1"/>
  <c r="F976" i="1"/>
  <c r="B977" i="1"/>
  <c r="A977" i="1"/>
  <c r="F977" i="1"/>
  <c r="B978" i="1"/>
  <c r="A978" i="1"/>
  <c r="F978" i="1"/>
  <c r="B979" i="1"/>
  <c r="A979" i="1"/>
  <c r="F979" i="1"/>
  <c r="B980" i="1"/>
  <c r="A980" i="1"/>
  <c r="F980" i="1"/>
  <c r="B981" i="1"/>
  <c r="A981" i="1"/>
  <c r="F981" i="1"/>
  <c r="B982" i="1"/>
  <c r="A982" i="1"/>
  <c r="F982" i="1"/>
  <c r="B983" i="1"/>
  <c r="A983" i="1"/>
  <c r="F983" i="1"/>
  <c r="B984" i="1"/>
  <c r="A984" i="1"/>
  <c r="F984" i="1"/>
  <c r="B985" i="1"/>
  <c r="A985" i="1"/>
  <c r="F985" i="1"/>
  <c r="B986" i="1"/>
  <c r="A986" i="1"/>
  <c r="F986" i="1"/>
  <c r="B987" i="1"/>
  <c r="A987" i="1"/>
  <c r="F987" i="1"/>
  <c r="B988" i="1"/>
  <c r="A988" i="1"/>
  <c r="F988" i="1"/>
  <c r="B989" i="1"/>
  <c r="A989" i="1"/>
  <c r="F989" i="1"/>
  <c r="B990" i="1"/>
  <c r="A990" i="1"/>
  <c r="F990" i="1"/>
  <c r="B991" i="1"/>
  <c r="A991" i="1"/>
  <c r="F991" i="1"/>
  <c r="B992" i="1"/>
  <c r="A992" i="1"/>
  <c r="F992" i="1"/>
  <c r="B993" i="1"/>
  <c r="A993" i="1"/>
  <c r="F993" i="1"/>
  <c r="B994" i="1"/>
  <c r="A994" i="1"/>
  <c r="F994" i="1"/>
  <c r="B995" i="1"/>
  <c r="A995" i="1"/>
  <c r="F995" i="1"/>
  <c r="B996" i="1"/>
  <c r="A996" i="1"/>
  <c r="F996" i="1"/>
  <c r="B997" i="1"/>
  <c r="A997" i="1"/>
  <c r="F997" i="1"/>
  <c r="B998" i="1"/>
  <c r="A998" i="1"/>
  <c r="F998" i="1"/>
  <c r="B999" i="1"/>
  <c r="A999" i="1"/>
  <c r="F999" i="1"/>
  <c r="B1000" i="1"/>
  <c r="A1000" i="1"/>
  <c r="F1000" i="1"/>
  <c r="B1001" i="1"/>
  <c r="A1001" i="1"/>
  <c r="F1001" i="1"/>
  <c r="B1002" i="1"/>
  <c r="A1002" i="1"/>
  <c r="F1002" i="1"/>
  <c r="B1003" i="1"/>
  <c r="A1003" i="1"/>
  <c r="F1003" i="1"/>
  <c r="B1004" i="1"/>
  <c r="A1004" i="1"/>
  <c r="F1004" i="1"/>
  <c r="B1005" i="1"/>
  <c r="A1005" i="1"/>
  <c r="F1005" i="1"/>
  <c r="B1006" i="1"/>
  <c r="A1006" i="1"/>
  <c r="F1006" i="1"/>
  <c r="B1007" i="1"/>
  <c r="A1007" i="1"/>
  <c r="F1007" i="1"/>
  <c r="B1008" i="1"/>
  <c r="A1008" i="1"/>
  <c r="F1008" i="1"/>
  <c r="B1009" i="1"/>
  <c r="A1009" i="1"/>
  <c r="F1009" i="1"/>
  <c r="B1010" i="1"/>
  <c r="A1010" i="1"/>
  <c r="F1010" i="1"/>
  <c r="B1011" i="1"/>
  <c r="A1011" i="1"/>
  <c r="F1011" i="1"/>
  <c r="B1012" i="1"/>
  <c r="A1012" i="1"/>
  <c r="F1012" i="1"/>
  <c r="B1013" i="1"/>
  <c r="A1013" i="1"/>
  <c r="F1013" i="1"/>
  <c r="B1014" i="1"/>
  <c r="A1014" i="1"/>
  <c r="F1014" i="1"/>
  <c r="B1015" i="1"/>
  <c r="A1015" i="1"/>
  <c r="F1015" i="1"/>
  <c r="B1016" i="1"/>
  <c r="A1016" i="1"/>
  <c r="F1016" i="1"/>
  <c r="B1017" i="1"/>
  <c r="A1017" i="1"/>
  <c r="F1017" i="1"/>
  <c r="B1018" i="1"/>
  <c r="A1018" i="1"/>
  <c r="F1018" i="1"/>
  <c r="B1019" i="1"/>
  <c r="A1019" i="1"/>
  <c r="F1019" i="1"/>
  <c r="B1020" i="1"/>
  <c r="A1020" i="1"/>
  <c r="F1020" i="1"/>
  <c r="B1021" i="1"/>
  <c r="A1021" i="1"/>
  <c r="F1021" i="1"/>
  <c r="B1022" i="1"/>
  <c r="A1022" i="1"/>
  <c r="F1022" i="1"/>
  <c r="B1023" i="1"/>
  <c r="A1023" i="1"/>
  <c r="F1023" i="1"/>
  <c r="B1024" i="1"/>
  <c r="A1024" i="1"/>
  <c r="F1024" i="1"/>
  <c r="B1025" i="1"/>
  <c r="A1025" i="1"/>
  <c r="F1025" i="1"/>
  <c r="B1026" i="1"/>
  <c r="A1026" i="1"/>
  <c r="F1026" i="1"/>
  <c r="B1027" i="1"/>
  <c r="A1027" i="1"/>
  <c r="F1027" i="1"/>
  <c r="B1028" i="1"/>
  <c r="A1028" i="1"/>
  <c r="F1028" i="1"/>
  <c r="B1029" i="1"/>
  <c r="A1029" i="1"/>
  <c r="F1029" i="1"/>
  <c r="B1030" i="1"/>
  <c r="A1030" i="1"/>
  <c r="F1030" i="1"/>
  <c r="B1031" i="1"/>
  <c r="A1031" i="1"/>
  <c r="F1031" i="1"/>
  <c r="B1032" i="1"/>
  <c r="A1032" i="1"/>
  <c r="F1032" i="1"/>
  <c r="B1033" i="1"/>
  <c r="A1033" i="1"/>
  <c r="F1033" i="1"/>
  <c r="B1034" i="1"/>
  <c r="A1034" i="1"/>
  <c r="F1034" i="1"/>
  <c r="B1035" i="1"/>
  <c r="A1035" i="1"/>
  <c r="F1035" i="1"/>
  <c r="B1036" i="1"/>
  <c r="A1036" i="1"/>
  <c r="F1036" i="1"/>
  <c r="B1037" i="1"/>
  <c r="A1037" i="1"/>
  <c r="F1037" i="1"/>
  <c r="B1038" i="1"/>
  <c r="A1038" i="1"/>
  <c r="F1038" i="1"/>
  <c r="B1039" i="1"/>
  <c r="A1039" i="1"/>
  <c r="F1039" i="1"/>
  <c r="B1040" i="1"/>
  <c r="A1040" i="1"/>
  <c r="F1040" i="1"/>
  <c r="B1041" i="1"/>
  <c r="A1041" i="1"/>
  <c r="F1041" i="1"/>
  <c r="B1042" i="1"/>
  <c r="A1042" i="1"/>
  <c r="F1042" i="1"/>
  <c r="B1043" i="1"/>
  <c r="A1043" i="1"/>
  <c r="F1043" i="1"/>
  <c r="B1044" i="1"/>
  <c r="A1044" i="1"/>
  <c r="F1044" i="1"/>
  <c r="B1045" i="1"/>
  <c r="A1045" i="1"/>
  <c r="F1045" i="1"/>
  <c r="B1046" i="1"/>
  <c r="A1046" i="1"/>
  <c r="F1046" i="1"/>
  <c r="B1047" i="1"/>
  <c r="A1047" i="1"/>
  <c r="F1047" i="1"/>
  <c r="B1048" i="1"/>
  <c r="A1048" i="1"/>
  <c r="F1048" i="1"/>
  <c r="B1049" i="1"/>
  <c r="A1049" i="1"/>
  <c r="F1049" i="1"/>
  <c r="B1050" i="1"/>
  <c r="A1050" i="1"/>
  <c r="F1050" i="1"/>
  <c r="B1051" i="1"/>
  <c r="A1051" i="1"/>
  <c r="F1051" i="1"/>
  <c r="B1052" i="1"/>
  <c r="A1052" i="1"/>
  <c r="F1052" i="1"/>
  <c r="B1053" i="1"/>
  <c r="A1053" i="1"/>
  <c r="F1053" i="1"/>
  <c r="B1054" i="1"/>
  <c r="A1054" i="1"/>
  <c r="F1054" i="1"/>
  <c r="B1055" i="1"/>
  <c r="A1055" i="1"/>
  <c r="F1055" i="1"/>
  <c r="B1056" i="1"/>
  <c r="A1056" i="1"/>
  <c r="F1056" i="1"/>
  <c r="B1057" i="1"/>
  <c r="A1057" i="1"/>
  <c r="F1057" i="1"/>
  <c r="B1058" i="1"/>
  <c r="A1058" i="1"/>
  <c r="F1058" i="1"/>
  <c r="B1059" i="1"/>
  <c r="A1059" i="1"/>
  <c r="F1059" i="1"/>
  <c r="B1060" i="1"/>
  <c r="A1060" i="1"/>
  <c r="F1060" i="1"/>
  <c r="B1061" i="1"/>
  <c r="A1061" i="1"/>
  <c r="F1061" i="1"/>
  <c r="B1062" i="1"/>
  <c r="A1062" i="1"/>
  <c r="F1062" i="1"/>
  <c r="B1063" i="1"/>
  <c r="A1063" i="1"/>
  <c r="F1063" i="1"/>
  <c r="B1064" i="1"/>
  <c r="A1064" i="1"/>
  <c r="F1064" i="1"/>
  <c r="B1065" i="1"/>
  <c r="A1065" i="1"/>
  <c r="F1065" i="1"/>
  <c r="B1066" i="1"/>
  <c r="A1066" i="1"/>
  <c r="F1066" i="1"/>
  <c r="B1067" i="1"/>
  <c r="A1067" i="1"/>
  <c r="F1067" i="1"/>
  <c r="B1068" i="1"/>
  <c r="A1068" i="1"/>
  <c r="F1068" i="1"/>
  <c r="B1069" i="1"/>
  <c r="A1069" i="1"/>
  <c r="F1069" i="1"/>
  <c r="B1070" i="1"/>
  <c r="A1070" i="1"/>
  <c r="F1070" i="1"/>
  <c r="B1071" i="1"/>
  <c r="A1071" i="1"/>
  <c r="F1071" i="1"/>
  <c r="B1072" i="1"/>
  <c r="A1072" i="1"/>
  <c r="F1072" i="1"/>
  <c r="B1073" i="1"/>
  <c r="A1073" i="1"/>
  <c r="F1073" i="1"/>
  <c r="B1074" i="1"/>
  <c r="A1074" i="1"/>
  <c r="F1074" i="1"/>
  <c r="B1075" i="1"/>
  <c r="A1075" i="1"/>
  <c r="F1075" i="1"/>
  <c r="B1076" i="1"/>
  <c r="A1076" i="1"/>
  <c r="F1076" i="1"/>
  <c r="B1077" i="1"/>
  <c r="A1077" i="1"/>
  <c r="F1077" i="1"/>
  <c r="B1078" i="1"/>
  <c r="A1078" i="1"/>
  <c r="F1078" i="1"/>
  <c r="B1079" i="1"/>
  <c r="A1079" i="1"/>
  <c r="F1079" i="1"/>
  <c r="B1080" i="1"/>
  <c r="A1080" i="1"/>
  <c r="F1080" i="1"/>
  <c r="B1081" i="1"/>
  <c r="A1081" i="1"/>
  <c r="F1081" i="1"/>
  <c r="B1082" i="1"/>
  <c r="A1082" i="1"/>
  <c r="F1082" i="1"/>
  <c r="B1083" i="1"/>
  <c r="A1083" i="1"/>
  <c r="F1083" i="1"/>
  <c r="B1084" i="1"/>
  <c r="A1084" i="1"/>
  <c r="F1084" i="1"/>
  <c r="B1085" i="1"/>
  <c r="A1085" i="1"/>
  <c r="F1085" i="1"/>
  <c r="B1086" i="1"/>
  <c r="A1086" i="1"/>
  <c r="F1086" i="1"/>
  <c r="B1087" i="1"/>
  <c r="A1087" i="1"/>
  <c r="F1087" i="1"/>
  <c r="B1088" i="1"/>
  <c r="A1088" i="1"/>
  <c r="F1088" i="1"/>
  <c r="B1089" i="1"/>
  <c r="A1089" i="1"/>
  <c r="F1089" i="1"/>
  <c r="B1090" i="1"/>
  <c r="A1090" i="1"/>
  <c r="F1090" i="1"/>
  <c r="B1091" i="1"/>
  <c r="A1091" i="1"/>
  <c r="F1091" i="1"/>
  <c r="B1092" i="1"/>
  <c r="A1092" i="1"/>
  <c r="F1092" i="1"/>
  <c r="B1093" i="1"/>
  <c r="A1093" i="1"/>
  <c r="F1093" i="1"/>
  <c r="B1094" i="1"/>
  <c r="A1094" i="1"/>
  <c r="F1094" i="1"/>
  <c r="B1095" i="1"/>
  <c r="A1095" i="1"/>
  <c r="F1095" i="1"/>
  <c r="B1096" i="1"/>
  <c r="A1096" i="1"/>
  <c r="F1096" i="1"/>
  <c r="B1097" i="1"/>
  <c r="A1097" i="1"/>
  <c r="F1097" i="1"/>
  <c r="B1098" i="1"/>
  <c r="A1098" i="1"/>
  <c r="F1098" i="1"/>
  <c r="B1099" i="1"/>
  <c r="A1099" i="1"/>
  <c r="F1099" i="1"/>
  <c r="B1100" i="1"/>
  <c r="A1100" i="1"/>
  <c r="F1100" i="1"/>
  <c r="B1101" i="1"/>
  <c r="A1101" i="1"/>
  <c r="F1101" i="1"/>
  <c r="B1102" i="1"/>
  <c r="A1102" i="1"/>
  <c r="F1102" i="1"/>
  <c r="B1103" i="1"/>
  <c r="A1103" i="1"/>
  <c r="F1103" i="1"/>
  <c r="B1104" i="1"/>
  <c r="A1104" i="1"/>
  <c r="F1104" i="1"/>
  <c r="B1105" i="1"/>
  <c r="A1105" i="1"/>
  <c r="F1105" i="1"/>
  <c r="B1106" i="1"/>
  <c r="A1106" i="1"/>
  <c r="F1106" i="1"/>
  <c r="B1107" i="1"/>
  <c r="A1107" i="1"/>
  <c r="F1107" i="1"/>
  <c r="B1108" i="1"/>
  <c r="A1108" i="1"/>
  <c r="F1108" i="1"/>
  <c r="B1109" i="1"/>
  <c r="A1109" i="1"/>
  <c r="F1109" i="1"/>
  <c r="B1110" i="1"/>
  <c r="A1110" i="1"/>
  <c r="F1110" i="1"/>
  <c r="B1111" i="1"/>
  <c r="A1111" i="1"/>
  <c r="F1111" i="1"/>
  <c r="B1112" i="1"/>
  <c r="A1112" i="1"/>
  <c r="F1112" i="1"/>
  <c r="B1113" i="1"/>
  <c r="A1113" i="1"/>
  <c r="F1113" i="1"/>
  <c r="B1114" i="1"/>
  <c r="A1114" i="1"/>
  <c r="F1114" i="1"/>
  <c r="B1115" i="1"/>
  <c r="A1115" i="1"/>
  <c r="F1115" i="1"/>
  <c r="B1116" i="1"/>
  <c r="A1116" i="1"/>
  <c r="F1116" i="1"/>
  <c r="B1117" i="1"/>
  <c r="A1117" i="1"/>
  <c r="F1117" i="1"/>
  <c r="B1118" i="1"/>
  <c r="A1118" i="1"/>
  <c r="F1118" i="1"/>
  <c r="B1119" i="1"/>
  <c r="A1119" i="1"/>
  <c r="F1119" i="1"/>
  <c r="B1120" i="1"/>
  <c r="A1120" i="1"/>
  <c r="F1120" i="1"/>
  <c r="B1121" i="1"/>
  <c r="A1121" i="1"/>
  <c r="F1121" i="1"/>
  <c r="B1122" i="1"/>
  <c r="A1122" i="1"/>
  <c r="F1122" i="1"/>
  <c r="B1123" i="1"/>
  <c r="A1123" i="1"/>
  <c r="F1123" i="1"/>
  <c r="B1124" i="1"/>
  <c r="A1124" i="1"/>
  <c r="F1124" i="1"/>
  <c r="B1125" i="1"/>
  <c r="A1125" i="1"/>
  <c r="F1125" i="1"/>
  <c r="B1126" i="1"/>
  <c r="A1126" i="1"/>
  <c r="F1126" i="1"/>
  <c r="B1127" i="1"/>
  <c r="A1127" i="1"/>
  <c r="F1127" i="1"/>
  <c r="B1128" i="1"/>
  <c r="A1128" i="1"/>
  <c r="F1128" i="1"/>
  <c r="B1129" i="1"/>
  <c r="A1129" i="1"/>
  <c r="F1129" i="1"/>
  <c r="B1130" i="1"/>
  <c r="A1130" i="1"/>
  <c r="F1130" i="1"/>
  <c r="B1131" i="1"/>
  <c r="A1131" i="1"/>
  <c r="F1131" i="1"/>
  <c r="B1132" i="1"/>
  <c r="A1132" i="1"/>
  <c r="F1132" i="1"/>
  <c r="B1133" i="1"/>
  <c r="A1133" i="1"/>
  <c r="F1133" i="1"/>
  <c r="B1134" i="1"/>
  <c r="A1134" i="1"/>
  <c r="F1134" i="1"/>
  <c r="B1135" i="1"/>
  <c r="A1135" i="1"/>
  <c r="F1135" i="1"/>
  <c r="B1136" i="1"/>
  <c r="A1136" i="1"/>
  <c r="F1136" i="1"/>
  <c r="B1137" i="1"/>
  <c r="A1137" i="1"/>
  <c r="F1137" i="1"/>
  <c r="B1138" i="1"/>
  <c r="A1138" i="1"/>
  <c r="F1138" i="1"/>
  <c r="B1139" i="1"/>
  <c r="A1139" i="1"/>
  <c r="F1139" i="1"/>
  <c r="B1140" i="1"/>
  <c r="A1140" i="1"/>
  <c r="F1140" i="1"/>
  <c r="B1141" i="1"/>
  <c r="A1141" i="1"/>
  <c r="F1141" i="1"/>
  <c r="B1142" i="1"/>
  <c r="A1142" i="1"/>
  <c r="F1142" i="1"/>
  <c r="B1143" i="1"/>
  <c r="A1143" i="1"/>
  <c r="F1143" i="1"/>
  <c r="B1144" i="1"/>
  <c r="A1144" i="1"/>
  <c r="F1144" i="1"/>
  <c r="B1145" i="1"/>
  <c r="A1145" i="1"/>
  <c r="F1145" i="1"/>
  <c r="B1146" i="1"/>
  <c r="A1146" i="1"/>
  <c r="F1146" i="1"/>
  <c r="B1147" i="1"/>
  <c r="A1147" i="1"/>
  <c r="F1147" i="1"/>
  <c r="B1148" i="1"/>
  <c r="A1148" i="1"/>
  <c r="F1148" i="1"/>
  <c r="B1149" i="1"/>
  <c r="A1149" i="1"/>
  <c r="F1149" i="1"/>
  <c r="B1150" i="1"/>
  <c r="A1150" i="1"/>
  <c r="F1150" i="1"/>
  <c r="B1151" i="1"/>
  <c r="A1151" i="1"/>
  <c r="F1151" i="1"/>
  <c r="B1152" i="1"/>
  <c r="A1152" i="1"/>
  <c r="F1152" i="1"/>
  <c r="B1153" i="1"/>
  <c r="A1153" i="1"/>
  <c r="F1153" i="1"/>
  <c r="B1154" i="1"/>
  <c r="A1154" i="1"/>
  <c r="F1154" i="1"/>
  <c r="B1155" i="1"/>
  <c r="A1155" i="1"/>
  <c r="F1155" i="1"/>
  <c r="B1156" i="1"/>
  <c r="A1156" i="1"/>
  <c r="F1156" i="1"/>
  <c r="B1157" i="1"/>
  <c r="A1157" i="1"/>
  <c r="F1157" i="1"/>
  <c r="B1158" i="1"/>
  <c r="A1158" i="1"/>
  <c r="F1158" i="1"/>
  <c r="B1159" i="1"/>
  <c r="A1159" i="1"/>
  <c r="F1159" i="1"/>
  <c r="B1160" i="1"/>
  <c r="A1160" i="1"/>
  <c r="F1160" i="1"/>
  <c r="B1161" i="1"/>
  <c r="A1161" i="1"/>
  <c r="F1161" i="1"/>
  <c r="B1162" i="1"/>
  <c r="A1162" i="1"/>
  <c r="F1162" i="1"/>
  <c r="B1163" i="1"/>
  <c r="A1163" i="1"/>
  <c r="F1163" i="1"/>
  <c r="B1164" i="1"/>
  <c r="A1164" i="1"/>
  <c r="F1164" i="1"/>
  <c r="B1165" i="1"/>
  <c r="A1165" i="1"/>
  <c r="F1165" i="1"/>
  <c r="B1166" i="1"/>
  <c r="A1166" i="1"/>
  <c r="F1166" i="1"/>
  <c r="B1167" i="1"/>
  <c r="A1167" i="1"/>
  <c r="F1167" i="1"/>
  <c r="B1168" i="1"/>
  <c r="A1168" i="1"/>
  <c r="F1168" i="1"/>
  <c r="B1169" i="1"/>
  <c r="A1169" i="1"/>
  <c r="F1169" i="1"/>
  <c r="B1170" i="1"/>
  <c r="A1170" i="1"/>
  <c r="F1170" i="1"/>
  <c r="B1171" i="1"/>
  <c r="A1171" i="1"/>
  <c r="F1171" i="1"/>
  <c r="B1172" i="1"/>
  <c r="A1172" i="1"/>
  <c r="F1172" i="1"/>
  <c r="B1173" i="1"/>
  <c r="A1173" i="1"/>
  <c r="F1173" i="1"/>
  <c r="B1174" i="1"/>
  <c r="A1174" i="1"/>
  <c r="F1174" i="1"/>
  <c r="B1175" i="1"/>
  <c r="A1175" i="1"/>
  <c r="F1175" i="1"/>
  <c r="B1176" i="1"/>
  <c r="A1176" i="1"/>
  <c r="F1176" i="1"/>
  <c r="B1177" i="1"/>
  <c r="A1177" i="1"/>
  <c r="F1177" i="1"/>
  <c r="B1178" i="1"/>
  <c r="A1178" i="1"/>
  <c r="F1178" i="1"/>
  <c r="B1179" i="1"/>
  <c r="A1179" i="1"/>
  <c r="F1179" i="1"/>
  <c r="B1180" i="1"/>
  <c r="A1180" i="1"/>
  <c r="F1180" i="1"/>
  <c r="B1181" i="1"/>
  <c r="A1181" i="1"/>
  <c r="F1181" i="1"/>
  <c r="B1182" i="1"/>
  <c r="A1182" i="1"/>
  <c r="F1182" i="1"/>
  <c r="B1183" i="1"/>
  <c r="A1183" i="1"/>
  <c r="F1183" i="1"/>
  <c r="B1184" i="1"/>
  <c r="A1184" i="1"/>
  <c r="F1184" i="1"/>
  <c r="B1185" i="1"/>
  <c r="A1185" i="1"/>
  <c r="F1185" i="1"/>
  <c r="B1186" i="1"/>
  <c r="A1186" i="1"/>
  <c r="F1186" i="1"/>
  <c r="B1187" i="1"/>
  <c r="A1187" i="1"/>
  <c r="F1187" i="1"/>
  <c r="B1188" i="1"/>
  <c r="A1188" i="1"/>
  <c r="F1188" i="1"/>
  <c r="B1189" i="1"/>
  <c r="A1189" i="1"/>
  <c r="F1189" i="1"/>
  <c r="B1190" i="1"/>
  <c r="A1190" i="1"/>
  <c r="F1190" i="1"/>
  <c r="B1191" i="1"/>
  <c r="A1191" i="1"/>
  <c r="F1191" i="1"/>
  <c r="B1192" i="1"/>
  <c r="A1192" i="1"/>
  <c r="F1192" i="1"/>
  <c r="B1193" i="1"/>
  <c r="A1193" i="1"/>
  <c r="F1193" i="1"/>
  <c r="B1194" i="1"/>
  <c r="A1194" i="1"/>
  <c r="F1194" i="1"/>
  <c r="B1195" i="1"/>
  <c r="A1195" i="1"/>
  <c r="F1195" i="1"/>
  <c r="B1196" i="1"/>
  <c r="A1196" i="1"/>
  <c r="F1196" i="1"/>
  <c r="B1197" i="1"/>
  <c r="A1197" i="1"/>
  <c r="F1197" i="1"/>
  <c r="B1198" i="1"/>
  <c r="A1198" i="1"/>
  <c r="F1198" i="1"/>
  <c r="B1199" i="1"/>
  <c r="A1199" i="1"/>
  <c r="F1199" i="1"/>
  <c r="B1200" i="1"/>
  <c r="A1200" i="1"/>
  <c r="F1200" i="1"/>
  <c r="B1201" i="1"/>
  <c r="A1201" i="1"/>
  <c r="F1201" i="1"/>
  <c r="B1202" i="1"/>
  <c r="A1202" i="1"/>
  <c r="F1202" i="1"/>
  <c r="B1203" i="1"/>
  <c r="A1203" i="1"/>
  <c r="F1203" i="1"/>
  <c r="B1204" i="1"/>
  <c r="A1204" i="1"/>
  <c r="F1204" i="1"/>
  <c r="B1205" i="1"/>
  <c r="A1205" i="1"/>
  <c r="F1205" i="1"/>
  <c r="B1206" i="1"/>
  <c r="A1206" i="1"/>
  <c r="F1206" i="1"/>
  <c r="B1207" i="1"/>
  <c r="A1207" i="1"/>
  <c r="F1207" i="1"/>
  <c r="B1208" i="1"/>
  <c r="A1208" i="1"/>
  <c r="F1208" i="1"/>
  <c r="B1209" i="1"/>
  <c r="A1209" i="1"/>
  <c r="F1209" i="1"/>
  <c r="B1210" i="1"/>
  <c r="A1210" i="1"/>
  <c r="F1210" i="1"/>
  <c r="B1211" i="1"/>
  <c r="A1211" i="1"/>
  <c r="F1211" i="1"/>
  <c r="B1212" i="1"/>
  <c r="A1212" i="1"/>
  <c r="F1212" i="1"/>
  <c r="B1213" i="1"/>
  <c r="A1213" i="1"/>
  <c r="F1213" i="1"/>
  <c r="B1214" i="1"/>
  <c r="A1214" i="1"/>
  <c r="F1214" i="1"/>
  <c r="B1215" i="1"/>
  <c r="A1215" i="1"/>
  <c r="F1215" i="1"/>
  <c r="B1216" i="1"/>
  <c r="A1216" i="1"/>
  <c r="F1216" i="1"/>
  <c r="B1217" i="1"/>
  <c r="A1217" i="1"/>
  <c r="F1217" i="1"/>
  <c r="B1218" i="1"/>
  <c r="A1218" i="1"/>
  <c r="F1218" i="1"/>
  <c r="B1219" i="1"/>
  <c r="A1219" i="1"/>
  <c r="F1219" i="1"/>
  <c r="B1220" i="1"/>
  <c r="A1220" i="1"/>
  <c r="F1220" i="1"/>
  <c r="B1221" i="1"/>
  <c r="A1221" i="1"/>
  <c r="F1221" i="1"/>
  <c r="B1222" i="1"/>
  <c r="A1222" i="1"/>
  <c r="F1222" i="1"/>
  <c r="B1223" i="1"/>
  <c r="A1223" i="1"/>
  <c r="F1223" i="1"/>
  <c r="B1224" i="1"/>
  <c r="A1224" i="1"/>
  <c r="F1224" i="1"/>
  <c r="B1225" i="1"/>
  <c r="A1225" i="1"/>
  <c r="F1225" i="1"/>
  <c r="B1226" i="1"/>
  <c r="A1226" i="1"/>
  <c r="F1226" i="1"/>
  <c r="B1227" i="1"/>
  <c r="A1227" i="1"/>
  <c r="F1227" i="1"/>
  <c r="B1228" i="1"/>
  <c r="A1228" i="1"/>
  <c r="F1228" i="1"/>
  <c r="B1229" i="1"/>
  <c r="A1229" i="1"/>
  <c r="F1229" i="1"/>
  <c r="B1230" i="1"/>
  <c r="A1230" i="1"/>
  <c r="F1230" i="1"/>
  <c r="B1231" i="1"/>
  <c r="A1231" i="1"/>
  <c r="F1231" i="1"/>
  <c r="B1232" i="1"/>
  <c r="A1232" i="1"/>
  <c r="F1232" i="1"/>
  <c r="B1233" i="1"/>
  <c r="A1233" i="1"/>
  <c r="F1233" i="1"/>
  <c r="B1234" i="1"/>
  <c r="A1234" i="1"/>
  <c r="F1234" i="1"/>
  <c r="B1235" i="1"/>
  <c r="A1235" i="1"/>
  <c r="F1235" i="1"/>
  <c r="B1236" i="1"/>
  <c r="A1236" i="1"/>
  <c r="F1236" i="1"/>
  <c r="B1237" i="1"/>
  <c r="A1237" i="1"/>
  <c r="F1237" i="1"/>
  <c r="B1238" i="1"/>
  <c r="A1238" i="1"/>
  <c r="F1238" i="1"/>
  <c r="B1239" i="1"/>
  <c r="A1239" i="1"/>
  <c r="F1239" i="1"/>
  <c r="B1240" i="1"/>
  <c r="A1240" i="1"/>
  <c r="F1240" i="1"/>
  <c r="B1241" i="1"/>
  <c r="A1241" i="1"/>
  <c r="F1241" i="1"/>
  <c r="B1242" i="1"/>
  <c r="A1242" i="1"/>
  <c r="F1242" i="1"/>
  <c r="B1243" i="1"/>
  <c r="A1243" i="1"/>
  <c r="F1243" i="1"/>
  <c r="B1244" i="1"/>
  <c r="A1244" i="1"/>
  <c r="F1244" i="1"/>
  <c r="B1245" i="1"/>
  <c r="A1245" i="1"/>
  <c r="F1245" i="1"/>
  <c r="B1246" i="1"/>
  <c r="A1246" i="1"/>
  <c r="F1246" i="1"/>
  <c r="B1247" i="1"/>
  <c r="A1247" i="1"/>
  <c r="F1247" i="1"/>
  <c r="B1248" i="1"/>
  <c r="A1248" i="1"/>
  <c r="F1248" i="1"/>
  <c r="B1249" i="1"/>
  <c r="A1249" i="1"/>
  <c r="F1249" i="1"/>
  <c r="B1250" i="1"/>
  <c r="A1250" i="1"/>
  <c r="F1250" i="1"/>
  <c r="B1251" i="1"/>
  <c r="A1251" i="1"/>
  <c r="F1251" i="1"/>
  <c r="B1252" i="1"/>
  <c r="A1252" i="1"/>
  <c r="F1252" i="1"/>
  <c r="B1253" i="1"/>
  <c r="A1253" i="1"/>
  <c r="F1253" i="1"/>
  <c r="B1254" i="1"/>
  <c r="A1254" i="1"/>
  <c r="F1254" i="1"/>
  <c r="B1255" i="1"/>
  <c r="A1255" i="1"/>
  <c r="F1255" i="1"/>
  <c r="B1256" i="1"/>
  <c r="A1256" i="1"/>
  <c r="F1256" i="1"/>
  <c r="B1257" i="1"/>
  <c r="A1257" i="1"/>
  <c r="F1257" i="1"/>
  <c r="B1258" i="1"/>
  <c r="A1258" i="1"/>
  <c r="F1258" i="1"/>
  <c r="B1259" i="1"/>
  <c r="A1259" i="1"/>
  <c r="F1259" i="1"/>
  <c r="B1260" i="1"/>
  <c r="A1260" i="1"/>
  <c r="F1260" i="1"/>
  <c r="B1261" i="1"/>
  <c r="A1261" i="1"/>
  <c r="F1261" i="1"/>
  <c r="B1262" i="1"/>
  <c r="A1262" i="1"/>
  <c r="F1262" i="1"/>
  <c r="B1263" i="1"/>
  <c r="A1263" i="1"/>
  <c r="F1263" i="1"/>
  <c r="B1264" i="1"/>
  <c r="A1264" i="1"/>
  <c r="F1264" i="1"/>
  <c r="B1265" i="1"/>
  <c r="A1265" i="1"/>
  <c r="F1265" i="1"/>
  <c r="B1266" i="1"/>
  <c r="A1266" i="1"/>
  <c r="F1266" i="1"/>
  <c r="B1267" i="1"/>
  <c r="A1267" i="1"/>
  <c r="F1267" i="1"/>
  <c r="B1268" i="1"/>
  <c r="A1268" i="1"/>
  <c r="F1268" i="1"/>
  <c r="B1269" i="1"/>
  <c r="A1269" i="1"/>
  <c r="F1269" i="1"/>
  <c r="B1270" i="1"/>
  <c r="A1270" i="1"/>
  <c r="F1270" i="1"/>
  <c r="B1271" i="1"/>
  <c r="A1271" i="1"/>
  <c r="F1271" i="1"/>
  <c r="B1272" i="1"/>
  <c r="A1272" i="1"/>
  <c r="F1272" i="1"/>
  <c r="B1273" i="1"/>
  <c r="A1273" i="1"/>
  <c r="F1273" i="1"/>
  <c r="B1274" i="1"/>
  <c r="A1274" i="1"/>
  <c r="F1274" i="1"/>
  <c r="B1275" i="1"/>
  <c r="A1275" i="1"/>
  <c r="F1275" i="1"/>
  <c r="B1276" i="1"/>
  <c r="A1276" i="1"/>
  <c r="F1276" i="1"/>
  <c r="B1277" i="1"/>
  <c r="A1277" i="1"/>
  <c r="F1277" i="1"/>
  <c r="B1278" i="1"/>
  <c r="A1278" i="1"/>
  <c r="F1278" i="1"/>
  <c r="B1279" i="1"/>
  <c r="A1279" i="1"/>
  <c r="F1279" i="1"/>
  <c r="B1280" i="1"/>
  <c r="A1280" i="1"/>
  <c r="F1280" i="1"/>
  <c r="B1281" i="1"/>
  <c r="A1281" i="1"/>
  <c r="F1281" i="1"/>
  <c r="B1282" i="1"/>
  <c r="A1282" i="1"/>
  <c r="F1282" i="1"/>
  <c r="B1283" i="1"/>
  <c r="A1283" i="1"/>
  <c r="F1283" i="1"/>
  <c r="B1284" i="1"/>
  <c r="A1284" i="1"/>
  <c r="F1284" i="1"/>
  <c r="B1285" i="1"/>
  <c r="A1285" i="1"/>
  <c r="F1285" i="1"/>
  <c r="B1286" i="1"/>
  <c r="A1286" i="1"/>
  <c r="F1286" i="1"/>
  <c r="B1287" i="1"/>
  <c r="A1287" i="1"/>
  <c r="F1287" i="1"/>
  <c r="B1288" i="1"/>
  <c r="A1288" i="1"/>
  <c r="F1288" i="1"/>
  <c r="B1289" i="1"/>
  <c r="A1289" i="1"/>
  <c r="F1289" i="1"/>
  <c r="B1290" i="1"/>
  <c r="A1290" i="1"/>
  <c r="F1290" i="1"/>
  <c r="B1291" i="1"/>
  <c r="A1291" i="1"/>
  <c r="F1291" i="1"/>
  <c r="B1292" i="1"/>
  <c r="A1292" i="1"/>
  <c r="F1292" i="1"/>
  <c r="B1293" i="1"/>
  <c r="A1293" i="1"/>
  <c r="F1293" i="1"/>
  <c r="B1294" i="1"/>
  <c r="A1294" i="1"/>
  <c r="F1294" i="1"/>
  <c r="B1295" i="1"/>
  <c r="A1295" i="1"/>
  <c r="F1295" i="1"/>
  <c r="B1296" i="1"/>
  <c r="A1296" i="1"/>
  <c r="F1296" i="1"/>
  <c r="B1297" i="1"/>
  <c r="A1297" i="1"/>
  <c r="F1297" i="1"/>
  <c r="B1298" i="1"/>
  <c r="A1298" i="1"/>
  <c r="F1298" i="1"/>
  <c r="B1299" i="1"/>
  <c r="A1299" i="1"/>
  <c r="F1299" i="1"/>
  <c r="B1300" i="1"/>
  <c r="A1300" i="1"/>
  <c r="F1300" i="1"/>
  <c r="B1301" i="1"/>
  <c r="A1301" i="1"/>
  <c r="F1301" i="1"/>
  <c r="B1302" i="1"/>
  <c r="A1302" i="1"/>
  <c r="F1302" i="1"/>
  <c r="B1303" i="1"/>
  <c r="A1303" i="1"/>
  <c r="F1303" i="1"/>
  <c r="B1304" i="1"/>
  <c r="A1304" i="1"/>
  <c r="F1304" i="1"/>
  <c r="B1305" i="1"/>
  <c r="A1305" i="1"/>
  <c r="F1305" i="1"/>
  <c r="B1306" i="1"/>
  <c r="A1306" i="1"/>
  <c r="F1306" i="1"/>
  <c r="B1307" i="1"/>
  <c r="A1307" i="1"/>
  <c r="F1307" i="1"/>
  <c r="B1308" i="1"/>
  <c r="A1308" i="1"/>
  <c r="F1308" i="1"/>
  <c r="B1309" i="1"/>
  <c r="A1309" i="1"/>
  <c r="F1309" i="1"/>
  <c r="B1310" i="1"/>
  <c r="A1310" i="1"/>
  <c r="F1310" i="1"/>
  <c r="B1311" i="1"/>
  <c r="A1311" i="1"/>
  <c r="F1311" i="1"/>
  <c r="B1312" i="1"/>
  <c r="A1312" i="1"/>
  <c r="F1312" i="1"/>
  <c r="B1313" i="1"/>
  <c r="A1313" i="1"/>
  <c r="F1313" i="1"/>
  <c r="B1314" i="1"/>
  <c r="A1314" i="1"/>
  <c r="F1314" i="1"/>
  <c r="B1315" i="1"/>
  <c r="A1315" i="1"/>
  <c r="F1315" i="1"/>
  <c r="B1316" i="1"/>
  <c r="A1316" i="1"/>
  <c r="F1316" i="1"/>
  <c r="B1317" i="1"/>
  <c r="A1317" i="1"/>
  <c r="F1317" i="1"/>
  <c r="B1318" i="1"/>
  <c r="A1318" i="1"/>
  <c r="F1318" i="1"/>
  <c r="B1319" i="1"/>
  <c r="A1319" i="1"/>
  <c r="F1319" i="1"/>
  <c r="B1320" i="1"/>
  <c r="A1320" i="1"/>
  <c r="F1320" i="1"/>
  <c r="B1321" i="1"/>
  <c r="A1321" i="1"/>
  <c r="F1321" i="1"/>
  <c r="B1322" i="1"/>
  <c r="A1322" i="1"/>
  <c r="F1322" i="1"/>
  <c r="B1323" i="1"/>
  <c r="A1323" i="1"/>
  <c r="F1323" i="1"/>
  <c r="B1324" i="1"/>
  <c r="A1324" i="1"/>
  <c r="F1324" i="1"/>
  <c r="B1325" i="1"/>
  <c r="A1325" i="1"/>
  <c r="F1325" i="1"/>
  <c r="B1326" i="1"/>
  <c r="A1326" i="1"/>
  <c r="F1326" i="1"/>
  <c r="B1327" i="1"/>
  <c r="A1327" i="1"/>
  <c r="F1327" i="1"/>
  <c r="B1328" i="1"/>
  <c r="A1328" i="1"/>
  <c r="F1328" i="1"/>
  <c r="B1329" i="1"/>
  <c r="A1329" i="1"/>
  <c r="F1329" i="1"/>
  <c r="B1330" i="1"/>
  <c r="A1330" i="1"/>
  <c r="F1330" i="1"/>
  <c r="B1331" i="1"/>
  <c r="A1331" i="1"/>
  <c r="F1331" i="1"/>
  <c r="B1332" i="1"/>
  <c r="A1332" i="1"/>
  <c r="F1332" i="1"/>
  <c r="B1333" i="1"/>
  <c r="A1333" i="1"/>
  <c r="F1333" i="1"/>
  <c r="B1334" i="1"/>
  <c r="A1334" i="1"/>
  <c r="F1334" i="1"/>
  <c r="B1335" i="1"/>
  <c r="A1335" i="1"/>
  <c r="F1335" i="1"/>
  <c r="B1336" i="1"/>
  <c r="A1336" i="1"/>
  <c r="F1336" i="1"/>
  <c r="B1337" i="1"/>
  <c r="A1337" i="1"/>
  <c r="F1337" i="1"/>
  <c r="B1338" i="1"/>
  <c r="A1338" i="1"/>
  <c r="F1338" i="1"/>
  <c r="B1339" i="1"/>
  <c r="A1339" i="1"/>
  <c r="F1339" i="1"/>
  <c r="B1340" i="1"/>
  <c r="A1340" i="1"/>
  <c r="F1340" i="1"/>
  <c r="B1341" i="1"/>
  <c r="A1341" i="1"/>
  <c r="F1341" i="1"/>
  <c r="B1342" i="1"/>
  <c r="A1342" i="1"/>
  <c r="F1342" i="1"/>
  <c r="B1343" i="1"/>
  <c r="A1343" i="1"/>
  <c r="F1343" i="1"/>
  <c r="B1344" i="1"/>
  <c r="A1344" i="1"/>
  <c r="F1344" i="1"/>
  <c r="B1345" i="1"/>
  <c r="A1345" i="1"/>
  <c r="F1345" i="1"/>
  <c r="B1346" i="1"/>
  <c r="A1346" i="1"/>
  <c r="F1346" i="1"/>
  <c r="B1347" i="1"/>
  <c r="A1347" i="1"/>
  <c r="F1347" i="1"/>
  <c r="B1348" i="1"/>
  <c r="A1348" i="1"/>
  <c r="F1348" i="1"/>
  <c r="B1349" i="1"/>
  <c r="A1349" i="1"/>
  <c r="F1349" i="1"/>
  <c r="B1350" i="1"/>
  <c r="A1350" i="1"/>
  <c r="F1350" i="1"/>
  <c r="B1351" i="1"/>
  <c r="A1351" i="1"/>
  <c r="F1351" i="1"/>
  <c r="B1352" i="1"/>
  <c r="A1352" i="1"/>
  <c r="F1352" i="1"/>
  <c r="B1353" i="1"/>
  <c r="A1353" i="1"/>
  <c r="F1353" i="1"/>
  <c r="B1354" i="1"/>
  <c r="A1354" i="1"/>
  <c r="F1354" i="1"/>
  <c r="B1355" i="1"/>
  <c r="A1355" i="1"/>
  <c r="F1355" i="1"/>
  <c r="B1356" i="1"/>
  <c r="A1356" i="1"/>
  <c r="F1356" i="1"/>
  <c r="B1357" i="1"/>
  <c r="A1357" i="1"/>
  <c r="F1357" i="1"/>
  <c r="B1358" i="1"/>
  <c r="A1358" i="1"/>
  <c r="F1358" i="1"/>
  <c r="B1359" i="1"/>
  <c r="A1359" i="1"/>
  <c r="F1359" i="1"/>
  <c r="B1360" i="1"/>
  <c r="A1360" i="1"/>
  <c r="F1360" i="1"/>
  <c r="B1361" i="1"/>
  <c r="A1361" i="1"/>
  <c r="F1361" i="1"/>
  <c r="B1362" i="1"/>
  <c r="A1362" i="1"/>
  <c r="F1362" i="1"/>
  <c r="B1363" i="1"/>
  <c r="A1363" i="1"/>
  <c r="F1363" i="1"/>
  <c r="B1364" i="1"/>
  <c r="A1364" i="1"/>
  <c r="F1364" i="1"/>
  <c r="B1365" i="1"/>
  <c r="A1365" i="1"/>
  <c r="F1365" i="1"/>
  <c r="B1366" i="1"/>
  <c r="A1366" i="1"/>
  <c r="F1366" i="1"/>
  <c r="B1367" i="1"/>
  <c r="A1367" i="1"/>
  <c r="F1367" i="1"/>
  <c r="B1368" i="1"/>
  <c r="A1368" i="1"/>
  <c r="F1368" i="1"/>
  <c r="B1369" i="1"/>
  <c r="A1369" i="1"/>
  <c r="F1369" i="1"/>
  <c r="B1370" i="1"/>
  <c r="A1370" i="1"/>
  <c r="F1370" i="1"/>
  <c r="B1371" i="1"/>
  <c r="A1371" i="1"/>
  <c r="F1371" i="1"/>
  <c r="B1372" i="1"/>
  <c r="A1372" i="1"/>
  <c r="F1372" i="1"/>
  <c r="B1373" i="1"/>
  <c r="A1373" i="1"/>
  <c r="F1373" i="1"/>
  <c r="B1374" i="1"/>
  <c r="A1374" i="1"/>
  <c r="F1374" i="1"/>
  <c r="B1375" i="1"/>
  <c r="A1375" i="1"/>
  <c r="F1375" i="1"/>
  <c r="B1376" i="1"/>
  <c r="A1376" i="1"/>
  <c r="F1376" i="1"/>
  <c r="B1377" i="1"/>
  <c r="A1377" i="1"/>
  <c r="F1377" i="1"/>
  <c r="B1378" i="1"/>
  <c r="A1378" i="1"/>
  <c r="F1378" i="1"/>
  <c r="B1379" i="1"/>
  <c r="A1379" i="1"/>
  <c r="F1379" i="1"/>
  <c r="B1380" i="1"/>
  <c r="A1380" i="1"/>
  <c r="F1380" i="1"/>
  <c r="B1381" i="1"/>
  <c r="A1381" i="1"/>
  <c r="F1381" i="1"/>
  <c r="B1382" i="1"/>
  <c r="A1382" i="1"/>
  <c r="F1382" i="1"/>
  <c r="B1383" i="1"/>
  <c r="A1383" i="1"/>
  <c r="F1383" i="1"/>
  <c r="B1384" i="1"/>
  <c r="A1384" i="1"/>
  <c r="F1384" i="1"/>
  <c r="B1385" i="1"/>
  <c r="A1385" i="1"/>
  <c r="F1385" i="1"/>
  <c r="B1386" i="1"/>
  <c r="A1386" i="1"/>
  <c r="F1386" i="1"/>
  <c r="B1387" i="1"/>
  <c r="A1387" i="1"/>
  <c r="F1387" i="1"/>
  <c r="B1388" i="1"/>
  <c r="A1388" i="1"/>
  <c r="F1388" i="1"/>
  <c r="B1389" i="1"/>
  <c r="A1389" i="1"/>
  <c r="F1389" i="1"/>
  <c r="B1390" i="1"/>
  <c r="A1390" i="1"/>
  <c r="F1390" i="1"/>
  <c r="B1391" i="1"/>
  <c r="A1391" i="1"/>
  <c r="F1391" i="1"/>
  <c r="B1392" i="1"/>
  <c r="A1392" i="1"/>
  <c r="F1392" i="1"/>
  <c r="B1393" i="1"/>
  <c r="A1393" i="1"/>
  <c r="F1393" i="1"/>
  <c r="B1394" i="1"/>
  <c r="A1394" i="1"/>
  <c r="F1394" i="1"/>
  <c r="B1395" i="1"/>
  <c r="A1395" i="1"/>
  <c r="F1395" i="1"/>
  <c r="B1396" i="1"/>
  <c r="A1396" i="1"/>
  <c r="F1396" i="1"/>
  <c r="B1397" i="1"/>
  <c r="A1397" i="1"/>
  <c r="F1397" i="1"/>
  <c r="B1398" i="1"/>
  <c r="A1398" i="1"/>
  <c r="F1398" i="1"/>
  <c r="B1399" i="1"/>
  <c r="A1399" i="1"/>
  <c r="F1399" i="1"/>
  <c r="B1400" i="1"/>
  <c r="A1400" i="1"/>
  <c r="F1400" i="1"/>
  <c r="B1401" i="1"/>
  <c r="A1401" i="1"/>
  <c r="F1401" i="1"/>
  <c r="B1402" i="1"/>
  <c r="A1402" i="1"/>
  <c r="F1402" i="1"/>
  <c r="B1403" i="1"/>
  <c r="A1403" i="1"/>
  <c r="F1403" i="1"/>
  <c r="B1404" i="1"/>
  <c r="A1404" i="1"/>
  <c r="F1404" i="1"/>
  <c r="B1405" i="1"/>
  <c r="A1405" i="1"/>
  <c r="F1405" i="1"/>
  <c r="B1406" i="1"/>
  <c r="A1406" i="1"/>
  <c r="F1406" i="1"/>
  <c r="B1407" i="1"/>
  <c r="A1407" i="1"/>
  <c r="F1407" i="1"/>
  <c r="B1408" i="1"/>
  <c r="A1408" i="1"/>
  <c r="F1408" i="1"/>
  <c r="B1409" i="1"/>
  <c r="A1409" i="1"/>
  <c r="F1409" i="1"/>
  <c r="B1410" i="1"/>
  <c r="A1410" i="1"/>
  <c r="F1410" i="1"/>
  <c r="B1411" i="1"/>
  <c r="A1411" i="1"/>
  <c r="F1411" i="1"/>
  <c r="B1412" i="1"/>
  <c r="A1412" i="1"/>
  <c r="F1412" i="1"/>
  <c r="B1413" i="1"/>
  <c r="A1413" i="1"/>
  <c r="F1413" i="1"/>
  <c r="B1414" i="1"/>
  <c r="A1414" i="1"/>
  <c r="F1414" i="1"/>
  <c r="B1415" i="1"/>
  <c r="A1415" i="1"/>
  <c r="F1415" i="1"/>
  <c r="B1416" i="1"/>
  <c r="A1416" i="1"/>
  <c r="F1416" i="1"/>
  <c r="B1417" i="1"/>
  <c r="A1417" i="1"/>
  <c r="F1417" i="1"/>
  <c r="B1418" i="1"/>
  <c r="A1418" i="1"/>
  <c r="F1418" i="1"/>
  <c r="B1419" i="1"/>
  <c r="A1419" i="1"/>
  <c r="F1419" i="1"/>
  <c r="B1420" i="1"/>
  <c r="A1420" i="1"/>
  <c r="F1420" i="1"/>
  <c r="B1421" i="1"/>
  <c r="A1421" i="1"/>
  <c r="F1421" i="1"/>
  <c r="B1422" i="1"/>
  <c r="A1422" i="1"/>
  <c r="F1422" i="1"/>
  <c r="B1423" i="1"/>
  <c r="A1423" i="1"/>
  <c r="F1423" i="1"/>
  <c r="B1424" i="1"/>
  <c r="A1424" i="1"/>
  <c r="F1424" i="1"/>
  <c r="B1425" i="1"/>
  <c r="A1425" i="1"/>
  <c r="F1425" i="1"/>
  <c r="B1426" i="1"/>
  <c r="A1426" i="1"/>
  <c r="F1426" i="1"/>
  <c r="B1427" i="1"/>
  <c r="A1427" i="1"/>
  <c r="F1427" i="1"/>
  <c r="B1428" i="1"/>
  <c r="A1428" i="1"/>
  <c r="F1428" i="1"/>
  <c r="B1429" i="1"/>
  <c r="A1429" i="1"/>
  <c r="F1429" i="1"/>
  <c r="B1430" i="1"/>
  <c r="A1430" i="1"/>
  <c r="F1430" i="1"/>
  <c r="B1431" i="1"/>
  <c r="A1431" i="1"/>
  <c r="F1431" i="1"/>
  <c r="B1432" i="1"/>
  <c r="A1432" i="1"/>
  <c r="F1432" i="1"/>
  <c r="B1433" i="1"/>
  <c r="A1433" i="1"/>
  <c r="F1433" i="1"/>
  <c r="B1434" i="1"/>
  <c r="A1434" i="1"/>
  <c r="F1434" i="1"/>
  <c r="B1435" i="1"/>
  <c r="A1435" i="1"/>
  <c r="F1435" i="1"/>
  <c r="B1436" i="1"/>
  <c r="A1436" i="1"/>
  <c r="F1436" i="1"/>
  <c r="B1437" i="1"/>
  <c r="A1437" i="1"/>
  <c r="F1437" i="1"/>
  <c r="B1438" i="1"/>
  <c r="A1438" i="1"/>
  <c r="F1438" i="1"/>
  <c r="B1439" i="1"/>
  <c r="A1439" i="1"/>
  <c r="F1439" i="1"/>
  <c r="B1440" i="1"/>
  <c r="A1440" i="1"/>
  <c r="F1440" i="1"/>
  <c r="B1441" i="1"/>
  <c r="A1441" i="1"/>
  <c r="F1441" i="1"/>
  <c r="B1442" i="1"/>
  <c r="A1442" i="1"/>
  <c r="F1442" i="1"/>
  <c r="B1443" i="1"/>
  <c r="A1443" i="1"/>
  <c r="F1443" i="1"/>
  <c r="B1444" i="1"/>
  <c r="A1444" i="1"/>
  <c r="F1444" i="1"/>
  <c r="B1445" i="1"/>
  <c r="A1445" i="1"/>
  <c r="F1445" i="1"/>
  <c r="B1446" i="1"/>
  <c r="A1446" i="1"/>
  <c r="F1446" i="1"/>
  <c r="B1447" i="1"/>
  <c r="A1447" i="1"/>
  <c r="F1447" i="1"/>
  <c r="B1448" i="1"/>
  <c r="A1448" i="1"/>
  <c r="F1448" i="1"/>
  <c r="B1449" i="1"/>
  <c r="A1449" i="1"/>
  <c r="F1449" i="1"/>
  <c r="B1450" i="1"/>
  <c r="A1450" i="1"/>
  <c r="F1450" i="1"/>
  <c r="B1451" i="1"/>
  <c r="A1451" i="1"/>
  <c r="F1451" i="1"/>
  <c r="B1452" i="1"/>
  <c r="A1452" i="1"/>
  <c r="F1452" i="1"/>
  <c r="B1453" i="1"/>
  <c r="A1453" i="1"/>
  <c r="F1453" i="1"/>
  <c r="B1454" i="1"/>
  <c r="A1454" i="1"/>
  <c r="F1454" i="1"/>
  <c r="B1455" i="1"/>
  <c r="A1455" i="1"/>
  <c r="F1455" i="1"/>
  <c r="B1456" i="1"/>
  <c r="A1456" i="1"/>
  <c r="F1456" i="1"/>
  <c r="B1457" i="1"/>
  <c r="A1457" i="1"/>
  <c r="F1457" i="1"/>
  <c r="B1458" i="1"/>
  <c r="A1458" i="1"/>
  <c r="F1458" i="1"/>
  <c r="B1459" i="1"/>
  <c r="A1459" i="1"/>
  <c r="F1459" i="1"/>
  <c r="B1460" i="1"/>
  <c r="A1460" i="1"/>
  <c r="F1460" i="1"/>
  <c r="B1461" i="1"/>
  <c r="A1461" i="1"/>
  <c r="F1461" i="1"/>
  <c r="B1462" i="1"/>
  <c r="A1462" i="1"/>
  <c r="F1462" i="1"/>
  <c r="B1463" i="1"/>
  <c r="A1463" i="1"/>
  <c r="F1463" i="1"/>
  <c r="B1464" i="1"/>
  <c r="A1464" i="1"/>
  <c r="F1464" i="1"/>
  <c r="B1465" i="1"/>
  <c r="A1465" i="1"/>
  <c r="F1465" i="1"/>
  <c r="B1466" i="1"/>
  <c r="A1466" i="1"/>
  <c r="F1466" i="1"/>
  <c r="B1467" i="1"/>
  <c r="A1467" i="1"/>
  <c r="F1467" i="1"/>
  <c r="B1468" i="1"/>
  <c r="A1468" i="1"/>
  <c r="F1468" i="1"/>
  <c r="B1469" i="1"/>
  <c r="A1469" i="1"/>
  <c r="F1469" i="1"/>
  <c r="B1470" i="1"/>
  <c r="A1470" i="1"/>
  <c r="F1470" i="1"/>
  <c r="B1471" i="1"/>
  <c r="A1471" i="1"/>
  <c r="F1471" i="1"/>
  <c r="B1472" i="1"/>
  <c r="A1472" i="1"/>
  <c r="F1472" i="1"/>
  <c r="B1473" i="1"/>
  <c r="A1473" i="1"/>
  <c r="F1473" i="1"/>
  <c r="B1474" i="1"/>
  <c r="A1474" i="1"/>
  <c r="F1474" i="1"/>
  <c r="B1475" i="1"/>
  <c r="A1475" i="1"/>
  <c r="F1475" i="1"/>
  <c r="B1476" i="1"/>
  <c r="A1476" i="1"/>
  <c r="F1476" i="1"/>
  <c r="B1477" i="1"/>
  <c r="A1477" i="1"/>
  <c r="F1477" i="1"/>
  <c r="B1478" i="1"/>
  <c r="A1478" i="1"/>
  <c r="F1478" i="1"/>
  <c r="B1479" i="1"/>
  <c r="A1479" i="1"/>
  <c r="F1479" i="1"/>
  <c r="B1480" i="1"/>
  <c r="A1480" i="1"/>
  <c r="F1480" i="1"/>
  <c r="B1481" i="1"/>
  <c r="A1481" i="1"/>
  <c r="F1481" i="1"/>
  <c r="B1482" i="1"/>
  <c r="A1482" i="1"/>
  <c r="F1482" i="1"/>
  <c r="B1483" i="1"/>
  <c r="A1483" i="1"/>
  <c r="F1483" i="1"/>
  <c r="B1484" i="1"/>
  <c r="A1484" i="1"/>
  <c r="F1484" i="1"/>
  <c r="B1485" i="1"/>
  <c r="A1485" i="1"/>
  <c r="F1485" i="1"/>
  <c r="B1486" i="1"/>
  <c r="A1486" i="1"/>
  <c r="F1486" i="1"/>
  <c r="B1487" i="1"/>
  <c r="A1487" i="1"/>
  <c r="F1487" i="1"/>
  <c r="B1488" i="1"/>
  <c r="A1488" i="1"/>
  <c r="F1488" i="1"/>
  <c r="B1489" i="1"/>
  <c r="A1489" i="1"/>
  <c r="F1489" i="1"/>
  <c r="B1490" i="1"/>
  <c r="A1490" i="1"/>
  <c r="F1490" i="1"/>
  <c r="B1491" i="1"/>
  <c r="A1491" i="1"/>
  <c r="F1491" i="1"/>
  <c r="B1492" i="1"/>
  <c r="A1492" i="1"/>
  <c r="F1492" i="1"/>
  <c r="B1493" i="1"/>
  <c r="A1493" i="1"/>
  <c r="F1493" i="1"/>
  <c r="B1494" i="1"/>
  <c r="A1494" i="1"/>
  <c r="F1494" i="1"/>
  <c r="B1495" i="1"/>
  <c r="A1495" i="1"/>
  <c r="F1495" i="1"/>
  <c r="B1496" i="1"/>
  <c r="A1496" i="1"/>
  <c r="F1496" i="1"/>
  <c r="B1497" i="1"/>
  <c r="A1497" i="1"/>
  <c r="F1497" i="1"/>
  <c r="B1498" i="1"/>
  <c r="A1498" i="1"/>
  <c r="F1498" i="1"/>
  <c r="B1499" i="1"/>
  <c r="A1499" i="1"/>
  <c r="F1499" i="1"/>
  <c r="B1500" i="1"/>
  <c r="A1500" i="1"/>
  <c r="F1500" i="1"/>
  <c r="B1501" i="1"/>
  <c r="A1501" i="1"/>
  <c r="F1501" i="1"/>
  <c r="B1502" i="1"/>
  <c r="A1502" i="1"/>
  <c r="F1502" i="1"/>
  <c r="B1503" i="1"/>
  <c r="A1503" i="1"/>
  <c r="F1503" i="1"/>
  <c r="B1504" i="1"/>
  <c r="A1504" i="1"/>
  <c r="F1504" i="1"/>
  <c r="B1505" i="1"/>
  <c r="A1505" i="1"/>
  <c r="F1505" i="1"/>
  <c r="B1506" i="1"/>
  <c r="A1506" i="1"/>
  <c r="F1506" i="1"/>
  <c r="B1507" i="1"/>
  <c r="A1507" i="1"/>
  <c r="F1507" i="1"/>
  <c r="B1508" i="1"/>
  <c r="A1508" i="1"/>
  <c r="F1508" i="1"/>
  <c r="B1509" i="1"/>
  <c r="A1509" i="1"/>
  <c r="F1509" i="1"/>
  <c r="B1510" i="1"/>
  <c r="A1510" i="1"/>
  <c r="F1510" i="1"/>
  <c r="B1511" i="1"/>
  <c r="A1511" i="1"/>
  <c r="F1511" i="1"/>
  <c r="B1512" i="1"/>
  <c r="A1512" i="1"/>
  <c r="F1512" i="1"/>
  <c r="B1513" i="1"/>
  <c r="A1513" i="1"/>
  <c r="F1513" i="1"/>
  <c r="B1514" i="1"/>
  <c r="A1514" i="1"/>
  <c r="F1514" i="1"/>
  <c r="B1515" i="1"/>
  <c r="A1515" i="1"/>
  <c r="F1515" i="1"/>
  <c r="B1516" i="1"/>
  <c r="A1516" i="1"/>
  <c r="F1516" i="1"/>
  <c r="B1517" i="1"/>
  <c r="A1517" i="1"/>
  <c r="F1517" i="1"/>
  <c r="B1518" i="1"/>
  <c r="A1518" i="1"/>
  <c r="F1518" i="1"/>
  <c r="B1519" i="1"/>
  <c r="A1519" i="1"/>
  <c r="F1519" i="1"/>
  <c r="B1520" i="1"/>
  <c r="A1520" i="1"/>
  <c r="F1520" i="1"/>
  <c r="B1521" i="1"/>
  <c r="A1521" i="1"/>
  <c r="F1521" i="1"/>
  <c r="B1522" i="1"/>
  <c r="A1522" i="1"/>
  <c r="F1522" i="1"/>
  <c r="B1523" i="1"/>
  <c r="A1523" i="1"/>
  <c r="F1523" i="1"/>
  <c r="B1524" i="1"/>
  <c r="A1524" i="1"/>
  <c r="F1524" i="1"/>
  <c r="B1525" i="1"/>
  <c r="A1525" i="1"/>
  <c r="F1525" i="1"/>
  <c r="B1526" i="1"/>
  <c r="A1526" i="1"/>
  <c r="F1526" i="1"/>
  <c r="B1527" i="1"/>
  <c r="A1527" i="1"/>
  <c r="F1527" i="1"/>
  <c r="B1528" i="1"/>
  <c r="A1528" i="1"/>
  <c r="F1528" i="1"/>
  <c r="B1529" i="1"/>
  <c r="A1529" i="1"/>
  <c r="F1529" i="1"/>
  <c r="B1530" i="1"/>
  <c r="A1530" i="1"/>
  <c r="F1530" i="1"/>
  <c r="B1531" i="1"/>
  <c r="A1531" i="1"/>
  <c r="F1531" i="1"/>
  <c r="B1532" i="1"/>
  <c r="A1532" i="1"/>
  <c r="F1532" i="1"/>
  <c r="B1533" i="1"/>
  <c r="A1533" i="1"/>
  <c r="F1533" i="1"/>
  <c r="B1534" i="1"/>
  <c r="A1534" i="1"/>
  <c r="F1534" i="1"/>
  <c r="B1535" i="1"/>
  <c r="A1535" i="1"/>
  <c r="F1535" i="1"/>
  <c r="B1536" i="1"/>
  <c r="A1536" i="1"/>
  <c r="F1536" i="1"/>
  <c r="B1537" i="1"/>
  <c r="A1537" i="1"/>
  <c r="F1537" i="1"/>
  <c r="B1538" i="1"/>
  <c r="A1538" i="1"/>
  <c r="F1538" i="1"/>
  <c r="B1539" i="1"/>
  <c r="A1539" i="1"/>
  <c r="F1539" i="1"/>
  <c r="B1540" i="1"/>
  <c r="A1540" i="1"/>
  <c r="F1540" i="1"/>
  <c r="B1541" i="1"/>
  <c r="A1541" i="1"/>
  <c r="F1541" i="1"/>
  <c r="B1542" i="1"/>
  <c r="A1542" i="1"/>
  <c r="F1542" i="1"/>
  <c r="B1543" i="1"/>
  <c r="A1543" i="1"/>
  <c r="F1543" i="1"/>
  <c r="B1544" i="1"/>
  <c r="A1544" i="1"/>
  <c r="F1544" i="1"/>
  <c r="B1545" i="1"/>
  <c r="A1545" i="1"/>
  <c r="F1545" i="1"/>
  <c r="B1546" i="1"/>
  <c r="A1546" i="1"/>
  <c r="F1546" i="1"/>
  <c r="B1547" i="1"/>
  <c r="A1547" i="1"/>
  <c r="F1547" i="1"/>
  <c r="B1548" i="1"/>
  <c r="A1548" i="1"/>
  <c r="F1548" i="1"/>
  <c r="B1549" i="1"/>
  <c r="A1549" i="1"/>
  <c r="F1549" i="1"/>
  <c r="B1550" i="1"/>
  <c r="A1550" i="1"/>
  <c r="F1550" i="1"/>
  <c r="B1551" i="1"/>
  <c r="A1551" i="1"/>
  <c r="F1551" i="1"/>
  <c r="B1552" i="1"/>
  <c r="A1552" i="1"/>
  <c r="F1552" i="1"/>
  <c r="B1553" i="1"/>
  <c r="A1553" i="1"/>
  <c r="F1553" i="1"/>
  <c r="B1554" i="1"/>
  <c r="A1554" i="1"/>
  <c r="F1554" i="1"/>
  <c r="B1555" i="1"/>
  <c r="A1555" i="1"/>
  <c r="F1555" i="1"/>
  <c r="B1556" i="1"/>
  <c r="A1556" i="1"/>
  <c r="F1556" i="1"/>
  <c r="B1557" i="1"/>
  <c r="A1557" i="1"/>
  <c r="F1557" i="1"/>
  <c r="B1558" i="1"/>
  <c r="A1558" i="1"/>
  <c r="F1558" i="1"/>
  <c r="B1559" i="1"/>
  <c r="A1559" i="1"/>
  <c r="F1559" i="1"/>
  <c r="B1560" i="1"/>
  <c r="A1560" i="1"/>
  <c r="F1560" i="1"/>
  <c r="B1561" i="1"/>
  <c r="A1561" i="1"/>
  <c r="F1561" i="1"/>
  <c r="B1562" i="1"/>
  <c r="A1562" i="1"/>
  <c r="F1562" i="1"/>
  <c r="B1563" i="1"/>
  <c r="A1563" i="1"/>
  <c r="F1563" i="1"/>
  <c r="B1564" i="1"/>
  <c r="A1564" i="1"/>
  <c r="F1564" i="1"/>
  <c r="B1565" i="1"/>
  <c r="A1565" i="1"/>
  <c r="F1565" i="1"/>
  <c r="B1566" i="1"/>
  <c r="A1566" i="1"/>
  <c r="F1566" i="1"/>
  <c r="B1567" i="1"/>
  <c r="A1567" i="1"/>
  <c r="F1567" i="1"/>
  <c r="B1568" i="1"/>
  <c r="A1568" i="1"/>
  <c r="F1568" i="1"/>
  <c r="B1569" i="1"/>
  <c r="A1569" i="1"/>
  <c r="F1569" i="1"/>
  <c r="B1570" i="1"/>
  <c r="A1570" i="1"/>
  <c r="F1570" i="1"/>
  <c r="B1571" i="1"/>
  <c r="A1571" i="1"/>
  <c r="F1571" i="1"/>
  <c r="B1572" i="1"/>
  <c r="A1572" i="1"/>
  <c r="F1572" i="1"/>
  <c r="B1573" i="1"/>
  <c r="A1573" i="1"/>
  <c r="F1573" i="1"/>
  <c r="B1574" i="1"/>
  <c r="A1574" i="1"/>
  <c r="F1574" i="1"/>
  <c r="B1575" i="1"/>
  <c r="A1575" i="1"/>
  <c r="F1575" i="1"/>
  <c r="B1576" i="1"/>
  <c r="A1576" i="1"/>
  <c r="F1576" i="1"/>
  <c r="B1577" i="1"/>
  <c r="A1577" i="1"/>
  <c r="F1577" i="1"/>
  <c r="B1578" i="1"/>
  <c r="A1578" i="1"/>
  <c r="F1578" i="1"/>
  <c r="B1579" i="1"/>
  <c r="A1579" i="1"/>
  <c r="F1579" i="1"/>
  <c r="B1580" i="1"/>
  <c r="A1580" i="1"/>
  <c r="F1580" i="1"/>
  <c r="B1581" i="1"/>
  <c r="A1581" i="1"/>
  <c r="F1581" i="1"/>
  <c r="B1582" i="1"/>
  <c r="A1582" i="1"/>
  <c r="F1582" i="1"/>
  <c r="B1583" i="1"/>
  <c r="A1583" i="1"/>
  <c r="F1583" i="1"/>
  <c r="B1584" i="1"/>
  <c r="A1584" i="1"/>
  <c r="F1584" i="1"/>
  <c r="B1585" i="1"/>
  <c r="A1585" i="1"/>
  <c r="F1585" i="1"/>
  <c r="B1586" i="1"/>
  <c r="A1586" i="1"/>
  <c r="F1586" i="1"/>
  <c r="B1587" i="1"/>
  <c r="A1587" i="1"/>
  <c r="F1587" i="1"/>
  <c r="B1588" i="1"/>
  <c r="A1588" i="1"/>
  <c r="F1588" i="1"/>
  <c r="B1589" i="1"/>
  <c r="A1589" i="1"/>
  <c r="F1589" i="1"/>
  <c r="B1590" i="1"/>
  <c r="A1590" i="1"/>
  <c r="F1590" i="1"/>
  <c r="B1591" i="1"/>
  <c r="A1591" i="1"/>
  <c r="F1591" i="1"/>
  <c r="B1592" i="1"/>
  <c r="A1592" i="1"/>
  <c r="F1592" i="1"/>
  <c r="B1593" i="1"/>
  <c r="A1593" i="1"/>
  <c r="F1593" i="1"/>
  <c r="B1594" i="1"/>
  <c r="A1594" i="1"/>
  <c r="F1594" i="1"/>
  <c r="B1595" i="1"/>
  <c r="A1595" i="1"/>
  <c r="F1595" i="1"/>
  <c r="B1596" i="1"/>
  <c r="A1596" i="1"/>
  <c r="F1596" i="1"/>
  <c r="B1597" i="1"/>
  <c r="A1597" i="1"/>
  <c r="F1597" i="1"/>
  <c r="B1598" i="1"/>
  <c r="A1598" i="1"/>
  <c r="F1598" i="1"/>
  <c r="B1599" i="1"/>
  <c r="A1599" i="1"/>
  <c r="F1599" i="1"/>
  <c r="B1600" i="1"/>
  <c r="A1600" i="1"/>
  <c r="F1600" i="1"/>
  <c r="B1601" i="1"/>
  <c r="A1601" i="1"/>
  <c r="F1601" i="1"/>
  <c r="B1602" i="1"/>
  <c r="A1602" i="1"/>
  <c r="F1602" i="1"/>
  <c r="B1603" i="1"/>
  <c r="A1603" i="1"/>
  <c r="F1603" i="1"/>
  <c r="B1604" i="1"/>
  <c r="A1604" i="1"/>
  <c r="F1604" i="1"/>
  <c r="B1605" i="1"/>
  <c r="A1605" i="1"/>
  <c r="F1605" i="1"/>
  <c r="B1606" i="1"/>
  <c r="A1606" i="1"/>
  <c r="F1606" i="1"/>
  <c r="B1607" i="1"/>
  <c r="A1607" i="1"/>
  <c r="F1607" i="1"/>
  <c r="B1608" i="1"/>
  <c r="A1608" i="1"/>
  <c r="F1608" i="1"/>
  <c r="B1609" i="1"/>
  <c r="A1609" i="1"/>
  <c r="F1609" i="1"/>
  <c r="B1610" i="1"/>
  <c r="A1610" i="1"/>
  <c r="F1610" i="1"/>
  <c r="B1611" i="1"/>
  <c r="A1611" i="1"/>
  <c r="F1611" i="1"/>
  <c r="B1612" i="1"/>
  <c r="A1612" i="1"/>
  <c r="F1612" i="1"/>
  <c r="B1613" i="1"/>
  <c r="A1613" i="1"/>
  <c r="F1613" i="1"/>
  <c r="B1614" i="1"/>
  <c r="A1614" i="1"/>
  <c r="F1614" i="1"/>
  <c r="B1615" i="1"/>
  <c r="A1615" i="1"/>
  <c r="F1615" i="1"/>
  <c r="B1616" i="1"/>
  <c r="A1616" i="1"/>
  <c r="F1616" i="1"/>
  <c r="B1617" i="1"/>
  <c r="A1617" i="1"/>
  <c r="F1617" i="1"/>
  <c r="B1618" i="1"/>
  <c r="A1618" i="1"/>
  <c r="F1618" i="1"/>
  <c r="B1619" i="1"/>
  <c r="A1619" i="1"/>
  <c r="F1619" i="1"/>
  <c r="B1620" i="1"/>
  <c r="A1620" i="1"/>
  <c r="F1620" i="1"/>
  <c r="B1621" i="1"/>
  <c r="A1621" i="1"/>
  <c r="F1621" i="1"/>
  <c r="B1622" i="1"/>
  <c r="A1622" i="1"/>
  <c r="F1622" i="1"/>
  <c r="B1623" i="1"/>
  <c r="A1623" i="1"/>
  <c r="F1623" i="1"/>
  <c r="B1624" i="1"/>
  <c r="A1624" i="1"/>
  <c r="F1624" i="1"/>
  <c r="B1625" i="1"/>
  <c r="A1625" i="1"/>
  <c r="F1625" i="1"/>
  <c r="B1626" i="1"/>
  <c r="A1626" i="1"/>
  <c r="F1626" i="1"/>
  <c r="B1627" i="1"/>
  <c r="A1627" i="1"/>
  <c r="F1627" i="1"/>
  <c r="B1628" i="1"/>
  <c r="A1628" i="1"/>
  <c r="F1628" i="1"/>
  <c r="B1629" i="1"/>
  <c r="A1629" i="1"/>
  <c r="F1629" i="1"/>
  <c r="B1630" i="1"/>
  <c r="A1630" i="1"/>
  <c r="F1630" i="1"/>
  <c r="B1631" i="1"/>
  <c r="A1631" i="1"/>
  <c r="F1631" i="1"/>
  <c r="B1632" i="1"/>
  <c r="A1632" i="1"/>
  <c r="F1632" i="1"/>
  <c r="B1633" i="1"/>
  <c r="A1633" i="1"/>
  <c r="F1633" i="1"/>
  <c r="B1634" i="1"/>
  <c r="A1634" i="1"/>
  <c r="F1634" i="1"/>
  <c r="B1635" i="1"/>
  <c r="A1635" i="1"/>
  <c r="F1635" i="1"/>
  <c r="B1636" i="1"/>
  <c r="A1636" i="1"/>
  <c r="F1636" i="1"/>
  <c r="B1637" i="1"/>
  <c r="A1637" i="1"/>
  <c r="F1637" i="1"/>
  <c r="B1638" i="1"/>
  <c r="A1638" i="1"/>
  <c r="F1638" i="1"/>
  <c r="B1639" i="1"/>
  <c r="A1639" i="1"/>
  <c r="F1639" i="1"/>
  <c r="B1640" i="1"/>
  <c r="A1640" i="1"/>
  <c r="F1640" i="1"/>
  <c r="B1641" i="1"/>
  <c r="A1641" i="1"/>
  <c r="F1641" i="1"/>
  <c r="B1642" i="1"/>
  <c r="A1642" i="1"/>
  <c r="F1642" i="1"/>
  <c r="B1643" i="1"/>
  <c r="A1643" i="1"/>
  <c r="F1643" i="1"/>
  <c r="B1644" i="1"/>
  <c r="A1644" i="1"/>
  <c r="F1644" i="1"/>
  <c r="B1645" i="1"/>
  <c r="A1645" i="1"/>
  <c r="F1645" i="1"/>
  <c r="B1646" i="1"/>
  <c r="A1646" i="1"/>
  <c r="F1646" i="1"/>
  <c r="B1647" i="1"/>
  <c r="A1647" i="1"/>
  <c r="F1647" i="1"/>
  <c r="B1648" i="1"/>
  <c r="A1648" i="1"/>
  <c r="F1648" i="1"/>
  <c r="B1649" i="1"/>
  <c r="A1649" i="1"/>
  <c r="F1649" i="1"/>
  <c r="B1650" i="1"/>
  <c r="A1650" i="1"/>
  <c r="F1650" i="1"/>
  <c r="B1651" i="1"/>
  <c r="A1651" i="1"/>
  <c r="F1651" i="1"/>
  <c r="B1652" i="1"/>
  <c r="A1652" i="1"/>
  <c r="F1652" i="1"/>
  <c r="B1653" i="1"/>
  <c r="A1653" i="1"/>
  <c r="F1653" i="1"/>
  <c r="B1654" i="1"/>
  <c r="A1654" i="1"/>
  <c r="F1654" i="1"/>
  <c r="B1655" i="1"/>
  <c r="A1655" i="1"/>
  <c r="F1655" i="1"/>
  <c r="B1656" i="1"/>
  <c r="A1656" i="1"/>
  <c r="F1656" i="1"/>
  <c r="B1657" i="1"/>
  <c r="A1657" i="1"/>
  <c r="F1657" i="1"/>
  <c r="B1658" i="1"/>
  <c r="A1658" i="1"/>
  <c r="F1658" i="1"/>
  <c r="B1659" i="1"/>
  <c r="A1659" i="1"/>
  <c r="F1659" i="1"/>
  <c r="B1660" i="1"/>
  <c r="A1660" i="1"/>
  <c r="F1660" i="1"/>
  <c r="B1661" i="1"/>
  <c r="A1661" i="1"/>
  <c r="F1661" i="1"/>
  <c r="B1662" i="1"/>
  <c r="A1662" i="1"/>
  <c r="F1662" i="1"/>
  <c r="B1663" i="1"/>
  <c r="A1663" i="1"/>
  <c r="F1663" i="1"/>
  <c r="B1664" i="1"/>
  <c r="A1664" i="1"/>
  <c r="F1664" i="1"/>
  <c r="B1665" i="1"/>
  <c r="A1665" i="1"/>
  <c r="F1665" i="1"/>
  <c r="B1666" i="1"/>
  <c r="A1666" i="1"/>
  <c r="F1666" i="1"/>
  <c r="B1667" i="1"/>
  <c r="A1667" i="1"/>
  <c r="F1667" i="1"/>
  <c r="B1668" i="1"/>
  <c r="A1668" i="1"/>
  <c r="F1668" i="1"/>
  <c r="B1669" i="1"/>
  <c r="A1669" i="1"/>
  <c r="F1669" i="1"/>
  <c r="B1670" i="1"/>
  <c r="A1670" i="1"/>
  <c r="F1670" i="1"/>
  <c r="B1671" i="1"/>
  <c r="A1671" i="1"/>
  <c r="F1671" i="1"/>
  <c r="B1672" i="1"/>
  <c r="A1672" i="1"/>
  <c r="F1672" i="1"/>
  <c r="B1673" i="1"/>
  <c r="A1673" i="1"/>
  <c r="F1673" i="1"/>
  <c r="B1674" i="1"/>
  <c r="A1674" i="1"/>
  <c r="F1674" i="1"/>
  <c r="B1675" i="1"/>
  <c r="A1675" i="1"/>
  <c r="F1675" i="1"/>
  <c r="B1676" i="1"/>
  <c r="A1676" i="1"/>
  <c r="F1676" i="1"/>
  <c r="B1677" i="1"/>
  <c r="A1677" i="1"/>
  <c r="F1677" i="1"/>
  <c r="B1678" i="1"/>
  <c r="A1678" i="1"/>
  <c r="F1678" i="1"/>
  <c r="B1679" i="1"/>
  <c r="A1679" i="1"/>
  <c r="F1679" i="1"/>
  <c r="B1680" i="1"/>
  <c r="A1680" i="1"/>
  <c r="F1680" i="1"/>
  <c r="B1681" i="1"/>
  <c r="A1681" i="1"/>
  <c r="F1681" i="1"/>
  <c r="B1682" i="1"/>
  <c r="A1682" i="1"/>
  <c r="F1682" i="1"/>
  <c r="B1683" i="1"/>
  <c r="A1683" i="1"/>
  <c r="F1683" i="1"/>
  <c r="B1684" i="1"/>
  <c r="A1684" i="1"/>
  <c r="F1684" i="1"/>
  <c r="B1685" i="1"/>
  <c r="A1685" i="1"/>
  <c r="F1685" i="1"/>
  <c r="B1686" i="1"/>
  <c r="A1686" i="1"/>
  <c r="F1686" i="1"/>
  <c r="B1687" i="1"/>
  <c r="A1687" i="1"/>
  <c r="F1687" i="1"/>
  <c r="B1688" i="1"/>
  <c r="A1688" i="1"/>
  <c r="F1688" i="1"/>
  <c r="B1689" i="1"/>
  <c r="A1689" i="1"/>
  <c r="F1689" i="1"/>
  <c r="B1690" i="1"/>
  <c r="A1690" i="1"/>
  <c r="F1690" i="1"/>
  <c r="B1691" i="1"/>
  <c r="A1691" i="1"/>
  <c r="F1691" i="1"/>
  <c r="B1692" i="1"/>
  <c r="A1692" i="1"/>
  <c r="F1692" i="1"/>
  <c r="B1693" i="1"/>
  <c r="A1693" i="1"/>
  <c r="F1693" i="1"/>
  <c r="B1694" i="1"/>
  <c r="A1694" i="1"/>
  <c r="F1694" i="1"/>
  <c r="B1695" i="1"/>
  <c r="A1695" i="1"/>
  <c r="F1695" i="1"/>
  <c r="B1696" i="1"/>
  <c r="A1696" i="1"/>
  <c r="F1696" i="1"/>
  <c r="B1697" i="1"/>
  <c r="A1697" i="1"/>
  <c r="F1697" i="1"/>
  <c r="B1698" i="1"/>
  <c r="A1698" i="1"/>
  <c r="F1698" i="1"/>
  <c r="B1699" i="1"/>
  <c r="A1699" i="1"/>
  <c r="F1699" i="1"/>
  <c r="B1700" i="1"/>
  <c r="A1700" i="1"/>
  <c r="F1700" i="1"/>
  <c r="B1701" i="1"/>
  <c r="A1701" i="1"/>
  <c r="F1701" i="1"/>
  <c r="B1702" i="1"/>
  <c r="A1702" i="1"/>
  <c r="F1702" i="1"/>
  <c r="B1703" i="1"/>
  <c r="A1703" i="1"/>
  <c r="F1703" i="1"/>
  <c r="B1704" i="1"/>
  <c r="A1704" i="1"/>
  <c r="F1704" i="1"/>
  <c r="B1705" i="1"/>
  <c r="A1705" i="1"/>
  <c r="F1705" i="1"/>
  <c r="B1706" i="1"/>
  <c r="A1706" i="1"/>
  <c r="F1706" i="1"/>
  <c r="B1707" i="1"/>
  <c r="A1707" i="1"/>
  <c r="F1707" i="1"/>
  <c r="B1708" i="1"/>
  <c r="A1708" i="1"/>
  <c r="F1708" i="1"/>
  <c r="B1709" i="1"/>
  <c r="A1709" i="1"/>
  <c r="F1709" i="1"/>
  <c r="B1710" i="1"/>
  <c r="A1710" i="1"/>
  <c r="F1710" i="1"/>
  <c r="B1711" i="1"/>
  <c r="A1711" i="1"/>
  <c r="F1711" i="1"/>
  <c r="B1712" i="1"/>
  <c r="A1712" i="1"/>
  <c r="F1712" i="1"/>
  <c r="B1713" i="1"/>
  <c r="A1713" i="1"/>
  <c r="F1713" i="1"/>
  <c r="B1714" i="1"/>
  <c r="A1714" i="1"/>
  <c r="F1714" i="1"/>
  <c r="B1715" i="1"/>
  <c r="A1715" i="1"/>
  <c r="F1715" i="1"/>
  <c r="B1716" i="1"/>
  <c r="A1716" i="1"/>
  <c r="F1716" i="1"/>
  <c r="B1717" i="1"/>
  <c r="A1717" i="1"/>
  <c r="F1717" i="1"/>
  <c r="B1718" i="1"/>
  <c r="A1718" i="1"/>
  <c r="F1718" i="1"/>
  <c r="B1719" i="1"/>
  <c r="A1719" i="1"/>
  <c r="F1719" i="1"/>
  <c r="B1720" i="1"/>
  <c r="A1720" i="1"/>
  <c r="F1720" i="1"/>
  <c r="B1721" i="1"/>
  <c r="A1721" i="1"/>
  <c r="F1721" i="1"/>
  <c r="B1722" i="1"/>
  <c r="A1722" i="1"/>
  <c r="F1722" i="1"/>
  <c r="B1723" i="1"/>
  <c r="A1723" i="1"/>
  <c r="F1723" i="1"/>
  <c r="B1724" i="1"/>
  <c r="A1724" i="1"/>
  <c r="F1724" i="1"/>
  <c r="B1725" i="1"/>
  <c r="A1725" i="1"/>
  <c r="F1725" i="1"/>
  <c r="B1726" i="1"/>
  <c r="A1726" i="1"/>
  <c r="F1726" i="1"/>
  <c r="B1727" i="1"/>
  <c r="A1727" i="1"/>
  <c r="F1727" i="1"/>
  <c r="B1728" i="1"/>
  <c r="A1728" i="1"/>
  <c r="F1728" i="1"/>
  <c r="B1729" i="1"/>
  <c r="A1729" i="1"/>
  <c r="F1729" i="1"/>
  <c r="B1730" i="1"/>
  <c r="A1730" i="1"/>
  <c r="F1730" i="1"/>
  <c r="B1731" i="1"/>
  <c r="A1731" i="1"/>
  <c r="F1731" i="1"/>
  <c r="B1732" i="1"/>
  <c r="A1732" i="1"/>
  <c r="F1732" i="1"/>
  <c r="B1733" i="1"/>
  <c r="A1733" i="1"/>
  <c r="F1733" i="1"/>
  <c r="B1734" i="1"/>
  <c r="A1734" i="1"/>
  <c r="F1734" i="1"/>
  <c r="B1735" i="1"/>
  <c r="A1735" i="1"/>
  <c r="F1735" i="1"/>
  <c r="B1736" i="1"/>
  <c r="A1736" i="1"/>
  <c r="F1736" i="1"/>
  <c r="B1737" i="1"/>
  <c r="A1737" i="1"/>
  <c r="F1737" i="1"/>
  <c r="B1738" i="1"/>
  <c r="A1738" i="1"/>
  <c r="F1738" i="1"/>
  <c r="B1739" i="1"/>
  <c r="A1739" i="1"/>
  <c r="F1739" i="1"/>
  <c r="B1740" i="1"/>
  <c r="A1740" i="1"/>
  <c r="F1740" i="1"/>
  <c r="B1741" i="1"/>
  <c r="A1741" i="1"/>
  <c r="F1741" i="1"/>
  <c r="B1742" i="1"/>
  <c r="A1742" i="1"/>
  <c r="F1742" i="1"/>
  <c r="B1743" i="1"/>
  <c r="A1743" i="1"/>
  <c r="F1743" i="1"/>
  <c r="B1744" i="1"/>
  <c r="A1744" i="1"/>
  <c r="F1744" i="1"/>
  <c r="B1745" i="1"/>
  <c r="A1745" i="1"/>
  <c r="F1745" i="1"/>
  <c r="B1746" i="1"/>
  <c r="A1746" i="1"/>
  <c r="F1746" i="1"/>
  <c r="B1747" i="1"/>
  <c r="A1747" i="1"/>
  <c r="F1747" i="1"/>
  <c r="B1748" i="1"/>
  <c r="A1748" i="1"/>
  <c r="F1748" i="1"/>
  <c r="B1749" i="1"/>
  <c r="A1749" i="1"/>
  <c r="F1749" i="1"/>
  <c r="B1750" i="1"/>
  <c r="A1750" i="1"/>
  <c r="F1750" i="1"/>
  <c r="B1751" i="1"/>
  <c r="A1751" i="1"/>
  <c r="F1751" i="1"/>
  <c r="B1752" i="1"/>
  <c r="A1752" i="1"/>
  <c r="F1752" i="1"/>
  <c r="B1753" i="1"/>
  <c r="A1753" i="1"/>
  <c r="F1753" i="1"/>
  <c r="B1754" i="1"/>
  <c r="A1754" i="1"/>
  <c r="F1754" i="1"/>
  <c r="B1755" i="1"/>
  <c r="A1755" i="1"/>
  <c r="F1755" i="1"/>
  <c r="B1756" i="1"/>
  <c r="A1756" i="1"/>
  <c r="F1756" i="1"/>
  <c r="B1757" i="1"/>
  <c r="A1757" i="1"/>
  <c r="F1757" i="1"/>
  <c r="B1758" i="1"/>
  <c r="A1758" i="1"/>
  <c r="F1758" i="1"/>
  <c r="B1759" i="1"/>
  <c r="A1759" i="1"/>
  <c r="F1759" i="1"/>
  <c r="B1760" i="1"/>
  <c r="A1760" i="1"/>
  <c r="F1760" i="1"/>
  <c r="B1761" i="1"/>
  <c r="A1761" i="1"/>
  <c r="F1761" i="1"/>
  <c r="B1762" i="1"/>
  <c r="A1762" i="1"/>
  <c r="F1762" i="1"/>
  <c r="B1763" i="1"/>
  <c r="A1763" i="1"/>
  <c r="F1763" i="1"/>
  <c r="B1764" i="1"/>
  <c r="A1764" i="1"/>
  <c r="F1764" i="1"/>
  <c r="B1765" i="1"/>
  <c r="A1765" i="1"/>
  <c r="F1765" i="1"/>
  <c r="B1766" i="1"/>
  <c r="A1766" i="1"/>
  <c r="F1766" i="1"/>
  <c r="B1767" i="1"/>
  <c r="A1767" i="1"/>
  <c r="F1767" i="1"/>
  <c r="B1768" i="1"/>
  <c r="A1768" i="1"/>
  <c r="F1768" i="1"/>
  <c r="B1769" i="1"/>
  <c r="A1769" i="1"/>
  <c r="F1769" i="1"/>
  <c r="B1770" i="1"/>
  <c r="A1770" i="1"/>
  <c r="F1770" i="1"/>
  <c r="B1771" i="1"/>
  <c r="A1771" i="1"/>
  <c r="F1771" i="1"/>
  <c r="B1772" i="1"/>
  <c r="A1772" i="1"/>
  <c r="F1772" i="1"/>
  <c r="B1773" i="1"/>
  <c r="A1773" i="1"/>
  <c r="F1773" i="1"/>
  <c r="B1774" i="1"/>
  <c r="A1774" i="1"/>
  <c r="F1774" i="1"/>
  <c r="B1775" i="1"/>
  <c r="A1775" i="1"/>
  <c r="F1775" i="1"/>
  <c r="B1776" i="1"/>
  <c r="A1776" i="1"/>
  <c r="F1776" i="1"/>
  <c r="B1777" i="1"/>
  <c r="A1777" i="1"/>
  <c r="F1777" i="1"/>
  <c r="B1778" i="1"/>
  <c r="A1778" i="1"/>
  <c r="F1778" i="1"/>
  <c r="B1779" i="1"/>
  <c r="A1779" i="1"/>
  <c r="F1779" i="1"/>
  <c r="B1780" i="1"/>
  <c r="A1780" i="1"/>
  <c r="F1780" i="1"/>
  <c r="B1781" i="1"/>
  <c r="A1781" i="1"/>
  <c r="F1781" i="1"/>
  <c r="B1782" i="1"/>
  <c r="A1782" i="1"/>
  <c r="F1782" i="1"/>
  <c r="B1783" i="1"/>
  <c r="A1783" i="1"/>
  <c r="F1783" i="1"/>
  <c r="B1784" i="1"/>
  <c r="A1784" i="1"/>
  <c r="F1784" i="1"/>
  <c r="B1785" i="1"/>
  <c r="A1785" i="1"/>
  <c r="F1785" i="1"/>
  <c r="B1786" i="1"/>
  <c r="A1786" i="1"/>
  <c r="F1786" i="1"/>
  <c r="B1787" i="1"/>
  <c r="A1787" i="1"/>
  <c r="F1787" i="1"/>
  <c r="B1788" i="1"/>
  <c r="A1788" i="1"/>
  <c r="F1788" i="1"/>
  <c r="B1789" i="1"/>
  <c r="A1789" i="1"/>
  <c r="F1789" i="1"/>
  <c r="B1790" i="1"/>
  <c r="A1790" i="1"/>
  <c r="F1790" i="1"/>
  <c r="B1791" i="1"/>
  <c r="A1791" i="1"/>
  <c r="F1791" i="1"/>
  <c r="B1792" i="1"/>
  <c r="A1792" i="1"/>
  <c r="F1792" i="1"/>
  <c r="B1793" i="1"/>
  <c r="A1793" i="1"/>
  <c r="F1793" i="1"/>
  <c r="B1794" i="1"/>
  <c r="A1794" i="1"/>
  <c r="F1794" i="1"/>
  <c r="B1795" i="1"/>
  <c r="A1795" i="1"/>
  <c r="F1795" i="1"/>
  <c r="B1796" i="1"/>
  <c r="A1796" i="1"/>
  <c r="F1796" i="1"/>
  <c r="B1797" i="1"/>
  <c r="A1797" i="1"/>
  <c r="F1797" i="1"/>
  <c r="B1798" i="1"/>
  <c r="A1798" i="1"/>
  <c r="F1798" i="1"/>
  <c r="B1799" i="1"/>
  <c r="A1799" i="1"/>
  <c r="F1799" i="1"/>
  <c r="B1800" i="1"/>
  <c r="A1800" i="1"/>
  <c r="F1800" i="1"/>
  <c r="B1801" i="1"/>
  <c r="A1801" i="1"/>
  <c r="F1801" i="1"/>
  <c r="B1802" i="1"/>
  <c r="A1802" i="1"/>
  <c r="F1802" i="1"/>
  <c r="B1803" i="1"/>
  <c r="A1803" i="1"/>
  <c r="F1803" i="1"/>
  <c r="B1804" i="1"/>
  <c r="A1804" i="1"/>
  <c r="F1804" i="1"/>
  <c r="B1805" i="1"/>
  <c r="A1805" i="1"/>
  <c r="F1805" i="1"/>
  <c r="B1806" i="1"/>
  <c r="A1806" i="1"/>
  <c r="F1806" i="1"/>
  <c r="B1807" i="1"/>
  <c r="A1807" i="1"/>
  <c r="F1807" i="1"/>
  <c r="B1808" i="1"/>
  <c r="A1808" i="1"/>
  <c r="F1808" i="1"/>
  <c r="B1809" i="1"/>
  <c r="A1809" i="1"/>
  <c r="F1809" i="1"/>
  <c r="B1810" i="1"/>
  <c r="A1810" i="1"/>
  <c r="F1810" i="1"/>
  <c r="B1811" i="1"/>
  <c r="A1811" i="1"/>
  <c r="F1811" i="1"/>
  <c r="B1812" i="1"/>
  <c r="A1812" i="1"/>
  <c r="F1812" i="1"/>
  <c r="B1813" i="1"/>
  <c r="A1813" i="1"/>
  <c r="F1813" i="1"/>
  <c r="B1814" i="1"/>
  <c r="A1814" i="1"/>
  <c r="F1814" i="1"/>
  <c r="B1815" i="1"/>
  <c r="A1815" i="1"/>
  <c r="F1815" i="1"/>
  <c r="B1816" i="1"/>
  <c r="A1816" i="1"/>
  <c r="F1816" i="1"/>
  <c r="B1817" i="1"/>
  <c r="A1817" i="1"/>
  <c r="F1817" i="1"/>
  <c r="B1818" i="1"/>
  <c r="A1818" i="1"/>
  <c r="F1818" i="1"/>
  <c r="B1819" i="1"/>
  <c r="A1819" i="1"/>
  <c r="F1819" i="1"/>
  <c r="B1820" i="1"/>
  <c r="A1820" i="1"/>
  <c r="F1820" i="1"/>
  <c r="B1821" i="1"/>
  <c r="A1821" i="1"/>
  <c r="F1821" i="1"/>
  <c r="B1822" i="1"/>
  <c r="A1822" i="1"/>
  <c r="F1822" i="1"/>
  <c r="B1823" i="1"/>
  <c r="A1823" i="1"/>
  <c r="F1823" i="1"/>
  <c r="B1824" i="1"/>
  <c r="A1824" i="1"/>
  <c r="F1824" i="1"/>
  <c r="B1825" i="1"/>
  <c r="A1825" i="1"/>
  <c r="F1825" i="1"/>
  <c r="B1826" i="1"/>
  <c r="A1826" i="1"/>
  <c r="F1826" i="1"/>
  <c r="B1827" i="1"/>
  <c r="A1827" i="1"/>
  <c r="F1827" i="1"/>
  <c r="B1828" i="1"/>
  <c r="A1828" i="1"/>
  <c r="F1828" i="1"/>
  <c r="B1829" i="1"/>
  <c r="A1829" i="1"/>
  <c r="F1829" i="1"/>
  <c r="B1830" i="1"/>
  <c r="A1830" i="1"/>
  <c r="F1830" i="1"/>
  <c r="B1831" i="1"/>
  <c r="A1831" i="1"/>
  <c r="F1831" i="1"/>
  <c r="B1832" i="1"/>
  <c r="A1832" i="1"/>
  <c r="F1832" i="1"/>
  <c r="B1833" i="1"/>
  <c r="A1833" i="1"/>
  <c r="F1833" i="1"/>
  <c r="B1834" i="1"/>
  <c r="A1834" i="1"/>
  <c r="F1834" i="1"/>
  <c r="B1835" i="1"/>
  <c r="A1835" i="1"/>
  <c r="F1835" i="1"/>
  <c r="B1836" i="1"/>
  <c r="A1836" i="1"/>
  <c r="F1836" i="1"/>
  <c r="B1837" i="1"/>
  <c r="A1837" i="1"/>
  <c r="F1837" i="1"/>
  <c r="B1838" i="1"/>
  <c r="A1838" i="1"/>
  <c r="F1838" i="1"/>
  <c r="B1839" i="1"/>
  <c r="A1839" i="1"/>
  <c r="F1839" i="1"/>
  <c r="B1840" i="1"/>
  <c r="A1840" i="1"/>
  <c r="F1840" i="1"/>
  <c r="B1841" i="1"/>
  <c r="A1841" i="1"/>
  <c r="F1841" i="1"/>
  <c r="B1842" i="1"/>
  <c r="A1842" i="1"/>
  <c r="F1842" i="1"/>
  <c r="B1843" i="1"/>
  <c r="A1843" i="1"/>
  <c r="F1843" i="1"/>
  <c r="B1844" i="1"/>
  <c r="A1844" i="1"/>
  <c r="F1844" i="1"/>
  <c r="B1845" i="1"/>
  <c r="A1845" i="1"/>
  <c r="F1845" i="1"/>
  <c r="B1846" i="1"/>
  <c r="A1846" i="1"/>
  <c r="F1846" i="1"/>
  <c r="B1847" i="1"/>
  <c r="A1847" i="1"/>
  <c r="F1847" i="1"/>
  <c r="B1848" i="1"/>
  <c r="A1848" i="1"/>
  <c r="F1848" i="1"/>
  <c r="B1849" i="1"/>
  <c r="A1849" i="1"/>
  <c r="F1849" i="1"/>
  <c r="B1850" i="1"/>
  <c r="A1850" i="1"/>
  <c r="F1850" i="1"/>
  <c r="B1851" i="1"/>
  <c r="A1851" i="1"/>
  <c r="F1851" i="1"/>
  <c r="B1852" i="1"/>
  <c r="A1852" i="1"/>
  <c r="F1852" i="1"/>
  <c r="B1853" i="1"/>
  <c r="A1853" i="1"/>
  <c r="F1853" i="1"/>
  <c r="B1854" i="1"/>
  <c r="A1854" i="1"/>
  <c r="F1854" i="1"/>
  <c r="B1855" i="1"/>
  <c r="A1855" i="1"/>
  <c r="F1855" i="1"/>
  <c r="B1856" i="1"/>
  <c r="A1856" i="1"/>
  <c r="F1856" i="1"/>
  <c r="B1857" i="1"/>
  <c r="A1857" i="1"/>
  <c r="F1857" i="1"/>
  <c r="B1858" i="1"/>
  <c r="A1858" i="1"/>
  <c r="F1858" i="1"/>
  <c r="B1859" i="1"/>
  <c r="A1859" i="1"/>
  <c r="F1859" i="1"/>
  <c r="B1860" i="1"/>
  <c r="A1860" i="1"/>
  <c r="F1860" i="1"/>
  <c r="B1861" i="1"/>
  <c r="A1861" i="1"/>
  <c r="F1861" i="1"/>
  <c r="B1862" i="1"/>
  <c r="A1862" i="1"/>
  <c r="F1862" i="1"/>
  <c r="B1863" i="1"/>
  <c r="A1863" i="1"/>
  <c r="F1863" i="1"/>
  <c r="B1864" i="1"/>
  <c r="A1864" i="1"/>
  <c r="F1864" i="1"/>
  <c r="B1865" i="1"/>
  <c r="A1865" i="1"/>
  <c r="F1865" i="1"/>
  <c r="B1866" i="1"/>
  <c r="A1866" i="1"/>
  <c r="F1866" i="1"/>
  <c r="B1867" i="1"/>
  <c r="A1867" i="1"/>
  <c r="F1867" i="1"/>
  <c r="B1868" i="1"/>
  <c r="A1868" i="1"/>
  <c r="F1868" i="1"/>
  <c r="B1869" i="1"/>
  <c r="A1869" i="1"/>
  <c r="F1869" i="1"/>
  <c r="B1870" i="1"/>
  <c r="A1870" i="1"/>
  <c r="F1870" i="1"/>
  <c r="B1871" i="1"/>
  <c r="A1871" i="1"/>
  <c r="F1871" i="1"/>
  <c r="B1872" i="1"/>
  <c r="A1872" i="1"/>
  <c r="F1872" i="1"/>
  <c r="B1873" i="1"/>
  <c r="A1873" i="1"/>
  <c r="F1873" i="1"/>
  <c r="B1874" i="1"/>
  <c r="A1874" i="1"/>
  <c r="F1874" i="1"/>
  <c r="B1875" i="1"/>
  <c r="A1875" i="1"/>
  <c r="F1875" i="1"/>
  <c r="B1876" i="1"/>
  <c r="A1876" i="1"/>
  <c r="F1876" i="1"/>
  <c r="B1877" i="1"/>
  <c r="A1877" i="1"/>
  <c r="F1877" i="1"/>
  <c r="B1878" i="1"/>
  <c r="A1878" i="1"/>
  <c r="F1878" i="1"/>
  <c r="B1879" i="1"/>
  <c r="A1879" i="1"/>
  <c r="F1879" i="1"/>
  <c r="B1880" i="1"/>
  <c r="A1880" i="1"/>
  <c r="F1880" i="1"/>
  <c r="B1881" i="1"/>
  <c r="A1881" i="1"/>
  <c r="F1881" i="1"/>
  <c r="B1882" i="1"/>
  <c r="A1882" i="1"/>
  <c r="F1882" i="1"/>
  <c r="B1883" i="1"/>
  <c r="A1883" i="1"/>
  <c r="F1883" i="1"/>
  <c r="B1884" i="1"/>
  <c r="A1884" i="1"/>
  <c r="F1884" i="1"/>
  <c r="B1885" i="1"/>
  <c r="A1885" i="1"/>
  <c r="F1885" i="1"/>
  <c r="B1886" i="1"/>
  <c r="A1886" i="1"/>
  <c r="F1886" i="1"/>
  <c r="B1887" i="1"/>
  <c r="A1887" i="1"/>
  <c r="F1887" i="1"/>
  <c r="B1888" i="1"/>
  <c r="A1888" i="1"/>
  <c r="F1888" i="1"/>
  <c r="B1889" i="1"/>
  <c r="A1889" i="1"/>
  <c r="F1889" i="1"/>
  <c r="B1890" i="1"/>
  <c r="A1890" i="1"/>
  <c r="F1890" i="1"/>
  <c r="B1891" i="1"/>
  <c r="A1891" i="1"/>
  <c r="F1891" i="1"/>
  <c r="B1892" i="1"/>
  <c r="A1892" i="1"/>
  <c r="F1892" i="1"/>
  <c r="B1893" i="1"/>
  <c r="A1893" i="1"/>
  <c r="F1893" i="1"/>
  <c r="B1894" i="1"/>
  <c r="A1894" i="1"/>
  <c r="F1894" i="1"/>
  <c r="B1895" i="1"/>
  <c r="A1895" i="1"/>
  <c r="F1895" i="1"/>
  <c r="B1896" i="1"/>
  <c r="A1896" i="1"/>
  <c r="F1896" i="1"/>
  <c r="B1897" i="1"/>
  <c r="A1897" i="1"/>
  <c r="F1897" i="1"/>
  <c r="B1898" i="1"/>
  <c r="A1898" i="1"/>
  <c r="F1898" i="1"/>
  <c r="B1899" i="1"/>
  <c r="A1899" i="1"/>
  <c r="F1899" i="1"/>
  <c r="B1900" i="1"/>
  <c r="A1900" i="1"/>
  <c r="F1900" i="1"/>
  <c r="B1901" i="1"/>
  <c r="A1901" i="1"/>
  <c r="F1901" i="1"/>
  <c r="B1902" i="1"/>
  <c r="A1902" i="1"/>
  <c r="F1902" i="1"/>
  <c r="B1903" i="1"/>
  <c r="A1903" i="1"/>
  <c r="F1903" i="1"/>
  <c r="B1904" i="1"/>
  <c r="A1904" i="1"/>
  <c r="F1904" i="1"/>
  <c r="B1905" i="1"/>
  <c r="A1905" i="1"/>
  <c r="F1905" i="1"/>
  <c r="B1906" i="1"/>
  <c r="A1906" i="1"/>
  <c r="F1906" i="1"/>
  <c r="B1907" i="1"/>
  <c r="A1907" i="1"/>
  <c r="F1907" i="1"/>
  <c r="B1908" i="1"/>
  <c r="A1908" i="1"/>
  <c r="F1908" i="1"/>
  <c r="B1909" i="1"/>
  <c r="A1909" i="1"/>
  <c r="F1909" i="1"/>
  <c r="B1910" i="1"/>
  <c r="A1910" i="1"/>
  <c r="F1910" i="1"/>
  <c r="B1911" i="1"/>
  <c r="A1911" i="1"/>
  <c r="F1911" i="1"/>
  <c r="B1912" i="1"/>
  <c r="A1912" i="1"/>
  <c r="F1912" i="1"/>
  <c r="B1913" i="1"/>
  <c r="A1913" i="1"/>
  <c r="F1913" i="1"/>
  <c r="B1914" i="1"/>
  <c r="A1914" i="1"/>
  <c r="F1914" i="1"/>
  <c r="B1915" i="1"/>
  <c r="A1915" i="1"/>
  <c r="F1915" i="1"/>
  <c r="B1916" i="1"/>
  <c r="A1916" i="1"/>
  <c r="F1916" i="1"/>
  <c r="B1917" i="1"/>
  <c r="A1917" i="1"/>
  <c r="F1917" i="1"/>
  <c r="B1918" i="1"/>
  <c r="A1918" i="1"/>
  <c r="F1918" i="1"/>
  <c r="B1919" i="1"/>
  <c r="A1919" i="1"/>
  <c r="F1919" i="1"/>
  <c r="B1920" i="1"/>
  <c r="A1920" i="1"/>
  <c r="F1920" i="1"/>
  <c r="B1921" i="1"/>
  <c r="A1921" i="1"/>
  <c r="F1921" i="1"/>
  <c r="B1922" i="1"/>
  <c r="A1922" i="1"/>
  <c r="F1922" i="1"/>
  <c r="B1923" i="1"/>
  <c r="A1923" i="1"/>
  <c r="F1923" i="1"/>
  <c r="B1924" i="1"/>
  <c r="A1924" i="1"/>
  <c r="F1924" i="1"/>
  <c r="B1925" i="1"/>
  <c r="A1925" i="1"/>
  <c r="F1925" i="1"/>
  <c r="B1926" i="1"/>
  <c r="A1926" i="1"/>
  <c r="F1926" i="1"/>
  <c r="B1927" i="1"/>
  <c r="A1927" i="1"/>
  <c r="F1927" i="1"/>
  <c r="B1928" i="1"/>
  <c r="A1928" i="1"/>
  <c r="F1928" i="1"/>
  <c r="B1929" i="1"/>
  <c r="A1929" i="1"/>
  <c r="F1929" i="1"/>
  <c r="B1930" i="1"/>
  <c r="A1930" i="1"/>
  <c r="F1930" i="1"/>
  <c r="B1931" i="1"/>
  <c r="A1931" i="1"/>
  <c r="F1931" i="1"/>
  <c r="B1932" i="1"/>
  <c r="A1932" i="1"/>
  <c r="F1932" i="1"/>
  <c r="B1933" i="1"/>
  <c r="A1933" i="1"/>
  <c r="F1933" i="1"/>
  <c r="B1934" i="1"/>
  <c r="A1934" i="1"/>
  <c r="F1934" i="1"/>
  <c r="B1935" i="1"/>
  <c r="A1935" i="1"/>
  <c r="F1935" i="1"/>
  <c r="B1936" i="1"/>
  <c r="A1936" i="1"/>
  <c r="F1936" i="1"/>
  <c r="B1937" i="1"/>
  <c r="A1937" i="1"/>
  <c r="F1937" i="1"/>
  <c r="B1938" i="1"/>
  <c r="A1938" i="1"/>
  <c r="F1938" i="1"/>
  <c r="B1939" i="1"/>
  <c r="A1939" i="1"/>
  <c r="F1939" i="1"/>
  <c r="B1940" i="1"/>
  <c r="A1940" i="1"/>
  <c r="F1940" i="1"/>
  <c r="B1941" i="1"/>
  <c r="A1941" i="1"/>
  <c r="F1941" i="1"/>
  <c r="B1942" i="1"/>
  <c r="A1942" i="1"/>
  <c r="F1942" i="1"/>
  <c r="B1943" i="1"/>
  <c r="A1943" i="1"/>
  <c r="F1943" i="1"/>
  <c r="B1944" i="1"/>
  <c r="A1944" i="1"/>
  <c r="F1944" i="1"/>
  <c r="B1945" i="1"/>
  <c r="A1945" i="1"/>
  <c r="F1945" i="1"/>
  <c r="B1946" i="1"/>
  <c r="A1946" i="1"/>
  <c r="F1946" i="1"/>
  <c r="B1947" i="1"/>
  <c r="A1947" i="1"/>
  <c r="F1947" i="1"/>
  <c r="B1948" i="1"/>
  <c r="A1948" i="1"/>
  <c r="F1948" i="1"/>
  <c r="B1949" i="1"/>
  <c r="A1949" i="1"/>
  <c r="F1949" i="1"/>
  <c r="B1950" i="1"/>
  <c r="A1950" i="1"/>
  <c r="F1950" i="1"/>
  <c r="B1951" i="1"/>
  <c r="A1951" i="1"/>
  <c r="F1951" i="1"/>
  <c r="B1952" i="1"/>
  <c r="A1952" i="1"/>
  <c r="F1952" i="1"/>
  <c r="B1953" i="1"/>
  <c r="A1953" i="1"/>
  <c r="F1953" i="1"/>
  <c r="B1954" i="1"/>
  <c r="A1954" i="1"/>
  <c r="F1954" i="1"/>
  <c r="B1955" i="1"/>
  <c r="A1955" i="1"/>
  <c r="F1955" i="1"/>
  <c r="B1956" i="1"/>
  <c r="A1956" i="1"/>
  <c r="F1956" i="1"/>
  <c r="B1957" i="1"/>
  <c r="A1957" i="1"/>
  <c r="F1957" i="1"/>
  <c r="B1958" i="1"/>
  <c r="A1958" i="1"/>
  <c r="F1958" i="1"/>
  <c r="B1959" i="1"/>
  <c r="A1959" i="1"/>
  <c r="F1959" i="1"/>
  <c r="B1960" i="1"/>
  <c r="A1960" i="1"/>
  <c r="F1960" i="1"/>
  <c r="B1961" i="1"/>
  <c r="A1961" i="1"/>
  <c r="F1961" i="1"/>
  <c r="B1962" i="1"/>
  <c r="A1962" i="1"/>
  <c r="F1962" i="1"/>
  <c r="B1963" i="1"/>
  <c r="A1963" i="1"/>
  <c r="F1963" i="1"/>
  <c r="B1964" i="1"/>
  <c r="A1964" i="1"/>
  <c r="F1964" i="1"/>
  <c r="B1965" i="1"/>
  <c r="A1965" i="1"/>
  <c r="F1965" i="1"/>
  <c r="B1966" i="1"/>
  <c r="A1966" i="1"/>
  <c r="F1966" i="1"/>
  <c r="B1967" i="1"/>
  <c r="A1967" i="1"/>
  <c r="F1967" i="1"/>
  <c r="B1968" i="1"/>
  <c r="A1968" i="1"/>
  <c r="F1968" i="1"/>
  <c r="B1969" i="1"/>
  <c r="A1969" i="1"/>
  <c r="F1969" i="1"/>
  <c r="B1970" i="1"/>
  <c r="A1970" i="1"/>
  <c r="F1970" i="1"/>
  <c r="B1971" i="1"/>
  <c r="A1971" i="1"/>
  <c r="F1971" i="1"/>
  <c r="B1972" i="1"/>
  <c r="A1972" i="1"/>
  <c r="F1972" i="1"/>
  <c r="B1973" i="1"/>
  <c r="A1973" i="1"/>
  <c r="F1973" i="1"/>
  <c r="B1974" i="1"/>
  <c r="A1974" i="1"/>
  <c r="F1974" i="1"/>
  <c r="B1975" i="1"/>
  <c r="A1975" i="1"/>
  <c r="F1975" i="1"/>
  <c r="B1976" i="1"/>
  <c r="A1976" i="1"/>
  <c r="F1976" i="1"/>
  <c r="B1977" i="1"/>
  <c r="A1977" i="1"/>
  <c r="F1977" i="1"/>
  <c r="B1978" i="1"/>
  <c r="A1978" i="1"/>
  <c r="F1978" i="1"/>
  <c r="B1979" i="1"/>
  <c r="A1979" i="1"/>
  <c r="F1979" i="1"/>
  <c r="B1980" i="1"/>
  <c r="A1980" i="1"/>
  <c r="F1980" i="1"/>
  <c r="B1981" i="1"/>
  <c r="A1981" i="1"/>
  <c r="F1981" i="1"/>
  <c r="B1982" i="1"/>
  <c r="A1982" i="1"/>
  <c r="F1982" i="1"/>
  <c r="B1983" i="1"/>
  <c r="A1983" i="1"/>
  <c r="F1983" i="1"/>
  <c r="B1984" i="1"/>
  <c r="A1984" i="1"/>
  <c r="F1984" i="1"/>
  <c r="B1985" i="1"/>
  <c r="A1985" i="1"/>
  <c r="F1985" i="1"/>
  <c r="B1986" i="1"/>
  <c r="A1986" i="1"/>
  <c r="F1986" i="1"/>
  <c r="B1987" i="1"/>
  <c r="A1987" i="1"/>
  <c r="F1987" i="1"/>
  <c r="B1988" i="1"/>
  <c r="A1988" i="1"/>
  <c r="F1988" i="1"/>
  <c r="B1989" i="1"/>
  <c r="A1989" i="1"/>
  <c r="F1989" i="1"/>
  <c r="B1990" i="1"/>
  <c r="A1990" i="1"/>
  <c r="F1990" i="1"/>
  <c r="B1991" i="1"/>
  <c r="A1991" i="1"/>
  <c r="F1991" i="1"/>
  <c r="B1992" i="1"/>
  <c r="A1992" i="1"/>
  <c r="F1992" i="1"/>
  <c r="B1993" i="1"/>
  <c r="A1993" i="1"/>
  <c r="F1993" i="1"/>
  <c r="B1994" i="1"/>
  <c r="A1994" i="1"/>
  <c r="F1994" i="1"/>
  <c r="B1995" i="1"/>
  <c r="A1995" i="1"/>
  <c r="F1995" i="1"/>
  <c r="B1996" i="1"/>
  <c r="A1996" i="1"/>
  <c r="F1996" i="1"/>
  <c r="B1997" i="1"/>
  <c r="A1997" i="1"/>
  <c r="F1997" i="1"/>
  <c r="B1998" i="1"/>
  <c r="A1998" i="1"/>
  <c r="F1998" i="1"/>
  <c r="B1999" i="1"/>
  <c r="A1999" i="1"/>
  <c r="F1999" i="1"/>
  <c r="B2000" i="1"/>
  <c r="A2000" i="1"/>
  <c r="F2000" i="1"/>
  <c r="B2001" i="1"/>
  <c r="A2001" i="1"/>
  <c r="F2001" i="1"/>
  <c r="B2002" i="1"/>
  <c r="A2002" i="1"/>
  <c r="F2002" i="1"/>
  <c r="B2003" i="1"/>
  <c r="A2003" i="1"/>
  <c r="F2003" i="1"/>
  <c r="B2004" i="1"/>
  <c r="A2004" i="1"/>
  <c r="F2004" i="1"/>
  <c r="B2005" i="1"/>
  <c r="A2005" i="1"/>
  <c r="F2005" i="1"/>
  <c r="B2006" i="1"/>
  <c r="A2006" i="1"/>
  <c r="F2006" i="1"/>
  <c r="B2007" i="1"/>
  <c r="A2007" i="1"/>
  <c r="F2007" i="1"/>
  <c r="B2008" i="1"/>
  <c r="A2008" i="1"/>
  <c r="F2008" i="1"/>
  <c r="B2009" i="1"/>
  <c r="A2009" i="1"/>
  <c r="F2009" i="1"/>
  <c r="B2010" i="1"/>
  <c r="A2010" i="1"/>
  <c r="F2010" i="1"/>
  <c r="B2011" i="1"/>
  <c r="A2011" i="1"/>
  <c r="F2011" i="1"/>
  <c r="B2012" i="1"/>
  <c r="A2012" i="1"/>
  <c r="F2012" i="1"/>
  <c r="B2013" i="1"/>
  <c r="A2013" i="1"/>
  <c r="F2013" i="1"/>
  <c r="B2014" i="1"/>
  <c r="A2014" i="1"/>
  <c r="F2014" i="1"/>
  <c r="B2015" i="1"/>
  <c r="A2015" i="1"/>
  <c r="F2015" i="1"/>
  <c r="B2016" i="1"/>
  <c r="A2016" i="1"/>
  <c r="F2016" i="1"/>
  <c r="B2017" i="1"/>
  <c r="A2017" i="1"/>
  <c r="F2017" i="1"/>
  <c r="B2018" i="1"/>
  <c r="A2018" i="1"/>
  <c r="F2018" i="1"/>
  <c r="B2019" i="1"/>
  <c r="A2019" i="1"/>
  <c r="F2019" i="1"/>
  <c r="B2020" i="1"/>
  <c r="A2020" i="1"/>
  <c r="F2020" i="1"/>
  <c r="B2021" i="1"/>
  <c r="A2021" i="1"/>
  <c r="F2021" i="1"/>
  <c r="B2022" i="1"/>
  <c r="A2022" i="1"/>
  <c r="F2022" i="1"/>
  <c r="B2023" i="1"/>
  <c r="A2023" i="1"/>
  <c r="F2023" i="1"/>
  <c r="B2024" i="1"/>
  <c r="A2024" i="1"/>
  <c r="F2024" i="1"/>
  <c r="B2025" i="1"/>
  <c r="A2025" i="1"/>
  <c r="F2025" i="1"/>
  <c r="B2026" i="1"/>
  <c r="A2026" i="1"/>
  <c r="F2026" i="1"/>
  <c r="B2027" i="1"/>
  <c r="A2027" i="1"/>
  <c r="F2027" i="1"/>
  <c r="B2028" i="1"/>
  <c r="A2028" i="1"/>
  <c r="F2028" i="1"/>
  <c r="B2029" i="1"/>
  <c r="A2029" i="1"/>
  <c r="F2029" i="1"/>
  <c r="B2030" i="1"/>
  <c r="A2030" i="1"/>
  <c r="F2030" i="1"/>
  <c r="B2031" i="1"/>
  <c r="A2031" i="1"/>
  <c r="F2031" i="1"/>
  <c r="B2032" i="1"/>
  <c r="A2032" i="1"/>
  <c r="F2032" i="1"/>
  <c r="B2033" i="1"/>
  <c r="A2033" i="1"/>
  <c r="F2033" i="1"/>
  <c r="B2034" i="1"/>
  <c r="A2034" i="1"/>
  <c r="F2034" i="1"/>
  <c r="B2035" i="1"/>
  <c r="A2035" i="1"/>
  <c r="F2035" i="1"/>
  <c r="B2036" i="1"/>
  <c r="A2036" i="1"/>
  <c r="F2036" i="1"/>
  <c r="B2037" i="1"/>
  <c r="A2037" i="1"/>
  <c r="F2037" i="1"/>
  <c r="B2038" i="1"/>
  <c r="A2038" i="1"/>
  <c r="F2038" i="1"/>
  <c r="B2039" i="1"/>
  <c r="A2039" i="1"/>
  <c r="F2039" i="1"/>
  <c r="B2040" i="1"/>
  <c r="A2040" i="1"/>
  <c r="F2040" i="1"/>
  <c r="B2041" i="1"/>
  <c r="A2041" i="1"/>
  <c r="F2041" i="1"/>
  <c r="B2042" i="1"/>
  <c r="A2042" i="1"/>
  <c r="F2042" i="1"/>
  <c r="B2043" i="1"/>
  <c r="A2043" i="1"/>
  <c r="F2043" i="1"/>
  <c r="B2044" i="1"/>
  <c r="A2044" i="1"/>
  <c r="F2044" i="1"/>
  <c r="B2045" i="1"/>
  <c r="A2045" i="1"/>
  <c r="F2045" i="1"/>
  <c r="B2046" i="1"/>
  <c r="A2046" i="1"/>
  <c r="F2046" i="1"/>
  <c r="B2047" i="1"/>
  <c r="A2047" i="1"/>
  <c r="F2047" i="1"/>
  <c r="B2048" i="1"/>
  <c r="A2048" i="1"/>
  <c r="F2048" i="1"/>
  <c r="B2049" i="1"/>
  <c r="A2049" i="1"/>
  <c r="F2049" i="1"/>
  <c r="B2050" i="1"/>
  <c r="A2050" i="1"/>
  <c r="F2050" i="1"/>
  <c r="B2051" i="1"/>
  <c r="A2051" i="1"/>
  <c r="F2051" i="1"/>
  <c r="B2052" i="1"/>
  <c r="A2052" i="1"/>
  <c r="F2052" i="1"/>
  <c r="B2053" i="1"/>
  <c r="A2053" i="1"/>
  <c r="F2053" i="1"/>
  <c r="B2054" i="1"/>
  <c r="A2054" i="1"/>
  <c r="F2054" i="1"/>
  <c r="B2055" i="1"/>
  <c r="A2055" i="1"/>
  <c r="F2055" i="1"/>
  <c r="B2056" i="1"/>
  <c r="A2056" i="1"/>
  <c r="F2056" i="1"/>
  <c r="B2057" i="1"/>
  <c r="A2057" i="1"/>
  <c r="F2057" i="1"/>
  <c r="B2058" i="1"/>
  <c r="A2058" i="1"/>
  <c r="F2058" i="1"/>
  <c r="B2059" i="1"/>
  <c r="A2059" i="1"/>
  <c r="F2059" i="1"/>
  <c r="B2060" i="1"/>
  <c r="A2060" i="1"/>
  <c r="F2060" i="1"/>
  <c r="B2061" i="1"/>
  <c r="A2061" i="1"/>
  <c r="F2061" i="1"/>
  <c r="B2062" i="1"/>
  <c r="A2062" i="1"/>
  <c r="F2062" i="1"/>
  <c r="B2063" i="1"/>
  <c r="A2063" i="1"/>
  <c r="F2063" i="1"/>
  <c r="B2064" i="1"/>
  <c r="A2064" i="1"/>
  <c r="F2064" i="1"/>
  <c r="B2065" i="1"/>
  <c r="A2065" i="1"/>
  <c r="F2065" i="1"/>
  <c r="B2066" i="1"/>
  <c r="A2066" i="1"/>
  <c r="F2066" i="1"/>
  <c r="B2067" i="1"/>
  <c r="A2067" i="1"/>
  <c r="F2067" i="1"/>
  <c r="B2068" i="1"/>
  <c r="A2068" i="1"/>
  <c r="F2068" i="1"/>
  <c r="B2069" i="1"/>
  <c r="A2069" i="1"/>
  <c r="F2069" i="1"/>
  <c r="B2070" i="1"/>
  <c r="A2070" i="1"/>
  <c r="F2070" i="1"/>
  <c r="B2071" i="1"/>
  <c r="A2071" i="1"/>
  <c r="F2071" i="1"/>
  <c r="B2072" i="1"/>
  <c r="A2072" i="1"/>
  <c r="F2072" i="1"/>
  <c r="B2073" i="1"/>
  <c r="A2073" i="1"/>
  <c r="F2073" i="1"/>
  <c r="B2074" i="1"/>
  <c r="A2074" i="1"/>
  <c r="F2074" i="1"/>
  <c r="B2075" i="1"/>
  <c r="A2075" i="1"/>
  <c r="F2075" i="1"/>
  <c r="B2076" i="1"/>
  <c r="A2076" i="1"/>
  <c r="F2076" i="1"/>
  <c r="B2077" i="1"/>
  <c r="A2077" i="1"/>
  <c r="F2077" i="1"/>
  <c r="B2078" i="1"/>
  <c r="A2078" i="1"/>
  <c r="F2078" i="1"/>
  <c r="B2079" i="1"/>
  <c r="A2079" i="1"/>
  <c r="F2079" i="1"/>
  <c r="B2080" i="1"/>
  <c r="A2080" i="1"/>
  <c r="F2080" i="1"/>
  <c r="B2081" i="1"/>
  <c r="A2081" i="1"/>
  <c r="F2081" i="1"/>
  <c r="B2082" i="1"/>
  <c r="A2082" i="1"/>
  <c r="F2082" i="1"/>
  <c r="B2083" i="1"/>
  <c r="A2083" i="1"/>
  <c r="F2083" i="1"/>
  <c r="B2084" i="1"/>
  <c r="A2084" i="1"/>
  <c r="F2084" i="1"/>
  <c r="B2085" i="1"/>
  <c r="A2085" i="1"/>
  <c r="F2085" i="1"/>
  <c r="B2086" i="1"/>
  <c r="A2086" i="1"/>
  <c r="F2086" i="1"/>
  <c r="B2087" i="1"/>
  <c r="A2087" i="1"/>
  <c r="F2087" i="1"/>
  <c r="B2088" i="1"/>
  <c r="A2088" i="1"/>
  <c r="F2088" i="1"/>
  <c r="B2089" i="1"/>
  <c r="A2089" i="1"/>
  <c r="F2089" i="1"/>
  <c r="B2090" i="1"/>
  <c r="A2090" i="1"/>
  <c r="F2090" i="1"/>
  <c r="B2091" i="1"/>
  <c r="A2091" i="1"/>
  <c r="F2091" i="1"/>
  <c r="B2092" i="1"/>
  <c r="A2092" i="1"/>
  <c r="F2092" i="1"/>
  <c r="B2093" i="1"/>
  <c r="A2093" i="1"/>
  <c r="F2093" i="1"/>
  <c r="B2094" i="1"/>
  <c r="A2094" i="1"/>
  <c r="F2094" i="1"/>
  <c r="B2095" i="1"/>
  <c r="A2095" i="1"/>
  <c r="F2095" i="1"/>
  <c r="B2096" i="1"/>
  <c r="A2096" i="1"/>
  <c r="F2096" i="1"/>
  <c r="B2097" i="1"/>
  <c r="A2097" i="1"/>
  <c r="F2097" i="1"/>
  <c r="B2098" i="1"/>
  <c r="A2098" i="1"/>
  <c r="F2098" i="1"/>
  <c r="B2099" i="1"/>
  <c r="A2099" i="1"/>
  <c r="F2099" i="1"/>
  <c r="B2100" i="1"/>
  <c r="A2100" i="1"/>
  <c r="F2100" i="1"/>
  <c r="B2101" i="1"/>
  <c r="A2101" i="1"/>
  <c r="F2101" i="1"/>
  <c r="B2102" i="1"/>
  <c r="A2102" i="1"/>
  <c r="F2102" i="1"/>
  <c r="B2103" i="1"/>
  <c r="A2103" i="1"/>
  <c r="F2103" i="1"/>
  <c r="B2104" i="1"/>
  <c r="A2104" i="1"/>
  <c r="F2104" i="1"/>
  <c r="B2105" i="1"/>
  <c r="A2105" i="1"/>
  <c r="F2105" i="1"/>
  <c r="B2106" i="1"/>
  <c r="A2106" i="1"/>
  <c r="F2106" i="1"/>
  <c r="B2107" i="1"/>
  <c r="A2107" i="1"/>
  <c r="F2107" i="1"/>
  <c r="B2108" i="1"/>
  <c r="A2108" i="1"/>
  <c r="F2108" i="1"/>
  <c r="B2109" i="1"/>
  <c r="A2109" i="1"/>
  <c r="F2109" i="1"/>
  <c r="B2110" i="1"/>
  <c r="A2110" i="1"/>
  <c r="F2110" i="1"/>
  <c r="B2111" i="1"/>
  <c r="A2111" i="1"/>
  <c r="F2111" i="1"/>
  <c r="B2112" i="1"/>
  <c r="A2112" i="1"/>
  <c r="F2112" i="1"/>
  <c r="B2113" i="1"/>
  <c r="A2113" i="1"/>
  <c r="F2113" i="1"/>
  <c r="B2114" i="1"/>
  <c r="A2114" i="1"/>
  <c r="F2114" i="1"/>
  <c r="B2115" i="1"/>
  <c r="A2115" i="1"/>
  <c r="F2115" i="1"/>
  <c r="B2116" i="1"/>
  <c r="A2116" i="1"/>
  <c r="F2116" i="1"/>
  <c r="B2117" i="1"/>
  <c r="A2117" i="1"/>
  <c r="F2117" i="1"/>
  <c r="B2118" i="1"/>
  <c r="A2118" i="1"/>
  <c r="F2118" i="1"/>
  <c r="B2119" i="1"/>
  <c r="A2119" i="1"/>
  <c r="F2119" i="1"/>
  <c r="B2120" i="1"/>
  <c r="A2120" i="1"/>
  <c r="F2120" i="1"/>
  <c r="B2121" i="1"/>
  <c r="A2121" i="1"/>
  <c r="F2121" i="1"/>
  <c r="B2122" i="1"/>
  <c r="A2122" i="1"/>
  <c r="F2122" i="1"/>
  <c r="B2123" i="1"/>
  <c r="A2123" i="1"/>
  <c r="F2123" i="1"/>
  <c r="B2124" i="1"/>
  <c r="A2124" i="1"/>
  <c r="F2124" i="1"/>
  <c r="B2125" i="1"/>
  <c r="A2125" i="1"/>
  <c r="F2125" i="1"/>
  <c r="B2126" i="1"/>
  <c r="A2126" i="1"/>
  <c r="F2126" i="1"/>
  <c r="B2127" i="1"/>
  <c r="A2127" i="1"/>
  <c r="F2127" i="1"/>
  <c r="B2128" i="1"/>
  <c r="A2128" i="1"/>
  <c r="F2128" i="1"/>
  <c r="B2129" i="1"/>
  <c r="A2129" i="1"/>
  <c r="F2129" i="1"/>
  <c r="B2130" i="1"/>
  <c r="A2130" i="1"/>
  <c r="F2130" i="1"/>
  <c r="B2131" i="1"/>
  <c r="A2131" i="1"/>
  <c r="F2131" i="1"/>
  <c r="B2132" i="1"/>
  <c r="A2132" i="1"/>
  <c r="F2132" i="1"/>
  <c r="B2133" i="1"/>
  <c r="A2133" i="1"/>
  <c r="F2133" i="1"/>
  <c r="B2134" i="1"/>
  <c r="A2134" i="1"/>
  <c r="F2134" i="1"/>
  <c r="B2135" i="1"/>
  <c r="A2135" i="1"/>
  <c r="F2135" i="1"/>
  <c r="B2136" i="1"/>
  <c r="A2136" i="1"/>
  <c r="F2136" i="1"/>
  <c r="B2137" i="1"/>
  <c r="A2137" i="1"/>
  <c r="F2137" i="1"/>
  <c r="B2138" i="1"/>
  <c r="A2138" i="1"/>
  <c r="F2138" i="1"/>
  <c r="B2139" i="1"/>
  <c r="A2139" i="1"/>
  <c r="F2139" i="1"/>
  <c r="B2140" i="1"/>
  <c r="A2140" i="1"/>
  <c r="F2140" i="1"/>
  <c r="B2141" i="1"/>
  <c r="A2141" i="1"/>
  <c r="F2141" i="1"/>
  <c r="B2142" i="1"/>
  <c r="A2142" i="1"/>
  <c r="F2142" i="1"/>
  <c r="B2143" i="1"/>
  <c r="A2143" i="1"/>
  <c r="F2143" i="1"/>
  <c r="B2144" i="1"/>
  <c r="A2144" i="1"/>
  <c r="F2144" i="1"/>
  <c r="B2145" i="1"/>
  <c r="A2145" i="1"/>
  <c r="F2145" i="1"/>
  <c r="B2146" i="1"/>
  <c r="A2146" i="1"/>
  <c r="F2146" i="1"/>
  <c r="B2147" i="1"/>
  <c r="A2147" i="1"/>
  <c r="F2147" i="1"/>
  <c r="B2148" i="1"/>
  <c r="A2148" i="1"/>
  <c r="F2148" i="1"/>
  <c r="B2149" i="1"/>
  <c r="A2149" i="1"/>
  <c r="F2149" i="1"/>
  <c r="B2150" i="1"/>
  <c r="A2150" i="1"/>
  <c r="F2150" i="1"/>
  <c r="B2151" i="1"/>
  <c r="A2151" i="1"/>
  <c r="F2151" i="1"/>
  <c r="B2152" i="1"/>
  <c r="A2152" i="1"/>
  <c r="F2152" i="1"/>
  <c r="B2153" i="1"/>
  <c r="A2153" i="1"/>
  <c r="F2153" i="1"/>
  <c r="B2154" i="1"/>
  <c r="A2154" i="1"/>
  <c r="F2154" i="1"/>
  <c r="B2155" i="1"/>
  <c r="A2155" i="1"/>
  <c r="F2155" i="1"/>
  <c r="B2156" i="1"/>
  <c r="A2156" i="1"/>
  <c r="F2156" i="1"/>
  <c r="B2157" i="1"/>
  <c r="A2157" i="1"/>
  <c r="F2157" i="1"/>
  <c r="B2158" i="1"/>
  <c r="A2158" i="1"/>
  <c r="F2158" i="1"/>
  <c r="B2159" i="1"/>
  <c r="A2159" i="1"/>
  <c r="F2159" i="1"/>
  <c r="B2160" i="1"/>
  <c r="A2160" i="1"/>
  <c r="F2160" i="1"/>
  <c r="B2161" i="1"/>
  <c r="A2161" i="1"/>
  <c r="F2161" i="1"/>
  <c r="B2162" i="1"/>
  <c r="A2162" i="1"/>
  <c r="F2162" i="1"/>
  <c r="B2163" i="1"/>
  <c r="A2163" i="1"/>
  <c r="F2163" i="1"/>
  <c r="B2164" i="1"/>
  <c r="A2164" i="1"/>
  <c r="F2164" i="1"/>
  <c r="B2165" i="1"/>
  <c r="A2165" i="1"/>
  <c r="F2165" i="1"/>
  <c r="B2166" i="1"/>
  <c r="A2166" i="1"/>
  <c r="F2166" i="1"/>
  <c r="B2167" i="1"/>
  <c r="A2167" i="1"/>
  <c r="F2167" i="1"/>
  <c r="B2168" i="1"/>
  <c r="A2168" i="1"/>
  <c r="F2168" i="1"/>
  <c r="B2169" i="1"/>
  <c r="A2169" i="1"/>
  <c r="F2169" i="1"/>
  <c r="B2170" i="1"/>
  <c r="A2170" i="1"/>
  <c r="F2170" i="1"/>
  <c r="B2171" i="1"/>
  <c r="A2171" i="1"/>
  <c r="F2171" i="1"/>
  <c r="B2172" i="1"/>
  <c r="A2172" i="1"/>
  <c r="F2172" i="1"/>
  <c r="B2173" i="1"/>
  <c r="A2173" i="1"/>
  <c r="F2173" i="1"/>
  <c r="B2174" i="1"/>
  <c r="A2174" i="1"/>
  <c r="F2174" i="1"/>
  <c r="B2175" i="1"/>
  <c r="A2175" i="1"/>
  <c r="F2175" i="1"/>
  <c r="B2176" i="1"/>
  <c r="A2176" i="1"/>
  <c r="F2176" i="1"/>
  <c r="B2177" i="1"/>
  <c r="A2177" i="1"/>
  <c r="F2177" i="1"/>
  <c r="B2178" i="1"/>
  <c r="A2178" i="1"/>
  <c r="F2178" i="1"/>
  <c r="B2179" i="1"/>
  <c r="A2179" i="1"/>
  <c r="F2179" i="1"/>
  <c r="B2180" i="1"/>
  <c r="A2180" i="1"/>
  <c r="F2180" i="1"/>
  <c r="B2181" i="1"/>
  <c r="A2181" i="1"/>
  <c r="F2181" i="1"/>
  <c r="B2182" i="1"/>
  <c r="A2182" i="1"/>
  <c r="F2182" i="1"/>
  <c r="B2183" i="1"/>
  <c r="A2183" i="1"/>
  <c r="F2183" i="1"/>
  <c r="B2184" i="1"/>
  <c r="A2184" i="1"/>
  <c r="F2184" i="1"/>
  <c r="B2185" i="1"/>
  <c r="A2185" i="1"/>
  <c r="F2185" i="1"/>
  <c r="B2186" i="1"/>
  <c r="A2186" i="1"/>
  <c r="F2186" i="1"/>
  <c r="B2187" i="1"/>
  <c r="A2187" i="1"/>
  <c r="F2187" i="1"/>
  <c r="B2188" i="1"/>
  <c r="A2188" i="1"/>
  <c r="F2188" i="1"/>
  <c r="B2189" i="1"/>
  <c r="A2189" i="1"/>
  <c r="F2189" i="1"/>
  <c r="B2190" i="1"/>
  <c r="A2190" i="1"/>
  <c r="F2190" i="1"/>
  <c r="B2191" i="1"/>
  <c r="A2191" i="1"/>
  <c r="F2191" i="1"/>
  <c r="B2192" i="1"/>
  <c r="A2192" i="1"/>
  <c r="F2192" i="1"/>
  <c r="B2193" i="1"/>
  <c r="A2193" i="1"/>
  <c r="F2193" i="1"/>
  <c r="B2194" i="1"/>
  <c r="A2194" i="1"/>
  <c r="F2194" i="1"/>
  <c r="B2195" i="1"/>
  <c r="A2195" i="1"/>
  <c r="F2195" i="1"/>
  <c r="B2196" i="1"/>
  <c r="A2196" i="1"/>
  <c r="F2196" i="1"/>
  <c r="B2197" i="1"/>
  <c r="A2197" i="1"/>
  <c r="F2197" i="1"/>
  <c r="B2198" i="1"/>
  <c r="A2198" i="1"/>
  <c r="F2198" i="1"/>
  <c r="B2199" i="1"/>
  <c r="A2199" i="1"/>
  <c r="F2199" i="1"/>
  <c r="B2200" i="1"/>
  <c r="A2200" i="1"/>
  <c r="F2200" i="1"/>
  <c r="B2201" i="1"/>
  <c r="A2201" i="1"/>
  <c r="F2201" i="1"/>
  <c r="B2202" i="1"/>
  <c r="A2202" i="1"/>
  <c r="F2202" i="1"/>
  <c r="B2203" i="1"/>
  <c r="A2203" i="1"/>
  <c r="F2203" i="1"/>
  <c r="B2204" i="1"/>
  <c r="A2204" i="1"/>
  <c r="F2204" i="1"/>
  <c r="B2205" i="1"/>
  <c r="A2205" i="1"/>
  <c r="F2205" i="1"/>
  <c r="B2206" i="1"/>
  <c r="A2206" i="1"/>
  <c r="F2206" i="1"/>
  <c r="B2207" i="1"/>
  <c r="A2207" i="1"/>
  <c r="F2207" i="1"/>
  <c r="B2208" i="1"/>
  <c r="A2208" i="1"/>
  <c r="F2208" i="1"/>
  <c r="B2209" i="1"/>
  <c r="A2209" i="1"/>
  <c r="F2209" i="1"/>
  <c r="B2210" i="1"/>
  <c r="A2210" i="1"/>
  <c r="F2210" i="1"/>
  <c r="B2211" i="1"/>
  <c r="A2211" i="1"/>
  <c r="F2211" i="1"/>
  <c r="B2212" i="1"/>
  <c r="A2212" i="1"/>
  <c r="F2212" i="1"/>
  <c r="B2213" i="1"/>
  <c r="A2213" i="1"/>
  <c r="F2213" i="1"/>
  <c r="B2214" i="1"/>
  <c r="A2214" i="1"/>
  <c r="F2214" i="1"/>
  <c r="B2215" i="1"/>
  <c r="A2215" i="1"/>
  <c r="F2215" i="1"/>
  <c r="B2216" i="1"/>
  <c r="A2216" i="1"/>
  <c r="F2216" i="1"/>
  <c r="B2217" i="1"/>
  <c r="A2217" i="1"/>
  <c r="F2217" i="1"/>
  <c r="B2218" i="1"/>
  <c r="A2218" i="1"/>
  <c r="F2218" i="1"/>
  <c r="B2219" i="1"/>
  <c r="A2219" i="1"/>
  <c r="F2219" i="1"/>
  <c r="B2220" i="1"/>
  <c r="A2220" i="1"/>
  <c r="F2220" i="1"/>
  <c r="B2221" i="1"/>
  <c r="A2221" i="1"/>
  <c r="F2221" i="1"/>
  <c r="B2222" i="1"/>
  <c r="A2222" i="1"/>
  <c r="F2222" i="1"/>
  <c r="B2223" i="1"/>
  <c r="A2223" i="1"/>
  <c r="F2223" i="1"/>
  <c r="B2224" i="1"/>
  <c r="A2224" i="1"/>
  <c r="F2224" i="1"/>
  <c r="B2225" i="1"/>
  <c r="A2225" i="1"/>
  <c r="F2225" i="1"/>
  <c r="B2226" i="1"/>
  <c r="A2226" i="1"/>
  <c r="F2226" i="1"/>
  <c r="B2227" i="1"/>
  <c r="A2227" i="1"/>
  <c r="F2227" i="1"/>
  <c r="B2228" i="1"/>
  <c r="A2228" i="1"/>
  <c r="F2228" i="1"/>
  <c r="B2229" i="1"/>
  <c r="A2229" i="1"/>
  <c r="F2229" i="1"/>
  <c r="B2230" i="1"/>
  <c r="A2230" i="1"/>
  <c r="F2230" i="1"/>
  <c r="B2231" i="1"/>
  <c r="A2231" i="1"/>
  <c r="F2231" i="1"/>
  <c r="B2232" i="1"/>
  <c r="A2232" i="1"/>
  <c r="F2232" i="1"/>
  <c r="B2233" i="1"/>
  <c r="A2233" i="1"/>
  <c r="F2233" i="1"/>
  <c r="B2234" i="1"/>
  <c r="A2234" i="1"/>
  <c r="F2234" i="1"/>
  <c r="B2235" i="1"/>
  <c r="A2235" i="1"/>
  <c r="F2235" i="1"/>
  <c r="B2236" i="1"/>
  <c r="A2236" i="1"/>
  <c r="F2236" i="1"/>
  <c r="B2237" i="1"/>
  <c r="A2237" i="1"/>
  <c r="F2237" i="1"/>
  <c r="B2238" i="1"/>
  <c r="A2238" i="1"/>
  <c r="F2238" i="1"/>
  <c r="B2239" i="1"/>
  <c r="A2239" i="1"/>
  <c r="F2239" i="1"/>
  <c r="B2240" i="1"/>
  <c r="A2240" i="1"/>
  <c r="F2240" i="1"/>
  <c r="B2241" i="1"/>
  <c r="A2241" i="1"/>
  <c r="F2241" i="1"/>
  <c r="B2242" i="1"/>
  <c r="A2242" i="1"/>
  <c r="F2242" i="1"/>
  <c r="B2243" i="1"/>
  <c r="A2243" i="1"/>
  <c r="F2243" i="1"/>
  <c r="B2244" i="1"/>
  <c r="A2244" i="1"/>
  <c r="F2244" i="1"/>
  <c r="B2245" i="1"/>
  <c r="A2245" i="1"/>
  <c r="F2245" i="1"/>
  <c r="B2246" i="1"/>
  <c r="A2246" i="1"/>
  <c r="F2246" i="1"/>
  <c r="B2247" i="1"/>
  <c r="A2247" i="1"/>
  <c r="F2247" i="1"/>
  <c r="B2248" i="1"/>
  <c r="A2248" i="1"/>
  <c r="F2248" i="1"/>
  <c r="B2249" i="1"/>
  <c r="A2249" i="1"/>
  <c r="F2249" i="1"/>
  <c r="B2250" i="1"/>
  <c r="A2250" i="1"/>
  <c r="F2250" i="1"/>
  <c r="B2251" i="1"/>
  <c r="A2251" i="1"/>
  <c r="F2251" i="1"/>
  <c r="B2252" i="1"/>
  <c r="A2252" i="1"/>
  <c r="F2252" i="1"/>
  <c r="B2253" i="1"/>
  <c r="A2253" i="1"/>
  <c r="F2253" i="1"/>
  <c r="B2254" i="1"/>
  <c r="A2254" i="1"/>
  <c r="F2254" i="1"/>
  <c r="B2255" i="1"/>
  <c r="A2255" i="1"/>
  <c r="F2255" i="1"/>
  <c r="B2256" i="1"/>
  <c r="A2256" i="1"/>
  <c r="F2256" i="1"/>
  <c r="B2257" i="1"/>
  <c r="A2257" i="1"/>
  <c r="F2257" i="1"/>
  <c r="B2258" i="1"/>
  <c r="A2258" i="1"/>
  <c r="F2258" i="1"/>
  <c r="B2259" i="1"/>
  <c r="A2259" i="1"/>
  <c r="F2259" i="1"/>
  <c r="B2260" i="1"/>
  <c r="A2260" i="1"/>
  <c r="F2260" i="1"/>
  <c r="B2261" i="1"/>
  <c r="A2261" i="1"/>
  <c r="F2261" i="1"/>
  <c r="B2262" i="1"/>
  <c r="A2262" i="1"/>
  <c r="F2262" i="1"/>
  <c r="B2263" i="1"/>
  <c r="A2263" i="1"/>
  <c r="F2263" i="1"/>
  <c r="B2264" i="1"/>
  <c r="A2264" i="1"/>
  <c r="F2264" i="1"/>
  <c r="B2265" i="1"/>
  <c r="A2265" i="1"/>
  <c r="F2265" i="1"/>
  <c r="B2266" i="1"/>
  <c r="A2266" i="1"/>
  <c r="F2266" i="1"/>
  <c r="B2267" i="1"/>
  <c r="A2267" i="1"/>
  <c r="F2267" i="1"/>
  <c r="B2268" i="1"/>
  <c r="A2268" i="1"/>
  <c r="F2268" i="1"/>
  <c r="B2269" i="1"/>
  <c r="A2269" i="1"/>
  <c r="F2269" i="1"/>
  <c r="B2270" i="1"/>
  <c r="A2270" i="1"/>
  <c r="F2270" i="1"/>
  <c r="B2271" i="1"/>
  <c r="A2271" i="1"/>
  <c r="F2271" i="1"/>
  <c r="B2272" i="1"/>
  <c r="A2272" i="1"/>
  <c r="F2272" i="1"/>
  <c r="B2273" i="1"/>
  <c r="A2273" i="1"/>
  <c r="F2273" i="1"/>
  <c r="B2274" i="1"/>
  <c r="A2274" i="1"/>
  <c r="F2274" i="1"/>
  <c r="B2275" i="1"/>
  <c r="A2275" i="1"/>
  <c r="F2275" i="1"/>
  <c r="B2276" i="1"/>
  <c r="A2276" i="1"/>
  <c r="F2276" i="1"/>
  <c r="B2277" i="1"/>
  <c r="A2277" i="1"/>
  <c r="F2277" i="1"/>
  <c r="B2278" i="1"/>
  <c r="A2278" i="1"/>
  <c r="F2278" i="1"/>
  <c r="B2279" i="1"/>
  <c r="A2279" i="1"/>
  <c r="F2279" i="1"/>
  <c r="B2280" i="1"/>
  <c r="A2280" i="1"/>
  <c r="F2280" i="1"/>
  <c r="B2281" i="1"/>
  <c r="A2281" i="1"/>
  <c r="F2281" i="1"/>
  <c r="B2282" i="1"/>
  <c r="A2282" i="1"/>
  <c r="F2282" i="1"/>
  <c r="B2283" i="1"/>
  <c r="A2283" i="1"/>
  <c r="F2283" i="1"/>
  <c r="B2284" i="1"/>
  <c r="A2284" i="1"/>
  <c r="F2284" i="1"/>
  <c r="B2285" i="1"/>
  <c r="A2285" i="1"/>
  <c r="F2285" i="1"/>
  <c r="B2286" i="1"/>
  <c r="A2286" i="1"/>
  <c r="F2286" i="1"/>
  <c r="B2287" i="1"/>
  <c r="A2287" i="1"/>
  <c r="F2287" i="1"/>
  <c r="B2288" i="1"/>
  <c r="A2288" i="1"/>
  <c r="F2288" i="1"/>
  <c r="B2289" i="1"/>
  <c r="A2289" i="1"/>
  <c r="F2289" i="1"/>
  <c r="B2290" i="1"/>
  <c r="A2290" i="1"/>
  <c r="F2290" i="1"/>
  <c r="B2291" i="1"/>
  <c r="A2291" i="1"/>
  <c r="F2291" i="1"/>
  <c r="B2292" i="1"/>
  <c r="A2292" i="1"/>
  <c r="F2292" i="1"/>
  <c r="B2293" i="1"/>
  <c r="A2293" i="1"/>
  <c r="F2293" i="1"/>
  <c r="B2294" i="1"/>
  <c r="A2294" i="1"/>
  <c r="F2294" i="1"/>
  <c r="B2295" i="1"/>
  <c r="A2295" i="1"/>
  <c r="F2295" i="1"/>
  <c r="B2296" i="1"/>
  <c r="A2296" i="1"/>
  <c r="F2296" i="1"/>
  <c r="B2297" i="1"/>
  <c r="A2297" i="1"/>
  <c r="F2297" i="1"/>
  <c r="B2298" i="1"/>
  <c r="A2298" i="1"/>
  <c r="F2298" i="1"/>
  <c r="B2299" i="1"/>
  <c r="A2299" i="1"/>
  <c r="F2299" i="1"/>
  <c r="B2300" i="1"/>
  <c r="A2300" i="1"/>
  <c r="F2300" i="1"/>
  <c r="B2301" i="1"/>
  <c r="A2301" i="1"/>
  <c r="F2301" i="1"/>
  <c r="B2302" i="1"/>
  <c r="A2302" i="1"/>
  <c r="F2302" i="1"/>
  <c r="B2303" i="1"/>
  <c r="A2303" i="1"/>
  <c r="F2303" i="1"/>
  <c r="B2304" i="1"/>
  <c r="A2304" i="1"/>
  <c r="F2304" i="1"/>
  <c r="B2305" i="1"/>
  <c r="A2305" i="1"/>
  <c r="F2305" i="1"/>
  <c r="B2306" i="1"/>
  <c r="A2306" i="1"/>
  <c r="F2306" i="1"/>
  <c r="B2307" i="1"/>
  <c r="A2307" i="1"/>
  <c r="F2307" i="1"/>
  <c r="B2308" i="1"/>
  <c r="A2308" i="1"/>
  <c r="F2308" i="1"/>
  <c r="B2309" i="1"/>
  <c r="A2309" i="1"/>
  <c r="F2309" i="1"/>
  <c r="B2310" i="1"/>
  <c r="A2310" i="1"/>
  <c r="F2310" i="1"/>
  <c r="B2311" i="1"/>
  <c r="A2311" i="1"/>
  <c r="F2311" i="1"/>
  <c r="B2312" i="1"/>
  <c r="A2312" i="1"/>
  <c r="F2312" i="1"/>
  <c r="B2313" i="1"/>
  <c r="A2313" i="1"/>
  <c r="F2313" i="1"/>
  <c r="B2314" i="1"/>
  <c r="A2314" i="1"/>
  <c r="F2314" i="1"/>
  <c r="B2315" i="1"/>
  <c r="A2315" i="1"/>
  <c r="F2315" i="1"/>
  <c r="B2316" i="1"/>
  <c r="A2316" i="1"/>
  <c r="F2316" i="1"/>
  <c r="B2317" i="1"/>
  <c r="A2317" i="1"/>
  <c r="F2317" i="1"/>
  <c r="B2318" i="1"/>
  <c r="A2318" i="1"/>
  <c r="F2318" i="1"/>
  <c r="B2319" i="1"/>
  <c r="A2319" i="1"/>
  <c r="F2319" i="1"/>
  <c r="B2320" i="1"/>
  <c r="A2320" i="1"/>
  <c r="F2320" i="1"/>
  <c r="B2321" i="1"/>
  <c r="A2321" i="1"/>
  <c r="F2321" i="1"/>
  <c r="B2322" i="1"/>
  <c r="A2322" i="1"/>
  <c r="F2322" i="1"/>
  <c r="B2323" i="1"/>
  <c r="A2323" i="1"/>
  <c r="F2323" i="1"/>
  <c r="B2324" i="1"/>
  <c r="A2324" i="1"/>
  <c r="F2324" i="1"/>
  <c r="B2325" i="1"/>
  <c r="A2325" i="1"/>
  <c r="F2325" i="1"/>
  <c r="B2326" i="1"/>
  <c r="A2326" i="1"/>
  <c r="F2326" i="1"/>
  <c r="B2327" i="1"/>
  <c r="A2327" i="1"/>
  <c r="F2327" i="1"/>
  <c r="B2328" i="1"/>
  <c r="A2328" i="1"/>
  <c r="F2328" i="1"/>
  <c r="B2329" i="1"/>
  <c r="A2329" i="1"/>
  <c r="F2329" i="1"/>
  <c r="B2330" i="1"/>
  <c r="A2330" i="1"/>
  <c r="F2330" i="1"/>
  <c r="B2331" i="1"/>
  <c r="A2331" i="1"/>
  <c r="F2331" i="1"/>
  <c r="B2332" i="1"/>
  <c r="A2332" i="1"/>
  <c r="F2332" i="1"/>
  <c r="B2333" i="1"/>
  <c r="A2333" i="1"/>
  <c r="F2333" i="1"/>
  <c r="B2334" i="1"/>
  <c r="A2334" i="1"/>
  <c r="F2334" i="1"/>
  <c r="B2335" i="1"/>
  <c r="A2335" i="1"/>
  <c r="F2335" i="1"/>
  <c r="B2336" i="1"/>
  <c r="A2336" i="1"/>
  <c r="F2336" i="1"/>
  <c r="B2337" i="1"/>
  <c r="A2337" i="1"/>
  <c r="F2337" i="1"/>
  <c r="B2338" i="1"/>
  <c r="A2338" i="1"/>
  <c r="F2338" i="1"/>
  <c r="B2339" i="1"/>
  <c r="A2339" i="1"/>
  <c r="F2339" i="1"/>
  <c r="B2340" i="1"/>
  <c r="A2340" i="1"/>
  <c r="F2340" i="1"/>
  <c r="B2341" i="1"/>
  <c r="A2341" i="1"/>
  <c r="F2341" i="1"/>
  <c r="B2342" i="1"/>
  <c r="A2342" i="1"/>
  <c r="F2342" i="1"/>
  <c r="B2343" i="1"/>
  <c r="A2343" i="1"/>
  <c r="F2343" i="1"/>
  <c r="B2344" i="1"/>
  <c r="A2344" i="1"/>
  <c r="F2344" i="1"/>
  <c r="B2345" i="1"/>
  <c r="A2345" i="1"/>
  <c r="F2345" i="1"/>
  <c r="B2346" i="1"/>
  <c r="A2346" i="1"/>
  <c r="F2346" i="1"/>
  <c r="B2347" i="1"/>
  <c r="A2347" i="1"/>
  <c r="F2347" i="1"/>
  <c r="B2348" i="1"/>
  <c r="A2348" i="1"/>
  <c r="F2348" i="1"/>
  <c r="B2349" i="1"/>
  <c r="A2349" i="1"/>
  <c r="F2349" i="1"/>
  <c r="B2350" i="1"/>
  <c r="A2350" i="1"/>
  <c r="F2350" i="1"/>
  <c r="B2351" i="1"/>
  <c r="A2351" i="1"/>
  <c r="F2351" i="1"/>
  <c r="B2352" i="1"/>
  <c r="A2352" i="1"/>
  <c r="F2352" i="1"/>
  <c r="B2353" i="1"/>
  <c r="A2353" i="1"/>
  <c r="F2353" i="1"/>
  <c r="B2354" i="1"/>
  <c r="A2354" i="1"/>
  <c r="F2354" i="1"/>
  <c r="B2355" i="1"/>
  <c r="A2355" i="1"/>
  <c r="F2355" i="1"/>
  <c r="B2356" i="1"/>
  <c r="A2356" i="1"/>
  <c r="F2356" i="1"/>
  <c r="B2357" i="1"/>
  <c r="A2357" i="1"/>
  <c r="F2357" i="1"/>
  <c r="B2358" i="1"/>
  <c r="A2358" i="1"/>
  <c r="F2358" i="1"/>
  <c r="B2359" i="1"/>
  <c r="A2359" i="1"/>
  <c r="F2359" i="1"/>
  <c r="B2360" i="1"/>
  <c r="A2360" i="1"/>
  <c r="F2360" i="1"/>
  <c r="B2361" i="1"/>
  <c r="A2361" i="1"/>
  <c r="F2361" i="1"/>
  <c r="B2362" i="1"/>
  <c r="A2362" i="1"/>
  <c r="F2362" i="1"/>
  <c r="B2363" i="1"/>
  <c r="A2363" i="1"/>
  <c r="F2363" i="1"/>
  <c r="B2364" i="1"/>
  <c r="A2364" i="1"/>
  <c r="F2364" i="1"/>
  <c r="B2365" i="1"/>
  <c r="A2365" i="1"/>
  <c r="F2365" i="1"/>
  <c r="B2366" i="1"/>
  <c r="A2366" i="1"/>
  <c r="F2366" i="1"/>
  <c r="B2367" i="1"/>
  <c r="A2367" i="1"/>
  <c r="F2367" i="1"/>
  <c r="B2368" i="1"/>
  <c r="A2368" i="1"/>
  <c r="F2368" i="1"/>
  <c r="B2369" i="1"/>
  <c r="A2369" i="1"/>
  <c r="F2369" i="1"/>
  <c r="B2370" i="1"/>
  <c r="A2370" i="1"/>
  <c r="F2370" i="1"/>
  <c r="B2371" i="1"/>
  <c r="A2371" i="1"/>
  <c r="F2371" i="1"/>
  <c r="B2372" i="1"/>
  <c r="A2372" i="1"/>
  <c r="F2372" i="1"/>
  <c r="B2373" i="1"/>
  <c r="A2373" i="1"/>
  <c r="F2373" i="1"/>
  <c r="B2374" i="1"/>
  <c r="A2374" i="1"/>
  <c r="F2374" i="1"/>
  <c r="B2375" i="1"/>
  <c r="A2375" i="1"/>
  <c r="F2375" i="1"/>
  <c r="B2376" i="1"/>
  <c r="A2376" i="1"/>
  <c r="F2376" i="1"/>
  <c r="B2377" i="1"/>
  <c r="A2377" i="1"/>
  <c r="F2377" i="1"/>
  <c r="B2378" i="1"/>
  <c r="A2378" i="1"/>
  <c r="F2378" i="1"/>
  <c r="B2379" i="1"/>
  <c r="A2379" i="1"/>
  <c r="F2379" i="1"/>
  <c r="B2380" i="1"/>
  <c r="A2380" i="1"/>
  <c r="F2380" i="1"/>
  <c r="B2381" i="1"/>
  <c r="A2381" i="1"/>
  <c r="F2381" i="1"/>
  <c r="B2382" i="1"/>
  <c r="A2382" i="1"/>
  <c r="F2382" i="1"/>
  <c r="B2383" i="1"/>
  <c r="A2383" i="1"/>
  <c r="F2383" i="1"/>
  <c r="B2384" i="1"/>
  <c r="A2384" i="1"/>
  <c r="F2384" i="1"/>
  <c r="B2385" i="1"/>
  <c r="A2385" i="1"/>
  <c r="F2385" i="1"/>
  <c r="B2386" i="1"/>
  <c r="A2386" i="1"/>
  <c r="F2386" i="1"/>
  <c r="B2387" i="1"/>
  <c r="A2387" i="1"/>
  <c r="F2387" i="1"/>
  <c r="B2388" i="1"/>
  <c r="A2388" i="1"/>
  <c r="F2388" i="1"/>
  <c r="B2389" i="1"/>
  <c r="A2389" i="1"/>
  <c r="F2389" i="1"/>
  <c r="B2390" i="1"/>
  <c r="A2390" i="1"/>
  <c r="F2390" i="1"/>
  <c r="B2391" i="1"/>
  <c r="A2391" i="1"/>
  <c r="F2391" i="1"/>
  <c r="B2392" i="1"/>
  <c r="A2392" i="1"/>
  <c r="F2392" i="1"/>
  <c r="B2393" i="1"/>
  <c r="A2393" i="1"/>
  <c r="F2393" i="1"/>
  <c r="B2394" i="1"/>
  <c r="A2394" i="1"/>
  <c r="F2394" i="1"/>
  <c r="B2395" i="1"/>
  <c r="A2395" i="1"/>
  <c r="F2395" i="1"/>
  <c r="B2396" i="1"/>
  <c r="A2396" i="1"/>
  <c r="F2396" i="1"/>
  <c r="B2397" i="1"/>
  <c r="A2397" i="1"/>
  <c r="F2397" i="1"/>
  <c r="B2398" i="1"/>
  <c r="A2398" i="1"/>
  <c r="F2398" i="1"/>
  <c r="B2399" i="1"/>
  <c r="A2399" i="1"/>
  <c r="F2399" i="1"/>
  <c r="B2400" i="1"/>
  <c r="A2400" i="1"/>
  <c r="F2400" i="1"/>
  <c r="B2401" i="1"/>
  <c r="A2401" i="1"/>
  <c r="F2401" i="1"/>
  <c r="B2402" i="1"/>
  <c r="A2402" i="1"/>
  <c r="F2402" i="1"/>
  <c r="B2403" i="1"/>
  <c r="A2403" i="1"/>
  <c r="F2403" i="1"/>
  <c r="B2404" i="1"/>
  <c r="A2404" i="1"/>
  <c r="F2404" i="1"/>
  <c r="B2405" i="1"/>
  <c r="A2405" i="1"/>
  <c r="F2405" i="1"/>
  <c r="B2406" i="1"/>
  <c r="A2406" i="1"/>
  <c r="F2406" i="1"/>
  <c r="B2407" i="1"/>
  <c r="A2407" i="1"/>
  <c r="F2407" i="1"/>
  <c r="B2408" i="1"/>
  <c r="A2408" i="1"/>
  <c r="F2408" i="1"/>
  <c r="B2409" i="1"/>
  <c r="A2409" i="1"/>
  <c r="F2409" i="1"/>
  <c r="B2410" i="1"/>
  <c r="A2410" i="1"/>
  <c r="F2410" i="1"/>
  <c r="B2411" i="1"/>
  <c r="A2411" i="1"/>
  <c r="F2411" i="1"/>
  <c r="B2412" i="1"/>
  <c r="A2412" i="1"/>
  <c r="F2412" i="1"/>
  <c r="B2413" i="1"/>
  <c r="A2413" i="1"/>
  <c r="F2413" i="1"/>
  <c r="B2414" i="1"/>
  <c r="A2414" i="1"/>
  <c r="F2414" i="1"/>
  <c r="B2415" i="1"/>
  <c r="A2415" i="1"/>
  <c r="F2415" i="1"/>
  <c r="B2416" i="1"/>
  <c r="A2416" i="1"/>
  <c r="F2416" i="1"/>
  <c r="B2417" i="1"/>
  <c r="A2417" i="1"/>
  <c r="F2417" i="1"/>
  <c r="B2418" i="1"/>
  <c r="A2418" i="1"/>
  <c r="F2418" i="1"/>
  <c r="B2419" i="1"/>
  <c r="A2419" i="1"/>
  <c r="F2419" i="1"/>
  <c r="B2420" i="1"/>
  <c r="A2420" i="1"/>
  <c r="F2420" i="1"/>
  <c r="B2421" i="1"/>
  <c r="A2421" i="1"/>
  <c r="F2421" i="1"/>
  <c r="B2422" i="1"/>
  <c r="A2422" i="1"/>
  <c r="F2422" i="1"/>
  <c r="B2423" i="1"/>
  <c r="A2423" i="1"/>
  <c r="F2423" i="1"/>
  <c r="B2424" i="1"/>
  <c r="A2424" i="1"/>
  <c r="F2424" i="1"/>
  <c r="B2425" i="1"/>
  <c r="A2425" i="1"/>
  <c r="F2425" i="1"/>
  <c r="B2426" i="1"/>
  <c r="A2426" i="1"/>
  <c r="F2426" i="1"/>
  <c r="B2427" i="1"/>
  <c r="A2427" i="1"/>
  <c r="F2427" i="1"/>
  <c r="B2428" i="1"/>
  <c r="A2428" i="1"/>
  <c r="F2428" i="1"/>
  <c r="B2429" i="1"/>
  <c r="A2429" i="1"/>
  <c r="F2429" i="1"/>
  <c r="B2430" i="1"/>
  <c r="A2430" i="1"/>
  <c r="F2430" i="1"/>
  <c r="B2431" i="1"/>
  <c r="A2431" i="1"/>
  <c r="F2431" i="1"/>
  <c r="B2432" i="1"/>
  <c r="A2432" i="1"/>
  <c r="F2432" i="1"/>
  <c r="B2433" i="1"/>
  <c r="A2433" i="1"/>
  <c r="F2433" i="1"/>
  <c r="B2434" i="1"/>
  <c r="A2434" i="1"/>
  <c r="F2434" i="1"/>
  <c r="B2435" i="1"/>
  <c r="A2435" i="1"/>
  <c r="F2435" i="1"/>
  <c r="B2436" i="1"/>
  <c r="A2436" i="1"/>
  <c r="F2436" i="1"/>
  <c r="B2437" i="1"/>
  <c r="A2437" i="1"/>
  <c r="F2437" i="1"/>
  <c r="B2438" i="1"/>
  <c r="A2438" i="1"/>
  <c r="F2438" i="1"/>
  <c r="B2439" i="1"/>
  <c r="A2439" i="1"/>
  <c r="F2439" i="1"/>
  <c r="B2440" i="1"/>
  <c r="A2440" i="1"/>
  <c r="F2440" i="1"/>
  <c r="B2441" i="1"/>
  <c r="A2441" i="1"/>
  <c r="F2441" i="1"/>
  <c r="B2442" i="1"/>
  <c r="A2442" i="1"/>
  <c r="F2442" i="1"/>
  <c r="B2443" i="1"/>
  <c r="A2443" i="1"/>
  <c r="F2443" i="1"/>
  <c r="B2444" i="1"/>
  <c r="A2444" i="1"/>
  <c r="F2444" i="1"/>
  <c r="B2445" i="1"/>
  <c r="A2445" i="1"/>
  <c r="F2445" i="1"/>
  <c r="B2446" i="1"/>
  <c r="A2446" i="1"/>
  <c r="F2446" i="1"/>
  <c r="B2447" i="1"/>
  <c r="A2447" i="1"/>
  <c r="F2447" i="1"/>
  <c r="B2448" i="1"/>
  <c r="A2448" i="1"/>
  <c r="F2448" i="1"/>
  <c r="B2449" i="1"/>
  <c r="A2449" i="1"/>
  <c r="F2449" i="1"/>
  <c r="B2450" i="1"/>
  <c r="A2450" i="1"/>
  <c r="F2450" i="1"/>
  <c r="B2451" i="1"/>
  <c r="A2451" i="1"/>
  <c r="F2451" i="1"/>
  <c r="B2452" i="1"/>
  <c r="A2452" i="1"/>
  <c r="F2452" i="1"/>
  <c r="B2453" i="1"/>
  <c r="A2453" i="1"/>
  <c r="F2453" i="1"/>
  <c r="B2454" i="1"/>
  <c r="A2454" i="1"/>
  <c r="F2454" i="1"/>
  <c r="B2455" i="1"/>
  <c r="A2455" i="1"/>
  <c r="F2455" i="1"/>
  <c r="B2456" i="1"/>
  <c r="A2456" i="1"/>
  <c r="F2456" i="1"/>
  <c r="B2457" i="1"/>
  <c r="A2457" i="1"/>
  <c r="F2457" i="1"/>
  <c r="B2458" i="1"/>
  <c r="A2458" i="1"/>
  <c r="F2458" i="1"/>
  <c r="B2459" i="1"/>
  <c r="A2459" i="1"/>
  <c r="F2459" i="1"/>
  <c r="B2460" i="1"/>
  <c r="A2460" i="1"/>
  <c r="F2460" i="1"/>
  <c r="B2461" i="1"/>
  <c r="A2461" i="1"/>
  <c r="F2461" i="1"/>
  <c r="B2462" i="1"/>
  <c r="A2462" i="1"/>
  <c r="F2462" i="1"/>
  <c r="B2463" i="1"/>
  <c r="A2463" i="1"/>
  <c r="F2463" i="1"/>
  <c r="B2464" i="1"/>
  <c r="A2464" i="1"/>
  <c r="F2464" i="1"/>
  <c r="B2465" i="1"/>
  <c r="A2465" i="1"/>
  <c r="F2465" i="1"/>
  <c r="B2466" i="1"/>
  <c r="A2466" i="1"/>
  <c r="F2466" i="1"/>
  <c r="B2467" i="1"/>
  <c r="A2467" i="1"/>
  <c r="F2467" i="1"/>
  <c r="B2468" i="1"/>
  <c r="A2468" i="1"/>
  <c r="F2468" i="1"/>
  <c r="B2469" i="1"/>
  <c r="A2469" i="1"/>
  <c r="F2469" i="1"/>
  <c r="B2470" i="1"/>
  <c r="A2470" i="1"/>
  <c r="F2470" i="1"/>
  <c r="B2471" i="1"/>
  <c r="A2471" i="1"/>
  <c r="F2471" i="1"/>
  <c r="B2472" i="1"/>
  <c r="A2472" i="1"/>
  <c r="F2472" i="1"/>
  <c r="B2473" i="1"/>
  <c r="A2473" i="1"/>
  <c r="F2473" i="1"/>
  <c r="B2474" i="1"/>
  <c r="A2474" i="1"/>
  <c r="F2474" i="1"/>
  <c r="B2475" i="1"/>
  <c r="A2475" i="1"/>
  <c r="F2475" i="1"/>
  <c r="B2476" i="1"/>
  <c r="A2476" i="1"/>
  <c r="F2476" i="1"/>
  <c r="B2477" i="1"/>
  <c r="A2477" i="1"/>
  <c r="F2477" i="1"/>
  <c r="B2478" i="1"/>
  <c r="A2478" i="1"/>
  <c r="F2478" i="1"/>
  <c r="B2479" i="1"/>
  <c r="A2479" i="1"/>
  <c r="F2479" i="1"/>
  <c r="B2480" i="1"/>
  <c r="A2480" i="1"/>
  <c r="F2480" i="1"/>
  <c r="B2481" i="1"/>
  <c r="A2481" i="1"/>
  <c r="F2481" i="1"/>
  <c r="B2482" i="1"/>
  <c r="A2482" i="1"/>
  <c r="F2482" i="1"/>
  <c r="B2483" i="1"/>
  <c r="A2483" i="1"/>
  <c r="F2483" i="1"/>
  <c r="B2484" i="1"/>
  <c r="A2484" i="1"/>
  <c r="F2484" i="1"/>
  <c r="B2485" i="1"/>
  <c r="A2485" i="1"/>
  <c r="F2485" i="1"/>
  <c r="B2486" i="1"/>
  <c r="A2486" i="1"/>
  <c r="F2486" i="1"/>
  <c r="B2487" i="1"/>
  <c r="A2487" i="1"/>
  <c r="F2487" i="1"/>
  <c r="B2488" i="1"/>
  <c r="A2488" i="1"/>
  <c r="F2488" i="1"/>
  <c r="B2489" i="1"/>
  <c r="A2489" i="1"/>
  <c r="F2489" i="1"/>
  <c r="B2490" i="1"/>
  <c r="A2490" i="1"/>
  <c r="F2490" i="1"/>
  <c r="B2491" i="1"/>
  <c r="A2491" i="1"/>
  <c r="F2491" i="1"/>
  <c r="B2492" i="1"/>
  <c r="A2492" i="1"/>
  <c r="F2492" i="1"/>
  <c r="B2493" i="1"/>
  <c r="A2493" i="1"/>
  <c r="F2493" i="1"/>
  <c r="B2494" i="1"/>
  <c r="A2494" i="1"/>
  <c r="F2494" i="1"/>
  <c r="B2495" i="1"/>
  <c r="A2495" i="1"/>
  <c r="F2495" i="1"/>
  <c r="B2496" i="1"/>
  <c r="A2496" i="1"/>
  <c r="F2496" i="1"/>
  <c r="B2497" i="1"/>
  <c r="A2497" i="1"/>
  <c r="F2497" i="1"/>
  <c r="B2498" i="1"/>
  <c r="A2498" i="1"/>
  <c r="F2498" i="1"/>
  <c r="B2499" i="1"/>
  <c r="A2499" i="1"/>
  <c r="F2499" i="1"/>
  <c r="B2500" i="1"/>
  <c r="A2500" i="1"/>
  <c r="F2500" i="1"/>
  <c r="B2501" i="1"/>
  <c r="A2501" i="1"/>
  <c r="F2501" i="1"/>
  <c r="B2502" i="1"/>
  <c r="A2502" i="1"/>
  <c r="F2502" i="1"/>
  <c r="B2503" i="1"/>
  <c r="A2503" i="1"/>
  <c r="F2503" i="1"/>
  <c r="B2504" i="1"/>
  <c r="A2504" i="1"/>
  <c r="F2504" i="1"/>
  <c r="B2505" i="1"/>
  <c r="A2505" i="1"/>
  <c r="F2505" i="1"/>
  <c r="B2506" i="1"/>
  <c r="A2506" i="1"/>
  <c r="F2506" i="1"/>
  <c r="B2507" i="1"/>
  <c r="A2507" i="1"/>
  <c r="F2507" i="1"/>
  <c r="B2508" i="1"/>
  <c r="A2508" i="1"/>
  <c r="F2508" i="1"/>
  <c r="B2509" i="1"/>
  <c r="A2509" i="1"/>
  <c r="F2509" i="1"/>
  <c r="B2510" i="1"/>
  <c r="A2510" i="1"/>
  <c r="F2510" i="1"/>
  <c r="B2511" i="1"/>
  <c r="A2511" i="1"/>
  <c r="F2511" i="1"/>
  <c r="B2512" i="1"/>
  <c r="A2512" i="1"/>
  <c r="F2512" i="1"/>
  <c r="B2513" i="1"/>
  <c r="A2513" i="1"/>
  <c r="F2513" i="1"/>
  <c r="B2514" i="1"/>
  <c r="A2514" i="1"/>
  <c r="F2514" i="1"/>
  <c r="B2515" i="1"/>
  <c r="A2515" i="1"/>
  <c r="F2515" i="1"/>
  <c r="B2516" i="1"/>
  <c r="A2516" i="1"/>
  <c r="F2516" i="1"/>
  <c r="B2517" i="1"/>
  <c r="A2517" i="1"/>
  <c r="F2517" i="1"/>
  <c r="B2518" i="1"/>
  <c r="A2518" i="1"/>
  <c r="F2518" i="1"/>
  <c r="B2519" i="1"/>
  <c r="A2519" i="1"/>
  <c r="F2519" i="1"/>
  <c r="B2520" i="1"/>
  <c r="A2520" i="1"/>
  <c r="F2520" i="1"/>
  <c r="B2521" i="1"/>
  <c r="A2521" i="1"/>
  <c r="F2521" i="1"/>
  <c r="B2522" i="1"/>
  <c r="A2522" i="1"/>
  <c r="F2522" i="1"/>
  <c r="B2523" i="1"/>
  <c r="A2523" i="1"/>
  <c r="F2523" i="1"/>
  <c r="B2524" i="1"/>
  <c r="A2524" i="1"/>
  <c r="F2524" i="1"/>
  <c r="B2525" i="1"/>
  <c r="A2525" i="1"/>
  <c r="F2525" i="1"/>
  <c r="B2526" i="1"/>
  <c r="A2526" i="1"/>
  <c r="F2526" i="1"/>
  <c r="B2527" i="1"/>
  <c r="A2527" i="1"/>
  <c r="F2527" i="1"/>
  <c r="B2528" i="1"/>
  <c r="A2528" i="1"/>
  <c r="F2528" i="1"/>
  <c r="B2529" i="1"/>
  <c r="A2529" i="1"/>
  <c r="F2529" i="1"/>
  <c r="B2530" i="1"/>
  <c r="A2530" i="1"/>
  <c r="F2530" i="1"/>
  <c r="B2531" i="1"/>
  <c r="A2531" i="1"/>
  <c r="F2531" i="1"/>
  <c r="B2532" i="1"/>
  <c r="A2532" i="1"/>
  <c r="F2532" i="1"/>
  <c r="B2533" i="1"/>
  <c r="A2533" i="1"/>
  <c r="F2533" i="1"/>
  <c r="B2534" i="1"/>
  <c r="A2534" i="1"/>
  <c r="F2534" i="1"/>
  <c r="B2535" i="1"/>
  <c r="A2535" i="1"/>
  <c r="F2535" i="1"/>
  <c r="B2536" i="1"/>
  <c r="A2536" i="1"/>
  <c r="F2536" i="1"/>
  <c r="B2537" i="1"/>
  <c r="A2537" i="1"/>
  <c r="F2537" i="1"/>
  <c r="B2538" i="1"/>
  <c r="A2538" i="1"/>
  <c r="F2538" i="1"/>
  <c r="B2539" i="1"/>
  <c r="A2539" i="1"/>
  <c r="F2539" i="1"/>
  <c r="B2540" i="1"/>
  <c r="A2540" i="1"/>
  <c r="F2540" i="1"/>
  <c r="B2541" i="1"/>
  <c r="A2541" i="1"/>
  <c r="F2541" i="1"/>
  <c r="B2542" i="1"/>
  <c r="A2542" i="1"/>
  <c r="F2542" i="1"/>
  <c r="B2543" i="1"/>
  <c r="A2543" i="1"/>
  <c r="F2543" i="1"/>
  <c r="B2544" i="1"/>
  <c r="A2544" i="1"/>
  <c r="F2544" i="1"/>
  <c r="B2545" i="1"/>
  <c r="A2545" i="1"/>
  <c r="F2545" i="1"/>
  <c r="B2546" i="1"/>
  <c r="A2546" i="1"/>
  <c r="F2546" i="1"/>
  <c r="B2547" i="1"/>
  <c r="A2547" i="1"/>
  <c r="F2547" i="1"/>
  <c r="B2548" i="1"/>
  <c r="A2548" i="1"/>
  <c r="F2548" i="1"/>
  <c r="B2549" i="1"/>
  <c r="A2549" i="1"/>
  <c r="F2549" i="1"/>
  <c r="B2550" i="1"/>
  <c r="A2550" i="1"/>
  <c r="F2550" i="1"/>
  <c r="B2551" i="1"/>
  <c r="A2551" i="1"/>
  <c r="F2551" i="1"/>
  <c r="B2552" i="1"/>
  <c r="A2552" i="1"/>
  <c r="F2552" i="1"/>
  <c r="B2553" i="1"/>
  <c r="A2553" i="1"/>
  <c r="F2553" i="1"/>
  <c r="B2554" i="1"/>
  <c r="A2554" i="1"/>
  <c r="F2554" i="1"/>
  <c r="B2555" i="1"/>
  <c r="A2555" i="1"/>
  <c r="F2555" i="1"/>
  <c r="B2556" i="1"/>
  <c r="A2556" i="1"/>
  <c r="F2556" i="1"/>
  <c r="B2557" i="1"/>
  <c r="A2557" i="1"/>
  <c r="F2557" i="1"/>
  <c r="B2558" i="1"/>
  <c r="A2558" i="1"/>
  <c r="F2558" i="1"/>
  <c r="B2559" i="1"/>
  <c r="A2559" i="1"/>
  <c r="F2559" i="1"/>
  <c r="B2560" i="1"/>
  <c r="A2560" i="1"/>
  <c r="F2560" i="1"/>
  <c r="B2561" i="1"/>
  <c r="A2561" i="1"/>
  <c r="F2561" i="1"/>
  <c r="B2562" i="1"/>
  <c r="A2562" i="1"/>
  <c r="F2562" i="1"/>
  <c r="B2563" i="1"/>
  <c r="A2563" i="1"/>
  <c r="F2563" i="1"/>
  <c r="B2564" i="1"/>
  <c r="A2564" i="1"/>
  <c r="F2564" i="1"/>
  <c r="B2565" i="1"/>
  <c r="A2565" i="1"/>
  <c r="F2565" i="1"/>
  <c r="B2566" i="1"/>
  <c r="A2566" i="1"/>
  <c r="F2566" i="1"/>
  <c r="B2567" i="1"/>
  <c r="A2567" i="1"/>
  <c r="F2567" i="1"/>
  <c r="B2568" i="1"/>
  <c r="A2568" i="1"/>
  <c r="F2568" i="1"/>
  <c r="B2569" i="1"/>
  <c r="A2569" i="1"/>
  <c r="F2569" i="1"/>
  <c r="B2570" i="1"/>
  <c r="A2570" i="1"/>
  <c r="F2570" i="1"/>
  <c r="B2571" i="1"/>
  <c r="A2571" i="1"/>
  <c r="F2571" i="1"/>
  <c r="B2572" i="1"/>
  <c r="A2572" i="1"/>
  <c r="F2572" i="1"/>
  <c r="B2573" i="1"/>
  <c r="A2573" i="1"/>
  <c r="F2573" i="1"/>
  <c r="B2574" i="1"/>
  <c r="A2574" i="1"/>
  <c r="F2574" i="1"/>
  <c r="B2575" i="1"/>
  <c r="A2575" i="1"/>
  <c r="F2575" i="1"/>
  <c r="B2576" i="1"/>
  <c r="A2576" i="1"/>
  <c r="F2576" i="1"/>
  <c r="B2577" i="1"/>
  <c r="A2577" i="1"/>
  <c r="F2577" i="1"/>
  <c r="B2578" i="1"/>
  <c r="A2578" i="1"/>
  <c r="F2578" i="1"/>
  <c r="B2579" i="1"/>
  <c r="A2579" i="1"/>
  <c r="F2579" i="1"/>
  <c r="B2580" i="1"/>
  <c r="A2580" i="1"/>
  <c r="F2580" i="1"/>
  <c r="B2581" i="1"/>
  <c r="A2581" i="1"/>
  <c r="F2581" i="1"/>
  <c r="B2582" i="1"/>
  <c r="A2582" i="1"/>
  <c r="F2582" i="1"/>
  <c r="B2583" i="1"/>
  <c r="A2583" i="1"/>
  <c r="F2583" i="1"/>
  <c r="B2584" i="1"/>
  <c r="A2584" i="1"/>
  <c r="F2584" i="1"/>
  <c r="B2585" i="1"/>
  <c r="A2585" i="1"/>
  <c r="F2585" i="1"/>
  <c r="B2586" i="1"/>
  <c r="A2586" i="1"/>
  <c r="F2586" i="1"/>
  <c r="B2587" i="1"/>
  <c r="A2587" i="1"/>
  <c r="F2587" i="1"/>
  <c r="B2588" i="1"/>
  <c r="A2588" i="1"/>
  <c r="F2588" i="1"/>
  <c r="B2589" i="1"/>
  <c r="A2589" i="1"/>
  <c r="F2589" i="1"/>
  <c r="B2590" i="1"/>
  <c r="A2590" i="1"/>
  <c r="F2590" i="1"/>
  <c r="B2591" i="1"/>
  <c r="A2591" i="1"/>
  <c r="F2591" i="1"/>
  <c r="B2592" i="1"/>
  <c r="A2592" i="1"/>
  <c r="F2592" i="1"/>
  <c r="B2593" i="1"/>
  <c r="A2593" i="1"/>
  <c r="F2593" i="1"/>
  <c r="B2594" i="1"/>
  <c r="A2594" i="1"/>
  <c r="F2594" i="1"/>
  <c r="B2595" i="1"/>
  <c r="A2595" i="1"/>
  <c r="F2595" i="1"/>
  <c r="B2596" i="1"/>
  <c r="A2596" i="1"/>
  <c r="F2596" i="1"/>
  <c r="B2597" i="1"/>
  <c r="A2597" i="1"/>
  <c r="F2597" i="1"/>
  <c r="B2598" i="1"/>
  <c r="A2598" i="1"/>
  <c r="F2598" i="1"/>
  <c r="B2599" i="1"/>
  <c r="A2599" i="1"/>
  <c r="F2599" i="1"/>
  <c r="B2600" i="1"/>
  <c r="A2600" i="1"/>
  <c r="F2600" i="1"/>
  <c r="B2601" i="1"/>
  <c r="A2601" i="1"/>
  <c r="F2601" i="1"/>
  <c r="B2602" i="1"/>
  <c r="A2602" i="1"/>
  <c r="F2602" i="1"/>
  <c r="B2603" i="1"/>
  <c r="A2603" i="1"/>
  <c r="F2603" i="1"/>
  <c r="B2604" i="1"/>
  <c r="A2604" i="1"/>
  <c r="F2604" i="1"/>
  <c r="B2605" i="1"/>
  <c r="A2605" i="1"/>
  <c r="F2605" i="1"/>
  <c r="B2606" i="1"/>
  <c r="A2606" i="1"/>
  <c r="F2606" i="1"/>
  <c r="B2607" i="1"/>
  <c r="A2607" i="1"/>
  <c r="F2607" i="1"/>
  <c r="B2608" i="1"/>
  <c r="A2608" i="1"/>
  <c r="F2608" i="1"/>
  <c r="B2609" i="1"/>
  <c r="A2609" i="1"/>
  <c r="F2609" i="1"/>
  <c r="B2610" i="1"/>
  <c r="A2610" i="1"/>
  <c r="F2610" i="1"/>
  <c r="B2611" i="1"/>
  <c r="A2611" i="1"/>
  <c r="F2611" i="1"/>
  <c r="B2612" i="1"/>
  <c r="A2612" i="1"/>
  <c r="F2612" i="1"/>
  <c r="B2613" i="1"/>
  <c r="A2613" i="1"/>
  <c r="F2613" i="1"/>
  <c r="B2614" i="1"/>
  <c r="A2614" i="1"/>
  <c r="F2614" i="1"/>
  <c r="B2615" i="1"/>
  <c r="A2615" i="1"/>
  <c r="F2615" i="1"/>
  <c r="B2616" i="1"/>
  <c r="A2616" i="1"/>
  <c r="F2616" i="1"/>
  <c r="B2617" i="1"/>
  <c r="A2617" i="1"/>
  <c r="F2617" i="1"/>
  <c r="B2618" i="1"/>
  <c r="A2618" i="1"/>
  <c r="F2618" i="1"/>
  <c r="B2619" i="1"/>
  <c r="A2619" i="1"/>
  <c r="F2619" i="1"/>
  <c r="B2620" i="1"/>
  <c r="A2620" i="1"/>
  <c r="F2620" i="1"/>
  <c r="B2621" i="1"/>
  <c r="A2621" i="1"/>
  <c r="F2621" i="1"/>
  <c r="B2622" i="1"/>
  <c r="A2622" i="1"/>
  <c r="F2622" i="1"/>
  <c r="B2623" i="1"/>
  <c r="A2623" i="1"/>
  <c r="F2623" i="1"/>
  <c r="B2624" i="1"/>
  <c r="A2624" i="1"/>
  <c r="F2624" i="1"/>
  <c r="B2625" i="1"/>
  <c r="A2625" i="1"/>
  <c r="F2625" i="1"/>
  <c r="B2626" i="1"/>
  <c r="A2626" i="1"/>
  <c r="F2626" i="1"/>
  <c r="B2627" i="1"/>
  <c r="A2627" i="1"/>
  <c r="F2627" i="1"/>
  <c r="B2628" i="1"/>
  <c r="A2628" i="1"/>
  <c r="F2628" i="1"/>
  <c r="B2629" i="1"/>
  <c r="A2629" i="1"/>
  <c r="F2629" i="1"/>
  <c r="B2630" i="1"/>
  <c r="A2630" i="1"/>
  <c r="F2630" i="1"/>
  <c r="B2631" i="1"/>
  <c r="A2631" i="1"/>
  <c r="F2631" i="1"/>
  <c r="B2632" i="1"/>
  <c r="A2632" i="1"/>
  <c r="F2632" i="1"/>
  <c r="B2633" i="1"/>
  <c r="A2633" i="1"/>
  <c r="F2633" i="1"/>
  <c r="B2634" i="1"/>
  <c r="A2634" i="1"/>
  <c r="F2634" i="1"/>
  <c r="B2635" i="1"/>
  <c r="A2635" i="1"/>
  <c r="F2635" i="1"/>
  <c r="B2636" i="1"/>
  <c r="A2636" i="1"/>
  <c r="F2636" i="1"/>
  <c r="B2637" i="1"/>
  <c r="A2637" i="1"/>
  <c r="F2637" i="1"/>
  <c r="B2638" i="1"/>
  <c r="A2638" i="1"/>
  <c r="F2638" i="1"/>
  <c r="B2639" i="1"/>
  <c r="A2639" i="1"/>
  <c r="F2639" i="1"/>
  <c r="B2640" i="1"/>
  <c r="A2640" i="1"/>
  <c r="F2640" i="1"/>
  <c r="B2641" i="1"/>
  <c r="A2641" i="1"/>
  <c r="F2641" i="1"/>
  <c r="B2642" i="1"/>
  <c r="A2642" i="1"/>
  <c r="F2642" i="1"/>
  <c r="B2643" i="1"/>
  <c r="A2643" i="1"/>
  <c r="F2643" i="1"/>
  <c r="B2644" i="1"/>
  <c r="A2644" i="1"/>
  <c r="F2644" i="1"/>
  <c r="B2645" i="1"/>
  <c r="A2645" i="1"/>
  <c r="F2645" i="1"/>
  <c r="B2646" i="1"/>
  <c r="A2646" i="1"/>
  <c r="F2646" i="1"/>
  <c r="B2647" i="1"/>
  <c r="A2647" i="1"/>
  <c r="F2647" i="1"/>
  <c r="B2648" i="1"/>
  <c r="A2648" i="1"/>
  <c r="F2648" i="1"/>
  <c r="B2649" i="1"/>
  <c r="A2649" i="1"/>
  <c r="F2649" i="1"/>
  <c r="B2650" i="1"/>
  <c r="A2650" i="1"/>
  <c r="F2650" i="1"/>
  <c r="B2651" i="1"/>
  <c r="A2651" i="1"/>
  <c r="F2651" i="1"/>
  <c r="B2652" i="1"/>
  <c r="A2652" i="1"/>
  <c r="F2652" i="1"/>
  <c r="B2653" i="1"/>
  <c r="A2653" i="1"/>
  <c r="F2653" i="1"/>
  <c r="B2654" i="1"/>
  <c r="A2654" i="1"/>
  <c r="F2654" i="1"/>
  <c r="B2655" i="1"/>
  <c r="A2655" i="1"/>
  <c r="F2655" i="1"/>
  <c r="B2656" i="1"/>
  <c r="A2656" i="1"/>
  <c r="F2656" i="1"/>
  <c r="B2657" i="1"/>
  <c r="A2657" i="1"/>
  <c r="F2657" i="1"/>
  <c r="B2658" i="1"/>
  <c r="A2658" i="1"/>
  <c r="F2658" i="1"/>
  <c r="B2659" i="1"/>
  <c r="A2659" i="1"/>
  <c r="F2659" i="1"/>
  <c r="B2660" i="1"/>
  <c r="A2660" i="1"/>
  <c r="F2660" i="1"/>
  <c r="B2661" i="1"/>
  <c r="A2661" i="1"/>
  <c r="F2661" i="1"/>
  <c r="B2662" i="1"/>
  <c r="A2662" i="1"/>
  <c r="F2662" i="1"/>
  <c r="B2663" i="1"/>
  <c r="A2663" i="1"/>
  <c r="F2663" i="1"/>
  <c r="B2664" i="1"/>
  <c r="A2664" i="1"/>
  <c r="F2664" i="1"/>
  <c r="B2665" i="1"/>
  <c r="A2665" i="1"/>
  <c r="F2665" i="1"/>
  <c r="B2666" i="1"/>
  <c r="A2666" i="1"/>
  <c r="F2666" i="1"/>
  <c r="B2667" i="1"/>
  <c r="A2667" i="1"/>
  <c r="F2667" i="1"/>
  <c r="B2668" i="1"/>
  <c r="A2668" i="1"/>
  <c r="F2668" i="1"/>
  <c r="B2669" i="1"/>
  <c r="A2669" i="1"/>
  <c r="F2669" i="1"/>
  <c r="B2670" i="1"/>
  <c r="A2670" i="1"/>
  <c r="F2670" i="1"/>
  <c r="B2671" i="1"/>
  <c r="A2671" i="1"/>
  <c r="F2671" i="1"/>
  <c r="B2672" i="1"/>
  <c r="A2672" i="1"/>
  <c r="F2672" i="1"/>
  <c r="B2673" i="1"/>
  <c r="A2673" i="1"/>
  <c r="F2673" i="1"/>
  <c r="B2674" i="1"/>
  <c r="A2674" i="1"/>
  <c r="F2674" i="1"/>
  <c r="B2675" i="1"/>
  <c r="A2675" i="1"/>
  <c r="F2675" i="1"/>
  <c r="B2676" i="1"/>
  <c r="A2676" i="1"/>
  <c r="F2676" i="1"/>
  <c r="B2677" i="1"/>
  <c r="A2677" i="1"/>
  <c r="F2677" i="1"/>
  <c r="B2678" i="1"/>
  <c r="A2678" i="1"/>
  <c r="F2678" i="1"/>
  <c r="B2679" i="1"/>
  <c r="A2679" i="1"/>
  <c r="F2679" i="1"/>
  <c r="B2680" i="1"/>
  <c r="A2680" i="1"/>
  <c r="F2680" i="1"/>
  <c r="B2681" i="1"/>
  <c r="A2681" i="1"/>
  <c r="F2681" i="1"/>
  <c r="B2682" i="1"/>
  <c r="A2682" i="1"/>
  <c r="F2682" i="1"/>
  <c r="B2683" i="1"/>
  <c r="A2683" i="1"/>
  <c r="F2683" i="1"/>
  <c r="B2684" i="1"/>
  <c r="A2684" i="1"/>
  <c r="F2684" i="1"/>
  <c r="B2685" i="1"/>
  <c r="A2685" i="1"/>
  <c r="F2685" i="1"/>
  <c r="B2686" i="1"/>
  <c r="A2686" i="1"/>
  <c r="F2686" i="1"/>
  <c r="B2687" i="1"/>
  <c r="A2687" i="1"/>
  <c r="F2687" i="1"/>
  <c r="B2688" i="1"/>
  <c r="A2688" i="1"/>
  <c r="F2688" i="1"/>
  <c r="B2689" i="1"/>
  <c r="A2689" i="1"/>
  <c r="F2689" i="1"/>
  <c r="B2690" i="1"/>
  <c r="A2690" i="1"/>
  <c r="F2690" i="1"/>
  <c r="B2691" i="1"/>
  <c r="A2691" i="1"/>
  <c r="F2691" i="1"/>
  <c r="B2692" i="1"/>
  <c r="A2692" i="1"/>
  <c r="F2692" i="1"/>
  <c r="B2693" i="1"/>
  <c r="A2693" i="1"/>
  <c r="F2693" i="1"/>
  <c r="B2694" i="1"/>
  <c r="A2694" i="1"/>
  <c r="F2694" i="1"/>
  <c r="B2695" i="1"/>
  <c r="A2695" i="1"/>
  <c r="F2695" i="1"/>
  <c r="B2696" i="1"/>
  <c r="A2696" i="1"/>
  <c r="F2696" i="1"/>
  <c r="B2697" i="1"/>
  <c r="A2697" i="1"/>
  <c r="F2697" i="1"/>
  <c r="B2698" i="1"/>
  <c r="A2698" i="1"/>
  <c r="F2698" i="1"/>
  <c r="B2699" i="1"/>
  <c r="A2699" i="1"/>
  <c r="F2699" i="1"/>
  <c r="B2700" i="1"/>
  <c r="A2700" i="1"/>
  <c r="F2700" i="1"/>
  <c r="B2701" i="1"/>
  <c r="A2701" i="1"/>
  <c r="F2701" i="1"/>
  <c r="B2702" i="1"/>
  <c r="A2702" i="1"/>
  <c r="F2702" i="1"/>
  <c r="B2703" i="1"/>
  <c r="A2703" i="1"/>
  <c r="F2703" i="1"/>
  <c r="B2704" i="1"/>
  <c r="A2704" i="1"/>
  <c r="F2704" i="1"/>
  <c r="B2705" i="1"/>
  <c r="A2705" i="1"/>
  <c r="F2705" i="1"/>
  <c r="B2706" i="1"/>
  <c r="A2706" i="1"/>
  <c r="F2706" i="1"/>
  <c r="B2707" i="1"/>
  <c r="A2707" i="1"/>
  <c r="F2707" i="1"/>
  <c r="B2708" i="1"/>
  <c r="A2708" i="1"/>
  <c r="F2708" i="1"/>
  <c r="B2709" i="1"/>
  <c r="A2709" i="1"/>
  <c r="F2709" i="1"/>
  <c r="B2710" i="1"/>
  <c r="A2710" i="1"/>
  <c r="F2710" i="1"/>
  <c r="B2711" i="1"/>
  <c r="A2711" i="1"/>
  <c r="F2711" i="1"/>
  <c r="B2712" i="1"/>
  <c r="A2712" i="1"/>
  <c r="F2712" i="1"/>
  <c r="B2713" i="1"/>
  <c r="A2713" i="1"/>
  <c r="F2713" i="1"/>
  <c r="B2714" i="1"/>
  <c r="A2714" i="1"/>
  <c r="F2714" i="1"/>
  <c r="B2715" i="1"/>
  <c r="A2715" i="1"/>
  <c r="F2715" i="1"/>
  <c r="B2716" i="1"/>
  <c r="A2716" i="1"/>
  <c r="F2716" i="1"/>
  <c r="B2717" i="1"/>
  <c r="A2717" i="1"/>
  <c r="F2717" i="1"/>
  <c r="B2718" i="1"/>
  <c r="A2718" i="1"/>
  <c r="F2718" i="1"/>
  <c r="B2719" i="1"/>
  <c r="A2719" i="1"/>
  <c r="F2719" i="1"/>
  <c r="B2720" i="1"/>
  <c r="A2720" i="1"/>
  <c r="F2720" i="1"/>
  <c r="B2721" i="1"/>
  <c r="A2721" i="1"/>
  <c r="F2721" i="1"/>
  <c r="B2722" i="1"/>
  <c r="A2722" i="1"/>
  <c r="F2722" i="1"/>
  <c r="B2723" i="1"/>
  <c r="A2723" i="1"/>
  <c r="F2723" i="1"/>
  <c r="B2724" i="1"/>
  <c r="A2724" i="1"/>
  <c r="F2724" i="1"/>
  <c r="B2725" i="1"/>
  <c r="A2725" i="1"/>
  <c r="F2725" i="1"/>
  <c r="B2726" i="1"/>
  <c r="A2726" i="1"/>
  <c r="F2726" i="1"/>
  <c r="B2727" i="1"/>
  <c r="A2727" i="1"/>
  <c r="F2727" i="1"/>
  <c r="B2728" i="1"/>
  <c r="A2728" i="1"/>
  <c r="F2728" i="1"/>
  <c r="B2729" i="1"/>
  <c r="A2729" i="1"/>
  <c r="F2729" i="1"/>
  <c r="B2730" i="1"/>
  <c r="A2730" i="1"/>
  <c r="F2730" i="1"/>
  <c r="B2731" i="1"/>
  <c r="A2731" i="1"/>
  <c r="F2731" i="1"/>
  <c r="B2732" i="1"/>
  <c r="A2732" i="1"/>
  <c r="F2732" i="1"/>
  <c r="B2733" i="1"/>
  <c r="A2733" i="1"/>
  <c r="F2733" i="1"/>
  <c r="B2734" i="1"/>
  <c r="A2734" i="1"/>
  <c r="F2734" i="1"/>
  <c r="B2735" i="1"/>
  <c r="A2735" i="1"/>
  <c r="F2735" i="1"/>
  <c r="B2736" i="1"/>
  <c r="A2736" i="1"/>
  <c r="F2736" i="1"/>
  <c r="B2737" i="1"/>
  <c r="A2737" i="1"/>
  <c r="F2737" i="1"/>
  <c r="B2738" i="1"/>
  <c r="A2738" i="1"/>
  <c r="F2738" i="1"/>
  <c r="B2739" i="1"/>
  <c r="A2739" i="1"/>
  <c r="F2739" i="1"/>
  <c r="B2740" i="1"/>
  <c r="A2740" i="1"/>
  <c r="F2740" i="1"/>
  <c r="B2741" i="1"/>
  <c r="A2741" i="1"/>
  <c r="F2741" i="1"/>
  <c r="B2742" i="1"/>
  <c r="A2742" i="1"/>
  <c r="F2742" i="1"/>
  <c r="B2743" i="1"/>
  <c r="A2743" i="1"/>
  <c r="F2743" i="1"/>
  <c r="B2744" i="1"/>
  <c r="A2744" i="1"/>
  <c r="F2744" i="1"/>
  <c r="B2745" i="1"/>
  <c r="A2745" i="1"/>
  <c r="F2745" i="1"/>
  <c r="B2746" i="1"/>
  <c r="A2746" i="1"/>
  <c r="F2746" i="1"/>
  <c r="B2747" i="1"/>
  <c r="A2747" i="1"/>
  <c r="F2747" i="1"/>
  <c r="B2748" i="1"/>
  <c r="A2748" i="1"/>
  <c r="F2748" i="1"/>
  <c r="B2749" i="1"/>
  <c r="A2749" i="1"/>
  <c r="F2749" i="1"/>
  <c r="B2750" i="1"/>
  <c r="A2750" i="1"/>
  <c r="F2750" i="1"/>
  <c r="B2751" i="1"/>
  <c r="A2751" i="1"/>
  <c r="F2751" i="1"/>
  <c r="B2752" i="1"/>
  <c r="A2752" i="1"/>
  <c r="F2752" i="1"/>
  <c r="B2753" i="1"/>
  <c r="A2753" i="1"/>
  <c r="F2753" i="1"/>
  <c r="B2754" i="1"/>
  <c r="A2754" i="1"/>
  <c r="F2754" i="1"/>
  <c r="B2755" i="1"/>
  <c r="A2755" i="1"/>
  <c r="F2755" i="1"/>
  <c r="B2756" i="1"/>
  <c r="A2756" i="1"/>
  <c r="F2756" i="1"/>
  <c r="B2757" i="1"/>
  <c r="A2757" i="1"/>
  <c r="F2757" i="1"/>
  <c r="B2758" i="1"/>
  <c r="A2758" i="1"/>
  <c r="F2758" i="1"/>
  <c r="B2759" i="1"/>
  <c r="A2759" i="1"/>
  <c r="F2759" i="1"/>
  <c r="B2760" i="1"/>
  <c r="A2760" i="1"/>
  <c r="F2760" i="1"/>
  <c r="B2761" i="1"/>
  <c r="A2761" i="1"/>
  <c r="F2761" i="1"/>
  <c r="B2762" i="1"/>
  <c r="A2762" i="1"/>
  <c r="F2762" i="1"/>
  <c r="B2763" i="1"/>
  <c r="A2763" i="1"/>
  <c r="F2763" i="1"/>
  <c r="B2764" i="1"/>
  <c r="A2764" i="1"/>
  <c r="F2764" i="1"/>
  <c r="B2765" i="1"/>
  <c r="A2765" i="1"/>
  <c r="F2765" i="1"/>
  <c r="B2766" i="1"/>
  <c r="A2766" i="1"/>
  <c r="F2766" i="1"/>
  <c r="B2767" i="1"/>
  <c r="A2767" i="1"/>
  <c r="F2767" i="1"/>
  <c r="B2768" i="1"/>
  <c r="A2768" i="1"/>
  <c r="F2768" i="1"/>
  <c r="B2769" i="1"/>
  <c r="A2769" i="1"/>
  <c r="F2769" i="1"/>
  <c r="B2770" i="1"/>
  <c r="A2770" i="1"/>
  <c r="F2770" i="1"/>
  <c r="B2771" i="1"/>
  <c r="A2771" i="1"/>
  <c r="F2771" i="1"/>
  <c r="B2772" i="1"/>
  <c r="A2772" i="1"/>
  <c r="F2772" i="1"/>
  <c r="B2773" i="1"/>
  <c r="A2773" i="1"/>
  <c r="F2773" i="1"/>
  <c r="B2774" i="1"/>
  <c r="A2774" i="1"/>
  <c r="F2774" i="1"/>
  <c r="B2775" i="1"/>
  <c r="A2775" i="1"/>
  <c r="F2775" i="1"/>
  <c r="B2776" i="1"/>
  <c r="A2776" i="1"/>
  <c r="F2776" i="1"/>
  <c r="B2777" i="1"/>
  <c r="A2777" i="1"/>
  <c r="F2777" i="1"/>
  <c r="B2778" i="1"/>
  <c r="A2778" i="1"/>
  <c r="F2778" i="1"/>
  <c r="B2779" i="1"/>
  <c r="A2779" i="1"/>
  <c r="F2779" i="1"/>
  <c r="B2780" i="1"/>
  <c r="A2780" i="1"/>
  <c r="F2780" i="1"/>
  <c r="B2781" i="1"/>
  <c r="A2781" i="1"/>
  <c r="F2781" i="1"/>
  <c r="B2782" i="1"/>
  <c r="A2782" i="1"/>
  <c r="F2782" i="1"/>
  <c r="B2783" i="1"/>
  <c r="A2783" i="1"/>
  <c r="F2783" i="1"/>
  <c r="B2784" i="1"/>
  <c r="A2784" i="1"/>
  <c r="F2784" i="1"/>
  <c r="B2785" i="1"/>
  <c r="A2785" i="1"/>
  <c r="F2785" i="1"/>
  <c r="B2786" i="1"/>
  <c r="A2786" i="1"/>
  <c r="F2786" i="1"/>
  <c r="B2787" i="1"/>
  <c r="A2787" i="1"/>
  <c r="F2787" i="1"/>
  <c r="B2788" i="1"/>
  <c r="A2788" i="1"/>
  <c r="F2788" i="1"/>
  <c r="B2789" i="1"/>
  <c r="A2789" i="1"/>
  <c r="F2789" i="1"/>
  <c r="B2790" i="1"/>
  <c r="A2790" i="1"/>
  <c r="F2790" i="1"/>
  <c r="B2791" i="1"/>
  <c r="A2791" i="1"/>
  <c r="F2791" i="1"/>
  <c r="B2792" i="1"/>
  <c r="A2792" i="1"/>
  <c r="F2792" i="1"/>
  <c r="B2793" i="1"/>
  <c r="A2793" i="1"/>
  <c r="F2793" i="1"/>
  <c r="B2794" i="1"/>
  <c r="A2794" i="1"/>
  <c r="F2794" i="1"/>
  <c r="B2795" i="1"/>
  <c r="A2795" i="1"/>
  <c r="F2795" i="1"/>
  <c r="B2796" i="1"/>
  <c r="A2796" i="1"/>
  <c r="F2796" i="1"/>
  <c r="B2797" i="1"/>
  <c r="A2797" i="1"/>
  <c r="F2797" i="1"/>
  <c r="B2798" i="1"/>
  <c r="A2798" i="1"/>
  <c r="F2798" i="1"/>
  <c r="B2799" i="1"/>
  <c r="A2799" i="1"/>
  <c r="F2799" i="1"/>
  <c r="B2800" i="1"/>
  <c r="A2800" i="1"/>
  <c r="F2800" i="1"/>
  <c r="B2801" i="1"/>
  <c r="A2801" i="1"/>
  <c r="F2801" i="1"/>
  <c r="B2802" i="1"/>
  <c r="A2802" i="1"/>
  <c r="F2802" i="1"/>
  <c r="B2803" i="1"/>
  <c r="A2803" i="1"/>
  <c r="F2803" i="1"/>
  <c r="B2804" i="1"/>
  <c r="A2804" i="1"/>
  <c r="F2804" i="1"/>
  <c r="B2805" i="1"/>
  <c r="A2805" i="1"/>
  <c r="F2805" i="1"/>
  <c r="B2806" i="1"/>
  <c r="A2806" i="1"/>
  <c r="F2806" i="1"/>
  <c r="B2807" i="1"/>
  <c r="A2807" i="1"/>
  <c r="F2807" i="1"/>
  <c r="B2808" i="1"/>
  <c r="A2808" i="1"/>
  <c r="F2808" i="1"/>
  <c r="B2809" i="1"/>
  <c r="A2809" i="1"/>
  <c r="F2809" i="1"/>
  <c r="B2810" i="1"/>
  <c r="A2810" i="1"/>
  <c r="F2810" i="1"/>
  <c r="B2811" i="1"/>
  <c r="A2811" i="1"/>
  <c r="F2811" i="1"/>
  <c r="B2812" i="1"/>
  <c r="A2812" i="1"/>
  <c r="F2812" i="1"/>
  <c r="B2813" i="1"/>
  <c r="A2813" i="1"/>
  <c r="F2813" i="1"/>
  <c r="B2814" i="1"/>
  <c r="A2814" i="1"/>
  <c r="F2814" i="1"/>
  <c r="B2815" i="1"/>
  <c r="A2815" i="1"/>
  <c r="F2815" i="1"/>
  <c r="B2816" i="1"/>
  <c r="A2816" i="1"/>
  <c r="F2816" i="1"/>
  <c r="B2817" i="1"/>
  <c r="A2817" i="1"/>
  <c r="F2817" i="1"/>
  <c r="B2818" i="1"/>
  <c r="A2818" i="1"/>
  <c r="F2818" i="1"/>
  <c r="B2819" i="1"/>
  <c r="A2819" i="1"/>
  <c r="F2819" i="1"/>
  <c r="B2820" i="1"/>
  <c r="A2820" i="1"/>
  <c r="F2820" i="1"/>
  <c r="B2821" i="1"/>
  <c r="A2821" i="1"/>
  <c r="F2821" i="1"/>
  <c r="B2822" i="1"/>
  <c r="A2822" i="1"/>
  <c r="F2822" i="1"/>
  <c r="B2823" i="1"/>
  <c r="A2823" i="1"/>
  <c r="F2823" i="1"/>
  <c r="B2824" i="1"/>
  <c r="A2824" i="1"/>
  <c r="F2824" i="1"/>
  <c r="B2825" i="1"/>
  <c r="A2825" i="1"/>
  <c r="F2825" i="1"/>
  <c r="B2826" i="1"/>
  <c r="A2826" i="1"/>
  <c r="F2826" i="1"/>
  <c r="B2827" i="1"/>
  <c r="A2827" i="1"/>
  <c r="F2827" i="1"/>
  <c r="B2828" i="1"/>
  <c r="A2828" i="1"/>
  <c r="F2828" i="1"/>
  <c r="B2829" i="1"/>
  <c r="A2829" i="1"/>
  <c r="F2829" i="1"/>
  <c r="B2830" i="1"/>
  <c r="A2830" i="1"/>
  <c r="F2830" i="1"/>
  <c r="B2831" i="1"/>
  <c r="A2831" i="1"/>
  <c r="F2831" i="1"/>
  <c r="B2832" i="1"/>
  <c r="A2832" i="1"/>
  <c r="F2832" i="1"/>
  <c r="B2833" i="1"/>
  <c r="A2833" i="1"/>
  <c r="F2833" i="1"/>
  <c r="B2834" i="1"/>
  <c r="A2834" i="1"/>
  <c r="F2834" i="1"/>
  <c r="B2835" i="1"/>
  <c r="A2835" i="1"/>
  <c r="F2835" i="1"/>
  <c r="B2836" i="1"/>
  <c r="A2836" i="1"/>
  <c r="F2836" i="1"/>
  <c r="B2837" i="1"/>
  <c r="A2837" i="1"/>
  <c r="F2837" i="1"/>
  <c r="B2838" i="1"/>
  <c r="A2838" i="1"/>
  <c r="F2838" i="1"/>
  <c r="B2839" i="1"/>
  <c r="A2839" i="1"/>
  <c r="F2839" i="1"/>
  <c r="B2840" i="1"/>
  <c r="A2840" i="1"/>
  <c r="F2840" i="1"/>
  <c r="B2841" i="1"/>
  <c r="A2841" i="1"/>
  <c r="F2841" i="1"/>
  <c r="B2842" i="1"/>
  <c r="A2842" i="1"/>
  <c r="F2842" i="1"/>
  <c r="B2843" i="1"/>
  <c r="A2843" i="1"/>
  <c r="F2843" i="1"/>
  <c r="B2844" i="1"/>
  <c r="A2844" i="1"/>
  <c r="F2844" i="1"/>
  <c r="B2845" i="1"/>
  <c r="A2845" i="1"/>
  <c r="F2845" i="1"/>
  <c r="B2846" i="1"/>
  <c r="A2846" i="1"/>
  <c r="F2846" i="1"/>
  <c r="B2847" i="1"/>
  <c r="A2847" i="1"/>
  <c r="F2847" i="1"/>
  <c r="B2848" i="1"/>
  <c r="A2848" i="1"/>
  <c r="F2848" i="1"/>
  <c r="B2849" i="1"/>
  <c r="A2849" i="1"/>
  <c r="F2849" i="1"/>
  <c r="B2850" i="1"/>
  <c r="A2850" i="1"/>
  <c r="F2850" i="1"/>
  <c r="B2851" i="1"/>
  <c r="A2851" i="1"/>
  <c r="F2851" i="1"/>
  <c r="B2852" i="1"/>
  <c r="A2852" i="1"/>
  <c r="F2852" i="1"/>
  <c r="B2853" i="1"/>
  <c r="A2853" i="1"/>
  <c r="F2853" i="1"/>
  <c r="B2854" i="1"/>
  <c r="A2854" i="1"/>
  <c r="F2854" i="1"/>
  <c r="B2855" i="1"/>
  <c r="A2855" i="1"/>
  <c r="F2855" i="1"/>
  <c r="B2856" i="1"/>
  <c r="A2856" i="1"/>
  <c r="F2856" i="1"/>
  <c r="B2857" i="1"/>
  <c r="A2857" i="1"/>
  <c r="F2857" i="1"/>
  <c r="B2858" i="1"/>
  <c r="A2858" i="1"/>
  <c r="F2858" i="1"/>
  <c r="B2859" i="1"/>
  <c r="A2859" i="1"/>
  <c r="F2859" i="1"/>
  <c r="B2860" i="1"/>
  <c r="A2860" i="1"/>
  <c r="F2860" i="1"/>
  <c r="B2861" i="1"/>
  <c r="A2861" i="1"/>
  <c r="F2861" i="1"/>
  <c r="B2862" i="1"/>
  <c r="A2862" i="1"/>
  <c r="F2862" i="1"/>
  <c r="B2863" i="1"/>
  <c r="A2863" i="1"/>
  <c r="F2863" i="1"/>
  <c r="B2864" i="1"/>
  <c r="A2864" i="1"/>
  <c r="F2864" i="1"/>
  <c r="B2865" i="1"/>
  <c r="A2865" i="1"/>
  <c r="F2865" i="1"/>
  <c r="B2866" i="1"/>
  <c r="A2866" i="1"/>
  <c r="F2866" i="1"/>
  <c r="B2867" i="1"/>
  <c r="A2867" i="1"/>
  <c r="F2867" i="1"/>
  <c r="B2868" i="1"/>
  <c r="A2868" i="1"/>
  <c r="F2868" i="1"/>
  <c r="B2869" i="1"/>
  <c r="A2869" i="1"/>
  <c r="F2869" i="1"/>
  <c r="B2870" i="1"/>
  <c r="A2870" i="1"/>
  <c r="F2870" i="1"/>
  <c r="B2871" i="1"/>
  <c r="A2871" i="1"/>
  <c r="F2871" i="1"/>
  <c r="B2872" i="1"/>
  <c r="A2872" i="1"/>
  <c r="F2872" i="1"/>
  <c r="B2873" i="1"/>
  <c r="A2873" i="1"/>
  <c r="F2873" i="1"/>
  <c r="B2874" i="1"/>
  <c r="A2874" i="1"/>
  <c r="F2874" i="1"/>
  <c r="B2875" i="1"/>
  <c r="A2875" i="1"/>
  <c r="F2875" i="1"/>
  <c r="B2876" i="1"/>
  <c r="A2876" i="1"/>
  <c r="F2876" i="1"/>
  <c r="B2877" i="1"/>
  <c r="A2877" i="1"/>
  <c r="F2877" i="1"/>
  <c r="B2878" i="1"/>
  <c r="A2878" i="1"/>
  <c r="F2878" i="1"/>
  <c r="B2879" i="1"/>
  <c r="A2879" i="1"/>
  <c r="F2879" i="1"/>
  <c r="B2880" i="1"/>
  <c r="A2880" i="1"/>
  <c r="F2880" i="1"/>
  <c r="B2881" i="1"/>
  <c r="A2881" i="1"/>
  <c r="F2881" i="1"/>
  <c r="B2882" i="1"/>
  <c r="A2882" i="1"/>
  <c r="F2882" i="1"/>
  <c r="B2883" i="1"/>
  <c r="A2883" i="1"/>
  <c r="F2883" i="1"/>
  <c r="B2884" i="1"/>
  <c r="A2884" i="1"/>
  <c r="F2884" i="1"/>
  <c r="B2885" i="1"/>
  <c r="A2885" i="1"/>
  <c r="F2885" i="1"/>
  <c r="B2886" i="1"/>
  <c r="A2886" i="1"/>
  <c r="F2886" i="1"/>
  <c r="B2887" i="1"/>
  <c r="A2887" i="1"/>
  <c r="F2887" i="1"/>
  <c r="B2888" i="1"/>
  <c r="A2888" i="1"/>
  <c r="F2888" i="1"/>
  <c r="B2889" i="1"/>
  <c r="A2889" i="1"/>
  <c r="F2889" i="1"/>
  <c r="B2890" i="1"/>
  <c r="A2890" i="1"/>
  <c r="F2890" i="1"/>
  <c r="B2891" i="1"/>
  <c r="A2891" i="1"/>
  <c r="F2891" i="1"/>
  <c r="B2892" i="1"/>
  <c r="A2892" i="1"/>
  <c r="F2892" i="1"/>
  <c r="B2893" i="1"/>
  <c r="A2893" i="1"/>
  <c r="F2893" i="1"/>
  <c r="B2894" i="1"/>
  <c r="A2894" i="1"/>
  <c r="F2894" i="1"/>
  <c r="B2895" i="1"/>
  <c r="A2895" i="1"/>
  <c r="F2895" i="1"/>
  <c r="B2896" i="1"/>
  <c r="A2896" i="1"/>
  <c r="F2896" i="1"/>
  <c r="B2897" i="1"/>
  <c r="A2897" i="1"/>
  <c r="F2897" i="1"/>
  <c r="B2898" i="1"/>
  <c r="A2898" i="1"/>
  <c r="F2898" i="1"/>
  <c r="B2899" i="1"/>
  <c r="A2899" i="1"/>
  <c r="F2899" i="1"/>
  <c r="B2900" i="1"/>
  <c r="A2900" i="1"/>
  <c r="F2900" i="1"/>
  <c r="B2901" i="1"/>
  <c r="A2901" i="1"/>
  <c r="F2901" i="1"/>
  <c r="B2902" i="1"/>
  <c r="A2902" i="1"/>
  <c r="F2902" i="1"/>
  <c r="B2903" i="1"/>
  <c r="A2903" i="1"/>
  <c r="F2903" i="1"/>
  <c r="B2904" i="1"/>
  <c r="A2904" i="1"/>
  <c r="F2904" i="1"/>
  <c r="B2905" i="1"/>
  <c r="A2905" i="1"/>
  <c r="F2905" i="1"/>
  <c r="B2906" i="1"/>
  <c r="A2906" i="1"/>
  <c r="F2906" i="1"/>
  <c r="B2907" i="1"/>
  <c r="A2907" i="1"/>
  <c r="F2907" i="1"/>
  <c r="B2908" i="1"/>
  <c r="A2908" i="1"/>
  <c r="F2908" i="1"/>
  <c r="B2909" i="1"/>
  <c r="A2909" i="1"/>
  <c r="F2909" i="1"/>
  <c r="B2910" i="1"/>
  <c r="A2910" i="1"/>
  <c r="F2910" i="1"/>
  <c r="B2911" i="1"/>
  <c r="A2911" i="1"/>
  <c r="F2911" i="1"/>
  <c r="B2912" i="1"/>
  <c r="A2912" i="1"/>
  <c r="F2912" i="1"/>
  <c r="B2913" i="1"/>
  <c r="A2913" i="1"/>
  <c r="F2913" i="1"/>
  <c r="B2914" i="1"/>
  <c r="A2914" i="1"/>
  <c r="F2914" i="1"/>
  <c r="B2915" i="1"/>
  <c r="A2915" i="1"/>
  <c r="F2915" i="1"/>
  <c r="B2916" i="1"/>
  <c r="A2916" i="1"/>
  <c r="F2916" i="1"/>
  <c r="B2917" i="1"/>
  <c r="A2917" i="1"/>
  <c r="F2917" i="1"/>
  <c r="B2918" i="1"/>
  <c r="A2918" i="1"/>
  <c r="F2918" i="1"/>
  <c r="B2919" i="1"/>
  <c r="A2919" i="1"/>
  <c r="F2919" i="1"/>
  <c r="B2920" i="1"/>
  <c r="A2920" i="1"/>
  <c r="F2920" i="1"/>
  <c r="B2921" i="1"/>
  <c r="A2921" i="1"/>
  <c r="F2921" i="1"/>
  <c r="B2922" i="1"/>
  <c r="A2922" i="1"/>
  <c r="F2922" i="1"/>
  <c r="B2923" i="1"/>
  <c r="A2923" i="1"/>
  <c r="F2923" i="1"/>
  <c r="B2924" i="1"/>
  <c r="A2924" i="1"/>
  <c r="F2924" i="1"/>
  <c r="B2925" i="1"/>
  <c r="A2925" i="1"/>
  <c r="F2925" i="1"/>
  <c r="B2926" i="1"/>
  <c r="A2926" i="1"/>
  <c r="F2926" i="1"/>
  <c r="B2927" i="1"/>
  <c r="A2927" i="1"/>
  <c r="F2927" i="1"/>
  <c r="B2928" i="1"/>
  <c r="A2928" i="1"/>
  <c r="F2928" i="1"/>
  <c r="B2929" i="1"/>
  <c r="A2929" i="1"/>
  <c r="F2929" i="1"/>
  <c r="B2930" i="1"/>
  <c r="A2930" i="1"/>
  <c r="F2930" i="1"/>
  <c r="B2931" i="1"/>
  <c r="A2931" i="1"/>
  <c r="F2931" i="1"/>
  <c r="B2932" i="1"/>
  <c r="A2932" i="1"/>
  <c r="F2932" i="1"/>
  <c r="B2933" i="1"/>
  <c r="A2933" i="1"/>
  <c r="F2933" i="1"/>
  <c r="B2934" i="1"/>
  <c r="A2934" i="1"/>
  <c r="F2934" i="1"/>
  <c r="B2935" i="1"/>
  <c r="A2935" i="1"/>
  <c r="F2935" i="1"/>
  <c r="B2936" i="1"/>
  <c r="A2936" i="1"/>
  <c r="F2936" i="1"/>
  <c r="B2937" i="1"/>
  <c r="A2937" i="1"/>
  <c r="F2937" i="1"/>
  <c r="B2938" i="1"/>
  <c r="A2938" i="1"/>
  <c r="F2938" i="1"/>
  <c r="B2939" i="1"/>
  <c r="A2939" i="1"/>
  <c r="F2939" i="1"/>
  <c r="B2940" i="1"/>
  <c r="A2940" i="1"/>
  <c r="F2940" i="1"/>
  <c r="B2941" i="1"/>
  <c r="A2941" i="1"/>
  <c r="F2941" i="1"/>
  <c r="B2942" i="1"/>
  <c r="A2942" i="1"/>
  <c r="F2942" i="1"/>
  <c r="B2943" i="1"/>
  <c r="A2943" i="1"/>
  <c r="F2943" i="1"/>
  <c r="B2944" i="1"/>
  <c r="A2944" i="1"/>
  <c r="F2944" i="1"/>
  <c r="B2945" i="1"/>
  <c r="A2945" i="1"/>
  <c r="F2945" i="1"/>
  <c r="B2946" i="1"/>
  <c r="A2946" i="1"/>
  <c r="F2946" i="1"/>
  <c r="B2947" i="1"/>
  <c r="A2947" i="1"/>
  <c r="F2947" i="1"/>
  <c r="B2948" i="1"/>
  <c r="A2948" i="1"/>
  <c r="F2948" i="1"/>
  <c r="B2949" i="1"/>
  <c r="A2949" i="1"/>
  <c r="F2949" i="1"/>
  <c r="B2950" i="1"/>
  <c r="A2950" i="1"/>
  <c r="F2950" i="1"/>
  <c r="B2951" i="1"/>
  <c r="A2951" i="1"/>
  <c r="F2951" i="1"/>
  <c r="B2952" i="1"/>
  <c r="A2952" i="1"/>
  <c r="F2952" i="1"/>
  <c r="B2953" i="1"/>
  <c r="A2953" i="1"/>
  <c r="F2953" i="1"/>
  <c r="B2954" i="1"/>
  <c r="A2954" i="1"/>
  <c r="F2954" i="1"/>
  <c r="B2955" i="1"/>
  <c r="A2955" i="1"/>
  <c r="F2955" i="1"/>
  <c r="B2956" i="1"/>
  <c r="A2956" i="1"/>
  <c r="F2956" i="1"/>
  <c r="B2957" i="1"/>
  <c r="A2957" i="1"/>
  <c r="F2957" i="1"/>
  <c r="B2958" i="1"/>
  <c r="A2958" i="1"/>
  <c r="F2958" i="1"/>
  <c r="B2959" i="1"/>
  <c r="A2959" i="1"/>
  <c r="F2959" i="1"/>
  <c r="B2960" i="1"/>
  <c r="A2960" i="1"/>
  <c r="F2960" i="1"/>
  <c r="B2961" i="1"/>
  <c r="A2961" i="1"/>
  <c r="F2961" i="1"/>
  <c r="B2962" i="1"/>
  <c r="A2962" i="1"/>
  <c r="F2962" i="1"/>
  <c r="B2963" i="1"/>
  <c r="A2963" i="1"/>
  <c r="F2963" i="1"/>
  <c r="B2964" i="1"/>
  <c r="A2964" i="1"/>
  <c r="F2964" i="1"/>
  <c r="B2965" i="1"/>
  <c r="A2965" i="1"/>
  <c r="F2965" i="1"/>
  <c r="B2966" i="1"/>
  <c r="A2966" i="1"/>
  <c r="F2966" i="1"/>
  <c r="B2967" i="1"/>
  <c r="A2967" i="1"/>
  <c r="F2967" i="1"/>
  <c r="B2968" i="1"/>
  <c r="A2968" i="1"/>
  <c r="F2968" i="1"/>
  <c r="B2969" i="1"/>
  <c r="A2969" i="1"/>
  <c r="F2969" i="1"/>
  <c r="B2970" i="1"/>
  <c r="A2970" i="1"/>
  <c r="F2970" i="1"/>
  <c r="B2971" i="1"/>
  <c r="A2971" i="1"/>
  <c r="F2971" i="1"/>
  <c r="B2972" i="1"/>
  <c r="A2972" i="1"/>
  <c r="F2972" i="1"/>
  <c r="B2973" i="1"/>
  <c r="A2973" i="1"/>
  <c r="F2973" i="1"/>
  <c r="B2974" i="1"/>
  <c r="A2974" i="1"/>
  <c r="F2974" i="1"/>
  <c r="B2975" i="1"/>
  <c r="A2975" i="1"/>
  <c r="F2975" i="1"/>
  <c r="B2976" i="1"/>
  <c r="A2976" i="1"/>
  <c r="F2976" i="1"/>
  <c r="B2977" i="1"/>
  <c r="A2977" i="1"/>
  <c r="F2977" i="1"/>
  <c r="B2978" i="1"/>
  <c r="A2978" i="1"/>
  <c r="F2978" i="1"/>
  <c r="B2979" i="1"/>
  <c r="A2979" i="1"/>
  <c r="F2979" i="1"/>
  <c r="B2980" i="1"/>
  <c r="A2980" i="1"/>
  <c r="F2980" i="1"/>
  <c r="B2981" i="1"/>
  <c r="A2981" i="1"/>
  <c r="F2981" i="1"/>
  <c r="B2982" i="1"/>
  <c r="A2982" i="1"/>
  <c r="F2982" i="1"/>
  <c r="B2983" i="1"/>
  <c r="A2983" i="1"/>
  <c r="F2983" i="1"/>
  <c r="B2984" i="1"/>
  <c r="A2984" i="1"/>
  <c r="F2984" i="1"/>
  <c r="B2985" i="1"/>
  <c r="A2985" i="1"/>
  <c r="F2985" i="1"/>
  <c r="B2986" i="1"/>
  <c r="A2986" i="1"/>
  <c r="F2986" i="1"/>
  <c r="B2987" i="1"/>
  <c r="A2987" i="1"/>
  <c r="F2987" i="1"/>
  <c r="B2988" i="1"/>
  <c r="A2988" i="1"/>
  <c r="F2988" i="1"/>
  <c r="B2989" i="1"/>
  <c r="A2989" i="1"/>
  <c r="F2989" i="1"/>
  <c r="B2990" i="1"/>
  <c r="A2990" i="1"/>
  <c r="F2990" i="1"/>
  <c r="B2991" i="1"/>
  <c r="A2991" i="1"/>
  <c r="F2991" i="1"/>
  <c r="B2992" i="1"/>
  <c r="A2992" i="1"/>
  <c r="F2992" i="1"/>
  <c r="B2993" i="1"/>
  <c r="A2993" i="1"/>
  <c r="F2993" i="1"/>
  <c r="B2994" i="1"/>
  <c r="A2994" i="1"/>
  <c r="F2994" i="1"/>
  <c r="B2995" i="1"/>
  <c r="A2995" i="1"/>
  <c r="F2995" i="1"/>
  <c r="B2996" i="1"/>
  <c r="A2996" i="1"/>
  <c r="F2996" i="1"/>
  <c r="B2997" i="1"/>
  <c r="A2997" i="1"/>
  <c r="F2997" i="1"/>
  <c r="B2998" i="1"/>
  <c r="A2998" i="1"/>
  <c r="F2998" i="1"/>
  <c r="B2999" i="1"/>
  <c r="A2999" i="1"/>
  <c r="F2999" i="1"/>
  <c r="B3000" i="1"/>
  <c r="A3000" i="1"/>
  <c r="F3000" i="1"/>
  <c r="B3001" i="1"/>
  <c r="A3001" i="1"/>
  <c r="F3001" i="1"/>
  <c r="B3002" i="1"/>
  <c r="A3002" i="1"/>
  <c r="F3002" i="1"/>
  <c r="B3003" i="1"/>
  <c r="A3003" i="1"/>
  <c r="F3003" i="1"/>
  <c r="B3004" i="1"/>
  <c r="A3004" i="1"/>
  <c r="F3004" i="1"/>
  <c r="B3005" i="1"/>
  <c r="A3005" i="1"/>
  <c r="F3005" i="1"/>
  <c r="B3006" i="1"/>
  <c r="A3006" i="1"/>
  <c r="F3006" i="1"/>
  <c r="B3007" i="1"/>
  <c r="A3007" i="1"/>
  <c r="F3007" i="1"/>
  <c r="B3008" i="1"/>
  <c r="A3008" i="1"/>
  <c r="F3008" i="1"/>
  <c r="B3009" i="1"/>
  <c r="A3009" i="1"/>
  <c r="F3009" i="1"/>
  <c r="B3010" i="1"/>
  <c r="A3010" i="1"/>
  <c r="F3010" i="1"/>
  <c r="B3011" i="1"/>
  <c r="A3011" i="1"/>
  <c r="F3011" i="1"/>
  <c r="B3012" i="1"/>
  <c r="A3012" i="1"/>
  <c r="F3012" i="1"/>
  <c r="B3013" i="1"/>
  <c r="A3013" i="1"/>
  <c r="F3013" i="1"/>
  <c r="B3014" i="1"/>
  <c r="A3014" i="1"/>
  <c r="F3014" i="1"/>
  <c r="B3015" i="1"/>
  <c r="A3015" i="1"/>
  <c r="F3015" i="1"/>
  <c r="B3016" i="1"/>
  <c r="A3016" i="1"/>
  <c r="F3016" i="1"/>
  <c r="B3017" i="1"/>
  <c r="A3017" i="1"/>
  <c r="F3017" i="1"/>
  <c r="B3018" i="1"/>
  <c r="A3018" i="1"/>
  <c r="F3018" i="1"/>
  <c r="B3019" i="1"/>
  <c r="A3019" i="1"/>
  <c r="F3019" i="1"/>
  <c r="B3020" i="1"/>
  <c r="A3020" i="1"/>
  <c r="F3020" i="1"/>
  <c r="B3021" i="1"/>
  <c r="A3021" i="1"/>
  <c r="F3021" i="1"/>
  <c r="B3022" i="1"/>
  <c r="A3022" i="1"/>
  <c r="F3022" i="1"/>
  <c r="B3023" i="1"/>
  <c r="A3023" i="1"/>
  <c r="F3023" i="1"/>
  <c r="B3024" i="1"/>
  <c r="A3024" i="1"/>
  <c r="F3024" i="1"/>
  <c r="B3025" i="1"/>
  <c r="A3025" i="1"/>
  <c r="F3025" i="1"/>
  <c r="B3026" i="1"/>
  <c r="A3026" i="1"/>
  <c r="F3026" i="1"/>
  <c r="B3027" i="1"/>
  <c r="A3027" i="1"/>
  <c r="F3027" i="1"/>
  <c r="B3028" i="1"/>
  <c r="A3028" i="1"/>
  <c r="F3028" i="1"/>
  <c r="B3029" i="1"/>
  <c r="A3029" i="1"/>
  <c r="F3029" i="1"/>
  <c r="B3030" i="1"/>
  <c r="A3030" i="1"/>
  <c r="F3030" i="1"/>
  <c r="B3031" i="1"/>
  <c r="A3031" i="1"/>
  <c r="F3031" i="1"/>
  <c r="B3032" i="1"/>
  <c r="A3032" i="1"/>
  <c r="F3032" i="1"/>
  <c r="B3033" i="1"/>
  <c r="A3033" i="1"/>
  <c r="F3033" i="1"/>
  <c r="B3034" i="1"/>
  <c r="A3034" i="1"/>
  <c r="F3034" i="1"/>
  <c r="B3035" i="1"/>
  <c r="A3035" i="1"/>
  <c r="F3035" i="1"/>
  <c r="B3036" i="1"/>
  <c r="A3036" i="1"/>
  <c r="F3036" i="1"/>
  <c r="B3037" i="1"/>
  <c r="A3037" i="1"/>
  <c r="F3037" i="1"/>
  <c r="B3038" i="1"/>
  <c r="A3038" i="1"/>
  <c r="F3038" i="1"/>
  <c r="B3039" i="1"/>
  <c r="A3039" i="1"/>
  <c r="F3039" i="1"/>
  <c r="B3040" i="1"/>
  <c r="A3040" i="1"/>
  <c r="F3040" i="1"/>
  <c r="B3041" i="1"/>
  <c r="A3041" i="1"/>
  <c r="F3041" i="1"/>
  <c r="B3042" i="1"/>
  <c r="A3042" i="1"/>
  <c r="F3042" i="1"/>
  <c r="B3043" i="1"/>
  <c r="A3043" i="1"/>
  <c r="F3043" i="1"/>
  <c r="B3044" i="1"/>
  <c r="A3044" i="1"/>
  <c r="F3044" i="1"/>
  <c r="B3045" i="1"/>
  <c r="A3045" i="1"/>
  <c r="F3045" i="1"/>
  <c r="B3046" i="1"/>
  <c r="A3046" i="1"/>
  <c r="F3046" i="1"/>
  <c r="B3047" i="1"/>
  <c r="A3047" i="1"/>
  <c r="F3047" i="1"/>
  <c r="B3048" i="1"/>
  <c r="A3048" i="1"/>
  <c r="F3048" i="1"/>
  <c r="B3049" i="1"/>
  <c r="A3049" i="1"/>
  <c r="F3049" i="1"/>
  <c r="B3050" i="1"/>
  <c r="A3050" i="1"/>
  <c r="F3050" i="1"/>
  <c r="B3051" i="1"/>
  <c r="A3051" i="1"/>
  <c r="F3051" i="1"/>
  <c r="B3052" i="1"/>
  <c r="A3052" i="1"/>
  <c r="F3052" i="1"/>
  <c r="B3053" i="1"/>
  <c r="A3053" i="1"/>
  <c r="F3053" i="1"/>
  <c r="B3054" i="1"/>
  <c r="A3054" i="1"/>
  <c r="F3054" i="1"/>
  <c r="B3055" i="1"/>
  <c r="A3055" i="1"/>
  <c r="F3055" i="1"/>
  <c r="B3056" i="1"/>
  <c r="A3056" i="1"/>
  <c r="F3056" i="1"/>
  <c r="B3057" i="1"/>
  <c r="A3057" i="1"/>
  <c r="F3057" i="1"/>
  <c r="B3058" i="1"/>
  <c r="A3058" i="1"/>
  <c r="F3058" i="1"/>
  <c r="B3059" i="1"/>
  <c r="A3059" i="1"/>
  <c r="F3059" i="1"/>
  <c r="B3060" i="1"/>
  <c r="A3060" i="1"/>
  <c r="F3060" i="1"/>
  <c r="B3061" i="1"/>
  <c r="A3061" i="1"/>
  <c r="F3061" i="1"/>
  <c r="B3062" i="1"/>
  <c r="A3062" i="1"/>
  <c r="F3062" i="1"/>
  <c r="B3063" i="1"/>
  <c r="A3063" i="1"/>
  <c r="F3063" i="1"/>
  <c r="B3064" i="1"/>
  <c r="A3064" i="1"/>
  <c r="F3064" i="1"/>
  <c r="B3065" i="1"/>
  <c r="A3065" i="1"/>
  <c r="F3065" i="1"/>
  <c r="B3066" i="1"/>
  <c r="A3066" i="1"/>
  <c r="F3066" i="1"/>
  <c r="B3067" i="1"/>
  <c r="A3067" i="1"/>
  <c r="F3067" i="1"/>
  <c r="B3068" i="1"/>
  <c r="A3068" i="1"/>
  <c r="F3068" i="1"/>
  <c r="B3069" i="1"/>
  <c r="A3069" i="1"/>
  <c r="F3069" i="1"/>
  <c r="B3070" i="1"/>
  <c r="A3070" i="1"/>
  <c r="F3070" i="1"/>
  <c r="B3071" i="1"/>
  <c r="A3071" i="1"/>
  <c r="F3071" i="1"/>
  <c r="B3072" i="1"/>
  <c r="A3072" i="1"/>
  <c r="F3072" i="1"/>
  <c r="B3073" i="1"/>
  <c r="A3073" i="1"/>
  <c r="F3073" i="1"/>
  <c r="B3074" i="1"/>
  <c r="A3074" i="1"/>
  <c r="F3074" i="1"/>
  <c r="B3075" i="1"/>
  <c r="A3075" i="1"/>
  <c r="F3075" i="1"/>
  <c r="B3076" i="1"/>
  <c r="A3076" i="1"/>
  <c r="F3076" i="1"/>
  <c r="B3077" i="1"/>
  <c r="A3077" i="1"/>
  <c r="F3077" i="1"/>
  <c r="B3078" i="1"/>
  <c r="A3078" i="1"/>
  <c r="F3078" i="1"/>
  <c r="B3079" i="1"/>
  <c r="A3079" i="1"/>
  <c r="F3079" i="1"/>
  <c r="B3080" i="1"/>
  <c r="A3080" i="1"/>
  <c r="F3080" i="1"/>
  <c r="B3081" i="1"/>
  <c r="A3081" i="1"/>
  <c r="F3081" i="1"/>
  <c r="B3082" i="1"/>
  <c r="A3082" i="1"/>
  <c r="F3082" i="1"/>
  <c r="B3083" i="1"/>
  <c r="A3083" i="1"/>
  <c r="F3083" i="1"/>
  <c r="B3084" i="1"/>
  <c r="A3084" i="1"/>
  <c r="F3084" i="1"/>
  <c r="B3085" i="1"/>
  <c r="A3085" i="1"/>
  <c r="F3085" i="1"/>
  <c r="B3086" i="1"/>
  <c r="A3086" i="1"/>
  <c r="F3086" i="1"/>
  <c r="B3087" i="1"/>
  <c r="A3087" i="1"/>
  <c r="F3087" i="1"/>
  <c r="B3088" i="1"/>
  <c r="A3088" i="1"/>
  <c r="F3088" i="1"/>
  <c r="B3089" i="1"/>
  <c r="A3089" i="1"/>
  <c r="F3089" i="1"/>
  <c r="B3090" i="1"/>
  <c r="A3090" i="1"/>
  <c r="F3090" i="1"/>
  <c r="B3091" i="1"/>
  <c r="A3091" i="1"/>
  <c r="F3091" i="1"/>
  <c r="B3092" i="1"/>
  <c r="A3092" i="1"/>
  <c r="F3092" i="1"/>
  <c r="B3093" i="1"/>
  <c r="A3093" i="1"/>
  <c r="F3093" i="1"/>
  <c r="B3094" i="1"/>
  <c r="A3094" i="1"/>
  <c r="F3094" i="1"/>
  <c r="B3095" i="1"/>
  <c r="A3095" i="1"/>
  <c r="F3095" i="1"/>
  <c r="B3096" i="1"/>
  <c r="A3096" i="1"/>
  <c r="F3096" i="1"/>
  <c r="B3097" i="1"/>
  <c r="A3097" i="1"/>
  <c r="F3097" i="1"/>
  <c r="B3098" i="1"/>
  <c r="A3098" i="1"/>
  <c r="F3098" i="1"/>
  <c r="B3099" i="1"/>
  <c r="A3099" i="1"/>
  <c r="F3099" i="1"/>
  <c r="B3100" i="1"/>
  <c r="A3100" i="1"/>
  <c r="F3100" i="1"/>
  <c r="B3101" i="1"/>
  <c r="A3101" i="1"/>
  <c r="F3101" i="1"/>
  <c r="B3102" i="1"/>
  <c r="A3102" i="1"/>
  <c r="F3102" i="1"/>
  <c r="B3103" i="1"/>
  <c r="A3103" i="1"/>
  <c r="F3103" i="1"/>
  <c r="B3104" i="1"/>
  <c r="A3104" i="1"/>
  <c r="F3104" i="1"/>
  <c r="B3105" i="1"/>
  <c r="A3105" i="1"/>
  <c r="F3105" i="1"/>
  <c r="B3106" i="1"/>
  <c r="A3106" i="1"/>
  <c r="F3106" i="1"/>
  <c r="B3107" i="1"/>
  <c r="A3107" i="1"/>
  <c r="F3107" i="1"/>
  <c r="B3108" i="1"/>
  <c r="A3108" i="1"/>
  <c r="F3108" i="1"/>
  <c r="B3109" i="1"/>
  <c r="A3109" i="1"/>
  <c r="F3109" i="1"/>
  <c r="B3110" i="1"/>
  <c r="A3110" i="1"/>
  <c r="F3110" i="1"/>
  <c r="B3111" i="1"/>
  <c r="A3111" i="1"/>
  <c r="F3111" i="1"/>
  <c r="B3112" i="1"/>
  <c r="A3112" i="1"/>
  <c r="F3112" i="1"/>
  <c r="B3113" i="1"/>
  <c r="A3113" i="1"/>
  <c r="F3113" i="1"/>
  <c r="B3114" i="1"/>
  <c r="A3114" i="1"/>
  <c r="F3114" i="1"/>
  <c r="B3115" i="1"/>
  <c r="A3115" i="1"/>
  <c r="F3115" i="1"/>
  <c r="B3116" i="1"/>
  <c r="A3116" i="1"/>
  <c r="F3116" i="1"/>
  <c r="B3117" i="1"/>
  <c r="A3117" i="1"/>
  <c r="F3117" i="1"/>
  <c r="B3118" i="1"/>
  <c r="A3118" i="1"/>
  <c r="F3118" i="1"/>
  <c r="B3119" i="1"/>
  <c r="A3119" i="1"/>
  <c r="F3119" i="1"/>
  <c r="B3120" i="1"/>
  <c r="A3120" i="1"/>
  <c r="F3120" i="1"/>
  <c r="B3121" i="1"/>
  <c r="A3121" i="1"/>
  <c r="F3121" i="1"/>
  <c r="B3122" i="1"/>
  <c r="A3122" i="1"/>
  <c r="F3122" i="1"/>
  <c r="B3123" i="1"/>
  <c r="A3123" i="1"/>
  <c r="F3123" i="1"/>
  <c r="B3124" i="1"/>
  <c r="A3124" i="1"/>
  <c r="F3124" i="1"/>
  <c r="B3125" i="1"/>
  <c r="A3125" i="1"/>
  <c r="F3125" i="1"/>
  <c r="B3126" i="1"/>
  <c r="A3126" i="1"/>
  <c r="F3126" i="1"/>
  <c r="B3127" i="1"/>
  <c r="A3127" i="1"/>
  <c r="F3127" i="1"/>
  <c r="B3128" i="1"/>
  <c r="A3128" i="1"/>
  <c r="F3128" i="1"/>
  <c r="B3129" i="1"/>
  <c r="A3129" i="1"/>
  <c r="F3129" i="1"/>
  <c r="B3130" i="1"/>
  <c r="A3130" i="1"/>
  <c r="F3130" i="1"/>
  <c r="B3131" i="1"/>
  <c r="A3131" i="1"/>
  <c r="F3131" i="1"/>
  <c r="B3132" i="1"/>
  <c r="A3132" i="1"/>
  <c r="F3132" i="1"/>
  <c r="B3133" i="1"/>
  <c r="A3133" i="1"/>
  <c r="F3133" i="1"/>
  <c r="B3134" i="1"/>
  <c r="A3134" i="1"/>
  <c r="F3134" i="1"/>
  <c r="B3135" i="1"/>
  <c r="A3135" i="1"/>
  <c r="F3135" i="1"/>
  <c r="B3136" i="1"/>
  <c r="A3136" i="1"/>
  <c r="F3136" i="1"/>
  <c r="B3137" i="1"/>
  <c r="A3137" i="1"/>
  <c r="F3137" i="1"/>
  <c r="B3138" i="1"/>
  <c r="A3138" i="1"/>
  <c r="F3138" i="1"/>
  <c r="B3139" i="1"/>
  <c r="A3139" i="1"/>
  <c r="F3139" i="1"/>
  <c r="B3140" i="1"/>
  <c r="A3140" i="1"/>
  <c r="F3140" i="1"/>
  <c r="B3141" i="1"/>
  <c r="A3141" i="1"/>
  <c r="F3141" i="1"/>
  <c r="B3142" i="1"/>
  <c r="A3142" i="1"/>
  <c r="F3142" i="1"/>
  <c r="B3143" i="1"/>
  <c r="A3143" i="1"/>
  <c r="F3143" i="1"/>
  <c r="B3144" i="1"/>
  <c r="A3144" i="1"/>
  <c r="F3144" i="1"/>
  <c r="B3145" i="1"/>
  <c r="A3145" i="1"/>
  <c r="F3145" i="1"/>
  <c r="B3146" i="1"/>
  <c r="A3146" i="1"/>
  <c r="F3146" i="1"/>
  <c r="B3147" i="1"/>
  <c r="A3147" i="1"/>
  <c r="F3147" i="1"/>
  <c r="B3148" i="1"/>
  <c r="A3148" i="1"/>
  <c r="F3148" i="1"/>
  <c r="B3149" i="1"/>
  <c r="A3149" i="1"/>
  <c r="F3149" i="1"/>
  <c r="B3150" i="1"/>
  <c r="A3150" i="1"/>
  <c r="F3150" i="1"/>
  <c r="B3151" i="1"/>
  <c r="A3151" i="1"/>
  <c r="F3151" i="1"/>
  <c r="B3152" i="1"/>
  <c r="A3152" i="1"/>
  <c r="F3152" i="1"/>
  <c r="B3153" i="1"/>
  <c r="A3153" i="1"/>
  <c r="F3153" i="1"/>
  <c r="B3154" i="1"/>
  <c r="A3154" i="1"/>
  <c r="F3154" i="1"/>
  <c r="B3155" i="1"/>
  <c r="A3155" i="1"/>
  <c r="F3155" i="1"/>
  <c r="B3156" i="1"/>
  <c r="A3156" i="1"/>
  <c r="F3156" i="1"/>
  <c r="B3157" i="1"/>
  <c r="A3157" i="1"/>
  <c r="F3157" i="1"/>
  <c r="B3158" i="1"/>
  <c r="A3158" i="1"/>
  <c r="F3158" i="1"/>
  <c r="B3159" i="1"/>
  <c r="A3159" i="1"/>
  <c r="F3159" i="1"/>
  <c r="B3160" i="1"/>
  <c r="A3160" i="1"/>
  <c r="F3160" i="1"/>
  <c r="B3161" i="1"/>
  <c r="A3161" i="1"/>
  <c r="F3161" i="1"/>
  <c r="B3162" i="1"/>
  <c r="A3162" i="1"/>
  <c r="F3162" i="1"/>
  <c r="B3163" i="1"/>
  <c r="A3163" i="1"/>
  <c r="F3163" i="1"/>
  <c r="B3164" i="1"/>
  <c r="A3164" i="1"/>
  <c r="F3164" i="1"/>
  <c r="B3165" i="1"/>
  <c r="A3165" i="1"/>
  <c r="F3165" i="1"/>
  <c r="B3166" i="1"/>
  <c r="A3166" i="1"/>
  <c r="F3166" i="1"/>
  <c r="B3167" i="1"/>
  <c r="A3167" i="1"/>
  <c r="F3167" i="1"/>
  <c r="B3168" i="1"/>
  <c r="A3168" i="1"/>
  <c r="F3168" i="1"/>
  <c r="B3169" i="1"/>
  <c r="A3169" i="1"/>
  <c r="F3169" i="1"/>
  <c r="B3170" i="1"/>
  <c r="A3170" i="1"/>
  <c r="F3170" i="1"/>
  <c r="B3171" i="1"/>
  <c r="A3171" i="1"/>
  <c r="F3171" i="1"/>
  <c r="B3172" i="1"/>
  <c r="A3172" i="1"/>
  <c r="F3172" i="1"/>
  <c r="B3173" i="1"/>
  <c r="A3173" i="1"/>
  <c r="F3173" i="1"/>
  <c r="B3174" i="1"/>
  <c r="A3174" i="1"/>
  <c r="F3174" i="1"/>
  <c r="B3175" i="1"/>
  <c r="A3175" i="1"/>
  <c r="F3175" i="1"/>
  <c r="B3176" i="1"/>
  <c r="A3176" i="1"/>
  <c r="F3176" i="1"/>
  <c r="B3177" i="1"/>
  <c r="A3177" i="1"/>
  <c r="F3177" i="1"/>
  <c r="B3178" i="1"/>
  <c r="A3178" i="1"/>
  <c r="F3178" i="1"/>
  <c r="B3179" i="1"/>
  <c r="A3179" i="1"/>
  <c r="F3179" i="1"/>
  <c r="B3180" i="1"/>
  <c r="A3180" i="1"/>
  <c r="F3180" i="1"/>
  <c r="B3181" i="1"/>
  <c r="A3181" i="1"/>
  <c r="F3181" i="1"/>
  <c r="B3182" i="1"/>
  <c r="A3182" i="1"/>
  <c r="F3182" i="1"/>
  <c r="B3183" i="1"/>
  <c r="A3183" i="1"/>
  <c r="F3183" i="1"/>
  <c r="B3184" i="1"/>
  <c r="A3184" i="1"/>
  <c r="F3184" i="1"/>
  <c r="B3185" i="1"/>
  <c r="A3185" i="1"/>
  <c r="F3185" i="1"/>
  <c r="B3186" i="1"/>
  <c r="A3186" i="1"/>
  <c r="F3186" i="1"/>
  <c r="B3187" i="1"/>
  <c r="A3187" i="1"/>
  <c r="F3187" i="1"/>
  <c r="B3188" i="1"/>
  <c r="A3188" i="1"/>
  <c r="F3188" i="1"/>
  <c r="B3189" i="1"/>
  <c r="A3189" i="1"/>
  <c r="F3189" i="1"/>
  <c r="B3190" i="1"/>
  <c r="A3190" i="1"/>
  <c r="F3190" i="1"/>
  <c r="B3191" i="1"/>
  <c r="A3191" i="1"/>
  <c r="F3191" i="1"/>
  <c r="B3192" i="1"/>
  <c r="A3192" i="1"/>
  <c r="F3192" i="1"/>
  <c r="B3193" i="1"/>
  <c r="A3193" i="1"/>
  <c r="F3193" i="1"/>
  <c r="B3194" i="1"/>
  <c r="A3194" i="1"/>
  <c r="F3194" i="1"/>
  <c r="B3195" i="1"/>
  <c r="A3195" i="1"/>
  <c r="F3195" i="1"/>
  <c r="B3196" i="1"/>
  <c r="A3196" i="1"/>
  <c r="F3196" i="1"/>
  <c r="B3197" i="1"/>
  <c r="A3197" i="1"/>
  <c r="F3197" i="1"/>
  <c r="B3198" i="1"/>
  <c r="A3198" i="1"/>
  <c r="F3198" i="1"/>
  <c r="B3199" i="1"/>
  <c r="A3199" i="1"/>
  <c r="F3199" i="1"/>
  <c r="B3200" i="1"/>
  <c r="A3200" i="1"/>
  <c r="F3200" i="1"/>
  <c r="B3201" i="1"/>
  <c r="A3201" i="1"/>
  <c r="F3201" i="1"/>
  <c r="B3202" i="1"/>
  <c r="A3202" i="1"/>
  <c r="F3202" i="1"/>
  <c r="B3203" i="1"/>
  <c r="A3203" i="1"/>
  <c r="F3203" i="1"/>
  <c r="B3204" i="1"/>
  <c r="A3204" i="1"/>
  <c r="F3204" i="1"/>
  <c r="B3205" i="1"/>
  <c r="A3205" i="1"/>
  <c r="F3205" i="1"/>
  <c r="B3206" i="1"/>
  <c r="A3206" i="1"/>
  <c r="F3206" i="1"/>
  <c r="B3207" i="1"/>
  <c r="A3207" i="1"/>
  <c r="F3207" i="1"/>
  <c r="B3208" i="1"/>
  <c r="A3208" i="1"/>
  <c r="F3208" i="1"/>
  <c r="B3209" i="1"/>
  <c r="A3209" i="1"/>
  <c r="F3209" i="1"/>
  <c r="B3210" i="1"/>
  <c r="A3210" i="1"/>
  <c r="F3210" i="1"/>
  <c r="B3211" i="1"/>
  <c r="A3211" i="1"/>
  <c r="F3211" i="1"/>
  <c r="B3212" i="1"/>
  <c r="A3212" i="1"/>
  <c r="F3212" i="1"/>
  <c r="B3213" i="1"/>
  <c r="A3213" i="1"/>
  <c r="F3213" i="1"/>
  <c r="B3214" i="1"/>
  <c r="A3214" i="1"/>
  <c r="F3214" i="1"/>
  <c r="B3215" i="1"/>
  <c r="A3215" i="1"/>
  <c r="F3215" i="1"/>
  <c r="B3216" i="1"/>
  <c r="A3216" i="1"/>
  <c r="F3216" i="1"/>
  <c r="B3217" i="1"/>
  <c r="A3217" i="1"/>
  <c r="F3217" i="1"/>
  <c r="B3218" i="1"/>
  <c r="A3218" i="1"/>
  <c r="F3218" i="1"/>
  <c r="B3219" i="1"/>
  <c r="A3219" i="1"/>
  <c r="F3219" i="1"/>
  <c r="B3220" i="1"/>
  <c r="A3220" i="1"/>
  <c r="F3220" i="1"/>
  <c r="B3221" i="1"/>
  <c r="A3221" i="1"/>
  <c r="F3221" i="1"/>
  <c r="B3222" i="1"/>
  <c r="A3222" i="1"/>
  <c r="F3222" i="1"/>
  <c r="B3223" i="1"/>
  <c r="A3223" i="1"/>
  <c r="F3223" i="1"/>
  <c r="B3224" i="1"/>
  <c r="A3224" i="1"/>
  <c r="F3224" i="1"/>
  <c r="B3225" i="1"/>
  <c r="A3225" i="1"/>
  <c r="F3225" i="1"/>
  <c r="B3226" i="1"/>
  <c r="A3226" i="1"/>
  <c r="F3226" i="1"/>
  <c r="B3227" i="1"/>
  <c r="A3227" i="1"/>
  <c r="F3227" i="1"/>
  <c r="B3228" i="1"/>
  <c r="A3228" i="1"/>
  <c r="F3228" i="1"/>
  <c r="B3229" i="1"/>
  <c r="A3229" i="1"/>
  <c r="F3229" i="1"/>
  <c r="B3230" i="1"/>
  <c r="A3230" i="1"/>
  <c r="F3230" i="1"/>
  <c r="B3231" i="1"/>
  <c r="A3231" i="1"/>
  <c r="F3231" i="1"/>
  <c r="B3232" i="1"/>
  <c r="A3232" i="1"/>
  <c r="F3232" i="1"/>
  <c r="B3233" i="1"/>
  <c r="A3233" i="1"/>
  <c r="F3233" i="1"/>
  <c r="B3234" i="1"/>
  <c r="A3234" i="1"/>
  <c r="F3234" i="1"/>
  <c r="B3235" i="1"/>
  <c r="A3235" i="1"/>
  <c r="F3235" i="1"/>
  <c r="B3236" i="1"/>
  <c r="A3236" i="1"/>
  <c r="F3236" i="1"/>
  <c r="B3237" i="1"/>
  <c r="A3237" i="1"/>
  <c r="F3237" i="1"/>
  <c r="B3238" i="1"/>
  <c r="A3238" i="1"/>
  <c r="F3238" i="1"/>
  <c r="B3239" i="1"/>
  <c r="A3239" i="1"/>
  <c r="F3239" i="1"/>
  <c r="B3240" i="1"/>
  <c r="A3240" i="1"/>
  <c r="F3240" i="1"/>
  <c r="B3241" i="1"/>
  <c r="A3241" i="1"/>
  <c r="F3241" i="1"/>
  <c r="B3242" i="1"/>
  <c r="A3242" i="1"/>
  <c r="F3242" i="1"/>
  <c r="B3243" i="1"/>
  <c r="A3243" i="1"/>
  <c r="F3243" i="1"/>
  <c r="B3244" i="1"/>
  <c r="A3244" i="1"/>
  <c r="F3244" i="1"/>
  <c r="B3245" i="1"/>
  <c r="A3245" i="1"/>
  <c r="F3245" i="1"/>
  <c r="B3246" i="1"/>
  <c r="A3246" i="1"/>
  <c r="F3246" i="1"/>
  <c r="B3247" i="1"/>
  <c r="A3247" i="1"/>
  <c r="F3247" i="1"/>
  <c r="B3248" i="1"/>
  <c r="A3248" i="1"/>
  <c r="F3248" i="1"/>
  <c r="B3249" i="1"/>
  <c r="A3249" i="1"/>
  <c r="F3249" i="1"/>
  <c r="B3250" i="1"/>
  <c r="A3250" i="1"/>
  <c r="F3250" i="1"/>
  <c r="B3251" i="1"/>
  <c r="A3251" i="1"/>
  <c r="F3251" i="1"/>
  <c r="B3252" i="1"/>
  <c r="A3252" i="1"/>
  <c r="F3252" i="1"/>
  <c r="B3253" i="1"/>
  <c r="A3253" i="1"/>
  <c r="F3253" i="1"/>
  <c r="B3254" i="1"/>
  <c r="A3254" i="1"/>
  <c r="F3254" i="1"/>
  <c r="B3255" i="1"/>
  <c r="A3255" i="1"/>
  <c r="F3255" i="1"/>
  <c r="B3256" i="1"/>
  <c r="A3256" i="1"/>
  <c r="F3256" i="1"/>
  <c r="B3257" i="1"/>
  <c r="A3257" i="1"/>
  <c r="F3257" i="1"/>
  <c r="B3258" i="1"/>
  <c r="A3258" i="1"/>
  <c r="F3258" i="1"/>
  <c r="B3259" i="1"/>
  <c r="A3259" i="1"/>
  <c r="F3259" i="1"/>
  <c r="B3260" i="1"/>
  <c r="A3260" i="1"/>
  <c r="F3260" i="1"/>
  <c r="B3261" i="1"/>
  <c r="A3261" i="1"/>
  <c r="F3261" i="1"/>
  <c r="B3262" i="1"/>
  <c r="A3262" i="1"/>
  <c r="F3262" i="1"/>
  <c r="B3263" i="1"/>
  <c r="A3263" i="1"/>
  <c r="F3263" i="1"/>
  <c r="B3264" i="1"/>
  <c r="A3264" i="1"/>
  <c r="F3264" i="1"/>
  <c r="B3265" i="1"/>
  <c r="A3265" i="1"/>
  <c r="F3265" i="1"/>
  <c r="B3266" i="1"/>
  <c r="A3266" i="1"/>
  <c r="F3266" i="1"/>
  <c r="B3267" i="1"/>
  <c r="A3267" i="1"/>
  <c r="F3267" i="1"/>
  <c r="B3268" i="1"/>
  <c r="A3268" i="1"/>
  <c r="F3268" i="1"/>
  <c r="B3269" i="1"/>
  <c r="A3269" i="1"/>
  <c r="F3269" i="1"/>
  <c r="B3270" i="1"/>
  <c r="A3270" i="1"/>
  <c r="F3270" i="1"/>
  <c r="B3271" i="1"/>
  <c r="A3271" i="1"/>
  <c r="F3271" i="1"/>
  <c r="B3272" i="1"/>
  <c r="A3272" i="1"/>
  <c r="F3272" i="1"/>
  <c r="B3273" i="1"/>
  <c r="A3273" i="1"/>
  <c r="F3273" i="1"/>
  <c r="B3274" i="1"/>
  <c r="A3274" i="1"/>
  <c r="F3274" i="1"/>
  <c r="B3275" i="1"/>
  <c r="A3275" i="1"/>
  <c r="F3275" i="1"/>
  <c r="B3276" i="1"/>
  <c r="A3276" i="1"/>
  <c r="F3276" i="1"/>
  <c r="B3277" i="1"/>
  <c r="A3277" i="1"/>
  <c r="F3277" i="1"/>
  <c r="B3278" i="1"/>
  <c r="A3278" i="1"/>
  <c r="F3278" i="1"/>
  <c r="B3279" i="1"/>
  <c r="A3279" i="1"/>
  <c r="F3279" i="1"/>
  <c r="B3280" i="1"/>
  <c r="A3280" i="1"/>
  <c r="F3280" i="1"/>
  <c r="B3281" i="1"/>
  <c r="A3281" i="1"/>
  <c r="F3281" i="1"/>
  <c r="B3282" i="1"/>
  <c r="A3282" i="1"/>
  <c r="F3282" i="1"/>
  <c r="B3283" i="1"/>
  <c r="A3283" i="1"/>
  <c r="F3283" i="1"/>
  <c r="B3284" i="1"/>
  <c r="A3284" i="1"/>
  <c r="F3284" i="1"/>
  <c r="B3285" i="1"/>
  <c r="A3285" i="1"/>
  <c r="F3285" i="1"/>
  <c r="B3286" i="1"/>
  <c r="A3286" i="1"/>
  <c r="F3286" i="1"/>
  <c r="B3287" i="1"/>
  <c r="A3287" i="1"/>
  <c r="F3287" i="1"/>
  <c r="B3288" i="1"/>
  <c r="A3288" i="1"/>
  <c r="F3288" i="1"/>
  <c r="B3289" i="1"/>
  <c r="A3289" i="1"/>
  <c r="F3289" i="1"/>
  <c r="B3290" i="1"/>
  <c r="A3290" i="1"/>
  <c r="F3290" i="1"/>
  <c r="B3291" i="1"/>
  <c r="A3291" i="1"/>
  <c r="F3291" i="1"/>
  <c r="B3292" i="1"/>
  <c r="A3292" i="1"/>
  <c r="F3292" i="1"/>
  <c r="B3293" i="1"/>
  <c r="A3293" i="1"/>
  <c r="F3293" i="1"/>
  <c r="B3294" i="1"/>
  <c r="A3294" i="1"/>
  <c r="F3294" i="1"/>
  <c r="B3295" i="1"/>
  <c r="A3295" i="1"/>
  <c r="F3295" i="1"/>
  <c r="B3296" i="1"/>
  <c r="A3296" i="1"/>
  <c r="F3296" i="1"/>
  <c r="B3297" i="1"/>
  <c r="A3297" i="1"/>
  <c r="F3297" i="1"/>
  <c r="B3298" i="1"/>
  <c r="A3298" i="1"/>
  <c r="F3298" i="1"/>
  <c r="B3299" i="1"/>
  <c r="A3299" i="1"/>
  <c r="F3299" i="1"/>
  <c r="B3300" i="1"/>
  <c r="A3300" i="1"/>
  <c r="F3300" i="1"/>
  <c r="B3301" i="1"/>
  <c r="A3301" i="1"/>
  <c r="F3301" i="1"/>
  <c r="B3302" i="1"/>
  <c r="A3302" i="1"/>
  <c r="F3302" i="1"/>
  <c r="B3303" i="1"/>
  <c r="A3303" i="1"/>
  <c r="F3303" i="1"/>
  <c r="B3304" i="1"/>
  <c r="A3304" i="1"/>
  <c r="F3304" i="1"/>
  <c r="B3305" i="1"/>
  <c r="A3305" i="1"/>
  <c r="F3305" i="1"/>
  <c r="B3306" i="1"/>
  <c r="A3306" i="1"/>
  <c r="F3306" i="1"/>
  <c r="B3307" i="1"/>
  <c r="A3307" i="1"/>
  <c r="F3307" i="1"/>
  <c r="B3308" i="1"/>
  <c r="A3308" i="1"/>
  <c r="F3308" i="1"/>
  <c r="B3309" i="1"/>
  <c r="A3309" i="1"/>
  <c r="F3309" i="1"/>
  <c r="B3310" i="1"/>
  <c r="A3310" i="1"/>
  <c r="F3310" i="1"/>
  <c r="B3311" i="1"/>
  <c r="A3311" i="1"/>
  <c r="F3311" i="1"/>
  <c r="B3312" i="1"/>
  <c r="A3312" i="1"/>
  <c r="F3312" i="1"/>
  <c r="B3313" i="1"/>
  <c r="A3313" i="1"/>
  <c r="F3313" i="1"/>
  <c r="B3314" i="1"/>
  <c r="A3314" i="1"/>
  <c r="F3314" i="1"/>
  <c r="B3315" i="1"/>
  <c r="A3315" i="1"/>
  <c r="F3315" i="1"/>
  <c r="B3316" i="1"/>
  <c r="A3316" i="1"/>
  <c r="F3316" i="1"/>
  <c r="B3317" i="1"/>
  <c r="A3317" i="1"/>
  <c r="F3317" i="1"/>
  <c r="B3318" i="1"/>
  <c r="A3318" i="1"/>
  <c r="F3318" i="1"/>
  <c r="B3319" i="1"/>
  <c r="A3319" i="1"/>
  <c r="F3319" i="1"/>
  <c r="B3320" i="1"/>
  <c r="A3320" i="1"/>
  <c r="F3320" i="1"/>
  <c r="B3321" i="1"/>
  <c r="A3321" i="1"/>
  <c r="F3321" i="1"/>
  <c r="B3322" i="1"/>
  <c r="A3322" i="1"/>
  <c r="F3322" i="1"/>
  <c r="B3323" i="1"/>
  <c r="A3323" i="1"/>
  <c r="F3323" i="1"/>
  <c r="B3324" i="1"/>
  <c r="A3324" i="1"/>
  <c r="F3324" i="1"/>
  <c r="B3325" i="1"/>
  <c r="A3325" i="1"/>
  <c r="F3325" i="1"/>
  <c r="B3326" i="1"/>
  <c r="A3326" i="1"/>
  <c r="F3326" i="1"/>
  <c r="B3327" i="1"/>
  <c r="A3327" i="1"/>
  <c r="F3327" i="1"/>
  <c r="B3328" i="1"/>
  <c r="A3328" i="1"/>
  <c r="F3328" i="1"/>
  <c r="B3329" i="1"/>
  <c r="A3329" i="1"/>
  <c r="F3329" i="1"/>
  <c r="B3330" i="1"/>
  <c r="A3330" i="1"/>
  <c r="F3330" i="1"/>
  <c r="B3331" i="1"/>
  <c r="A3331" i="1"/>
  <c r="F3331" i="1"/>
  <c r="B3332" i="1"/>
  <c r="A3332" i="1"/>
  <c r="F3332" i="1"/>
  <c r="B3333" i="1"/>
  <c r="A3333" i="1"/>
  <c r="F3333" i="1"/>
  <c r="B3334" i="1"/>
  <c r="A3334" i="1"/>
  <c r="F3334" i="1"/>
  <c r="B3335" i="1"/>
  <c r="A3335" i="1"/>
  <c r="F3335" i="1"/>
  <c r="B3336" i="1"/>
  <c r="A3336" i="1"/>
  <c r="F3336" i="1"/>
  <c r="B3337" i="1"/>
  <c r="A3337" i="1"/>
  <c r="F3337" i="1"/>
  <c r="B3338" i="1"/>
  <c r="A3338" i="1"/>
  <c r="F3338" i="1"/>
  <c r="B3339" i="1"/>
  <c r="A3339" i="1"/>
  <c r="F3339" i="1"/>
  <c r="B3340" i="1"/>
  <c r="A3340" i="1"/>
  <c r="F3340" i="1"/>
  <c r="B3341" i="1"/>
  <c r="A3341" i="1"/>
  <c r="F3341" i="1"/>
  <c r="B3342" i="1"/>
  <c r="A3342" i="1"/>
  <c r="F3342" i="1"/>
  <c r="B3343" i="1"/>
  <c r="A3343" i="1"/>
  <c r="F3343" i="1"/>
  <c r="B3344" i="1"/>
  <c r="A3344" i="1"/>
  <c r="F3344" i="1"/>
  <c r="B3345" i="1"/>
  <c r="A3345" i="1"/>
  <c r="F3345" i="1"/>
  <c r="B3346" i="1"/>
  <c r="A3346" i="1"/>
  <c r="F3346" i="1"/>
  <c r="B3347" i="1"/>
  <c r="A3347" i="1"/>
  <c r="F3347" i="1"/>
  <c r="B3348" i="1"/>
  <c r="A3348" i="1"/>
  <c r="F3348" i="1"/>
  <c r="B3349" i="1"/>
  <c r="A3349" i="1"/>
  <c r="F3349" i="1"/>
  <c r="B3350" i="1"/>
  <c r="A3350" i="1"/>
  <c r="F3350" i="1"/>
  <c r="B3351" i="1"/>
  <c r="A3351" i="1"/>
  <c r="F3351" i="1"/>
  <c r="B3352" i="1"/>
  <c r="A3352" i="1"/>
  <c r="F3352" i="1"/>
  <c r="B3353" i="1"/>
  <c r="A3353" i="1"/>
  <c r="F3353" i="1"/>
  <c r="B3354" i="1"/>
  <c r="A3354" i="1"/>
  <c r="F3354" i="1"/>
  <c r="B3355" i="1"/>
  <c r="A3355" i="1"/>
  <c r="F3355" i="1"/>
  <c r="B3356" i="1"/>
  <c r="A3356" i="1"/>
  <c r="F3356" i="1"/>
  <c r="B3357" i="1"/>
  <c r="A3357" i="1"/>
  <c r="F3357" i="1"/>
  <c r="B3358" i="1"/>
  <c r="A3358" i="1"/>
  <c r="F3358" i="1"/>
  <c r="B3359" i="1"/>
  <c r="A3359" i="1"/>
  <c r="F3359" i="1"/>
  <c r="B3360" i="1"/>
  <c r="A3360" i="1"/>
  <c r="F3360" i="1"/>
  <c r="B3361" i="1"/>
  <c r="A3361" i="1"/>
  <c r="F3361" i="1"/>
  <c r="B3362" i="1"/>
  <c r="A3362" i="1"/>
  <c r="F3362" i="1"/>
  <c r="B3363" i="1"/>
  <c r="A3363" i="1"/>
  <c r="F3363" i="1"/>
  <c r="B3364" i="1"/>
  <c r="A3364" i="1"/>
  <c r="F3364" i="1"/>
  <c r="B3365" i="1"/>
  <c r="A3365" i="1"/>
  <c r="F3365" i="1"/>
  <c r="B3366" i="1"/>
  <c r="A3366" i="1"/>
  <c r="F3366" i="1"/>
  <c r="B3367" i="1"/>
  <c r="A3367" i="1"/>
  <c r="F3367" i="1"/>
  <c r="B3368" i="1"/>
  <c r="A3368" i="1"/>
  <c r="F3368" i="1"/>
  <c r="B3369" i="1"/>
  <c r="A3369" i="1"/>
  <c r="F3369" i="1"/>
  <c r="B3370" i="1"/>
  <c r="A3370" i="1"/>
  <c r="F3370" i="1"/>
  <c r="B3371" i="1"/>
  <c r="A3371" i="1"/>
  <c r="F3371" i="1"/>
  <c r="B3372" i="1"/>
  <c r="A3372" i="1"/>
  <c r="F3372" i="1"/>
  <c r="B3373" i="1"/>
  <c r="A3373" i="1"/>
  <c r="F3373" i="1"/>
  <c r="B3374" i="1"/>
  <c r="A3374" i="1"/>
  <c r="F3374" i="1"/>
  <c r="B3375" i="1"/>
  <c r="A3375" i="1"/>
  <c r="F3375" i="1"/>
  <c r="B3376" i="1"/>
  <c r="A3376" i="1"/>
  <c r="F3376" i="1"/>
  <c r="B3377" i="1"/>
  <c r="A3377" i="1"/>
  <c r="F3377" i="1"/>
  <c r="B3378" i="1"/>
  <c r="A3378" i="1"/>
  <c r="F3378" i="1"/>
  <c r="B3379" i="1"/>
  <c r="A3379" i="1"/>
  <c r="F3379" i="1"/>
  <c r="B3380" i="1"/>
  <c r="A3380" i="1"/>
  <c r="F3380" i="1"/>
  <c r="B3381" i="1"/>
  <c r="A3381" i="1"/>
  <c r="F3381" i="1"/>
  <c r="B3382" i="1"/>
  <c r="A3382" i="1"/>
  <c r="F3382" i="1"/>
  <c r="B3383" i="1"/>
  <c r="A3383" i="1"/>
  <c r="F3383" i="1"/>
  <c r="B3384" i="1"/>
  <c r="A3384" i="1"/>
  <c r="F3384" i="1"/>
  <c r="B3385" i="1"/>
  <c r="A3385" i="1"/>
  <c r="F3385" i="1"/>
  <c r="B3386" i="1"/>
  <c r="A3386" i="1"/>
  <c r="F3386" i="1"/>
  <c r="B3387" i="1"/>
  <c r="A3387" i="1"/>
  <c r="F3387" i="1"/>
  <c r="B3388" i="1"/>
  <c r="A3388" i="1"/>
  <c r="F3388" i="1"/>
  <c r="B3389" i="1"/>
  <c r="A3389" i="1"/>
  <c r="F3389" i="1"/>
  <c r="B3390" i="1"/>
  <c r="A3390" i="1"/>
  <c r="F3390" i="1"/>
  <c r="B3391" i="1"/>
  <c r="A3391" i="1"/>
  <c r="F3391" i="1"/>
  <c r="B3392" i="1"/>
  <c r="A3392" i="1"/>
  <c r="F3392" i="1"/>
  <c r="B3393" i="1"/>
  <c r="A3393" i="1"/>
  <c r="F3393" i="1"/>
  <c r="B3394" i="1"/>
  <c r="A3394" i="1"/>
  <c r="F3394" i="1"/>
  <c r="B3395" i="1"/>
  <c r="A3395" i="1"/>
  <c r="F3395" i="1"/>
  <c r="B3396" i="1"/>
  <c r="A3396" i="1"/>
  <c r="F3396" i="1"/>
  <c r="B3397" i="1"/>
  <c r="A3397" i="1"/>
  <c r="F3397" i="1"/>
  <c r="B3398" i="1"/>
  <c r="A3398" i="1"/>
  <c r="F3398" i="1"/>
  <c r="B3399" i="1"/>
  <c r="A3399" i="1"/>
  <c r="F3399" i="1"/>
  <c r="B3400" i="1"/>
  <c r="A3400" i="1"/>
  <c r="F3400" i="1"/>
  <c r="B3401" i="1"/>
  <c r="A3401" i="1"/>
  <c r="F3401" i="1"/>
  <c r="B3402" i="1"/>
  <c r="A3402" i="1"/>
  <c r="F3402" i="1"/>
  <c r="B3403" i="1"/>
  <c r="A3403" i="1"/>
  <c r="F3403" i="1"/>
  <c r="B3404" i="1"/>
  <c r="A3404" i="1"/>
  <c r="F3404" i="1"/>
  <c r="B3405" i="1"/>
  <c r="A3405" i="1"/>
  <c r="F3405" i="1"/>
  <c r="B3406" i="1"/>
  <c r="A3406" i="1"/>
  <c r="F3406" i="1"/>
  <c r="B3407" i="1"/>
  <c r="A3407" i="1"/>
  <c r="F3407" i="1"/>
  <c r="B3408" i="1"/>
  <c r="A3408" i="1"/>
  <c r="F3408" i="1"/>
  <c r="B3409" i="1"/>
  <c r="A3409" i="1"/>
  <c r="F3409" i="1"/>
  <c r="B3410" i="1"/>
  <c r="A3410" i="1"/>
  <c r="F3410" i="1"/>
  <c r="B3411" i="1"/>
  <c r="A3411" i="1"/>
  <c r="F3411" i="1"/>
  <c r="B3412" i="1"/>
  <c r="A3412" i="1"/>
  <c r="F3412" i="1"/>
  <c r="B3413" i="1"/>
  <c r="A3413" i="1"/>
  <c r="F3413" i="1"/>
  <c r="B3414" i="1"/>
  <c r="A3414" i="1"/>
  <c r="F3414" i="1"/>
  <c r="B3415" i="1"/>
  <c r="A3415" i="1"/>
  <c r="F3415" i="1"/>
  <c r="B3416" i="1"/>
  <c r="A3416" i="1"/>
  <c r="F3416" i="1"/>
  <c r="B3417" i="1"/>
  <c r="A3417" i="1"/>
  <c r="F3417" i="1"/>
  <c r="B3418" i="1"/>
  <c r="A3418" i="1"/>
  <c r="F3418" i="1"/>
  <c r="B3419" i="1"/>
  <c r="A3419" i="1"/>
  <c r="F3419" i="1"/>
  <c r="B3420" i="1"/>
  <c r="A3420" i="1"/>
  <c r="F3420" i="1"/>
  <c r="B3421" i="1"/>
  <c r="A3421" i="1"/>
  <c r="F3421" i="1"/>
  <c r="B3422" i="1"/>
  <c r="A3422" i="1"/>
  <c r="F3422" i="1"/>
  <c r="B3423" i="1"/>
  <c r="A3423" i="1"/>
  <c r="F3423" i="1"/>
  <c r="B3424" i="1"/>
  <c r="A3424" i="1"/>
  <c r="F3424" i="1"/>
  <c r="B3425" i="1"/>
  <c r="A3425" i="1"/>
  <c r="F3425" i="1"/>
  <c r="B3426" i="1"/>
  <c r="A3426" i="1"/>
  <c r="F3426" i="1"/>
  <c r="B3427" i="1"/>
  <c r="A3427" i="1"/>
  <c r="F3427" i="1"/>
  <c r="B3428" i="1"/>
  <c r="A3428" i="1"/>
  <c r="F3428" i="1"/>
  <c r="B3429" i="1"/>
  <c r="A3429" i="1"/>
  <c r="F3429" i="1"/>
  <c r="B3430" i="1"/>
  <c r="A3430" i="1"/>
  <c r="F3430" i="1"/>
  <c r="B3431" i="1"/>
  <c r="A3431" i="1"/>
  <c r="F3431" i="1"/>
  <c r="B3432" i="1"/>
  <c r="A3432" i="1"/>
  <c r="F3432" i="1"/>
  <c r="B3433" i="1"/>
  <c r="A3433" i="1"/>
  <c r="F3433" i="1"/>
  <c r="B3434" i="1"/>
  <c r="A3434" i="1"/>
  <c r="F3434" i="1"/>
  <c r="B3435" i="1"/>
  <c r="A3435" i="1"/>
  <c r="F3435" i="1"/>
  <c r="B3436" i="1"/>
  <c r="A3436" i="1"/>
  <c r="F3436" i="1"/>
  <c r="B3437" i="1"/>
  <c r="A3437" i="1"/>
  <c r="F3437" i="1"/>
  <c r="B3438" i="1"/>
  <c r="A3438" i="1"/>
  <c r="F3438" i="1"/>
  <c r="B3439" i="1"/>
  <c r="A3439" i="1"/>
  <c r="F3439" i="1"/>
  <c r="B3440" i="1"/>
  <c r="A3440" i="1"/>
  <c r="F3440" i="1"/>
  <c r="B3441" i="1"/>
  <c r="A3441" i="1"/>
  <c r="F3441" i="1"/>
  <c r="B3442" i="1"/>
  <c r="A3442" i="1"/>
  <c r="F3442" i="1"/>
  <c r="B3443" i="1"/>
  <c r="A3443" i="1"/>
  <c r="F3443" i="1"/>
  <c r="B3444" i="1"/>
  <c r="A3444" i="1"/>
  <c r="F3444" i="1"/>
  <c r="B3445" i="1"/>
  <c r="A3445" i="1"/>
  <c r="F3445" i="1"/>
  <c r="B3446" i="1"/>
  <c r="A3446" i="1"/>
  <c r="F3446" i="1"/>
  <c r="B3447" i="1"/>
  <c r="A3447" i="1"/>
  <c r="F3447" i="1"/>
  <c r="B3448" i="1"/>
  <c r="A3448" i="1"/>
  <c r="F3448" i="1"/>
  <c r="B3449" i="1"/>
  <c r="A3449" i="1"/>
  <c r="F3449" i="1"/>
  <c r="B3450" i="1"/>
  <c r="A3450" i="1"/>
  <c r="F3450" i="1"/>
  <c r="B3451" i="1"/>
  <c r="A3451" i="1"/>
  <c r="F3451" i="1"/>
  <c r="B3452" i="1"/>
  <c r="A3452" i="1"/>
  <c r="F3452" i="1"/>
  <c r="B3453" i="1"/>
  <c r="A3453" i="1"/>
  <c r="F3453" i="1"/>
  <c r="B3454" i="1"/>
  <c r="A3454" i="1"/>
  <c r="F3454" i="1"/>
  <c r="B3455" i="1"/>
  <c r="A3455" i="1"/>
  <c r="F3455" i="1"/>
  <c r="B3456" i="1"/>
  <c r="A3456" i="1"/>
  <c r="F3456" i="1"/>
  <c r="B3457" i="1"/>
  <c r="A3457" i="1"/>
  <c r="F3457" i="1"/>
  <c r="B3458" i="1"/>
  <c r="A3458" i="1"/>
  <c r="F3458" i="1"/>
  <c r="B3459" i="1"/>
  <c r="A3459" i="1"/>
  <c r="F3459" i="1"/>
  <c r="B3460" i="1"/>
  <c r="A3460" i="1"/>
  <c r="F3460" i="1"/>
  <c r="B3461" i="1"/>
  <c r="A3461" i="1"/>
  <c r="F3461" i="1"/>
  <c r="B3462" i="1"/>
  <c r="A3462" i="1"/>
  <c r="F3462" i="1"/>
  <c r="B3463" i="1"/>
  <c r="A3463" i="1"/>
  <c r="F3463" i="1"/>
  <c r="B3464" i="1"/>
  <c r="A3464" i="1"/>
  <c r="F3464" i="1"/>
  <c r="B3465" i="1"/>
  <c r="A3465" i="1"/>
  <c r="F3465" i="1"/>
  <c r="B3466" i="1"/>
  <c r="A3466" i="1"/>
  <c r="F3466" i="1"/>
  <c r="B3467" i="1"/>
  <c r="A3467" i="1"/>
  <c r="F3467" i="1"/>
  <c r="B3468" i="1"/>
  <c r="A3468" i="1"/>
  <c r="F3468" i="1"/>
  <c r="B3469" i="1"/>
  <c r="A3469" i="1"/>
  <c r="F3469" i="1"/>
  <c r="B3470" i="1"/>
  <c r="A3470" i="1"/>
  <c r="F3470" i="1"/>
  <c r="B3471" i="1"/>
  <c r="A3471" i="1"/>
  <c r="F3471" i="1"/>
  <c r="B3472" i="1"/>
  <c r="A3472" i="1"/>
  <c r="F3472" i="1"/>
  <c r="B3473" i="1"/>
  <c r="A3473" i="1"/>
  <c r="F3473" i="1"/>
  <c r="B3474" i="1"/>
  <c r="A3474" i="1"/>
  <c r="F3474" i="1"/>
  <c r="B3475" i="1"/>
  <c r="A3475" i="1"/>
  <c r="F3475" i="1"/>
  <c r="B3476" i="1"/>
  <c r="A3476" i="1"/>
  <c r="F3476" i="1"/>
  <c r="B3477" i="1"/>
  <c r="A3477" i="1"/>
  <c r="F3477" i="1"/>
  <c r="B3478" i="1"/>
  <c r="A3478" i="1"/>
  <c r="F3478" i="1"/>
  <c r="B3479" i="1"/>
  <c r="A3479" i="1"/>
  <c r="F3479" i="1"/>
  <c r="B3480" i="1"/>
  <c r="A3480" i="1"/>
  <c r="F3480" i="1"/>
  <c r="B3481" i="1"/>
  <c r="A3481" i="1"/>
  <c r="F3481" i="1"/>
  <c r="B3482" i="1"/>
  <c r="A3482" i="1"/>
  <c r="F3482" i="1"/>
  <c r="B3483" i="1"/>
  <c r="A3483" i="1"/>
  <c r="F3483" i="1"/>
  <c r="B3484" i="1"/>
  <c r="A3484" i="1"/>
  <c r="F3484" i="1"/>
  <c r="B3485" i="1"/>
  <c r="A3485" i="1"/>
  <c r="F3485" i="1"/>
  <c r="B3486" i="1"/>
  <c r="A3486" i="1"/>
  <c r="F3486" i="1"/>
  <c r="B3487" i="1"/>
  <c r="A3487" i="1"/>
  <c r="F3487" i="1"/>
  <c r="B3488" i="1"/>
  <c r="A3488" i="1"/>
  <c r="F3488" i="1"/>
  <c r="B3489" i="1"/>
  <c r="A3489" i="1"/>
  <c r="F3489" i="1"/>
  <c r="B3490" i="1"/>
  <c r="A3490" i="1"/>
  <c r="F3490" i="1"/>
  <c r="B3491" i="1"/>
  <c r="A3491" i="1"/>
  <c r="F3491" i="1"/>
  <c r="B3492" i="1"/>
  <c r="A3492" i="1"/>
  <c r="F3492" i="1"/>
  <c r="B3493" i="1"/>
  <c r="A3493" i="1"/>
  <c r="F3493" i="1"/>
  <c r="B3494" i="1"/>
  <c r="A3494" i="1"/>
  <c r="F3494" i="1"/>
  <c r="B3495" i="1"/>
  <c r="A3495" i="1"/>
  <c r="F3495" i="1"/>
  <c r="B3496" i="1"/>
  <c r="A3496" i="1"/>
  <c r="F3496" i="1"/>
  <c r="B3497" i="1"/>
  <c r="A3497" i="1"/>
  <c r="F3497" i="1"/>
  <c r="B3498" i="1"/>
  <c r="A3498" i="1"/>
  <c r="F3498" i="1"/>
  <c r="B3499" i="1"/>
  <c r="A3499" i="1"/>
  <c r="F3499" i="1"/>
  <c r="B3500" i="1"/>
  <c r="A3500" i="1"/>
  <c r="F3500" i="1"/>
  <c r="B3501" i="1"/>
  <c r="A3501" i="1"/>
  <c r="F3501" i="1"/>
  <c r="B3502" i="1"/>
  <c r="A3502" i="1"/>
  <c r="F3502" i="1"/>
  <c r="B3503" i="1"/>
  <c r="A3503" i="1"/>
  <c r="F3503" i="1"/>
  <c r="B3504" i="1"/>
  <c r="A3504" i="1"/>
  <c r="F3504" i="1"/>
  <c r="B3505" i="1"/>
  <c r="A3505" i="1"/>
  <c r="F3505" i="1"/>
  <c r="B3506" i="1"/>
  <c r="A3506" i="1"/>
  <c r="F3506" i="1"/>
  <c r="B3507" i="1"/>
  <c r="A3507" i="1"/>
  <c r="F3507" i="1"/>
  <c r="B3508" i="1"/>
  <c r="A3508" i="1"/>
  <c r="F3508" i="1"/>
  <c r="B3509" i="1"/>
  <c r="A3509" i="1"/>
  <c r="F3509" i="1"/>
  <c r="B3510" i="1"/>
  <c r="A3510" i="1"/>
  <c r="F3510" i="1"/>
  <c r="B3511" i="1"/>
  <c r="A3511" i="1"/>
  <c r="F3511" i="1"/>
  <c r="B3512" i="1"/>
  <c r="A3512" i="1"/>
  <c r="F3512" i="1"/>
  <c r="B3513" i="1"/>
  <c r="A3513" i="1"/>
  <c r="F3513" i="1"/>
  <c r="B3514" i="1"/>
  <c r="A3514" i="1"/>
  <c r="F3514" i="1"/>
  <c r="B3515" i="1"/>
  <c r="A3515" i="1"/>
  <c r="F3515" i="1"/>
  <c r="B3516" i="1"/>
  <c r="A3516" i="1"/>
  <c r="F3516" i="1"/>
  <c r="B3517" i="1"/>
  <c r="A3517" i="1"/>
  <c r="F3517" i="1"/>
  <c r="B3518" i="1"/>
  <c r="A3518" i="1"/>
  <c r="F3518" i="1"/>
  <c r="B3519" i="1"/>
  <c r="A3519" i="1"/>
  <c r="F3519" i="1"/>
  <c r="B3520" i="1"/>
  <c r="A3520" i="1"/>
  <c r="F3520" i="1"/>
  <c r="B3521" i="1"/>
  <c r="A3521" i="1"/>
  <c r="F3521" i="1"/>
  <c r="B3522" i="1"/>
  <c r="A3522" i="1"/>
  <c r="F3522" i="1"/>
  <c r="B3523" i="1"/>
  <c r="A3523" i="1"/>
  <c r="F3523" i="1"/>
  <c r="B3524" i="1"/>
  <c r="A3524" i="1"/>
  <c r="F3524" i="1"/>
  <c r="B3525" i="1"/>
  <c r="A3525" i="1"/>
  <c r="F3525" i="1"/>
  <c r="B3526" i="1"/>
  <c r="A3526" i="1"/>
  <c r="F3526" i="1"/>
  <c r="B3527" i="1"/>
  <c r="A3527" i="1"/>
  <c r="F3527" i="1"/>
  <c r="B3528" i="1"/>
  <c r="A3528" i="1"/>
  <c r="F3528" i="1"/>
  <c r="B3529" i="1"/>
  <c r="A3529" i="1"/>
  <c r="F3529" i="1"/>
  <c r="B3530" i="1"/>
  <c r="A3530" i="1"/>
  <c r="F3530" i="1"/>
  <c r="B3531" i="1"/>
  <c r="A3531" i="1"/>
  <c r="F3531" i="1"/>
  <c r="B3532" i="1"/>
  <c r="A3532" i="1"/>
  <c r="F3532" i="1"/>
  <c r="B3533" i="1"/>
  <c r="A3533" i="1"/>
  <c r="F3533" i="1"/>
  <c r="B3534" i="1"/>
  <c r="A3534" i="1"/>
  <c r="F3534" i="1"/>
  <c r="B3535" i="1"/>
  <c r="A3535" i="1"/>
  <c r="F3535" i="1"/>
  <c r="B3536" i="1"/>
  <c r="A3536" i="1"/>
  <c r="F3536" i="1"/>
  <c r="B3537" i="1"/>
  <c r="A3537" i="1"/>
  <c r="F3537" i="1"/>
  <c r="B3538" i="1"/>
  <c r="A3538" i="1"/>
  <c r="F3538" i="1"/>
  <c r="B3539" i="1"/>
  <c r="A3539" i="1"/>
  <c r="F3539" i="1"/>
  <c r="B3540" i="1"/>
  <c r="A3540" i="1"/>
  <c r="F3540" i="1"/>
  <c r="B3541" i="1"/>
  <c r="A3541" i="1"/>
  <c r="F3541" i="1"/>
  <c r="B3542" i="1"/>
  <c r="A3542" i="1"/>
  <c r="F3542" i="1"/>
  <c r="B3543" i="1"/>
  <c r="A3543" i="1"/>
  <c r="F3543" i="1"/>
  <c r="B3544" i="1"/>
  <c r="A3544" i="1"/>
  <c r="F3544" i="1"/>
  <c r="B3545" i="1"/>
  <c r="A3545" i="1"/>
  <c r="F3545" i="1"/>
  <c r="B3546" i="1"/>
  <c r="A3546" i="1"/>
  <c r="F3546" i="1"/>
  <c r="B3547" i="1"/>
  <c r="A3547" i="1"/>
  <c r="F3547" i="1"/>
  <c r="B3548" i="1"/>
  <c r="A3548" i="1"/>
  <c r="F3548" i="1"/>
  <c r="B3549" i="1"/>
  <c r="A3549" i="1"/>
  <c r="F3549" i="1"/>
  <c r="B3550" i="1"/>
  <c r="A3550" i="1"/>
  <c r="F3550" i="1"/>
  <c r="B3551" i="1"/>
  <c r="A3551" i="1"/>
  <c r="F3551" i="1"/>
  <c r="B3552" i="1"/>
  <c r="A3552" i="1"/>
  <c r="F3552" i="1"/>
  <c r="B3553" i="1"/>
  <c r="A3553" i="1"/>
  <c r="F3553" i="1"/>
  <c r="B3554" i="1"/>
  <c r="A3554" i="1"/>
  <c r="F3554" i="1"/>
  <c r="B3555" i="1"/>
  <c r="A3555" i="1"/>
  <c r="F3555" i="1"/>
  <c r="B3556" i="1"/>
  <c r="A3556" i="1"/>
  <c r="F3556" i="1"/>
  <c r="B3557" i="1"/>
  <c r="A3557" i="1"/>
  <c r="F3557" i="1"/>
  <c r="B3558" i="1"/>
  <c r="A3558" i="1"/>
  <c r="F3558" i="1"/>
  <c r="B3559" i="1"/>
  <c r="A3559" i="1"/>
  <c r="F3559" i="1"/>
  <c r="B3560" i="1"/>
  <c r="A3560" i="1"/>
  <c r="F3560" i="1"/>
  <c r="B3561" i="1"/>
  <c r="A3561" i="1"/>
  <c r="F3561" i="1"/>
  <c r="B3562" i="1"/>
  <c r="A3562" i="1"/>
  <c r="F3562" i="1"/>
  <c r="B3563" i="1"/>
  <c r="A3563" i="1"/>
  <c r="F3563" i="1"/>
  <c r="B3564" i="1"/>
  <c r="A3564" i="1"/>
  <c r="F3564" i="1"/>
  <c r="B3565" i="1"/>
  <c r="A3565" i="1"/>
  <c r="F3565" i="1"/>
  <c r="B3566" i="1"/>
  <c r="A3566" i="1"/>
  <c r="F3566" i="1"/>
  <c r="B3567" i="1"/>
  <c r="A3567" i="1"/>
  <c r="F3567" i="1"/>
  <c r="B3568" i="1"/>
  <c r="A3568" i="1"/>
  <c r="F3568" i="1"/>
  <c r="B3569" i="1"/>
  <c r="A3569" i="1"/>
  <c r="F3569" i="1"/>
  <c r="B3570" i="1"/>
  <c r="A3570" i="1"/>
  <c r="F3570" i="1"/>
  <c r="B3571" i="1"/>
  <c r="A3571" i="1"/>
  <c r="F3571" i="1"/>
  <c r="B3572" i="1"/>
  <c r="A3572" i="1"/>
  <c r="F3572" i="1"/>
  <c r="B3573" i="1"/>
  <c r="A3573" i="1"/>
  <c r="F3573" i="1"/>
  <c r="B3574" i="1"/>
  <c r="A3574" i="1"/>
  <c r="F3574" i="1"/>
  <c r="B3575" i="1"/>
  <c r="A3575" i="1"/>
  <c r="F3575" i="1"/>
  <c r="B3576" i="1"/>
  <c r="A3576" i="1"/>
  <c r="F3576" i="1"/>
  <c r="B3577" i="1"/>
  <c r="A3577" i="1"/>
  <c r="F3577" i="1"/>
  <c r="B3578" i="1"/>
  <c r="A3578" i="1"/>
  <c r="F3578" i="1"/>
  <c r="B3579" i="1"/>
  <c r="A3579" i="1"/>
  <c r="F3579" i="1"/>
  <c r="B3580" i="1"/>
  <c r="A3580" i="1"/>
  <c r="F3580" i="1"/>
  <c r="B3581" i="1"/>
  <c r="A3581" i="1"/>
  <c r="F3581" i="1"/>
  <c r="B3582" i="1"/>
  <c r="A3582" i="1"/>
  <c r="F3582" i="1"/>
  <c r="B3583" i="1"/>
  <c r="A3583" i="1"/>
  <c r="F3583" i="1"/>
  <c r="B3584" i="1"/>
  <c r="A3584" i="1"/>
  <c r="F3584" i="1"/>
  <c r="B3585" i="1"/>
  <c r="A3585" i="1"/>
  <c r="F3585" i="1"/>
  <c r="B3586" i="1"/>
  <c r="A3586" i="1"/>
  <c r="F3586" i="1"/>
  <c r="B3587" i="1"/>
  <c r="A3587" i="1"/>
  <c r="F3587" i="1"/>
  <c r="B3588" i="1"/>
  <c r="A3588" i="1"/>
  <c r="F3588" i="1"/>
  <c r="B3589" i="1"/>
  <c r="A3589" i="1"/>
  <c r="F3589" i="1"/>
  <c r="B3590" i="1"/>
  <c r="A3590" i="1"/>
  <c r="F3590" i="1"/>
  <c r="B3591" i="1"/>
  <c r="A3591" i="1"/>
  <c r="F3591" i="1"/>
  <c r="B3592" i="1"/>
  <c r="A3592" i="1"/>
  <c r="F3592" i="1"/>
  <c r="B3593" i="1"/>
  <c r="A3593" i="1"/>
  <c r="F3593" i="1"/>
  <c r="B3594" i="1"/>
  <c r="A3594" i="1"/>
  <c r="F3594" i="1"/>
  <c r="B3595" i="1"/>
  <c r="A3595" i="1"/>
  <c r="F3595" i="1"/>
  <c r="B3596" i="1"/>
  <c r="A3596" i="1"/>
  <c r="F3596" i="1"/>
  <c r="B3597" i="1"/>
  <c r="A3597" i="1"/>
  <c r="F3597" i="1"/>
  <c r="B3598" i="1"/>
  <c r="A3598" i="1"/>
  <c r="F3598" i="1"/>
  <c r="B3599" i="1"/>
  <c r="A3599" i="1"/>
  <c r="F3599" i="1"/>
  <c r="B3600" i="1"/>
  <c r="A3600" i="1"/>
  <c r="F3600" i="1"/>
  <c r="B3601" i="1"/>
  <c r="A3601" i="1"/>
  <c r="F3601" i="1"/>
  <c r="B3602" i="1"/>
  <c r="A3602" i="1"/>
  <c r="F3602" i="1"/>
  <c r="B3603" i="1"/>
  <c r="A3603" i="1"/>
  <c r="F3603" i="1"/>
  <c r="B3604" i="1"/>
  <c r="A3604" i="1"/>
  <c r="F3604" i="1"/>
  <c r="B3605" i="1"/>
  <c r="A3605" i="1"/>
  <c r="F3605" i="1"/>
  <c r="B3606" i="1"/>
  <c r="A3606" i="1"/>
  <c r="F3606" i="1"/>
  <c r="B3607" i="1"/>
  <c r="A3607" i="1"/>
  <c r="F3607" i="1"/>
  <c r="B3608" i="1"/>
  <c r="A3608" i="1"/>
  <c r="F3608" i="1"/>
  <c r="B3609" i="1"/>
  <c r="A3609" i="1"/>
  <c r="F3609" i="1"/>
  <c r="B3610" i="1"/>
  <c r="A3610" i="1"/>
  <c r="F3610" i="1"/>
  <c r="B3611" i="1"/>
  <c r="A3611" i="1"/>
  <c r="F3611" i="1"/>
  <c r="B3612" i="1"/>
  <c r="A3612" i="1"/>
  <c r="F3612" i="1"/>
  <c r="B3613" i="1"/>
  <c r="A3613" i="1"/>
  <c r="F3613" i="1"/>
  <c r="B3614" i="1"/>
  <c r="A3614" i="1"/>
  <c r="F3614" i="1"/>
  <c r="B3615" i="1"/>
  <c r="A3615" i="1"/>
  <c r="F3615" i="1"/>
  <c r="B3616" i="1"/>
  <c r="A3616" i="1"/>
  <c r="F3616" i="1"/>
  <c r="B3617" i="1"/>
  <c r="A3617" i="1"/>
  <c r="F3617" i="1"/>
  <c r="B3618" i="1"/>
  <c r="A3618" i="1"/>
  <c r="F3618" i="1"/>
  <c r="B3619" i="1"/>
  <c r="A3619" i="1"/>
  <c r="F3619" i="1"/>
  <c r="B3620" i="1"/>
  <c r="A3620" i="1"/>
  <c r="F3620" i="1"/>
  <c r="B3621" i="1"/>
  <c r="A3621" i="1"/>
  <c r="F3621" i="1"/>
  <c r="B3622" i="1"/>
  <c r="A3622" i="1"/>
  <c r="F3622" i="1"/>
  <c r="B3623" i="1"/>
  <c r="A3623" i="1"/>
  <c r="F3623" i="1"/>
  <c r="B3624" i="1"/>
  <c r="A3624" i="1"/>
  <c r="F3624" i="1"/>
  <c r="B3625" i="1"/>
  <c r="A3625" i="1"/>
  <c r="F3625" i="1"/>
  <c r="B3626" i="1"/>
  <c r="A3626" i="1"/>
  <c r="F3626" i="1"/>
  <c r="B3627" i="1"/>
  <c r="A3627" i="1"/>
  <c r="F3627" i="1"/>
  <c r="B3628" i="1"/>
  <c r="A3628" i="1"/>
  <c r="F3628" i="1"/>
  <c r="B3629" i="1"/>
  <c r="A3629" i="1"/>
  <c r="F3629" i="1"/>
  <c r="B3630" i="1"/>
  <c r="A3630" i="1"/>
  <c r="F3630" i="1"/>
  <c r="B3631" i="1"/>
  <c r="A3631" i="1"/>
  <c r="F3631" i="1"/>
  <c r="B3632" i="1"/>
  <c r="A3632" i="1"/>
  <c r="F3632" i="1"/>
  <c r="B3633" i="1"/>
  <c r="A3633" i="1"/>
  <c r="F3633" i="1"/>
  <c r="B3634" i="1"/>
  <c r="A3634" i="1"/>
  <c r="F3634" i="1"/>
  <c r="B3635" i="1"/>
  <c r="A3635" i="1"/>
  <c r="F3635" i="1"/>
  <c r="B3636" i="1"/>
  <c r="A3636" i="1"/>
  <c r="F3636" i="1"/>
  <c r="B3637" i="1"/>
  <c r="A3637" i="1"/>
  <c r="F3637" i="1"/>
  <c r="B3638" i="1"/>
  <c r="A3638" i="1"/>
  <c r="F3638" i="1"/>
  <c r="B3639" i="1"/>
  <c r="A3639" i="1"/>
  <c r="F3639" i="1"/>
  <c r="B3640" i="1"/>
  <c r="A3640" i="1"/>
  <c r="F3640" i="1"/>
  <c r="B3641" i="1"/>
  <c r="A3641" i="1"/>
  <c r="F3641" i="1"/>
  <c r="B3642" i="1"/>
  <c r="A3642" i="1"/>
  <c r="F3642" i="1"/>
  <c r="B3643" i="1"/>
  <c r="A3643" i="1"/>
  <c r="F3643" i="1"/>
  <c r="B3644" i="1"/>
  <c r="A3644" i="1"/>
  <c r="F3644" i="1"/>
  <c r="B3645" i="1"/>
  <c r="A3645" i="1"/>
  <c r="F3645" i="1"/>
  <c r="B3646" i="1"/>
  <c r="A3646" i="1"/>
  <c r="F3646" i="1"/>
  <c r="B3647" i="1"/>
  <c r="A3647" i="1"/>
  <c r="F3647" i="1"/>
  <c r="B3648" i="1"/>
  <c r="A3648" i="1"/>
  <c r="F3648" i="1"/>
  <c r="B3649" i="1"/>
  <c r="A3649" i="1"/>
  <c r="F3649" i="1"/>
  <c r="B3650" i="1"/>
  <c r="A3650" i="1"/>
  <c r="F3650" i="1"/>
  <c r="B3651" i="1"/>
  <c r="A3651" i="1"/>
  <c r="F3651" i="1"/>
  <c r="B3652" i="1"/>
  <c r="A3652" i="1"/>
  <c r="F3652" i="1"/>
  <c r="B3653" i="1"/>
  <c r="A3653" i="1"/>
  <c r="F3653" i="1"/>
  <c r="B3654" i="1"/>
  <c r="A3654" i="1"/>
  <c r="F3654" i="1"/>
  <c r="B3655" i="1"/>
  <c r="A3655" i="1"/>
  <c r="F3655" i="1"/>
  <c r="B3656" i="1"/>
  <c r="A3656" i="1"/>
  <c r="F3656" i="1"/>
  <c r="B3657" i="1"/>
  <c r="A3657" i="1"/>
  <c r="F3657" i="1"/>
  <c r="B3658" i="1"/>
  <c r="A3658" i="1"/>
  <c r="F3658" i="1"/>
  <c r="B3659" i="1"/>
  <c r="A3659" i="1"/>
  <c r="F3659" i="1"/>
  <c r="B3660" i="1"/>
  <c r="A3660" i="1"/>
  <c r="F3660" i="1"/>
  <c r="B3661" i="1"/>
  <c r="A3661" i="1"/>
  <c r="F3661" i="1"/>
  <c r="B3662" i="1"/>
  <c r="A3662" i="1"/>
  <c r="F3662" i="1"/>
  <c r="B3663" i="1"/>
  <c r="A3663" i="1"/>
  <c r="F3663" i="1"/>
  <c r="B3664" i="1"/>
  <c r="A3664" i="1"/>
  <c r="F3664" i="1"/>
  <c r="B3665" i="1"/>
  <c r="A3665" i="1"/>
  <c r="F3665" i="1"/>
  <c r="B3666" i="1"/>
  <c r="A3666" i="1"/>
  <c r="F3666" i="1"/>
  <c r="B3667" i="1"/>
  <c r="A3667" i="1"/>
  <c r="F3667" i="1"/>
  <c r="B3668" i="1"/>
  <c r="A3668" i="1"/>
  <c r="F3668" i="1"/>
  <c r="B3669" i="1"/>
  <c r="A3669" i="1"/>
  <c r="F3669" i="1"/>
  <c r="B3670" i="1"/>
  <c r="A3670" i="1"/>
  <c r="F3670" i="1"/>
  <c r="B3671" i="1"/>
  <c r="A3671" i="1"/>
  <c r="F3671" i="1"/>
  <c r="B3672" i="1"/>
  <c r="A3672" i="1"/>
  <c r="F3672" i="1"/>
  <c r="B3673" i="1"/>
  <c r="A3673" i="1"/>
  <c r="F3673" i="1"/>
  <c r="B3674" i="1"/>
  <c r="A3674" i="1"/>
  <c r="F3674" i="1"/>
  <c r="B3675" i="1"/>
  <c r="A3675" i="1"/>
  <c r="F3675" i="1"/>
  <c r="B3676" i="1"/>
  <c r="A3676" i="1"/>
  <c r="F3676" i="1"/>
  <c r="B3677" i="1"/>
  <c r="A3677" i="1"/>
  <c r="F3677" i="1"/>
  <c r="B3678" i="1"/>
  <c r="A3678" i="1"/>
  <c r="F3678" i="1"/>
  <c r="B3679" i="1"/>
  <c r="A3679" i="1"/>
  <c r="F3679" i="1"/>
  <c r="B3680" i="1"/>
  <c r="A3680" i="1"/>
  <c r="F3680" i="1"/>
  <c r="B3681" i="1"/>
  <c r="A3681" i="1"/>
  <c r="F3681" i="1"/>
  <c r="B3682" i="1"/>
  <c r="A3682" i="1"/>
  <c r="F3682" i="1"/>
  <c r="B3683" i="1"/>
  <c r="A3683" i="1"/>
  <c r="F3683" i="1"/>
  <c r="B3684" i="1"/>
  <c r="A3684" i="1"/>
  <c r="F3684" i="1"/>
  <c r="B3685" i="1"/>
  <c r="A3685" i="1"/>
  <c r="F3685" i="1"/>
  <c r="B3686" i="1"/>
  <c r="A3686" i="1"/>
  <c r="F3686" i="1"/>
  <c r="B3687" i="1"/>
  <c r="A3687" i="1"/>
  <c r="F3687" i="1"/>
  <c r="B3688" i="1"/>
  <c r="A3688" i="1"/>
  <c r="F3688" i="1"/>
  <c r="B3689" i="1"/>
  <c r="A3689" i="1"/>
  <c r="F3689" i="1"/>
  <c r="B3690" i="1"/>
  <c r="A3690" i="1"/>
  <c r="F3690" i="1"/>
  <c r="B3691" i="1"/>
  <c r="A3691" i="1"/>
  <c r="F3691" i="1"/>
  <c r="B3692" i="1"/>
  <c r="A3692" i="1"/>
  <c r="F3692" i="1"/>
  <c r="B3693" i="1"/>
  <c r="A3693" i="1"/>
  <c r="F3693" i="1"/>
  <c r="B3694" i="1"/>
  <c r="A3694" i="1"/>
  <c r="F3694" i="1"/>
  <c r="B3695" i="1"/>
  <c r="A3695" i="1"/>
  <c r="F3695" i="1"/>
  <c r="B3696" i="1"/>
  <c r="A3696" i="1"/>
  <c r="F3696" i="1"/>
  <c r="B3697" i="1"/>
  <c r="A3697" i="1"/>
  <c r="F3697" i="1"/>
  <c r="B3698" i="1"/>
  <c r="A3698" i="1"/>
  <c r="F3698" i="1"/>
  <c r="B3699" i="1"/>
  <c r="A3699" i="1"/>
  <c r="F3699" i="1"/>
  <c r="B3700" i="1"/>
  <c r="A3700" i="1"/>
  <c r="F3700" i="1"/>
  <c r="B3701" i="1"/>
  <c r="A3701" i="1"/>
  <c r="F3701" i="1"/>
  <c r="B3702" i="1"/>
  <c r="A3702" i="1"/>
  <c r="F3702" i="1"/>
  <c r="B3703" i="1"/>
  <c r="A3703" i="1"/>
  <c r="F3703" i="1"/>
  <c r="B3704" i="1"/>
  <c r="A3704" i="1"/>
  <c r="F3704" i="1"/>
  <c r="B3705" i="1"/>
  <c r="A3705" i="1"/>
  <c r="F3705" i="1"/>
  <c r="B3706" i="1"/>
  <c r="A3706" i="1"/>
  <c r="F3706" i="1"/>
  <c r="B3707" i="1"/>
  <c r="A3707" i="1"/>
  <c r="F3707" i="1"/>
  <c r="B3708" i="1"/>
  <c r="A3708" i="1"/>
  <c r="F3708" i="1"/>
  <c r="B3709" i="1"/>
  <c r="A3709" i="1"/>
  <c r="F3709" i="1"/>
  <c r="B3710" i="1"/>
  <c r="A3710" i="1"/>
  <c r="F3710" i="1"/>
  <c r="B3711" i="1"/>
  <c r="A3711" i="1"/>
  <c r="F3711" i="1"/>
  <c r="B3712" i="1"/>
  <c r="A3712" i="1"/>
  <c r="F3712" i="1"/>
  <c r="B3713" i="1"/>
  <c r="A3713" i="1"/>
  <c r="F3713" i="1"/>
  <c r="B3714" i="1"/>
  <c r="A3714" i="1"/>
  <c r="F3714" i="1"/>
  <c r="B3715" i="1"/>
  <c r="A3715" i="1"/>
  <c r="F3715" i="1"/>
  <c r="B3716" i="1"/>
  <c r="A3716" i="1"/>
  <c r="F3716" i="1"/>
  <c r="B3717" i="1"/>
  <c r="A3717" i="1"/>
  <c r="F3717" i="1"/>
  <c r="B3718" i="1"/>
  <c r="A3718" i="1"/>
  <c r="F3718" i="1"/>
  <c r="B3719" i="1"/>
  <c r="A3719" i="1"/>
  <c r="F3719" i="1"/>
  <c r="B3720" i="1"/>
  <c r="A3720" i="1"/>
  <c r="F3720" i="1"/>
  <c r="B3721" i="1"/>
  <c r="A3721" i="1"/>
  <c r="F3721" i="1"/>
  <c r="B3722" i="1"/>
  <c r="A3722" i="1"/>
  <c r="F3722" i="1"/>
  <c r="B3723" i="1"/>
  <c r="A3723" i="1"/>
  <c r="F3723" i="1"/>
  <c r="B3724" i="1"/>
  <c r="A3724" i="1"/>
  <c r="F3724" i="1"/>
  <c r="B3725" i="1"/>
  <c r="A3725" i="1"/>
  <c r="F3725" i="1"/>
  <c r="B3726" i="1"/>
  <c r="A3726" i="1"/>
  <c r="F3726" i="1"/>
  <c r="B3727" i="1"/>
  <c r="A3727" i="1"/>
  <c r="F3727" i="1"/>
  <c r="B3728" i="1"/>
  <c r="A3728" i="1"/>
  <c r="F3728" i="1"/>
  <c r="B3729" i="1"/>
  <c r="A3729" i="1"/>
  <c r="F3729" i="1"/>
  <c r="B3730" i="1"/>
  <c r="A3730" i="1"/>
  <c r="F3730" i="1"/>
  <c r="B3731" i="1"/>
  <c r="A3731" i="1"/>
  <c r="F3731" i="1"/>
  <c r="B3732" i="1"/>
  <c r="A3732" i="1"/>
  <c r="F3732" i="1"/>
  <c r="B3733" i="1"/>
  <c r="A3733" i="1"/>
  <c r="F3733" i="1"/>
  <c r="B3734" i="1"/>
  <c r="A3734" i="1"/>
  <c r="F3734" i="1"/>
  <c r="B3735" i="1"/>
  <c r="A3735" i="1"/>
  <c r="F3735" i="1"/>
  <c r="B3736" i="1"/>
  <c r="A3736" i="1"/>
  <c r="F3736" i="1"/>
  <c r="B3737" i="1"/>
  <c r="A3737" i="1"/>
  <c r="F3737" i="1"/>
  <c r="B3738" i="1"/>
  <c r="A3738" i="1"/>
  <c r="F3738" i="1"/>
  <c r="B3739" i="1"/>
  <c r="A3739" i="1"/>
  <c r="F3739" i="1"/>
  <c r="B3740" i="1"/>
  <c r="A3740" i="1"/>
  <c r="F3740" i="1"/>
  <c r="B3741" i="1"/>
  <c r="A3741" i="1"/>
  <c r="F3741" i="1"/>
  <c r="B3742" i="1"/>
  <c r="A3742" i="1"/>
  <c r="F3742" i="1"/>
  <c r="B3743" i="1"/>
  <c r="A3743" i="1"/>
  <c r="F3743" i="1"/>
  <c r="B3744" i="1"/>
  <c r="A3744" i="1"/>
  <c r="F3744" i="1"/>
  <c r="B3745" i="1"/>
  <c r="A3745" i="1"/>
  <c r="F3745" i="1"/>
  <c r="B3746" i="1"/>
  <c r="A3746" i="1"/>
  <c r="F3746" i="1"/>
  <c r="B3747" i="1"/>
  <c r="A3747" i="1"/>
  <c r="F3747" i="1"/>
  <c r="B3748" i="1"/>
  <c r="A3748" i="1"/>
  <c r="F3748" i="1"/>
  <c r="B3749" i="1"/>
  <c r="A3749" i="1"/>
  <c r="F3749" i="1"/>
  <c r="B3750" i="1"/>
  <c r="A3750" i="1"/>
  <c r="F3750" i="1"/>
  <c r="B3751" i="1"/>
  <c r="A3751" i="1"/>
  <c r="F3751" i="1"/>
  <c r="B3752" i="1"/>
  <c r="A3752" i="1"/>
  <c r="F3752" i="1"/>
  <c r="B3753" i="1"/>
  <c r="A3753" i="1"/>
  <c r="F3753" i="1"/>
  <c r="B3754" i="1"/>
  <c r="A3754" i="1"/>
  <c r="F3754" i="1"/>
  <c r="B3755" i="1"/>
  <c r="A3755" i="1"/>
  <c r="F3755" i="1"/>
  <c r="B3756" i="1"/>
  <c r="A3756" i="1"/>
  <c r="F3756" i="1"/>
  <c r="B3757" i="1"/>
  <c r="A3757" i="1"/>
  <c r="F3757" i="1"/>
  <c r="B3758" i="1"/>
  <c r="A3758" i="1"/>
  <c r="F3758" i="1"/>
  <c r="B3759" i="1"/>
  <c r="A3759" i="1"/>
  <c r="F3759" i="1"/>
  <c r="B3760" i="1"/>
  <c r="A3760" i="1"/>
  <c r="F3760" i="1"/>
  <c r="B3761" i="1"/>
  <c r="A3761" i="1"/>
  <c r="F3761" i="1"/>
  <c r="B3762" i="1"/>
  <c r="A3762" i="1"/>
  <c r="F3762" i="1"/>
  <c r="B3763" i="1"/>
  <c r="A3763" i="1"/>
  <c r="F3763" i="1"/>
  <c r="B3764" i="1"/>
  <c r="A3764" i="1"/>
  <c r="F3764" i="1"/>
  <c r="B3765" i="1"/>
  <c r="A3765" i="1"/>
  <c r="F3765" i="1"/>
  <c r="B3766" i="1"/>
  <c r="A3766" i="1"/>
  <c r="F3766" i="1"/>
  <c r="B3767" i="1"/>
  <c r="A3767" i="1"/>
  <c r="F3767" i="1"/>
  <c r="B3768" i="1"/>
  <c r="A3768" i="1"/>
  <c r="F3768" i="1"/>
  <c r="B3769" i="1"/>
  <c r="A3769" i="1"/>
  <c r="F3769" i="1"/>
  <c r="B3770" i="1"/>
  <c r="A3770" i="1"/>
  <c r="F3770" i="1"/>
  <c r="B3771" i="1"/>
  <c r="A3771" i="1"/>
  <c r="F3771" i="1"/>
  <c r="B3772" i="1"/>
  <c r="A3772" i="1"/>
  <c r="F3772" i="1"/>
  <c r="B3773" i="1"/>
  <c r="A3773" i="1"/>
  <c r="F3773" i="1"/>
  <c r="B3774" i="1"/>
  <c r="A3774" i="1"/>
  <c r="F3774" i="1"/>
  <c r="B3775" i="1"/>
  <c r="A3775" i="1"/>
  <c r="F3775" i="1"/>
  <c r="B3776" i="1"/>
  <c r="A3776" i="1"/>
  <c r="F3776" i="1"/>
  <c r="B3777" i="1"/>
  <c r="A3777" i="1"/>
  <c r="F3777" i="1"/>
  <c r="B3778" i="1"/>
  <c r="A3778" i="1"/>
  <c r="F3778" i="1"/>
  <c r="B3779" i="1"/>
  <c r="A3779" i="1"/>
  <c r="F3779" i="1"/>
  <c r="B3780" i="1"/>
  <c r="A3780" i="1"/>
  <c r="F3780" i="1"/>
  <c r="B3781" i="1"/>
  <c r="A3781" i="1"/>
  <c r="F3781" i="1"/>
  <c r="B3782" i="1"/>
  <c r="A3782" i="1"/>
  <c r="F3782" i="1"/>
  <c r="B3783" i="1"/>
  <c r="A3783" i="1"/>
  <c r="F3783" i="1"/>
  <c r="B3784" i="1"/>
  <c r="A3784" i="1"/>
  <c r="F3784" i="1"/>
  <c r="B3785" i="1"/>
  <c r="A3785" i="1"/>
  <c r="F3785" i="1"/>
  <c r="B3786" i="1"/>
  <c r="A3786" i="1"/>
  <c r="F3786" i="1"/>
  <c r="B3787" i="1"/>
  <c r="A3787" i="1"/>
  <c r="F3787" i="1"/>
  <c r="B3788" i="1"/>
  <c r="A3788" i="1"/>
  <c r="F3788" i="1"/>
  <c r="B3789" i="1"/>
  <c r="A3789" i="1"/>
  <c r="F3789" i="1"/>
  <c r="B3790" i="1"/>
  <c r="A3790" i="1"/>
  <c r="F3790" i="1"/>
  <c r="B3791" i="1"/>
  <c r="A3791" i="1"/>
  <c r="F3791" i="1"/>
  <c r="B3792" i="1"/>
  <c r="A3792" i="1"/>
  <c r="F3792" i="1"/>
  <c r="B3793" i="1"/>
  <c r="A3793" i="1"/>
  <c r="F3793" i="1"/>
  <c r="B3794" i="1"/>
  <c r="A3794" i="1"/>
  <c r="F3794" i="1"/>
  <c r="B3795" i="1"/>
  <c r="A3795" i="1"/>
  <c r="F3795" i="1"/>
  <c r="B3796" i="1"/>
  <c r="A3796" i="1"/>
  <c r="F3796" i="1"/>
  <c r="B3797" i="1"/>
  <c r="A3797" i="1"/>
  <c r="F3797" i="1"/>
  <c r="B3798" i="1"/>
  <c r="A3798" i="1"/>
  <c r="F3798" i="1"/>
  <c r="B3799" i="1"/>
  <c r="A3799" i="1"/>
  <c r="F3799" i="1"/>
  <c r="B3800" i="1"/>
  <c r="A3800" i="1"/>
  <c r="F3800" i="1"/>
  <c r="B3801" i="1"/>
  <c r="A3801" i="1"/>
  <c r="F3801" i="1"/>
  <c r="B3802" i="1"/>
  <c r="A3802" i="1"/>
  <c r="F3802" i="1"/>
  <c r="B3803" i="1"/>
  <c r="A3803" i="1"/>
  <c r="F3803" i="1"/>
  <c r="B3804" i="1"/>
  <c r="A3804" i="1"/>
  <c r="F3804" i="1"/>
  <c r="B3805" i="1"/>
  <c r="A3805" i="1"/>
  <c r="F3805" i="1"/>
  <c r="B3806" i="1"/>
  <c r="A3806" i="1"/>
  <c r="F3806" i="1"/>
  <c r="B3807" i="1"/>
  <c r="A3807" i="1"/>
  <c r="F3807" i="1"/>
  <c r="B3808" i="1"/>
  <c r="A3808" i="1"/>
  <c r="F3808" i="1"/>
  <c r="B3809" i="1"/>
  <c r="A3809" i="1"/>
  <c r="F3809" i="1"/>
  <c r="B3810" i="1"/>
  <c r="A3810" i="1"/>
  <c r="F3810" i="1"/>
  <c r="B3811" i="1"/>
  <c r="A3811" i="1"/>
  <c r="F3811" i="1"/>
  <c r="B3812" i="1"/>
  <c r="A3812" i="1"/>
  <c r="F3812" i="1"/>
  <c r="B3813" i="1"/>
  <c r="A3813" i="1"/>
  <c r="F3813" i="1"/>
  <c r="B3814" i="1"/>
  <c r="A3814" i="1"/>
  <c r="F3814" i="1"/>
  <c r="B3815" i="1"/>
  <c r="A3815" i="1"/>
  <c r="F3815" i="1"/>
  <c r="B3816" i="1"/>
  <c r="A3816" i="1"/>
  <c r="F3816" i="1"/>
  <c r="B3817" i="1"/>
  <c r="A3817" i="1"/>
  <c r="F3817" i="1"/>
  <c r="B3818" i="1"/>
  <c r="A3818" i="1"/>
  <c r="F3818" i="1"/>
  <c r="B3819" i="1"/>
  <c r="A3819" i="1"/>
  <c r="F3819" i="1"/>
  <c r="B3820" i="1"/>
  <c r="A3820" i="1"/>
  <c r="F3820" i="1"/>
  <c r="B3821" i="1"/>
  <c r="A3821" i="1"/>
  <c r="F3821" i="1"/>
  <c r="B3822" i="1"/>
  <c r="A3822" i="1"/>
  <c r="F3822" i="1"/>
  <c r="B3823" i="1"/>
  <c r="A3823" i="1"/>
  <c r="F3823" i="1"/>
  <c r="B3824" i="1"/>
  <c r="A3824" i="1"/>
  <c r="F3824" i="1"/>
  <c r="B3825" i="1"/>
  <c r="A3825" i="1"/>
  <c r="F3825" i="1"/>
  <c r="B3826" i="1"/>
  <c r="A3826" i="1"/>
  <c r="F3826" i="1"/>
  <c r="B3827" i="1"/>
  <c r="A3827" i="1"/>
  <c r="F3827" i="1"/>
  <c r="B3828" i="1"/>
  <c r="A3828" i="1"/>
  <c r="F3828" i="1"/>
  <c r="B3829" i="1"/>
  <c r="A3829" i="1"/>
  <c r="F3829" i="1"/>
  <c r="B3830" i="1"/>
  <c r="A3830" i="1"/>
  <c r="F3830" i="1"/>
  <c r="B3831" i="1"/>
  <c r="A3831" i="1"/>
  <c r="F3831" i="1"/>
  <c r="B3832" i="1"/>
  <c r="A3832" i="1"/>
  <c r="F3832" i="1"/>
  <c r="B3833" i="1"/>
  <c r="A3833" i="1"/>
  <c r="F3833" i="1"/>
  <c r="B3834" i="1"/>
  <c r="A3834" i="1"/>
  <c r="F3834" i="1"/>
  <c r="B3835" i="1"/>
  <c r="A3835" i="1"/>
  <c r="F3835" i="1"/>
  <c r="B3836" i="1"/>
  <c r="A3836" i="1"/>
  <c r="F3836" i="1"/>
  <c r="B3837" i="1"/>
  <c r="A3837" i="1"/>
  <c r="F3837" i="1"/>
  <c r="B3838" i="1"/>
  <c r="A3838" i="1"/>
  <c r="F3838" i="1"/>
  <c r="B3839" i="1"/>
  <c r="A3839" i="1"/>
  <c r="F3839" i="1"/>
  <c r="B3840" i="1"/>
  <c r="A3840" i="1"/>
  <c r="F3840" i="1"/>
  <c r="B3841" i="1"/>
  <c r="A3841" i="1"/>
  <c r="F3841" i="1"/>
  <c r="B3842" i="1"/>
  <c r="A3842" i="1"/>
  <c r="F3842" i="1"/>
  <c r="B3843" i="1"/>
  <c r="A3843" i="1"/>
  <c r="F3843" i="1"/>
  <c r="B3844" i="1"/>
  <c r="A3844" i="1"/>
  <c r="F3844" i="1"/>
  <c r="B3845" i="1"/>
  <c r="A3845" i="1"/>
  <c r="F3845" i="1"/>
  <c r="B3846" i="1"/>
  <c r="A3846" i="1"/>
  <c r="F3846" i="1"/>
  <c r="B3847" i="1"/>
  <c r="A3847" i="1"/>
  <c r="F3847" i="1"/>
  <c r="B3848" i="1"/>
  <c r="A3848" i="1"/>
  <c r="F3848" i="1"/>
  <c r="B3849" i="1"/>
  <c r="A3849" i="1"/>
  <c r="F3849" i="1"/>
  <c r="B3850" i="1"/>
  <c r="A3850" i="1"/>
  <c r="F3850" i="1"/>
  <c r="B3851" i="1"/>
  <c r="A3851" i="1"/>
  <c r="F3851" i="1"/>
  <c r="B3852" i="1"/>
  <c r="A3852" i="1"/>
  <c r="F3852" i="1"/>
  <c r="B3853" i="1"/>
  <c r="A3853" i="1"/>
  <c r="F3853" i="1"/>
  <c r="B3854" i="1"/>
  <c r="A3854" i="1"/>
  <c r="F3854" i="1"/>
  <c r="B3855" i="1"/>
  <c r="A3855" i="1"/>
  <c r="F3855" i="1"/>
  <c r="B3856" i="1"/>
  <c r="A3856" i="1"/>
  <c r="F3856" i="1"/>
  <c r="B3857" i="1"/>
  <c r="A3857" i="1"/>
  <c r="F3857" i="1"/>
  <c r="B3858" i="1"/>
  <c r="A3858" i="1"/>
  <c r="F3858" i="1"/>
  <c r="B3859" i="1"/>
  <c r="A3859" i="1"/>
  <c r="F3859" i="1"/>
  <c r="B3860" i="1"/>
  <c r="A3860" i="1"/>
  <c r="F3860" i="1"/>
  <c r="B3861" i="1"/>
  <c r="A3861" i="1"/>
  <c r="F3861" i="1"/>
  <c r="B3862" i="1"/>
  <c r="A3862" i="1"/>
  <c r="F3862" i="1"/>
  <c r="B3863" i="1"/>
  <c r="A3863" i="1"/>
  <c r="F3863" i="1"/>
  <c r="B3864" i="1"/>
  <c r="A3864" i="1"/>
  <c r="F3864" i="1"/>
  <c r="B3865" i="1"/>
  <c r="A3865" i="1"/>
  <c r="F3865" i="1"/>
  <c r="B3866" i="1"/>
  <c r="A3866" i="1"/>
  <c r="F3866" i="1"/>
  <c r="B3867" i="1"/>
  <c r="A3867" i="1"/>
  <c r="F3867" i="1"/>
  <c r="B3868" i="1"/>
  <c r="A3868" i="1"/>
  <c r="F3868" i="1"/>
  <c r="B3869" i="1"/>
  <c r="A3869" i="1"/>
  <c r="F3869" i="1"/>
  <c r="B3870" i="1"/>
  <c r="A3870" i="1"/>
  <c r="F3870" i="1"/>
  <c r="B3871" i="1"/>
  <c r="A3871" i="1"/>
  <c r="F3871" i="1"/>
  <c r="B3872" i="1"/>
  <c r="A3872" i="1"/>
  <c r="F3872" i="1"/>
  <c r="B3873" i="1"/>
  <c r="A3873" i="1"/>
  <c r="F3873" i="1"/>
  <c r="B3874" i="1"/>
  <c r="A3874" i="1"/>
  <c r="F3874" i="1"/>
  <c r="B3875" i="1"/>
  <c r="A3875" i="1"/>
  <c r="F3875" i="1"/>
  <c r="B3876" i="1"/>
  <c r="A3876" i="1"/>
  <c r="F3876" i="1"/>
  <c r="B3877" i="1"/>
  <c r="A3877" i="1"/>
  <c r="F3877" i="1"/>
  <c r="B3878" i="1"/>
  <c r="A3878" i="1"/>
  <c r="F3878" i="1"/>
  <c r="B3879" i="1"/>
  <c r="A3879" i="1"/>
  <c r="F3879" i="1"/>
  <c r="B3880" i="1"/>
  <c r="A3880" i="1"/>
  <c r="F3880" i="1"/>
  <c r="B3881" i="1"/>
  <c r="A3881" i="1"/>
  <c r="F3881" i="1"/>
  <c r="B3882" i="1"/>
  <c r="A3882" i="1"/>
  <c r="F3882" i="1"/>
  <c r="B3883" i="1"/>
  <c r="A3883" i="1"/>
  <c r="F3883" i="1"/>
  <c r="B3884" i="1"/>
  <c r="A3884" i="1"/>
  <c r="F3884" i="1"/>
  <c r="B3885" i="1"/>
  <c r="A3885" i="1"/>
  <c r="F3885" i="1"/>
  <c r="B3886" i="1"/>
  <c r="A3886" i="1"/>
  <c r="F3886" i="1"/>
  <c r="B3887" i="1"/>
  <c r="A3887" i="1"/>
  <c r="F3887" i="1"/>
  <c r="B3888" i="1"/>
  <c r="A3888" i="1"/>
  <c r="F3888" i="1"/>
  <c r="B3889" i="1"/>
  <c r="A3889" i="1"/>
  <c r="F3889" i="1"/>
  <c r="B3890" i="1"/>
  <c r="A3890" i="1"/>
  <c r="F3890" i="1"/>
  <c r="B3891" i="1"/>
  <c r="A3891" i="1"/>
  <c r="F3891" i="1"/>
  <c r="B3892" i="1"/>
  <c r="A3892" i="1"/>
  <c r="F3892" i="1"/>
  <c r="B3893" i="1"/>
  <c r="A3893" i="1"/>
  <c r="F3893" i="1"/>
  <c r="B3894" i="1"/>
  <c r="A3894" i="1"/>
  <c r="F3894" i="1"/>
  <c r="B3895" i="1"/>
  <c r="A3895" i="1"/>
  <c r="F3895" i="1"/>
  <c r="B3896" i="1"/>
  <c r="A3896" i="1"/>
  <c r="F3896" i="1"/>
  <c r="B3897" i="1"/>
  <c r="A3897" i="1"/>
  <c r="F3897" i="1"/>
  <c r="B3898" i="1"/>
  <c r="A3898" i="1"/>
  <c r="F3898" i="1"/>
  <c r="B3899" i="1"/>
  <c r="A3899" i="1"/>
  <c r="F3899" i="1"/>
  <c r="B3900" i="1"/>
  <c r="A3900" i="1"/>
  <c r="F3900" i="1"/>
  <c r="B3901" i="1"/>
  <c r="A3901" i="1"/>
  <c r="F3901" i="1"/>
  <c r="B3902" i="1"/>
  <c r="A3902" i="1"/>
  <c r="F3902" i="1"/>
  <c r="B3903" i="1"/>
  <c r="A3903" i="1"/>
  <c r="F3903" i="1"/>
  <c r="B3904" i="1"/>
  <c r="A3904" i="1"/>
  <c r="F3904" i="1"/>
  <c r="B3905" i="1"/>
  <c r="A3905" i="1"/>
  <c r="F3905" i="1"/>
  <c r="B3906" i="1"/>
  <c r="A3906" i="1"/>
  <c r="F3906" i="1"/>
  <c r="B3907" i="1"/>
  <c r="A3907" i="1"/>
  <c r="F3907" i="1"/>
  <c r="B3908" i="1"/>
  <c r="A3908" i="1"/>
  <c r="F3908" i="1"/>
  <c r="B3909" i="1"/>
  <c r="A3909" i="1"/>
  <c r="F3909" i="1"/>
  <c r="B3910" i="1"/>
  <c r="A3910" i="1"/>
  <c r="F3910" i="1"/>
  <c r="B3911" i="1"/>
  <c r="A3911" i="1"/>
  <c r="F3911" i="1"/>
  <c r="B3912" i="1"/>
  <c r="A3912" i="1"/>
  <c r="F3912" i="1"/>
  <c r="B3913" i="1"/>
  <c r="A3913" i="1"/>
  <c r="F3913" i="1"/>
  <c r="B3914" i="1"/>
  <c r="A3914" i="1"/>
  <c r="F3914" i="1"/>
  <c r="B3915" i="1"/>
  <c r="A3915" i="1"/>
  <c r="F3915" i="1"/>
  <c r="B3916" i="1"/>
  <c r="A3916" i="1"/>
  <c r="F3916" i="1"/>
  <c r="B3917" i="1"/>
  <c r="A3917" i="1"/>
  <c r="F3917" i="1"/>
  <c r="B3918" i="1"/>
  <c r="A3918" i="1"/>
  <c r="F3918" i="1"/>
  <c r="B3919" i="1"/>
  <c r="A3919" i="1"/>
  <c r="F3919" i="1"/>
  <c r="B3920" i="1"/>
  <c r="A3920" i="1"/>
  <c r="F3920" i="1"/>
  <c r="B3921" i="1"/>
  <c r="A3921" i="1"/>
  <c r="F3921" i="1"/>
  <c r="B3922" i="1"/>
  <c r="A3922" i="1"/>
  <c r="F3922" i="1"/>
  <c r="B3923" i="1"/>
  <c r="A3923" i="1"/>
  <c r="F3923" i="1"/>
  <c r="B3924" i="1"/>
  <c r="A3924" i="1"/>
  <c r="F3924" i="1"/>
  <c r="B3925" i="1"/>
  <c r="A3925" i="1"/>
  <c r="F3925" i="1"/>
  <c r="B3926" i="1"/>
  <c r="A3926" i="1"/>
  <c r="F3926" i="1"/>
  <c r="B3927" i="1"/>
  <c r="A3927" i="1"/>
  <c r="F3927" i="1"/>
  <c r="B3928" i="1"/>
  <c r="A3928" i="1"/>
  <c r="F3928" i="1"/>
  <c r="B3929" i="1"/>
  <c r="A3929" i="1"/>
  <c r="F3929" i="1"/>
  <c r="B3930" i="1"/>
  <c r="A3930" i="1"/>
  <c r="F3930" i="1"/>
  <c r="B3931" i="1"/>
  <c r="A3931" i="1"/>
  <c r="F3931" i="1"/>
  <c r="B3932" i="1"/>
  <c r="A3932" i="1"/>
  <c r="F3932" i="1"/>
  <c r="B3933" i="1"/>
  <c r="A3933" i="1"/>
  <c r="F3933" i="1"/>
  <c r="B3934" i="1"/>
  <c r="A3934" i="1"/>
  <c r="F3934" i="1"/>
  <c r="B3935" i="1"/>
  <c r="A3935" i="1"/>
  <c r="F3935" i="1"/>
  <c r="B3936" i="1"/>
  <c r="A3936" i="1"/>
  <c r="F3936" i="1"/>
  <c r="B3937" i="1"/>
  <c r="A3937" i="1"/>
  <c r="F3937" i="1"/>
  <c r="B3938" i="1"/>
  <c r="A3938" i="1"/>
  <c r="F3938" i="1"/>
  <c r="B3939" i="1"/>
  <c r="A3939" i="1"/>
  <c r="F3939" i="1"/>
  <c r="B3940" i="1"/>
  <c r="A3940" i="1"/>
  <c r="F3940" i="1"/>
  <c r="B3941" i="1"/>
  <c r="A3941" i="1"/>
  <c r="F3941" i="1"/>
  <c r="B3942" i="1"/>
  <c r="A3942" i="1"/>
  <c r="F3942" i="1"/>
  <c r="B3943" i="1"/>
  <c r="A3943" i="1"/>
  <c r="F3943" i="1"/>
  <c r="B3944" i="1"/>
  <c r="A3944" i="1"/>
  <c r="F3944" i="1"/>
  <c r="B3945" i="1"/>
  <c r="A3945" i="1"/>
  <c r="F3945" i="1"/>
  <c r="B3946" i="1"/>
  <c r="A3946" i="1"/>
  <c r="F3946" i="1"/>
  <c r="B3947" i="1"/>
  <c r="A3947" i="1"/>
  <c r="F3947" i="1"/>
  <c r="B3948" i="1"/>
  <c r="A3948" i="1"/>
  <c r="F3948" i="1"/>
  <c r="B3949" i="1"/>
  <c r="A3949" i="1"/>
  <c r="F3949" i="1"/>
  <c r="B3950" i="1"/>
  <c r="A3950" i="1"/>
  <c r="F3950" i="1"/>
  <c r="B3951" i="1"/>
  <c r="A3951" i="1"/>
  <c r="F3951" i="1"/>
  <c r="B3952" i="1"/>
  <c r="A3952" i="1"/>
  <c r="F3952" i="1"/>
  <c r="B3953" i="1"/>
  <c r="A3953" i="1"/>
  <c r="F3953" i="1"/>
  <c r="B3954" i="1"/>
  <c r="A3954" i="1"/>
  <c r="F3954" i="1"/>
  <c r="B3955" i="1"/>
  <c r="A3955" i="1"/>
  <c r="F3955" i="1"/>
  <c r="B3956" i="1"/>
  <c r="A3956" i="1"/>
  <c r="F3956" i="1"/>
  <c r="B3957" i="1"/>
  <c r="A3957" i="1"/>
  <c r="F3957" i="1"/>
  <c r="B3958" i="1"/>
  <c r="A3958" i="1"/>
  <c r="F3958" i="1"/>
  <c r="B3959" i="1"/>
  <c r="A3959" i="1"/>
  <c r="F3959" i="1"/>
  <c r="B3960" i="1"/>
  <c r="A3960" i="1"/>
  <c r="F3960" i="1"/>
  <c r="B3961" i="1"/>
  <c r="A3961" i="1"/>
  <c r="F3961" i="1"/>
  <c r="B3962" i="1"/>
  <c r="A3962" i="1"/>
  <c r="F3962" i="1"/>
  <c r="B3963" i="1"/>
  <c r="A3963" i="1"/>
  <c r="F3963" i="1"/>
  <c r="B3964" i="1"/>
  <c r="A3964" i="1"/>
  <c r="F3964" i="1"/>
  <c r="B3965" i="1"/>
  <c r="A3965" i="1"/>
  <c r="F3965" i="1"/>
  <c r="B3966" i="1"/>
  <c r="A3966" i="1"/>
  <c r="F3966" i="1"/>
  <c r="B3967" i="1"/>
  <c r="A3967" i="1"/>
  <c r="F3967" i="1"/>
  <c r="B3968" i="1"/>
  <c r="A3968" i="1"/>
  <c r="F3968" i="1"/>
  <c r="B3969" i="1"/>
  <c r="A3969" i="1"/>
  <c r="F3969" i="1"/>
  <c r="B3970" i="1"/>
  <c r="A3970" i="1"/>
  <c r="F3970" i="1"/>
  <c r="B3971" i="1"/>
  <c r="A3971" i="1"/>
  <c r="F3971" i="1"/>
  <c r="B3972" i="1"/>
  <c r="A3972" i="1"/>
  <c r="F3972" i="1"/>
  <c r="B3973" i="1"/>
  <c r="A3973" i="1"/>
  <c r="F3973" i="1"/>
  <c r="B3974" i="1"/>
  <c r="A3974" i="1"/>
  <c r="F3974" i="1"/>
  <c r="B3975" i="1"/>
  <c r="A3975" i="1"/>
  <c r="F3975" i="1"/>
  <c r="B3976" i="1"/>
  <c r="A3976" i="1"/>
  <c r="F3976" i="1"/>
  <c r="B3977" i="1"/>
  <c r="A3977" i="1"/>
  <c r="F3977" i="1"/>
  <c r="B3978" i="1"/>
  <c r="A3978" i="1"/>
  <c r="F3978" i="1"/>
  <c r="B3979" i="1"/>
  <c r="A3979" i="1"/>
  <c r="F3979" i="1"/>
  <c r="B3980" i="1"/>
  <c r="A3980" i="1"/>
  <c r="F3980" i="1"/>
  <c r="B3981" i="1"/>
  <c r="A3981" i="1"/>
  <c r="F3981" i="1"/>
  <c r="B3982" i="1"/>
  <c r="A3982" i="1"/>
  <c r="F3982" i="1"/>
  <c r="B3983" i="1"/>
  <c r="A3983" i="1"/>
  <c r="F3983" i="1"/>
  <c r="B3984" i="1"/>
  <c r="A3984" i="1"/>
  <c r="F3984" i="1"/>
  <c r="B3985" i="1"/>
  <c r="A3985" i="1"/>
  <c r="F3985" i="1"/>
  <c r="B3986" i="1"/>
  <c r="A3986" i="1"/>
  <c r="F3986" i="1"/>
  <c r="B3987" i="1"/>
  <c r="A3987" i="1"/>
  <c r="F3987" i="1"/>
  <c r="B3988" i="1"/>
  <c r="A3988" i="1"/>
  <c r="F3988" i="1"/>
  <c r="B3989" i="1"/>
  <c r="A3989" i="1"/>
  <c r="F3989" i="1"/>
  <c r="B3990" i="1"/>
  <c r="A3990" i="1"/>
  <c r="F3990" i="1"/>
  <c r="B3991" i="1"/>
  <c r="A3991" i="1"/>
  <c r="F3991" i="1"/>
  <c r="B3992" i="1"/>
  <c r="A3992" i="1"/>
  <c r="F3992" i="1"/>
  <c r="B3993" i="1"/>
  <c r="A3993" i="1"/>
  <c r="F3993" i="1"/>
  <c r="B3994" i="1"/>
  <c r="A3994" i="1"/>
  <c r="F3994" i="1"/>
  <c r="B3995" i="1"/>
  <c r="A3995" i="1"/>
  <c r="F3995" i="1"/>
  <c r="B3996" i="1"/>
  <c r="A3996" i="1"/>
  <c r="F3996" i="1"/>
  <c r="B3997" i="1"/>
  <c r="A3997" i="1"/>
  <c r="F3997" i="1"/>
  <c r="B3998" i="1"/>
  <c r="A3998" i="1"/>
  <c r="F3998" i="1"/>
  <c r="B3999" i="1"/>
  <c r="A3999" i="1"/>
  <c r="F3999" i="1"/>
  <c r="B4000" i="1"/>
  <c r="A4000" i="1"/>
  <c r="F4000" i="1"/>
  <c r="B4001" i="1"/>
  <c r="A4001" i="1"/>
  <c r="F4001" i="1"/>
  <c r="B4002" i="1"/>
  <c r="A4002" i="1"/>
  <c r="F4002" i="1"/>
  <c r="B4003" i="1"/>
  <c r="A4003" i="1"/>
  <c r="F4003" i="1"/>
  <c r="B4004" i="1"/>
  <c r="A4004" i="1"/>
  <c r="F4004" i="1"/>
  <c r="B4005" i="1"/>
  <c r="A4005" i="1"/>
  <c r="F4005" i="1"/>
  <c r="B4006" i="1"/>
  <c r="A4006" i="1"/>
  <c r="F4006" i="1"/>
  <c r="B4007" i="1"/>
  <c r="A4007" i="1"/>
  <c r="F4007" i="1"/>
  <c r="B4008" i="1"/>
  <c r="A4008" i="1"/>
  <c r="F4008" i="1"/>
  <c r="B4009" i="1"/>
  <c r="A4009" i="1"/>
  <c r="F4009" i="1"/>
  <c r="B4010" i="1"/>
  <c r="A4010" i="1"/>
  <c r="F4010" i="1"/>
  <c r="B4011" i="1"/>
  <c r="A4011" i="1"/>
  <c r="F4011" i="1"/>
  <c r="B4012" i="1"/>
  <c r="A4012" i="1"/>
  <c r="F4012" i="1"/>
  <c r="B4013" i="1"/>
  <c r="A4013" i="1"/>
  <c r="F4013" i="1"/>
  <c r="B4014" i="1"/>
  <c r="A4014" i="1"/>
  <c r="F4014" i="1"/>
  <c r="B4015" i="1"/>
  <c r="A4015" i="1"/>
  <c r="F4015" i="1"/>
  <c r="B4016" i="1"/>
  <c r="A4016" i="1"/>
  <c r="F4016" i="1"/>
  <c r="B4017" i="1"/>
  <c r="A4017" i="1"/>
  <c r="F4017" i="1"/>
  <c r="B4018" i="1"/>
  <c r="A4018" i="1"/>
  <c r="F4018" i="1"/>
  <c r="B4019" i="1"/>
  <c r="A4019" i="1"/>
  <c r="F4019" i="1"/>
  <c r="B4020" i="1"/>
  <c r="A4020" i="1"/>
  <c r="F4020" i="1"/>
  <c r="B4021" i="1"/>
  <c r="A4021" i="1"/>
  <c r="F4021" i="1"/>
  <c r="B4022" i="1"/>
  <c r="A4022" i="1"/>
  <c r="F4022" i="1"/>
  <c r="B4023" i="1"/>
  <c r="A4023" i="1"/>
  <c r="F4023" i="1"/>
  <c r="B4024" i="1"/>
  <c r="A4024" i="1"/>
  <c r="F4024" i="1"/>
  <c r="B4025" i="1"/>
  <c r="A4025" i="1"/>
  <c r="F4025" i="1"/>
  <c r="B4026" i="1"/>
  <c r="A4026" i="1"/>
  <c r="F4026" i="1"/>
  <c r="B4027" i="1"/>
  <c r="A4027" i="1"/>
  <c r="F4027" i="1"/>
  <c r="B4028" i="1"/>
  <c r="A4028" i="1"/>
  <c r="F4028" i="1"/>
  <c r="B4029" i="1"/>
  <c r="A4029" i="1"/>
  <c r="F4029" i="1"/>
  <c r="B4030" i="1"/>
  <c r="A4030" i="1"/>
  <c r="F4030" i="1"/>
  <c r="B4031" i="1"/>
  <c r="A4031" i="1"/>
  <c r="F4031" i="1"/>
  <c r="B4032" i="1"/>
  <c r="A4032" i="1"/>
  <c r="F4032" i="1"/>
  <c r="B4033" i="1"/>
  <c r="A4033" i="1"/>
  <c r="F4033" i="1"/>
  <c r="B4034" i="1"/>
  <c r="A4034" i="1"/>
  <c r="F4034" i="1"/>
  <c r="B4035" i="1"/>
  <c r="A4035" i="1"/>
  <c r="F4035" i="1"/>
  <c r="B4036" i="1"/>
  <c r="A4036" i="1"/>
  <c r="F4036" i="1"/>
  <c r="B4037" i="1"/>
  <c r="A4037" i="1"/>
  <c r="F4037" i="1"/>
  <c r="B4038" i="1"/>
  <c r="A4038" i="1"/>
  <c r="F4038" i="1"/>
  <c r="B4039" i="1"/>
  <c r="A4039" i="1"/>
  <c r="F4039" i="1"/>
  <c r="B4040" i="1"/>
  <c r="A4040" i="1"/>
  <c r="F4040" i="1"/>
  <c r="B4041" i="1"/>
  <c r="A4041" i="1"/>
  <c r="F4041" i="1"/>
  <c r="B4042" i="1"/>
  <c r="A4042" i="1"/>
  <c r="F4042" i="1"/>
  <c r="B4043" i="1"/>
  <c r="A4043" i="1"/>
  <c r="F4043" i="1"/>
  <c r="B4044" i="1"/>
  <c r="A4044" i="1"/>
  <c r="F4044" i="1"/>
  <c r="B4045" i="1"/>
  <c r="A4045" i="1"/>
  <c r="F4045" i="1"/>
  <c r="B4046" i="1"/>
  <c r="A4046" i="1"/>
  <c r="F4046" i="1"/>
  <c r="B4047" i="1"/>
  <c r="A4047" i="1"/>
  <c r="F4047" i="1"/>
  <c r="B4048" i="1"/>
  <c r="A4048" i="1"/>
  <c r="F4048" i="1"/>
  <c r="B4049" i="1"/>
  <c r="A4049" i="1"/>
  <c r="F4049" i="1"/>
  <c r="B4050" i="1"/>
  <c r="A4050" i="1"/>
  <c r="F4050" i="1"/>
  <c r="B4051" i="1"/>
  <c r="A4051" i="1"/>
  <c r="F4051" i="1"/>
  <c r="B4052" i="1"/>
  <c r="A4052" i="1"/>
  <c r="F4052" i="1"/>
  <c r="B4053" i="1"/>
  <c r="A4053" i="1"/>
  <c r="F4053" i="1"/>
  <c r="B4054" i="1"/>
  <c r="A4054" i="1"/>
  <c r="F4054" i="1"/>
  <c r="B4055" i="1"/>
  <c r="A4055" i="1"/>
  <c r="F4055" i="1"/>
  <c r="B4056" i="1"/>
  <c r="A4056" i="1"/>
  <c r="F4056" i="1"/>
  <c r="B4057" i="1"/>
  <c r="A4057" i="1"/>
  <c r="F4057" i="1"/>
  <c r="B4058" i="1"/>
  <c r="A4058" i="1"/>
  <c r="F4058" i="1"/>
  <c r="B4059" i="1"/>
  <c r="A4059" i="1"/>
  <c r="F4059" i="1"/>
  <c r="B4060" i="1"/>
  <c r="A4060" i="1"/>
  <c r="F4060" i="1"/>
  <c r="B4061" i="1"/>
  <c r="A4061" i="1"/>
  <c r="F4061" i="1"/>
  <c r="B4062" i="1"/>
  <c r="A4062" i="1"/>
  <c r="F4062" i="1"/>
  <c r="B4063" i="1"/>
  <c r="A4063" i="1"/>
  <c r="F4063" i="1"/>
  <c r="B4064" i="1"/>
  <c r="A4064" i="1"/>
  <c r="F4064" i="1"/>
  <c r="B4065" i="1"/>
  <c r="A4065" i="1"/>
  <c r="F4065" i="1"/>
  <c r="B4066" i="1"/>
  <c r="A4066" i="1"/>
  <c r="F4066" i="1"/>
  <c r="B4067" i="1"/>
  <c r="A4067" i="1"/>
  <c r="F4067" i="1"/>
  <c r="B4068" i="1"/>
  <c r="A4068" i="1"/>
  <c r="F4068" i="1"/>
  <c r="B4069" i="1"/>
  <c r="A4069" i="1"/>
  <c r="F4069" i="1"/>
  <c r="B4070" i="1"/>
  <c r="A4070" i="1"/>
  <c r="F4070" i="1"/>
  <c r="B4071" i="1"/>
  <c r="A4071" i="1"/>
  <c r="F4071" i="1"/>
  <c r="B4072" i="1"/>
  <c r="A4072" i="1"/>
  <c r="F4072" i="1"/>
  <c r="B4073" i="1"/>
  <c r="A4073" i="1"/>
  <c r="F4073" i="1"/>
  <c r="B4074" i="1"/>
  <c r="A4074" i="1"/>
  <c r="F4074" i="1"/>
  <c r="B4075" i="1"/>
  <c r="A4075" i="1"/>
  <c r="F4075" i="1"/>
  <c r="B4076" i="1"/>
  <c r="A4076" i="1"/>
  <c r="F4076" i="1"/>
  <c r="B4077" i="1"/>
  <c r="A4077" i="1"/>
  <c r="F4077" i="1"/>
  <c r="B4078" i="1"/>
  <c r="A4078" i="1"/>
  <c r="F4078" i="1"/>
  <c r="B4079" i="1"/>
  <c r="A4079" i="1"/>
  <c r="F4079" i="1"/>
  <c r="B4080" i="1"/>
  <c r="A4080" i="1"/>
  <c r="F4080" i="1"/>
  <c r="B4081" i="1"/>
  <c r="A4081" i="1"/>
  <c r="F4081" i="1"/>
  <c r="B4082" i="1"/>
  <c r="A4082" i="1"/>
  <c r="F4082" i="1"/>
  <c r="B4083" i="1"/>
  <c r="A4083" i="1"/>
  <c r="F4083" i="1"/>
  <c r="B4084" i="1"/>
  <c r="A4084" i="1"/>
  <c r="F4084" i="1"/>
  <c r="B4085" i="1"/>
  <c r="A4085" i="1"/>
  <c r="F4085" i="1"/>
  <c r="B4086" i="1"/>
  <c r="A4086" i="1"/>
  <c r="F4086" i="1"/>
  <c r="B4087" i="1"/>
  <c r="A4087" i="1"/>
  <c r="F4087" i="1"/>
  <c r="B4088" i="1"/>
  <c r="A4088" i="1"/>
  <c r="F4088" i="1"/>
  <c r="B4089" i="1"/>
  <c r="A4089" i="1"/>
  <c r="F4089" i="1"/>
  <c r="B4090" i="1"/>
  <c r="A4090" i="1"/>
  <c r="F4090" i="1"/>
  <c r="B4091" i="1"/>
  <c r="A4091" i="1"/>
  <c r="F4091" i="1"/>
  <c r="B4092" i="1"/>
  <c r="A4092" i="1"/>
  <c r="F4092" i="1"/>
  <c r="B4093" i="1"/>
  <c r="A4093" i="1"/>
  <c r="F4093" i="1"/>
  <c r="B4094" i="1"/>
  <c r="A4094" i="1"/>
  <c r="F4094" i="1"/>
  <c r="B4095" i="1"/>
  <c r="A4095" i="1"/>
  <c r="F4095" i="1"/>
  <c r="B4096" i="1"/>
  <c r="A4096" i="1"/>
  <c r="F4096" i="1"/>
  <c r="B4097" i="1"/>
  <c r="A4097" i="1"/>
  <c r="F4097" i="1"/>
  <c r="B4098" i="1"/>
  <c r="A4098" i="1"/>
  <c r="F4098" i="1"/>
  <c r="B4099" i="1"/>
  <c r="A4099" i="1"/>
  <c r="F4099" i="1"/>
  <c r="B4100" i="1"/>
  <c r="A4100" i="1"/>
  <c r="F4100" i="1"/>
  <c r="B4101" i="1"/>
  <c r="A4101" i="1"/>
  <c r="F4101" i="1"/>
  <c r="B4102" i="1"/>
  <c r="A4102" i="1"/>
  <c r="F4102" i="1"/>
  <c r="B4103" i="1"/>
  <c r="A4103" i="1"/>
  <c r="F4103" i="1"/>
  <c r="B4104" i="1"/>
  <c r="A4104" i="1"/>
  <c r="F4104" i="1"/>
  <c r="B4105" i="1"/>
  <c r="A4105" i="1"/>
  <c r="F4105" i="1"/>
  <c r="B4106" i="1"/>
  <c r="A4106" i="1"/>
  <c r="F4106" i="1"/>
  <c r="B4107" i="1"/>
  <c r="A4107" i="1"/>
  <c r="F4107" i="1"/>
  <c r="B4108" i="1"/>
  <c r="A4108" i="1"/>
  <c r="F4108" i="1"/>
  <c r="B4109" i="1"/>
  <c r="A4109" i="1"/>
  <c r="F4109" i="1"/>
  <c r="B4110" i="1"/>
  <c r="A4110" i="1"/>
  <c r="F4110" i="1"/>
  <c r="B4111" i="1"/>
  <c r="A4111" i="1"/>
  <c r="F4111" i="1"/>
  <c r="B4112" i="1"/>
  <c r="A4112" i="1"/>
  <c r="F4112" i="1"/>
  <c r="B4113" i="1"/>
  <c r="A4113" i="1"/>
  <c r="F4113" i="1"/>
  <c r="B4114" i="1"/>
  <c r="A4114" i="1"/>
  <c r="F4114" i="1"/>
  <c r="B4115" i="1"/>
  <c r="A4115" i="1"/>
  <c r="F4115" i="1"/>
  <c r="B4116" i="1"/>
  <c r="A4116" i="1"/>
  <c r="F4116" i="1"/>
  <c r="B4117" i="1"/>
  <c r="A4117" i="1"/>
  <c r="F4117" i="1"/>
  <c r="B4118" i="1"/>
  <c r="A4118" i="1"/>
  <c r="F4118" i="1"/>
  <c r="B4119" i="1"/>
  <c r="A4119" i="1"/>
  <c r="F4119" i="1"/>
  <c r="B4120" i="1"/>
  <c r="A4120" i="1"/>
  <c r="F4120" i="1"/>
  <c r="B4121" i="1"/>
  <c r="A4121" i="1"/>
  <c r="F4121" i="1"/>
  <c r="B4122" i="1"/>
  <c r="A4122" i="1"/>
  <c r="F4122" i="1"/>
  <c r="B4123" i="1"/>
  <c r="A4123" i="1"/>
  <c r="F4123" i="1"/>
  <c r="B4124" i="1"/>
  <c r="A4124" i="1"/>
  <c r="F4124" i="1"/>
  <c r="B4125" i="1"/>
  <c r="A4125" i="1"/>
  <c r="F4125" i="1"/>
  <c r="B4126" i="1"/>
  <c r="A4126" i="1"/>
  <c r="F4126" i="1"/>
  <c r="B4127" i="1"/>
  <c r="A4127" i="1"/>
  <c r="F4127" i="1"/>
  <c r="B4128" i="1"/>
  <c r="A4128" i="1"/>
  <c r="F4128" i="1"/>
  <c r="B4129" i="1"/>
  <c r="A4129" i="1"/>
  <c r="F4129" i="1"/>
  <c r="B4130" i="1"/>
  <c r="A4130" i="1"/>
  <c r="F4130" i="1"/>
  <c r="B4131" i="1"/>
  <c r="A4131" i="1"/>
  <c r="F4131" i="1"/>
  <c r="B4132" i="1"/>
  <c r="A4132" i="1"/>
  <c r="F4132" i="1"/>
  <c r="B4133" i="1"/>
  <c r="A4133" i="1"/>
  <c r="F4133" i="1"/>
  <c r="B4134" i="1"/>
  <c r="A4134" i="1"/>
  <c r="F4134" i="1"/>
  <c r="B4135" i="1"/>
  <c r="A4135" i="1"/>
  <c r="F4135" i="1"/>
  <c r="B4136" i="1"/>
  <c r="A4136" i="1"/>
  <c r="F4136" i="1"/>
  <c r="B4137" i="1"/>
  <c r="A4137" i="1"/>
  <c r="F4137" i="1"/>
  <c r="B4138" i="1"/>
  <c r="A4138" i="1"/>
  <c r="F4138" i="1"/>
  <c r="B4139" i="1"/>
  <c r="A4139" i="1"/>
  <c r="F4139" i="1"/>
  <c r="B4140" i="1"/>
  <c r="A4140" i="1"/>
  <c r="F4140" i="1"/>
  <c r="B4141" i="1"/>
  <c r="A4141" i="1"/>
  <c r="F4141" i="1"/>
  <c r="B4142" i="1"/>
  <c r="A4142" i="1"/>
  <c r="F4142" i="1"/>
  <c r="B4143" i="1"/>
  <c r="A4143" i="1"/>
  <c r="F4143" i="1"/>
  <c r="B4144" i="1"/>
  <c r="A4144" i="1"/>
  <c r="F4144" i="1"/>
  <c r="B4145" i="1"/>
  <c r="A4145" i="1"/>
  <c r="F4145" i="1"/>
  <c r="B4146" i="1"/>
  <c r="A4146" i="1"/>
  <c r="F4146" i="1"/>
  <c r="B4147" i="1"/>
  <c r="A4147" i="1"/>
  <c r="F4147" i="1"/>
  <c r="B4148" i="1"/>
  <c r="A4148" i="1"/>
  <c r="F4148" i="1"/>
  <c r="B4149" i="1"/>
  <c r="A4149" i="1"/>
  <c r="F4149" i="1"/>
  <c r="B4150" i="1"/>
  <c r="A4150" i="1"/>
  <c r="F4150" i="1"/>
  <c r="B4151" i="1"/>
  <c r="A4151" i="1"/>
  <c r="F4151" i="1"/>
  <c r="B4152" i="1"/>
  <c r="A4152" i="1"/>
  <c r="F4152" i="1"/>
  <c r="B4153" i="1"/>
  <c r="A4153" i="1"/>
  <c r="F4153" i="1"/>
  <c r="B4154" i="1"/>
  <c r="A4154" i="1"/>
  <c r="F4154" i="1"/>
  <c r="B4155" i="1"/>
  <c r="A4155" i="1"/>
  <c r="F4155" i="1"/>
  <c r="B4156" i="1"/>
  <c r="A4156" i="1"/>
  <c r="F4156" i="1"/>
  <c r="B4157" i="1"/>
  <c r="A4157" i="1"/>
  <c r="F4157" i="1"/>
  <c r="B4158" i="1"/>
  <c r="A4158" i="1"/>
  <c r="F4158" i="1"/>
  <c r="B4159" i="1"/>
  <c r="A4159" i="1"/>
  <c r="F4159" i="1"/>
  <c r="B4160" i="1"/>
  <c r="A4160" i="1"/>
  <c r="F4160" i="1"/>
  <c r="B4161" i="1"/>
  <c r="A4161" i="1"/>
  <c r="F4161" i="1"/>
  <c r="B4162" i="1"/>
  <c r="A4162" i="1"/>
  <c r="F4162" i="1"/>
  <c r="B4163" i="1"/>
  <c r="A4163" i="1"/>
  <c r="F4163" i="1"/>
  <c r="B4164" i="1"/>
  <c r="A4164" i="1"/>
  <c r="F4164" i="1"/>
  <c r="B4165" i="1"/>
  <c r="A4165" i="1"/>
  <c r="F4165" i="1"/>
  <c r="B4166" i="1"/>
  <c r="A4166" i="1"/>
  <c r="F4166" i="1"/>
  <c r="B4167" i="1"/>
  <c r="A4167" i="1"/>
  <c r="F4167" i="1"/>
  <c r="B4168" i="1"/>
  <c r="A4168" i="1"/>
  <c r="F4168" i="1"/>
  <c r="B4169" i="1"/>
  <c r="A4169" i="1"/>
  <c r="F4169" i="1"/>
  <c r="B4170" i="1"/>
  <c r="A4170" i="1"/>
  <c r="F4170" i="1"/>
  <c r="B4171" i="1"/>
  <c r="A4171" i="1"/>
  <c r="F4171" i="1"/>
  <c r="B4172" i="1"/>
  <c r="A4172" i="1"/>
  <c r="F4172" i="1"/>
  <c r="B4173" i="1"/>
  <c r="A4173" i="1"/>
  <c r="F4173" i="1"/>
  <c r="B4174" i="1"/>
  <c r="A4174" i="1"/>
  <c r="F4174" i="1"/>
  <c r="B4175" i="1"/>
  <c r="A4175" i="1"/>
  <c r="F4175" i="1"/>
  <c r="B4176" i="1"/>
  <c r="A4176" i="1"/>
  <c r="F4176" i="1"/>
  <c r="B4177" i="1"/>
  <c r="A4177" i="1"/>
  <c r="F4177" i="1"/>
  <c r="B4178" i="1"/>
  <c r="A4178" i="1"/>
  <c r="F4178" i="1"/>
  <c r="B4179" i="1"/>
  <c r="A4179" i="1"/>
  <c r="F4179" i="1"/>
  <c r="B4180" i="1"/>
  <c r="A4180" i="1"/>
  <c r="F4180" i="1"/>
  <c r="B4181" i="1"/>
  <c r="A4181" i="1"/>
  <c r="F4181" i="1"/>
  <c r="B4182" i="1"/>
  <c r="A4182" i="1"/>
  <c r="F4182" i="1"/>
  <c r="B4183" i="1"/>
  <c r="A4183" i="1"/>
  <c r="F4183" i="1"/>
  <c r="B4184" i="1"/>
  <c r="A4184" i="1"/>
  <c r="F4184" i="1"/>
  <c r="B4185" i="1"/>
  <c r="A4185" i="1"/>
  <c r="F4185" i="1"/>
  <c r="B4186" i="1"/>
  <c r="A4186" i="1"/>
  <c r="F4186" i="1"/>
  <c r="B4187" i="1"/>
  <c r="A4187" i="1"/>
  <c r="F4187" i="1"/>
  <c r="B4188" i="1"/>
  <c r="A4188" i="1"/>
  <c r="F4188" i="1"/>
  <c r="B4189" i="1"/>
  <c r="A4189" i="1"/>
  <c r="F4189" i="1"/>
  <c r="B4190" i="1"/>
  <c r="A4190" i="1"/>
  <c r="F4190" i="1"/>
  <c r="B4191" i="1"/>
  <c r="A4191" i="1"/>
  <c r="F4191" i="1"/>
  <c r="B4192" i="1"/>
  <c r="A4192" i="1"/>
  <c r="F4192" i="1"/>
  <c r="B4193" i="1"/>
  <c r="A4193" i="1"/>
  <c r="F4193" i="1"/>
  <c r="B4194" i="1"/>
  <c r="A4194" i="1"/>
  <c r="F4194" i="1"/>
  <c r="B4195" i="1"/>
  <c r="A4195" i="1"/>
  <c r="F4195" i="1"/>
  <c r="B4196" i="1"/>
  <c r="A4196" i="1"/>
  <c r="F4196" i="1"/>
  <c r="B4197" i="1"/>
  <c r="A4197" i="1"/>
  <c r="F4197" i="1"/>
  <c r="B4198" i="1"/>
  <c r="A4198" i="1"/>
  <c r="F4198" i="1"/>
  <c r="B4199" i="1"/>
  <c r="A4199" i="1"/>
  <c r="F4199" i="1"/>
  <c r="B4200" i="1"/>
  <c r="A4200" i="1"/>
  <c r="F4200" i="1"/>
  <c r="B4201" i="1"/>
  <c r="A4201" i="1"/>
  <c r="F4201" i="1"/>
  <c r="B4202" i="1"/>
  <c r="A4202" i="1"/>
  <c r="F4202" i="1"/>
  <c r="B4203" i="1"/>
  <c r="A4203" i="1"/>
  <c r="F4203" i="1"/>
  <c r="B4204" i="1"/>
  <c r="A4204" i="1"/>
  <c r="F4204" i="1"/>
  <c r="B4205" i="1"/>
  <c r="A4205" i="1"/>
  <c r="F4205" i="1"/>
  <c r="B4206" i="1"/>
  <c r="A4206" i="1"/>
  <c r="F4206" i="1"/>
  <c r="B4207" i="1"/>
  <c r="A4207" i="1"/>
  <c r="F4207" i="1"/>
  <c r="B4208" i="1"/>
  <c r="A4208" i="1"/>
  <c r="F4208" i="1"/>
  <c r="B4209" i="1"/>
  <c r="A4209" i="1"/>
  <c r="F4209" i="1"/>
  <c r="B4210" i="1"/>
  <c r="A4210" i="1"/>
  <c r="F4210" i="1"/>
  <c r="B4211" i="1"/>
  <c r="A4211" i="1"/>
  <c r="F4211" i="1"/>
  <c r="B4212" i="1"/>
  <c r="A4212" i="1"/>
  <c r="F4212" i="1"/>
  <c r="B4213" i="1"/>
  <c r="A4213" i="1"/>
  <c r="F4213" i="1"/>
  <c r="B4214" i="1"/>
  <c r="A4214" i="1"/>
  <c r="F4214" i="1"/>
  <c r="B4215" i="1"/>
  <c r="A4215" i="1"/>
  <c r="F4215" i="1"/>
  <c r="B4216" i="1"/>
  <c r="A4216" i="1"/>
  <c r="F4216" i="1"/>
  <c r="B4217" i="1"/>
  <c r="A4217" i="1"/>
  <c r="F4217" i="1"/>
  <c r="B4218" i="1"/>
  <c r="A4218" i="1"/>
  <c r="F4218" i="1"/>
  <c r="B4219" i="1"/>
  <c r="A4219" i="1"/>
  <c r="F4219" i="1"/>
  <c r="B4220" i="1"/>
  <c r="A4220" i="1"/>
  <c r="F4220" i="1"/>
  <c r="B4221" i="1"/>
  <c r="A4221" i="1"/>
  <c r="F4221" i="1"/>
  <c r="B4222" i="1"/>
  <c r="A4222" i="1"/>
  <c r="F4222" i="1"/>
  <c r="B4223" i="1"/>
  <c r="A4223" i="1"/>
  <c r="F4223" i="1"/>
  <c r="B4224" i="1"/>
  <c r="A4224" i="1"/>
  <c r="F4224" i="1"/>
  <c r="B4225" i="1"/>
  <c r="A4225" i="1"/>
  <c r="F4225" i="1"/>
  <c r="B4226" i="1"/>
  <c r="A4226" i="1"/>
  <c r="F4226" i="1"/>
  <c r="B4227" i="1"/>
  <c r="A4227" i="1"/>
  <c r="F4227" i="1"/>
  <c r="B4228" i="1"/>
  <c r="A4228" i="1"/>
  <c r="F4228" i="1"/>
  <c r="B4229" i="1"/>
  <c r="A4229" i="1"/>
  <c r="F4229" i="1"/>
  <c r="B4230" i="1"/>
  <c r="A4230" i="1"/>
  <c r="F4230" i="1"/>
  <c r="B4231" i="1"/>
  <c r="A4231" i="1"/>
  <c r="F4231" i="1"/>
  <c r="B4232" i="1"/>
  <c r="A4232" i="1"/>
  <c r="F4232" i="1"/>
  <c r="B4233" i="1"/>
  <c r="A4233" i="1"/>
  <c r="F4233" i="1"/>
  <c r="B4234" i="1"/>
  <c r="A4234" i="1"/>
  <c r="F4234" i="1"/>
  <c r="B4235" i="1"/>
  <c r="A4235" i="1"/>
  <c r="F4235" i="1"/>
  <c r="B4236" i="1"/>
  <c r="A4236" i="1"/>
  <c r="F4236" i="1"/>
  <c r="B4237" i="1"/>
  <c r="A4237" i="1"/>
  <c r="F4237" i="1"/>
  <c r="B4238" i="1"/>
  <c r="A4238" i="1"/>
  <c r="F4238" i="1"/>
  <c r="B4239" i="1"/>
  <c r="A4239" i="1"/>
  <c r="F4239" i="1"/>
  <c r="B4240" i="1"/>
  <c r="A4240" i="1"/>
  <c r="F4240" i="1"/>
  <c r="B4241" i="1"/>
  <c r="A4241" i="1"/>
  <c r="F4241" i="1"/>
  <c r="B4242" i="1"/>
  <c r="A4242" i="1"/>
  <c r="F4242" i="1"/>
  <c r="B4243" i="1"/>
  <c r="A4243" i="1"/>
  <c r="F4243" i="1"/>
  <c r="B4244" i="1"/>
  <c r="A4244" i="1"/>
  <c r="F4244" i="1"/>
  <c r="B4245" i="1"/>
  <c r="A4245" i="1"/>
  <c r="F4245" i="1"/>
  <c r="B4246" i="1"/>
  <c r="A4246" i="1"/>
  <c r="F4246" i="1"/>
  <c r="B4247" i="1"/>
  <c r="A4247" i="1"/>
  <c r="F4247" i="1"/>
  <c r="B4248" i="1"/>
  <c r="A4248" i="1"/>
  <c r="F4248" i="1"/>
  <c r="B4249" i="1"/>
  <c r="A4249" i="1"/>
  <c r="F4249" i="1"/>
  <c r="B4250" i="1"/>
  <c r="A4250" i="1"/>
  <c r="F4250" i="1"/>
  <c r="B4251" i="1"/>
  <c r="A4251" i="1"/>
  <c r="F4251" i="1"/>
  <c r="B4252" i="1"/>
  <c r="A4252" i="1"/>
  <c r="F4252" i="1"/>
  <c r="B4253" i="1"/>
  <c r="A4253" i="1"/>
  <c r="F4253" i="1"/>
  <c r="B4254" i="1"/>
  <c r="A4254" i="1"/>
  <c r="F4254" i="1"/>
  <c r="B4255" i="1"/>
  <c r="A4255" i="1"/>
  <c r="F4255" i="1"/>
  <c r="B4256" i="1"/>
  <c r="A4256" i="1"/>
  <c r="F4256" i="1"/>
  <c r="B4257" i="1"/>
  <c r="A4257" i="1"/>
  <c r="F4257" i="1"/>
  <c r="B4258" i="1"/>
  <c r="A4258" i="1"/>
  <c r="F4258" i="1"/>
  <c r="B4259" i="1"/>
  <c r="A4259" i="1"/>
  <c r="F4259" i="1"/>
  <c r="B4260" i="1"/>
  <c r="A4260" i="1"/>
  <c r="F4260" i="1"/>
  <c r="B4261" i="1"/>
  <c r="A4261" i="1"/>
  <c r="F4261" i="1"/>
  <c r="B4262" i="1"/>
  <c r="A4262" i="1"/>
  <c r="F4262" i="1"/>
  <c r="B4263" i="1"/>
  <c r="A4263" i="1"/>
  <c r="F4263" i="1"/>
  <c r="B4264" i="1"/>
  <c r="A4264" i="1"/>
  <c r="F4264" i="1"/>
  <c r="B4265" i="1"/>
  <c r="A4265" i="1"/>
  <c r="F4265" i="1"/>
  <c r="B4266" i="1"/>
  <c r="A4266" i="1"/>
  <c r="F4266" i="1"/>
  <c r="B4267" i="1"/>
  <c r="A4267" i="1"/>
  <c r="F4267" i="1"/>
  <c r="B4268" i="1"/>
  <c r="A4268" i="1"/>
  <c r="F4268" i="1"/>
  <c r="B4269" i="1"/>
  <c r="A4269" i="1"/>
  <c r="F4269" i="1"/>
  <c r="B4270" i="1"/>
  <c r="A4270" i="1"/>
  <c r="F4270" i="1"/>
  <c r="B4271" i="1"/>
  <c r="A4271" i="1"/>
  <c r="F4271" i="1"/>
  <c r="B4272" i="1"/>
  <c r="A4272" i="1"/>
  <c r="F4272" i="1"/>
  <c r="B4273" i="1"/>
  <c r="A4273" i="1"/>
  <c r="F4273" i="1"/>
  <c r="B4274" i="1"/>
  <c r="A4274" i="1"/>
  <c r="F4274" i="1"/>
  <c r="B4275" i="1"/>
  <c r="A4275" i="1"/>
  <c r="F4275" i="1"/>
  <c r="B4276" i="1"/>
  <c r="A4276" i="1"/>
  <c r="F4276" i="1"/>
  <c r="B4277" i="1"/>
  <c r="A4277" i="1"/>
  <c r="F4277" i="1"/>
  <c r="B4278" i="1"/>
  <c r="A4278" i="1"/>
  <c r="F4278" i="1"/>
  <c r="B4279" i="1"/>
  <c r="A4279" i="1"/>
  <c r="F4279" i="1"/>
  <c r="B4280" i="1"/>
  <c r="A4280" i="1"/>
  <c r="F4280" i="1"/>
  <c r="B4281" i="1"/>
  <c r="A4281" i="1"/>
  <c r="F4281" i="1"/>
  <c r="B4282" i="1"/>
  <c r="A4282" i="1"/>
  <c r="F4282" i="1"/>
  <c r="B4283" i="1"/>
  <c r="A4283" i="1"/>
  <c r="F4283" i="1"/>
  <c r="B4284" i="1"/>
  <c r="A4284" i="1"/>
  <c r="F4284" i="1"/>
  <c r="B4285" i="1"/>
  <c r="A4285" i="1"/>
  <c r="F4285" i="1"/>
  <c r="B4286" i="1"/>
  <c r="A4286" i="1"/>
  <c r="F4286" i="1"/>
  <c r="B4287" i="1"/>
  <c r="A4287" i="1"/>
  <c r="F4287" i="1"/>
  <c r="B4288" i="1"/>
  <c r="A4288" i="1"/>
  <c r="F4288" i="1"/>
  <c r="B4289" i="1"/>
  <c r="A4289" i="1"/>
  <c r="F4289" i="1"/>
  <c r="B4290" i="1"/>
  <c r="A4290" i="1"/>
  <c r="F4290" i="1"/>
  <c r="B4291" i="1"/>
  <c r="A4291" i="1"/>
  <c r="F4291" i="1"/>
  <c r="B4292" i="1"/>
  <c r="A4292" i="1"/>
  <c r="F4292" i="1"/>
  <c r="B4293" i="1"/>
  <c r="A4293" i="1"/>
  <c r="F4293" i="1"/>
  <c r="B4294" i="1"/>
  <c r="A4294" i="1"/>
  <c r="F4294" i="1"/>
  <c r="B4295" i="1"/>
  <c r="A4295" i="1"/>
  <c r="F4295" i="1"/>
  <c r="B4296" i="1"/>
  <c r="A4296" i="1"/>
  <c r="F4296" i="1"/>
  <c r="B4297" i="1"/>
  <c r="A4297" i="1"/>
  <c r="F4297" i="1"/>
  <c r="B4298" i="1"/>
  <c r="A4298" i="1"/>
  <c r="F4298" i="1"/>
  <c r="B4299" i="1"/>
  <c r="A4299" i="1"/>
  <c r="F4299" i="1"/>
  <c r="B4300" i="1"/>
  <c r="A4300" i="1"/>
  <c r="F4300" i="1"/>
  <c r="B4301" i="1"/>
  <c r="A4301" i="1"/>
  <c r="F4301" i="1"/>
  <c r="B4302" i="1"/>
  <c r="A4302" i="1"/>
  <c r="F4302" i="1"/>
  <c r="B4303" i="1"/>
  <c r="A4303" i="1"/>
  <c r="F4303" i="1"/>
  <c r="B4304" i="1"/>
  <c r="A4304" i="1"/>
  <c r="F4304" i="1"/>
  <c r="B4305" i="1"/>
  <c r="A4305" i="1"/>
  <c r="F4305" i="1"/>
  <c r="B4306" i="1"/>
  <c r="A4306" i="1"/>
  <c r="F4306" i="1"/>
  <c r="B4307" i="1"/>
  <c r="A4307" i="1"/>
  <c r="F4307" i="1"/>
  <c r="B4308" i="1"/>
  <c r="A4308" i="1"/>
  <c r="F4308" i="1"/>
  <c r="B4309" i="1"/>
  <c r="A4309" i="1"/>
  <c r="F4309" i="1"/>
  <c r="B4310" i="1"/>
  <c r="A4310" i="1"/>
  <c r="F4310" i="1"/>
  <c r="B4311" i="1"/>
  <c r="A4311" i="1"/>
  <c r="F4311" i="1"/>
  <c r="B4312" i="1"/>
  <c r="A4312" i="1"/>
  <c r="F4312" i="1"/>
  <c r="B4313" i="1"/>
  <c r="A4313" i="1"/>
  <c r="F4313" i="1"/>
  <c r="B4314" i="1"/>
  <c r="A4314" i="1"/>
  <c r="F4314" i="1"/>
  <c r="B4315" i="1"/>
  <c r="A4315" i="1"/>
  <c r="F4315" i="1"/>
  <c r="B4316" i="1"/>
  <c r="A4316" i="1"/>
  <c r="F4316" i="1"/>
  <c r="B4317" i="1"/>
  <c r="A4317" i="1"/>
  <c r="F4317" i="1"/>
  <c r="B4318" i="1"/>
  <c r="A4318" i="1"/>
  <c r="F4318" i="1"/>
  <c r="B4319" i="1"/>
  <c r="A4319" i="1"/>
  <c r="F4319" i="1"/>
  <c r="B4320" i="1"/>
  <c r="A4320" i="1"/>
  <c r="F4320" i="1"/>
  <c r="B4321" i="1"/>
  <c r="A4321" i="1"/>
  <c r="F4321" i="1"/>
  <c r="B4322" i="1"/>
  <c r="A4322" i="1"/>
  <c r="F4322" i="1"/>
  <c r="B4323" i="1"/>
  <c r="A4323" i="1"/>
  <c r="F4323" i="1"/>
  <c r="B4324" i="1"/>
  <c r="A4324" i="1"/>
  <c r="F4324" i="1"/>
  <c r="B4325" i="1"/>
  <c r="A4325" i="1"/>
  <c r="F4325" i="1"/>
  <c r="B4326" i="1"/>
  <c r="A4326" i="1"/>
  <c r="F4326" i="1"/>
  <c r="B4327" i="1"/>
  <c r="A4327" i="1"/>
  <c r="F4327" i="1"/>
  <c r="B4328" i="1"/>
  <c r="A4328" i="1"/>
  <c r="F4328" i="1"/>
  <c r="B4329" i="1"/>
  <c r="A4329" i="1"/>
  <c r="F4329" i="1"/>
  <c r="B4330" i="1"/>
  <c r="A4330" i="1"/>
  <c r="F4330" i="1"/>
  <c r="B4331" i="1"/>
  <c r="A4331" i="1"/>
  <c r="F4331" i="1"/>
  <c r="B4332" i="1"/>
  <c r="A4332" i="1"/>
  <c r="F4332" i="1"/>
  <c r="B4333" i="1"/>
  <c r="A4333" i="1"/>
  <c r="F4333" i="1"/>
  <c r="B4334" i="1"/>
  <c r="A4334" i="1"/>
  <c r="F4334" i="1"/>
  <c r="B4335" i="1"/>
  <c r="A4335" i="1"/>
  <c r="F4335" i="1"/>
  <c r="B4336" i="1"/>
  <c r="A4336" i="1"/>
  <c r="F4336" i="1"/>
  <c r="B4337" i="1"/>
  <c r="A4337" i="1"/>
  <c r="F4337" i="1"/>
  <c r="B4338" i="1"/>
  <c r="A4338" i="1"/>
  <c r="F4338" i="1"/>
  <c r="B4339" i="1"/>
  <c r="A4339" i="1"/>
  <c r="F4339" i="1"/>
  <c r="B4340" i="1"/>
  <c r="A4340" i="1"/>
  <c r="F4340" i="1"/>
  <c r="B4341" i="1"/>
  <c r="A4341" i="1"/>
  <c r="F4341" i="1"/>
  <c r="B4342" i="1"/>
  <c r="A4342" i="1"/>
  <c r="F4342" i="1"/>
  <c r="B4343" i="1"/>
  <c r="A4343" i="1"/>
  <c r="F4343" i="1"/>
  <c r="B4344" i="1"/>
  <c r="A4344" i="1"/>
  <c r="F4344" i="1"/>
  <c r="B4345" i="1"/>
  <c r="A4345" i="1"/>
  <c r="F4345" i="1"/>
  <c r="B4346" i="1"/>
  <c r="A4346" i="1"/>
  <c r="F4346" i="1"/>
  <c r="B4347" i="1"/>
  <c r="A4347" i="1"/>
  <c r="F4347" i="1"/>
  <c r="B4348" i="1"/>
  <c r="A4348" i="1"/>
  <c r="F4348" i="1"/>
  <c r="B4349" i="1"/>
  <c r="A4349" i="1"/>
  <c r="F4349" i="1"/>
  <c r="B4350" i="1"/>
  <c r="A4350" i="1"/>
  <c r="F4350" i="1"/>
  <c r="B4351" i="1"/>
  <c r="A4351" i="1"/>
  <c r="F4351" i="1"/>
  <c r="B4352" i="1"/>
  <c r="A4352" i="1"/>
  <c r="F4352" i="1"/>
  <c r="B4353" i="1"/>
  <c r="A4353" i="1"/>
  <c r="F4353" i="1"/>
  <c r="B4354" i="1"/>
  <c r="A4354" i="1"/>
  <c r="F4354" i="1"/>
  <c r="B4355" i="1"/>
  <c r="A4355" i="1"/>
  <c r="F4355" i="1"/>
  <c r="B4356" i="1"/>
  <c r="A4356" i="1"/>
  <c r="F4356" i="1"/>
  <c r="B4357" i="1"/>
  <c r="A4357" i="1"/>
  <c r="F4357" i="1"/>
  <c r="B4358" i="1"/>
  <c r="A4358" i="1"/>
  <c r="F4358" i="1"/>
  <c r="B4359" i="1"/>
  <c r="A4359" i="1"/>
  <c r="F4359" i="1"/>
  <c r="B4360" i="1"/>
  <c r="A4360" i="1"/>
  <c r="F4360" i="1"/>
  <c r="B4361" i="1"/>
  <c r="A4361" i="1"/>
  <c r="F4361" i="1"/>
  <c r="B4362" i="1"/>
  <c r="A4362" i="1"/>
  <c r="F4362" i="1"/>
  <c r="B4363" i="1"/>
  <c r="A4363" i="1"/>
  <c r="F4363" i="1"/>
  <c r="B4364" i="1"/>
  <c r="A4364" i="1"/>
  <c r="F4364" i="1"/>
  <c r="B4365" i="1"/>
  <c r="A4365" i="1"/>
  <c r="F4365" i="1"/>
  <c r="B4366" i="1"/>
  <c r="A4366" i="1"/>
  <c r="F4366" i="1"/>
  <c r="B4367" i="1"/>
  <c r="A4367" i="1"/>
  <c r="F4367" i="1"/>
  <c r="B4368" i="1"/>
  <c r="A4368" i="1"/>
  <c r="F4368" i="1"/>
  <c r="B4369" i="1"/>
  <c r="A4369" i="1"/>
  <c r="F4369" i="1"/>
  <c r="B4370" i="1"/>
  <c r="A4370" i="1"/>
  <c r="F4370" i="1"/>
  <c r="B4371" i="1"/>
  <c r="A4371" i="1"/>
  <c r="F4371" i="1"/>
  <c r="B4372" i="1"/>
  <c r="A4372" i="1"/>
  <c r="F4372" i="1"/>
  <c r="B4373" i="1"/>
  <c r="A4373" i="1"/>
  <c r="F4373" i="1"/>
  <c r="B4374" i="1"/>
  <c r="A4374" i="1"/>
  <c r="F4374" i="1"/>
  <c r="B4375" i="1"/>
  <c r="A4375" i="1"/>
  <c r="F4375" i="1"/>
  <c r="B4376" i="1"/>
  <c r="A4376" i="1"/>
  <c r="F4376" i="1"/>
  <c r="B4377" i="1"/>
  <c r="A4377" i="1"/>
  <c r="F4377" i="1"/>
  <c r="B4378" i="1"/>
  <c r="A4378" i="1"/>
  <c r="F4378" i="1"/>
  <c r="B4379" i="1"/>
  <c r="A4379" i="1"/>
  <c r="F4379" i="1"/>
  <c r="B4380" i="1"/>
  <c r="A4380" i="1"/>
  <c r="F4380" i="1"/>
  <c r="B4381" i="1"/>
  <c r="A4381" i="1"/>
  <c r="F4381" i="1"/>
  <c r="B4382" i="1"/>
  <c r="A4382" i="1"/>
  <c r="F4382" i="1"/>
  <c r="B4383" i="1"/>
  <c r="A4383" i="1"/>
  <c r="F4383" i="1"/>
  <c r="B4384" i="1"/>
  <c r="A4384" i="1"/>
  <c r="F4384" i="1"/>
  <c r="B4385" i="1"/>
  <c r="A4385" i="1"/>
  <c r="F4385" i="1"/>
  <c r="B4386" i="1"/>
  <c r="A4386" i="1"/>
  <c r="F4386" i="1"/>
  <c r="B4387" i="1"/>
  <c r="A4387" i="1"/>
  <c r="F4387" i="1"/>
  <c r="B4388" i="1"/>
  <c r="A4388" i="1"/>
  <c r="F4388" i="1"/>
  <c r="B4389" i="1"/>
  <c r="A4389" i="1"/>
  <c r="F4389" i="1"/>
  <c r="B4390" i="1"/>
  <c r="A4390" i="1"/>
  <c r="F4390" i="1"/>
  <c r="B4391" i="1"/>
  <c r="A4391" i="1"/>
  <c r="F4391" i="1"/>
  <c r="B4392" i="1"/>
  <c r="A4392" i="1"/>
  <c r="F4392" i="1"/>
  <c r="B4393" i="1"/>
  <c r="A4393" i="1"/>
  <c r="F4393" i="1"/>
  <c r="B4394" i="1"/>
  <c r="A4394" i="1"/>
  <c r="F4394" i="1"/>
  <c r="B4395" i="1"/>
  <c r="A4395" i="1"/>
  <c r="F4395" i="1"/>
  <c r="B4396" i="1"/>
  <c r="A4396" i="1"/>
  <c r="F4396" i="1"/>
  <c r="B4397" i="1"/>
  <c r="A4397" i="1"/>
  <c r="F4397" i="1"/>
  <c r="B4398" i="1"/>
  <c r="A4398" i="1"/>
  <c r="F4398" i="1"/>
  <c r="B4399" i="1"/>
  <c r="A4399" i="1"/>
  <c r="F4399" i="1"/>
  <c r="B4400" i="1"/>
  <c r="A4400" i="1"/>
  <c r="F4400" i="1"/>
  <c r="B4401" i="1"/>
  <c r="A4401" i="1"/>
  <c r="F4401" i="1"/>
  <c r="B4402" i="1"/>
  <c r="A4402" i="1"/>
  <c r="F4402" i="1"/>
  <c r="B4403" i="1"/>
  <c r="A4403" i="1"/>
  <c r="F4403" i="1"/>
  <c r="B4404" i="1"/>
  <c r="A4404" i="1"/>
  <c r="F4404" i="1"/>
  <c r="B4405" i="1"/>
  <c r="A4405" i="1"/>
  <c r="F4405" i="1"/>
  <c r="B4406" i="1"/>
  <c r="A4406" i="1"/>
  <c r="F4406" i="1"/>
  <c r="B4407" i="1"/>
  <c r="A4407" i="1"/>
  <c r="F4407" i="1"/>
  <c r="B4408" i="1"/>
  <c r="A4408" i="1"/>
  <c r="F4408" i="1"/>
  <c r="B4409" i="1"/>
  <c r="A4409" i="1"/>
  <c r="F4409" i="1"/>
  <c r="B4410" i="1"/>
  <c r="A4410" i="1"/>
  <c r="F4410" i="1"/>
  <c r="B4411" i="1"/>
  <c r="A4411" i="1"/>
  <c r="F4411" i="1"/>
  <c r="B4412" i="1"/>
  <c r="A4412" i="1"/>
  <c r="F4412" i="1"/>
  <c r="B4413" i="1"/>
  <c r="A4413" i="1"/>
  <c r="F4413" i="1"/>
  <c r="B4414" i="1"/>
  <c r="A4414" i="1"/>
  <c r="F4414" i="1"/>
  <c r="B4415" i="1"/>
  <c r="A4415" i="1"/>
  <c r="F4415" i="1"/>
  <c r="B4416" i="1"/>
  <c r="A4416" i="1"/>
  <c r="F4416" i="1"/>
  <c r="B4417" i="1"/>
  <c r="A4417" i="1"/>
  <c r="F4417" i="1"/>
  <c r="B4418" i="1"/>
  <c r="A4418" i="1"/>
  <c r="F4418" i="1"/>
  <c r="B4419" i="1"/>
  <c r="A4419" i="1"/>
  <c r="F4419" i="1"/>
  <c r="B4420" i="1"/>
  <c r="A4420" i="1"/>
  <c r="F4420" i="1"/>
  <c r="B4421" i="1"/>
  <c r="A4421" i="1"/>
  <c r="F4421" i="1"/>
  <c r="B4422" i="1"/>
  <c r="A4422" i="1"/>
  <c r="F4422" i="1"/>
  <c r="B4423" i="1"/>
  <c r="A4423" i="1"/>
  <c r="F4423" i="1"/>
  <c r="B4424" i="1"/>
  <c r="A4424" i="1"/>
  <c r="F4424" i="1"/>
  <c r="B4425" i="1"/>
  <c r="A4425" i="1"/>
  <c r="F4425" i="1"/>
  <c r="B4426" i="1"/>
  <c r="A4426" i="1"/>
  <c r="F4426" i="1"/>
  <c r="B4427" i="1"/>
  <c r="A4427" i="1"/>
  <c r="F4427" i="1"/>
  <c r="B4428" i="1"/>
  <c r="A4428" i="1"/>
  <c r="F4428" i="1"/>
  <c r="B4429" i="1"/>
  <c r="A4429" i="1"/>
  <c r="F4429" i="1"/>
  <c r="B4430" i="1"/>
  <c r="A4430" i="1"/>
  <c r="F4430" i="1"/>
  <c r="B4431" i="1"/>
  <c r="A4431" i="1"/>
  <c r="F4431" i="1"/>
  <c r="B4432" i="1"/>
  <c r="A4432" i="1"/>
  <c r="F4432" i="1"/>
  <c r="B4433" i="1"/>
  <c r="A4433" i="1"/>
  <c r="F4433" i="1"/>
  <c r="B4434" i="1"/>
  <c r="A4434" i="1"/>
  <c r="F4434" i="1"/>
  <c r="B4435" i="1"/>
  <c r="A4435" i="1"/>
  <c r="F4435" i="1"/>
  <c r="B4436" i="1"/>
  <c r="A4436" i="1"/>
  <c r="F4436" i="1"/>
  <c r="B4437" i="1"/>
  <c r="A4437" i="1"/>
  <c r="F4437" i="1"/>
  <c r="B4438" i="1"/>
  <c r="A4438" i="1"/>
  <c r="F4438" i="1"/>
  <c r="B4439" i="1"/>
  <c r="A4439" i="1"/>
  <c r="F4439" i="1"/>
  <c r="B4440" i="1"/>
  <c r="A4440" i="1"/>
  <c r="F4440" i="1"/>
  <c r="B4441" i="1"/>
  <c r="A4441" i="1"/>
  <c r="F4441" i="1"/>
  <c r="B4442" i="1"/>
  <c r="A4442" i="1"/>
  <c r="F4442" i="1"/>
  <c r="B4443" i="1"/>
  <c r="A4443" i="1"/>
  <c r="F4443" i="1"/>
  <c r="B4444" i="1"/>
  <c r="A4444" i="1"/>
  <c r="F4444" i="1"/>
  <c r="B4445" i="1"/>
  <c r="A4445" i="1"/>
  <c r="F4445" i="1"/>
  <c r="B4446" i="1"/>
  <c r="A4446" i="1"/>
  <c r="F4446" i="1"/>
  <c r="B4447" i="1"/>
  <c r="A4447" i="1"/>
  <c r="F4447" i="1"/>
  <c r="B4448" i="1"/>
  <c r="A4448" i="1"/>
  <c r="F4448" i="1"/>
  <c r="B4449" i="1"/>
  <c r="A4449" i="1"/>
  <c r="F4449" i="1"/>
  <c r="B4450" i="1"/>
  <c r="A4450" i="1"/>
  <c r="F4450" i="1"/>
  <c r="B4451" i="1"/>
  <c r="A4451" i="1"/>
  <c r="F4451" i="1"/>
  <c r="B4452" i="1"/>
  <c r="A4452" i="1"/>
  <c r="F4452" i="1"/>
  <c r="B4453" i="1"/>
  <c r="A4453" i="1"/>
  <c r="F4453" i="1"/>
  <c r="B4454" i="1"/>
  <c r="A4454" i="1"/>
  <c r="F4454" i="1"/>
  <c r="B4455" i="1"/>
  <c r="A4455" i="1"/>
  <c r="F4455" i="1"/>
  <c r="B4456" i="1"/>
  <c r="A4456" i="1"/>
  <c r="F4456" i="1"/>
  <c r="B4457" i="1"/>
  <c r="A4457" i="1"/>
  <c r="F4457" i="1"/>
  <c r="B4458" i="1"/>
  <c r="A4458" i="1"/>
  <c r="F4458" i="1"/>
  <c r="B4459" i="1"/>
  <c r="A4459" i="1"/>
  <c r="F4459" i="1"/>
  <c r="B4460" i="1"/>
  <c r="A4460" i="1"/>
  <c r="F4460" i="1"/>
  <c r="B4461" i="1"/>
  <c r="A4461" i="1"/>
  <c r="F4461" i="1"/>
  <c r="B4462" i="1"/>
  <c r="A4462" i="1"/>
  <c r="F4462" i="1"/>
  <c r="B4463" i="1"/>
  <c r="A4463" i="1"/>
  <c r="F4463" i="1"/>
  <c r="B4464" i="1"/>
  <c r="A4464" i="1"/>
  <c r="F4464" i="1"/>
  <c r="B4465" i="1"/>
  <c r="A4465" i="1"/>
  <c r="F4465" i="1"/>
  <c r="B4466" i="1"/>
  <c r="A4466" i="1"/>
  <c r="F4466" i="1"/>
  <c r="B4467" i="1"/>
  <c r="A4467" i="1"/>
  <c r="F4467" i="1"/>
  <c r="B4468" i="1"/>
  <c r="A4468" i="1"/>
  <c r="F4468" i="1"/>
  <c r="B4469" i="1"/>
  <c r="A4469" i="1"/>
  <c r="F4469" i="1"/>
  <c r="B4470" i="1"/>
  <c r="A4470" i="1"/>
  <c r="F4470" i="1"/>
  <c r="B4471" i="1"/>
  <c r="A4471" i="1"/>
  <c r="F4471" i="1"/>
  <c r="B4472" i="1"/>
  <c r="A4472" i="1"/>
  <c r="F4472" i="1"/>
  <c r="B4473" i="1"/>
  <c r="A4473" i="1"/>
  <c r="F4473" i="1"/>
  <c r="B4474" i="1"/>
  <c r="A4474" i="1"/>
  <c r="F4474" i="1"/>
  <c r="B4475" i="1"/>
  <c r="A4475" i="1"/>
  <c r="F4475" i="1"/>
  <c r="B4476" i="1"/>
  <c r="A4476" i="1"/>
  <c r="F4476" i="1"/>
  <c r="B4477" i="1"/>
  <c r="A4477" i="1"/>
  <c r="F4477" i="1"/>
  <c r="B4478" i="1"/>
  <c r="A4478" i="1"/>
  <c r="F4478" i="1"/>
  <c r="B4479" i="1"/>
  <c r="A4479" i="1"/>
  <c r="F4479" i="1"/>
  <c r="B4480" i="1"/>
  <c r="A4480" i="1"/>
  <c r="F4480" i="1"/>
  <c r="B4481" i="1"/>
  <c r="A4481" i="1"/>
  <c r="F4481" i="1"/>
  <c r="B4482" i="1"/>
  <c r="A4482" i="1"/>
  <c r="F4482" i="1"/>
  <c r="B4483" i="1"/>
  <c r="A4483" i="1"/>
  <c r="F4483" i="1"/>
  <c r="B4484" i="1"/>
  <c r="A4484" i="1"/>
  <c r="F4484" i="1"/>
  <c r="B4485" i="1"/>
  <c r="A4485" i="1"/>
  <c r="F4485" i="1"/>
  <c r="B4486" i="1"/>
  <c r="A4486" i="1"/>
  <c r="F4486" i="1"/>
  <c r="B4487" i="1"/>
  <c r="A4487" i="1"/>
  <c r="F4487" i="1"/>
  <c r="B4488" i="1"/>
  <c r="A4488" i="1"/>
  <c r="F4488" i="1"/>
  <c r="B4489" i="1"/>
  <c r="A4489" i="1"/>
  <c r="F4489" i="1"/>
  <c r="B4490" i="1"/>
  <c r="A4490" i="1"/>
  <c r="F4490" i="1"/>
  <c r="B4491" i="1"/>
  <c r="A4491" i="1"/>
  <c r="F4491" i="1"/>
  <c r="B4492" i="1"/>
  <c r="A4492" i="1"/>
  <c r="F4492" i="1"/>
  <c r="B4493" i="1"/>
  <c r="A4493" i="1"/>
  <c r="F4493" i="1"/>
  <c r="B4494" i="1"/>
  <c r="A4494" i="1"/>
  <c r="F4494" i="1"/>
  <c r="B4495" i="1"/>
  <c r="A4495" i="1"/>
  <c r="F4495" i="1"/>
  <c r="B4496" i="1"/>
  <c r="A4496" i="1"/>
  <c r="F4496" i="1"/>
  <c r="B4497" i="1"/>
  <c r="A4497" i="1"/>
  <c r="F4497" i="1"/>
  <c r="B4498" i="1"/>
  <c r="A4498" i="1"/>
  <c r="F4498" i="1"/>
  <c r="B4499" i="1"/>
  <c r="A4499" i="1"/>
  <c r="F4499" i="1"/>
  <c r="B4500" i="1"/>
  <c r="A4500" i="1"/>
  <c r="F4500" i="1"/>
  <c r="B4501" i="1"/>
  <c r="A4501" i="1"/>
  <c r="F4501" i="1"/>
  <c r="B4502" i="1"/>
  <c r="A4502" i="1"/>
  <c r="F4502" i="1"/>
  <c r="B4503" i="1"/>
  <c r="A4503" i="1"/>
  <c r="F4503" i="1"/>
  <c r="B4504" i="1"/>
  <c r="A4504" i="1"/>
  <c r="F4504" i="1"/>
  <c r="B4505" i="1"/>
  <c r="A4505" i="1"/>
  <c r="F4505" i="1"/>
  <c r="B4506" i="1"/>
  <c r="A4506" i="1"/>
  <c r="F4506" i="1"/>
  <c r="B4507" i="1"/>
  <c r="A4507" i="1"/>
  <c r="F4507" i="1"/>
  <c r="B4508" i="1"/>
  <c r="A4508" i="1"/>
  <c r="F4508" i="1"/>
  <c r="B4509" i="1"/>
  <c r="A4509" i="1"/>
  <c r="F4509" i="1"/>
  <c r="B4510" i="1"/>
  <c r="A4510" i="1"/>
  <c r="F4510" i="1"/>
  <c r="B4511" i="1"/>
  <c r="A4511" i="1"/>
  <c r="F4511" i="1"/>
  <c r="B4512" i="1"/>
  <c r="A4512" i="1"/>
  <c r="F4512" i="1"/>
  <c r="B4513" i="1"/>
  <c r="A4513" i="1"/>
  <c r="F4513" i="1"/>
  <c r="B4514" i="1"/>
  <c r="A4514" i="1"/>
  <c r="F4514" i="1"/>
  <c r="B4515" i="1"/>
  <c r="A4515" i="1"/>
  <c r="F4515" i="1"/>
  <c r="B4516" i="1"/>
  <c r="A4516" i="1"/>
  <c r="F4516" i="1"/>
  <c r="B4517" i="1"/>
  <c r="A4517" i="1"/>
  <c r="F4517" i="1"/>
  <c r="B4518" i="1"/>
  <c r="A4518" i="1"/>
  <c r="F4518" i="1"/>
  <c r="B4519" i="1"/>
  <c r="A4519" i="1"/>
  <c r="F4519" i="1"/>
  <c r="B4520" i="1"/>
  <c r="A4520" i="1"/>
  <c r="F4520" i="1"/>
  <c r="B4521" i="1"/>
  <c r="A4521" i="1"/>
  <c r="F4521" i="1"/>
  <c r="B4522" i="1"/>
  <c r="A4522" i="1"/>
  <c r="F4522" i="1"/>
  <c r="B4523" i="1"/>
  <c r="A4523" i="1"/>
  <c r="F4523" i="1"/>
  <c r="B4524" i="1"/>
  <c r="A4524" i="1"/>
  <c r="F4524" i="1"/>
  <c r="B4525" i="1"/>
  <c r="A4525" i="1"/>
  <c r="F4525" i="1"/>
  <c r="B4526" i="1"/>
  <c r="A4526" i="1"/>
  <c r="F4526" i="1"/>
  <c r="B4527" i="1"/>
  <c r="A4527" i="1"/>
  <c r="F4527" i="1"/>
  <c r="B4528" i="1"/>
  <c r="A4528" i="1"/>
  <c r="F4528" i="1"/>
  <c r="B4529" i="1"/>
  <c r="A4529" i="1"/>
  <c r="F4529" i="1"/>
  <c r="B4530" i="1"/>
  <c r="A4530" i="1"/>
  <c r="F4530" i="1"/>
  <c r="B4531" i="1"/>
  <c r="A4531" i="1"/>
  <c r="F4531" i="1"/>
  <c r="B4532" i="1"/>
  <c r="A4532" i="1"/>
  <c r="F4532" i="1"/>
  <c r="B4533" i="1"/>
  <c r="A4533" i="1"/>
  <c r="F4533" i="1"/>
  <c r="B4534" i="1"/>
  <c r="A4534" i="1"/>
  <c r="F4534" i="1"/>
  <c r="B4535" i="1"/>
  <c r="A4535" i="1"/>
  <c r="F4535" i="1"/>
  <c r="B4536" i="1"/>
  <c r="A4536" i="1"/>
  <c r="F4536" i="1"/>
  <c r="B4537" i="1"/>
  <c r="A4537" i="1"/>
  <c r="F4537" i="1"/>
  <c r="B4538" i="1"/>
  <c r="A4538" i="1"/>
  <c r="F4538" i="1"/>
  <c r="B4539" i="1"/>
  <c r="A4539" i="1"/>
  <c r="F4539" i="1"/>
  <c r="B4540" i="1"/>
  <c r="A4540" i="1"/>
  <c r="F4540" i="1"/>
  <c r="B4541" i="1"/>
  <c r="A4541" i="1"/>
  <c r="F4541" i="1"/>
  <c r="B4542" i="1"/>
  <c r="A4542" i="1"/>
  <c r="F4542" i="1"/>
  <c r="B4543" i="1"/>
  <c r="A4543" i="1"/>
  <c r="F4543" i="1"/>
  <c r="B4544" i="1"/>
  <c r="A4544" i="1"/>
  <c r="F4544" i="1"/>
  <c r="B4545" i="1"/>
  <c r="A4545" i="1"/>
  <c r="F4545" i="1"/>
  <c r="B4546" i="1"/>
  <c r="A4546" i="1"/>
  <c r="F4546" i="1"/>
  <c r="B4547" i="1"/>
  <c r="A4547" i="1"/>
  <c r="F4547" i="1"/>
  <c r="B4548" i="1"/>
  <c r="A4548" i="1"/>
  <c r="F4548" i="1"/>
  <c r="B4549" i="1"/>
  <c r="A4549" i="1"/>
  <c r="F4549" i="1"/>
  <c r="B4550" i="1"/>
  <c r="A4550" i="1"/>
  <c r="F4550" i="1"/>
  <c r="B4551" i="1"/>
  <c r="A4551" i="1"/>
  <c r="F4551" i="1"/>
  <c r="B4552" i="1"/>
  <c r="A4552" i="1"/>
  <c r="F4552" i="1"/>
  <c r="B4553" i="1"/>
  <c r="A4553" i="1"/>
  <c r="F4553" i="1"/>
  <c r="B4554" i="1"/>
  <c r="A4554" i="1"/>
  <c r="F4554" i="1"/>
  <c r="B4555" i="1"/>
  <c r="A4555" i="1"/>
  <c r="F4555" i="1"/>
  <c r="B4556" i="1"/>
  <c r="A4556" i="1"/>
  <c r="F4556" i="1"/>
  <c r="B4557" i="1"/>
  <c r="A4557" i="1"/>
  <c r="F4557" i="1"/>
  <c r="B4558" i="1"/>
  <c r="A4558" i="1"/>
  <c r="F4558" i="1"/>
  <c r="B4559" i="1"/>
  <c r="A4559" i="1"/>
  <c r="F4559" i="1"/>
  <c r="B4560" i="1"/>
  <c r="A4560" i="1"/>
  <c r="F4560" i="1"/>
  <c r="B4561" i="1"/>
  <c r="A4561" i="1"/>
  <c r="F4561" i="1"/>
  <c r="B4562" i="1"/>
  <c r="A4562" i="1"/>
  <c r="F4562" i="1"/>
  <c r="B4563" i="1"/>
  <c r="A4563" i="1"/>
  <c r="F4563" i="1"/>
  <c r="B4564" i="1"/>
  <c r="A4564" i="1"/>
  <c r="F4564" i="1"/>
  <c r="B4565" i="1"/>
  <c r="A4565" i="1"/>
  <c r="F4565" i="1"/>
  <c r="B4566" i="1"/>
  <c r="A4566" i="1"/>
  <c r="F4566" i="1"/>
  <c r="B4567" i="1"/>
  <c r="A4567" i="1"/>
  <c r="F4567" i="1"/>
  <c r="B4568" i="1"/>
  <c r="A4568" i="1"/>
  <c r="F4568" i="1"/>
  <c r="B4569" i="1"/>
  <c r="A4569" i="1"/>
  <c r="F4569" i="1"/>
  <c r="B4570" i="1"/>
  <c r="A4570" i="1"/>
  <c r="F4570" i="1"/>
  <c r="B4571" i="1"/>
  <c r="A4571" i="1"/>
  <c r="F4571" i="1"/>
  <c r="B4572" i="1"/>
  <c r="A4572" i="1"/>
  <c r="F4572" i="1"/>
  <c r="B4573" i="1"/>
  <c r="A4573" i="1"/>
  <c r="F4573" i="1"/>
  <c r="B4574" i="1"/>
  <c r="A4574" i="1"/>
  <c r="F4574" i="1"/>
  <c r="B4575" i="1"/>
  <c r="A4575" i="1"/>
  <c r="F4575" i="1"/>
  <c r="B4576" i="1"/>
  <c r="A4576" i="1"/>
  <c r="F4576" i="1"/>
  <c r="B4577" i="1"/>
  <c r="A4577" i="1"/>
  <c r="F4577" i="1"/>
  <c r="B4578" i="1"/>
  <c r="A4578" i="1"/>
  <c r="F4578" i="1"/>
  <c r="B4579" i="1"/>
  <c r="A4579" i="1"/>
  <c r="F4579" i="1"/>
  <c r="B4580" i="1"/>
  <c r="A4580" i="1"/>
  <c r="F4580" i="1"/>
  <c r="B4581" i="1"/>
  <c r="A4581" i="1"/>
  <c r="F4581" i="1"/>
  <c r="B4582" i="1"/>
  <c r="A4582" i="1"/>
  <c r="F4582" i="1"/>
  <c r="B4583" i="1"/>
  <c r="A4583" i="1"/>
  <c r="F4583" i="1"/>
  <c r="B4584" i="1"/>
  <c r="A4584" i="1"/>
  <c r="F4584" i="1"/>
  <c r="B4585" i="1"/>
  <c r="A4585" i="1"/>
  <c r="F4585" i="1"/>
  <c r="B4586" i="1"/>
  <c r="A4586" i="1"/>
  <c r="F4586" i="1"/>
  <c r="B4587" i="1"/>
  <c r="A4587" i="1"/>
  <c r="F4587" i="1"/>
  <c r="B4588" i="1"/>
  <c r="A4588" i="1"/>
  <c r="F4588" i="1"/>
  <c r="B4589" i="1"/>
  <c r="A4589" i="1"/>
  <c r="F4589" i="1"/>
  <c r="B4590" i="1"/>
  <c r="A4590" i="1"/>
  <c r="F4590" i="1"/>
  <c r="B4591" i="1"/>
  <c r="A4591" i="1"/>
  <c r="F4591" i="1"/>
  <c r="B4592" i="1"/>
  <c r="A4592" i="1"/>
  <c r="F4592" i="1"/>
  <c r="B4593" i="1"/>
  <c r="A4593" i="1"/>
  <c r="F4593" i="1"/>
  <c r="B4594" i="1"/>
  <c r="A4594" i="1"/>
  <c r="F4594" i="1"/>
  <c r="B4595" i="1"/>
  <c r="A4595" i="1"/>
  <c r="F4595" i="1"/>
  <c r="B4596" i="1"/>
  <c r="A4596" i="1"/>
  <c r="F4596" i="1"/>
  <c r="B4597" i="1"/>
  <c r="A4597" i="1"/>
  <c r="F4597" i="1"/>
  <c r="B4598" i="1"/>
  <c r="A4598" i="1"/>
  <c r="F4598" i="1"/>
  <c r="B4599" i="1"/>
  <c r="A4599" i="1"/>
  <c r="F4599" i="1"/>
  <c r="B4600" i="1"/>
  <c r="A4600" i="1"/>
  <c r="F4600" i="1"/>
  <c r="B4601" i="1"/>
  <c r="A4601" i="1"/>
  <c r="F4601" i="1"/>
  <c r="B4602" i="1"/>
  <c r="A4602" i="1"/>
  <c r="F4602" i="1"/>
  <c r="B4603" i="1"/>
  <c r="A4603" i="1"/>
  <c r="F4603" i="1"/>
  <c r="B4604" i="1"/>
  <c r="A4604" i="1"/>
  <c r="F4604" i="1"/>
  <c r="B4605" i="1"/>
  <c r="A4605" i="1"/>
  <c r="F4605" i="1"/>
  <c r="B4606" i="1"/>
  <c r="A4606" i="1"/>
  <c r="F4606" i="1"/>
  <c r="B4607" i="1"/>
  <c r="A4607" i="1"/>
  <c r="F4607" i="1"/>
  <c r="B4608" i="1"/>
  <c r="A4608" i="1"/>
  <c r="F4608" i="1"/>
  <c r="B4609" i="1"/>
  <c r="A4609" i="1"/>
  <c r="F4609" i="1"/>
  <c r="B4610" i="1"/>
  <c r="A4610" i="1"/>
  <c r="F4610" i="1"/>
  <c r="B4611" i="1"/>
  <c r="A4611" i="1"/>
  <c r="F4611" i="1"/>
  <c r="B4612" i="1"/>
  <c r="A4612" i="1"/>
  <c r="F4612" i="1"/>
  <c r="B4613" i="1"/>
  <c r="A4613" i="1"/>
  <c r="F4613" i="1"/>
  <c r="B4614" i="1"/>
  <c r="A4614" i="1"/>
  <c r="F4614" i="1"/>
  <c r="B4615" i="1"/>
  <c r="A4615" i="1"/>
  <c r="F4615" i="1"/>
  <c r="B4616" i="1"/>
  <c r="A4616" i="1"/>
  <c r="F4616" i="1"/>
  <c r="B4617" i="1"/>
  <c r="A4617" i="1"/>
  <c r="F4617" i="1"/>
  <c r="B4618" i="1"/>
  <c r="A4618" i="1"/>
  <c r="F4618" i="1"/>
  <c r="B4619" i="1"/>
  <c r="A4619" i="1"/>
  <c r="F4619" i="1"/>
  <c r="B4620" i="1"/>
  <c r="A4620" i="1"/>
  <c r="F4620" i="1"/>
  <c r="B4621" i="1"/>
  <c r="A4621" i="1"/>
  <c r="F4621" i="1"/>
  <c r="B4622" i="1"/>
  <c r="A4622" i="1"/>
  <c r="F4622" i="1"/>
  <c r="B4623" i="1"/>
  <c r="A4623" i="1"/>
  <c r="F4623" i="1"/>
  <c r="B4624" i="1"/>
  <c r="A4624" i="1"/>
  <c r="F4624" i="1"/>
  <c r="B4625" i="1"/>
  <c r="A4625" i="1"/>
  <c r="F4625" i="1"/>
  <c r="B4626" i="1"/>
  <c r="A4626" i="1"/>
  <c r="F4626" i="1"/>
  <c r="B4627" i="1"/>
  <c r="A4627" i="1"/>
  <c r="F4627" i="1"/>
  <c r="B4628" i="1"/>
  <c r="A4628" i="1"/>
  <c r="F4628" i="1"/>
  <c r="B4629" i="1"/>
  <c r="A4629" i="1"/>
  <c r="F4629" i="1"/>
  <c r="B4630" i="1"/>
  <c r="A4630" i="1"/>
  <c r="F4630" i="1"/>
  <c r="B4631" i="1"/>
  <c r="A4631" i="1"/>
  <c r="F4631" i="1"/>
  <c r="B4632" i="1"/>
  <c r="A4632" i="1"/>
  <c r="F4632" i="1"/>
  <c r="B4633" i="1"/>
  <c r="A4633" i="1"/>
  <c r="F4633" i="1"/>
  <c r="B4634" i="1"/>
  <c r="A4634" i="1"/>
  <c r="F4634" i="1"/>
  <c r="B4635" i="1"/>
  <c r="A4635" i="1"/>
  <c r="F4635" i="1"/>
  <c r="B4636" i="1"/>
  <c r="A4636" i="1"/>
  <c r="F4636" i="1"/>
  <c r="B4637" i="1"/>
  <c r="A4637" i="1"/>
  <c r="F4637" i="1"/>
  <c r="B4638" i="1"/>
  <c r="A4638" i="1"/>
  <c r="F4638" i="1"/>
  <c r="B4639" i="1"/>
  <c r="A4639" i="1"/>
  <c r="F4639" i="1"/>
  <c r="B4640" i="1"/>
  <c r="A4640" i="1"/>
  <c r="F4640" i="1"/>
  <c r="B4641" i="1"/>
  <c r="A4641" i="1"/>
  <c r="F4641" i="1"/>
  <c r="B4642" i="1"/>
  <c r="A4642" i="1"/>
  <c r="F4642" i="1"/>
  <c r="B4643" i="1"/>
  <c r="A4643" i="1"/>
  <c r="F4643" i="1"/>
  <c r="B4644" i="1"/>
  <c r="A4644" i="1"/>
  <c r="F4644" i="1"/>
  <c r="B4645" i="1"/>
  <c r="A4645" i="1"/>
  <c r="F4645" i="1"/>
  <c r="B4646" i="1"/>
  <c r="A4646" i="1"/>
  <c r="F4646" i="1"/>
  <c r="B4647" i="1"/>
  <c r="A4647" i="1"/>
  <c r="F4647" i="1"/>
  <c r="B4648" i="1"/>
  <c r="A4648" i="1"/>
  <c r="F4648" i="1"/>
  <c r="B4649" i="1"/>
  <c r="A4649" i="1"/>
  <c r="F4649" i="1"/>
  <c r="B4650" i="1"/>
  <c r="A4650" i="1"/>
  <c r="F4650" i="1"/>
  <c r="B4651" i="1"/>
  <c r="A4651" i="1"/>
  <c r="F4651" i="1"/>
  <c r="B4652" i="1"/>
  <c r="A4652" i="1"/>
  <c r="F4652" i="1"/>
  <c r="B4653" i="1"/>
  <c r="A4653" i="1"/>
  <c r="F4653" i="1"/>
  <c r="B4654" i="1"/>
  <c r="A4654" i="1"/>
  <c r="F4654" i="1"/>
  <c r="B4655" i="1"/>
  <c r="A4655" i="1"/>
  <c r="F4655" i="1"/>
  <c r="B4656" i="1"/>
  <c r="A4656" i="1"/>
  <c r="F4656" i="1"/>
  <c r="B4657" i="1"/>
  <c r="A4657" i="1"/>
  <c r="F4657" i="1"/>
  <c r="B4658" i="1"/>
  <c r="A4658" i="1"/>
  <c r="F4658" i="1"/>
  <c r="B4659" i="1"/>
  <c r="A4659" i="1"/>
  <c r="F4659" i="1"/>
  <c r="B4660" i="1"/>
  <c r="A4660" i="1"/>
  <c r="F4660" i="1"/>
  <c r="B4661" i="1"/>
  <c r="A4661" i="1"/>
  <c r="F4661" i="1"/>
  <c r="B4662" i="1"/>
  <c r="A4662" i="1"/>
  <c r="F4662" i="1"/>
  <c r="B4663" i="1"/>
  <c r="A4663" i="1"/>
  <c r="F4663" i="1"/>
  <c r="B4664" i="1"/>
  <c r="A4664" i="1"/>
  <c r="F4664" i="1"/>
  <c r="B4665" i="1"/>
  <c r="A4665" i="1"/>
  <c r="F4665" i="1"/>
  <c r="B4666" i="1"/>
  <c r="A4666" i="1"/>
  <c r="F4666" i="1"/>
  <c r="B4667" i="1"/>
  <c r="A4667" i="1"/>
  <c r="F4667" i="1"/>
  <c r="B4668" i="1"/>
  <c r="A4668" i="1"/>
  <c r="F4668" i="1"/>
  <c r="B4669" i="1"/>
  <c r="A4669" i="1"/>
  <c r="F4669" i="1"/>
  <c r="B4670" i="1"/>
  <c r="A4670" i="1"/>
  <c r="F4670" i="1"/>
  <c r="B4671" i="1"/>
  <c r="A4671" i="1"/>
  <c r="F4671" i="1"/>
  <c r="B4672" i="1"/>
  <c r="A4672" i="1"/>
  <c r="F4672" i="1"/>
  <c r="B4673" i="1"/>
  <c r="A4673" i="1"/>
  <c r="F4673" i="1"/>
  <c r="B4674" i="1"/>
  <c r="A4674" i="1"/>
  <c r="F4674" i="1"/>
  <c r="B4675" i="1"/>
  <c r="A4675" i="1"/>
  <c r="F4675" i="1"/>
  <c r="B4676" i="1"/>
  <c r="A4676" i="1"/>
  <c r="F4676" i="1"/>
  <c r="B4677" i="1"/>
  <c r="A4677" i="1"/>
  <c r="F4677" i="1"/>
  <c r="B4678" i="1"/>
  <c r="A4678" i="1"/>
  <c r="F4678" i="1"/>
  <c r="B4679" i="1"/>
  <c r="A4679" i="1"/>
  <c r="F4679" i="1"/>
  <c r="B4680" i="1"/>
  <c r="A4680" i="1"/>
  <c r="F4680" i="1"/>
  <c r="B4681" i="1"/>
  <c r="A4681" i="1"/>
  <c r="F4681" i="1"/>
  <c r="B4682" i="1"/>
  <c r="A4682" i="1"/>
  <c r="F4682" i="1"/>
  <c r="B4683" i="1"/>
  <c r="A4683" i="1"/>
  <c r="F4683" i="1"/>
  <c r="B4684" i="1"/>
  <c r="A4684" i="1"/>
  <c r="F4684" i="1"/>
  <c r="B4685" i="1"/>
  <c r="A4685" i="1"/>
  <c r="F4685" i="1"/>
  <c r="B4686" i="1"/>
  <c r="A4686" i="1"/>
  <c r="F4686" i="1"/>
  <c r="B4687" i="1"/>
  <c r="A4687" i="1"/>
  <c r="F4687" i="1"/>
  <c r="B4688" i="1"/>
  <c r="A4688" i="1"/>
  <c r="F4688" i="1"/>
  <c r="B4689" i="1"/>
  <c r="A4689" i="1"/>
  <c r="F4689" i="1"/>
  <c r="B4690" i="1"/>
  <c r="A4690" i="1"/>
  <c r="F4690" i="1"/>
  <c r="B4691" i="1"/>
  <c r="A4691" i="1"/>
  <c r="F4691" i="1"/>
  <c r="B4692" i="1"/>
  <c r="A4692" i="1"/>
  <c r="F4692" i="1"/>
  <c r="B4693" i="1"/>
  <c r="A4693" i="1"/>
  <c r="F4693" i="1"/>
  <c r="B4694" i="1"/>
  <c r="A4694" i="1"/>
  <c r="F4694" i="1"/>
  <c r="B4695" i="1"/>
  <c r="A4695" i="1"/>
  <c r="F4695" i="1"/>
  <c r="B4696" i="1"/>
  <c r="A4696" i="1"/>
  <c r="F4696" i="1"/>
  <c r="B4697" i="1"/>
  <c r="A4697" i="1"/>
  <c r="F4697" i="1"/>
  <c r="B4698" i="1"/>
  <c r="A4698" i="1"/>
  <c r="F4698" i="1"/>
  <c r="B4699" i="1"/>
  <c r="A4699" i="1"/>
  <c r="F4699" i="1"/>
  <c r="B4700" i="1"/>
  <c r="A4700" i="1"/>
  <c r="F4700" i="1"/>
  <c r="B4701" i="1"/>
  <c r="A4701" i="1"/>
  <c r="F4701" i="1"/>
  <c r="B4702" i="1"/>
  <c r="A4702" i="1"/>
  <c r="F4702" i="1"/>
  <c r="B4703" i="1"/>
  <c r="A4703" i="1"/>
  <c r="F4703" i="1"/>
  <c r="B4704" i="1"/>
  <c r="A4704" i="1"/>
  <c r="F4704" i="1"/>
  <c r="B4705" i="1"/>
  <c r="A4705" i="1"/>
  <c r="F4705" i="1"/>
  <c r="B4706" i="1"/>
  <c r="A4706" i="1"/>
  <c r="F4706" i="1"/>
  <c r="B4707" i="1"/>
  <c r="A4707" i="1"/>
  <c r="F4707" i="1"/>
  <c r="B4708" i="1"/>
  <c r="A4708" i="1"/>
  <c r="F4708" i="1"/>
  <c r="B4709" i="1"/>
  <c r="A4709" i="1"/>
  <c r="F4709" i="1"/>
  <c r="B4710" i="1"/>
  <c r="A4710" i="1"/>
  <c r="F4710" i="1"/>
  <c r="B4711" i="1"/>
  <c r="A4711" i="1"/>
  <c r="F4711" i="1"/>
  <c r="B4712" i="1"/>
  <c r="A4712" i="1"/>
  <c r="F4712" i="1"/>
  <c r="B4713" i="1"/>
  <c r="A4713" i="1"/>
  <c r="F4713" i="1"/>
  <c r="B4714" i="1"/>
  <c r="A4714" i="1"/>
  <c r="F4714" i="1"/>
  <c r="B4715" i="1"/>
  <c r="A4715" i="1"/>
  <c r="F4715" i="1"/>
  <c r="B4716" i="1"/>
  <c r="A4716" i="1"/>
  <c r="F4716" i="1"/>
  <c r="B4717" i="1"/>
  <c r="A4717" i="1"/>
  <c r="F4717" i="1"/>
  <c r="B4718" i="1"/>
  <c r="A4718" i="1"/>
  <c r="F4718" i="1"/>
  <c r="B4719" i="1"/>
  <c r="A4719" i="1"/>
  <c r="F4719" i="1"/>
  <c r="B4720" i="1"/>
  <c r="A4720" i="1"/>
  <c r="F4720" i="1"/>
  <c r="B4721" i="1"/>
  <c r="A4721" i="1"/>
  <c r="F4721" i="1"/>
  <c r="B4722" i="1"/>
  <c r="A4722" i="1"/>
  <c r="F4722" i="1"/>
  <c r="B4723" i="1"/>
  <c r="A4723" i="1"/>
  <c r="F4723" i="1"/>
  <c r="B4724" i="1"/>
  <c r="A4724" i="1"/>
  <c r="F4724" i="1"/>
  <c r="B4725" i="1"/>
  <c r="A4725" i="1"/>
  <c r="F4725" i="1"/>
  <c r="B4726" i="1"/>
  <c r="A4726" i="1"/>
  <c r="F4726" i="1"/>
  <c r="B4727" i="1"/>
  <c r="A4727" i="1"/>
  <c r="F4727" i="1"/>
  <c r="B4728" i="1"/>
  <c r="A4728" i="1"/>
  <c r="F4728" i="1"/>
  <c r="B4729" i="1"/>
  <c r="A4729" i="1"/>
  <c r="F4729" i="1"/>
  <c r="B4730" i="1"/>
  <c r="A4730" i="1"/>
  <c r="F4730" i="1"/>
  <c r="B4731" i="1"/>
  <c r="A4731" i="1"/>
  <c r="F4731" i="1"/>
  <c r="B4732" i="1"/>
  <c r="A4732" i="1"/>
  <c r="F4732" i="1"/>
  <c r="B4733" i="1"/>
  <c r="A4733" i="1"/>
  <c r="F4733" i="1"/>
  <c r="B4734" i="1"/>
  <c r="A4734" i="1"/>
  <c r="F4734" i="1"/>
  <c r="B4735" i="1"/>
  <c r="A4735" i="1"/>
  <c r="F4735" i="1"/>
  <c r="B4736" i="1"/>
  <c r="A4736" i="1"/>
  <c r="F4736" i="1"/>
  <c r="B4737" i="1"/>
  <c r="A4737" i="1"/>
  <c r="F4737" i="1"/>
  <c r="B4738" i="1"/>
  <c r="A4738" i="1"/>
  <c r="F4738" i="1"/>
  <c r="B4739" i="1"/>
  <c r="A4739" i="1"/>
  <c r="F4739" i="1"/>
  <c r="B4740" i="1"/>
  <c r="A4740" i="1"/>
  <c r="F4740" i="1"/>
  <c r="B4741" i="1"/>
  <c r="A4741" i="1"/>
  <c r="F4741" i="1"/>
  <c r="B4742" i="1"/>
  <c r="A4742" i="1"/>
  <c r="F4742" i="1"/>
  <c r="B4743" i="1"/>
  <c r="A4743" i="1"/>
  <c r="F4743" i="1"/>
  <c r="B4744" i="1"/>
  <c r="A4744" i="1"/>
  <c r="F4744" i="1"/>
  <c r="B4745" i="1"/>
  <c r="A4745" i="1"/>
  <c r="F4745" i="1"/>
  <c r="B4746" i="1"/>
  <c r="A4746" i="1"/>
  <c r="F4746" i="1"/>
  <c r="B4747" i="1"/>
  <c r="A4747" i="1"/>
  <c r="F4747" i="1"/>
  <c r="B4748" i="1"/>
  <c r="A4748" i="1"/>
  <c r="F4748" i="1"/>
  <c r="B4749" i="1"/>
  <c r="A4749" i="1"/>
  <c r="F4749" i="1"/>
  <c r="B4750" i="1"/>
  <c r="A4750" i="1"/>
  <c r="F4750" i="1"/>
  <c r="B4751" i="1"/>
  <c r="A4751" i="1"/>
  <c r="F4751" i="1"/>
  <c r="B4752" i="1"/>
  <c r="A4752" i="1"/>
  <c r="F4752" i="1"/>
  <c r="B4753" i="1"/>
  <c r="A4753" i="1"/>
  <c r="F4753" i="1"/>
  <c r="B4754" i="1"/>
  <c r="A4754" i="1"/>
  <c r="F4754" i="1"/>
  <c r="B4755" i="1"/>
  <c r="A4755" i="1"/>
  <c r="F4755" i="1"/>
  <c r="B4756" i="1"/>
  <c r="A4756" i="1"/>
  <c r="F4756" i="1"/>
  <c r="B4757" i="1"/>
  <c r="A4757" i="1"/>
  <c r="F4757" i="1"/>
  <c r="B4758" i="1"/>
  <c r="A4758" i="1"/>
  <c r="F4758" i="1"/>
  <c r="B4759" i="1"/>
  <c r="A4759" i="1"/>
  <c r="F4759" i="1"/>
  <c r="B4760" i="1"/>
  <c r="A4760" i="1"/>
  <c r="F4760" i="1"/>
  <c r="B4761" i="1"/>
  <c r="A4761" i="1"/>
  <c r="F4761" i="1"/>
  <c r="B4762" i="1"/>
  <c r="A4762" i="1"/>
  <c r="F4762" i="1"/>
  <c r="B4763" i="1"/>
  <c r="A4763" i="1"/>
  <c r="F4763" i="1"/>
  <c r="B4764" i="1"/>
  <c r="A4764" i="1"/>
  <c r="F4764" i="1"/>
  <c r="B4765" i="1"/>
  <c r="A4765" i="1"/>
  <c r="F4765" i="1"/>
  <c r="B4766" i="1"/>
  <c r="A4766" i="1"/>
  <c r="F4766" i="1"/>
  <c r="B4767" i="1"/>
  <c r="A4767" i="1"/>
  <c r="F4767" i="1"/>
  <c r="B4768" i="1"/>
  <c r="A4768" i="1"/>
  <c r="F4768" i="1"/>
  <c r="B4769" i="1"/>
  <c r="A4769" i="1"/>
  <c r="F4769" i="1"/>
  <c r="B4770" i="1"/>
  <c r="A4770" i="1"/>
  <c r="F4770" i="1"/>
  <c r="B4771" i="1"/>
  <c r="A4771" i="1"/>
  <c r="F4771" i="1"/>
  <c r="B4772" i="1"/>
  <c r="A4772" i="1"/>
  <c r="F4772" i="1"/>
  <c r="B4773" i="1"/>
  <c r="A4773" i="1"/>
  <c r="F4773" i="1"/>
  <c r="B4774" i="1"/>
  <c r="A4774" i="1"/>
  <c r="F4774" i="1"/>
  <c r="B4775" i="1"/>
  <c r="A4775" i="1"/>
  <c r="F4775" i="1"/>
  <c r="B4776" i="1"/>
  <c r="A4776" i="1"/>
  <c r="F4776" i="1"/>
  <c r="B4777" i="1"/>
  <c r="A4777" i="1"/>
  <c r="F4777" i="1"/>
  <c r="B4778" i="1"/>
  <c r="A4778" i="1"/>
  <c r="F4778" i="1"/>
  <c r="B4779" i="1"/>
  <c r="A4779" i="1"/>
  <c r="F4779" i="1"/>
  <c r="B4780" i="1"/>
  <c r="A4780" i="1"/>
  <c r="F4780" i="1"/>
  <c r="B4781" i="1"/>
  <c r="A4781" i="1"/>
  <c r="F4781" i="1"/>
  <c r="B4782" i="1"/>
  <c r="A4782" i="1"/>
  <c r="F4782" i="1"/>
  <c r="B4783" i="1"/>
  <c r="A4783" i="1"/>
  <c r="F4783" i="1"/>
  <c r="B4784" i="1"/>
  <c r="A4784" i="1"/>
  <c r="F4784" i="1"/>
  <c r="B4785" i="1"/>
  <c r="A4785" i="1"/>
  <c r="F4785" i="1"/>
  <c r="B4786" i="1"/>
  <c r="A4786" i="1"/>
  <c r="F4786" i="1"/>
  <c r="B4787" i="1"/>
  <c r="A4787" i="1"/>
  <c r="F4787" i="1"/>
  <c r="B4788" i="1"/>
  <c r="A4788" i="1"/>
  <c r="F4788" i="1"/>
  <c r="B4789" i="1"/>
  <c r="A4789" i="1"/>
  <c r="F4789" i="1"/>
  <c r="B4790" i="1"/>
  <c r="A4790" i="1"/>
  <c r="F4790" i="1"/>
  <c r="B4791" i="1"/>
  <c r="A4791" i="1"/>
  <c r="F4791" i="1"/>
  <c r="B4792" i="1"/>
  <c r="A4792" i="1"/>
  <c r="F4792" i="1"/>
  <c r="B4793" i="1"/>
  <c r="A4793" i="1"/>
  <c r="F4793" i="1"/>
  <c r="B4794" i="1"/>
  <c r="A4794" i="1"/>
  <c r="F4794" i="1"/>
  <c r="B4795" i="1"/>
  <c r="A4795" i="1"/>
  <c r="F4795" i="1"/>
  <c r="B4796" i="1"/>
  <c r="A4796" i="1"/>
  <c r="F4796" i="1"/>
  <c r="B4797" i="1"/>
  <c r="A4797" i="1"/>
  <c r="F4797" i="1"/>
  <c r="B4798" i="1"/>
  <c r="A4798" i="1"/>
  <c r="F4798" i="1"/>
  <c r="B4799" i="1"/>
  <c r="A4799" i="1"/>
  <c r="F4799" i="1"/>
  <c r="B4800" i="1"/>
  <c r="A4800" i="1"/>
  <c r="F4800" i="1"/>
  <c r="B4801" i="1"/>
  <c r="A4801" i="1"/>
  <c r="F4801" i="1"/>
  <c r="B4802" i="1"/>
  <c r="A4802" i="1"/>
  <c r="F4802" i="1"/>
  <c r="B4803" i="1"/>
  <c r="A4803" i="1"/>
  <c r="F4803" i="1"/>
  <c r="B4804" i="1"/>
  <c r="A4804" i="1"/>
  <c r="F4804" i="1"/>
  <c r="B4805" i="1"/>
  <c r="A4805" i="1"/>
  <c r="F4805" i="1"/>
  <c r="B4806" i="1"/>
  <c r="A4806" i="1"/>
  <c r="F4806" i="1"/>
  <c r="B4807" i="1"/>
  <c r="A4807" i="1"/>
  <c r="F4807" i="1"/>
  <c r="B4808" i="1"/>
  <c r="A4808" i="1"/>
  <c r="F4808" i="1"/>
  <c r="B4809" i="1"/>
  <c r="A4809" i="1"/>
  <c r="F4809" i="1"/>
  <c r="B4810" i="1"/>
  <c r="A4810" i="1"/>
  <c r="F4810" i="1"/>
  <c r="B4811" i="1"/>
  <c r="A4811" i="1"/>
  <c r="F4811" i="1"/>
  <c r="B4812" i="1"/>
  <c r="A4812" i="1"/>
  <c r="F4812" i="1"/>
  <c r="B4813" i="1"/>
  <c r="A4813" i="1"/>
  <c r="F4813" i="1"/>
  <c r="B4814" i="1"/>
  <c r="A4814" i="1"/>
  <c r="F4814" i="1"/>
  <c r="B4815" i="1"/>
  <c r="A4815" i="1"/>
  <c r="F4815" i="1"/>
  <c r="B4816" i="1"/>
  <c r="A4816" i="1"/>
  <c r="F4816" i="1"/>
  <c r="B4817" i="1"/>
  <c r="A4817" i="1"/>
  <c r="F4817" i="1"/>
  <c r="B4818" i="1"/>
  <c r="A4818" i="1"/>
  <c r="F4818" i="1"/>
  <c r="B4819" i="1"/>
  <c r="A4819" i="1"/>
  <c r="F4819" i="1"/>
  <c r="B4820" i="1"/>
  <c r="A4820" i="1"/>
  <c r="F4820" i="1"/>
  <c r="B4821" i="1"/>
  <c r="A4821" i="1"/>
  <c r="F4821" i="1"/>
  <c r="B4822" i="1"/>
  <c r="A4822" i="1"/>
  <c r="F4822" i="1"/>
  <c r="B4823" i="1"/>
  <c r="A4823" i="1"/>
  <c r="F4823" i="1"/>
  <c r="B4824" i="1"/>
  <c r="A4824" i="1"/>
  <c r="F4824" i="1"/>
  <c r="B4825" i="1"/>
  <c r="A4825" i="1"/>
  <c r="F4825" i="1"/>
  <c r="B4826" i="1"/>
  <c r="A4826" i="1"/>
  <c r="F4826" i="1"/>
  <c r="B4827" i="1"/>
  <c r="A4827" i="1"/>
  <c r="F4827" i="1"/>
  <c r="B4828" i="1"/>
  <c r="A4828" i="1"/>
  <c r="F4828" i="1"/>
  <c r="B4829" i="1"/>
  <c r="A4829" i="1"/>
  <c r="F4829" i="1"/>
  <c r="B4830" i="1"/>
  <c r="A4830" i="1"/>
  <c r="F4830" i="1"/>
  <c r="B4831" i="1"/>
  <c r="A4831" i="1"/>
  <c r="F4831" i="1"/>
  <c r="B4832" i="1"/>
  <c r="A4832" i="1"/>
  <c r="F4832" i="1"/>
  <c r="B4833" i="1"/>
  <c r="A4833" i="1"/>
  <c r="F4833" i="1"/>
  <c r="B4834" i="1"/>
  <c r="A4834" i="1"/>
  <c r="F4834" i="1"/>
  <c r="B4835" i="1"/>
  <c r="A4835" i="1"/>
  <c r="F4835" i="1"/>
  <c r="B4836" i="1"/>
  <c r="A4836" i="1"/>
  <c r="F4836" i="1"/>
  <c r="B4837" i="1"/>
  <c r="A4837" i="1"/>
  <c r="F4837" i="1"/>
  <c r="B4838" i="1"/>
  <c r="A4838" i="1"/>
  <c r="F4838" i="1"/>
  <c r="B4839" i="1"/>
  <c r="A4839" i="1"/>
  <c r="F4839" i="1"/>
  <c r="B4840" i="1"/>
  <c r="A4840" i="1"/>
  <c r="F4840" i="1"/>
  <c r="B4841" i="1"/>
  <c r="A4841" i="1"/>
  <c r="F4841" i="1"/>
  <c r="B4842" i="1"/>
  <c r="A4842" i="1"/>
  <c r="F4842" i="1"/>
  <c r="B4843" i="1"/>
  <c r="A4843" i="1"/>
  <c r="F4843" i="1"/>
  <c r="B4844" i="1"/>
  <c r="A4844" i="1"/>
  <c r="F4844" i="1"/>
  <c r="B4845" i="1"/>
  <c r="A4845" i="1"/>
  <c r="F4845" i="1"/>
  <c r="B4846" i="1"/>
  <c r="A4846" i="1"/>
  <c r="F4846" i="1"/>
  <c r="B4847" i="1"/>
  <c r="A4847" i="1"/>
  <c r="F4847" i="1"/>
  <c r="B4848" i="1"/>
  <c r="A4848" i="1"/>
  <c r="F4848" i="1"/>
  <c r="B4849" i="1"/>
  <c r="A4849" i="1"/>
  <c r="F4849" i="1"/>
  <c r="B4850" i="1"/>
  <c r="A4850" i="1"/>
  <c r="F4850" i="1"/>
  <c r="B4851" i="1"/>
  <c r="A4851" i="1"/>
  <c r="F4851" i="1"/>
  <c r="B4852" i="1"/>
  <c r="A4852" i="1"/>
  <c r="F4852" i="1"/>
  <c r="B4853" i="1"/>
  <c r="A4853" i="1"/>
  <c r="F4853" i="1"/>
  <c r="B4854" i="1"/>
  <c r="A4854" i="1"/>
  <c r="F4854" i="1"/>
  <c r="B4855" i="1"/>
  <c r="A4855" i="1"/>
  <c r="F4855" i="1"/>
  <c r="B4856" i="1"/>
  <c r="A4856" i="1"/>
  <c r="F4856" i="1"/>
  <c r="B4857" i="1"/>
  <c r="A4857" i="1"/>
  <c r="F4857" i="1"/>
  <c r="B4858" i="1"/>
  <c r="A4858" i="1"/>
  <c r="F4858" i="1"/>
  <c r="B4859" i="1"/>
  <c r="A4859" i="1"/>
  <c r="F4859" i="1"/>
  <c r="B4860" i="1"/>
  <c r="A4860" i="1"/>
  <c r="F4860" i="1"/>
  <c r="B4861" i="1"/>
  <c r="A4861" i="1"/>
  <c r="F4861" i="1"/>
  <c r="B4862" i="1"/>
  <c r="A4862" i="1"/>
  <c r="F4862" i="1"/>
  <c r="B4863" i="1"/>
  <c r="A4863" i="1"/>
  <c r="F4863" i="1"/>
  <c r="B4864" i="1"/>
  <c r="A4864" i="1"/>
  <c r="F4864" i="1"/>
  <c r="B4865" i="1"/>
  <c r="A4865" i="1"/>
  <c r="F4865" i="1"/>
  <c r="B4866" i="1"/>
  <c r="A4866" i="1"/>
  <c r="F4866" i="1"/>
  <c r="B4867" i="1"/>
  <c r="A4867" i="1"/>
  <c r="F4867" i="1"/>
  <c r="B4868" i="1"/>
  <c r="A4868" i="1"/>
  <c r="F4868" i="1"/>
  <c r="B4869" i="1"/>
  <c r="A4869" i="1"/>
  <c r="F4869" i="1"/>
  <c r="B4870" i="1"/>
  <c r="A4870" i="1"/>
  <c r="F4870" i="1"/>
  <c r="B4871" i="1"/>
  <c r="A4871" i="1"/>
  <c r="F4871" i="1"/>
  <c r="B4872" i="1"/>
  <c r="A4872" i="1"/>
  <c r="F4872" i="1"/>
  <c r="B4873" i="1"/>
  <c r="A4873" i="1"/>
  <c r="F4873" i="1"/>
  <c r="B4874" i="1"/>
  <c r="A4874" i="1"/>
  <c r="F4874" i="1"/>
  <c r="B4875" i="1"/>
  <c r="A4875" i="1"/>
  <c r="F4875" i="1"/>
  <c r="B4876" i="1"/>
  <c r="A4876" i="1"/>
  <c r="F4876" i="1"/>
  <c r="B4877" i="1"/>
  <c r="A4877" i="1"/>
  <c r="F4877" i="1"/>
  <c r="B4878" i="1"/>
  <c r="A4878" i="1"/>
  <c r="F4878" i="1"/>
  <c r="B4879" i="1"/>
  <c r="A4879" i="1"/>
  <c r="F4879" i="1"/>
  <c r="B4880" i="1"/>
  <c r="A4880" i="1"/>
  <c r="F4880" i="1"/>
  <c r="B4881" i="1"/>
  <c r="A4881" i="1"/>
  <c r="F4881" i="1"/>
  <c r="B4882" i="1"/>
  <c r="A4882" i="1"/>
  <c r="F4882" i="1"/>
  <c r="B4883" i="1"/>
  <c r="A4883" i="1"/>
  <c r="F4883" i="1"/>
  <c r="B4884" i="1"/>
  <c r="A4884" i="1"/>
  <c r="F4884" i="1"/>
  <c r="B4885" i="1"/>
  <c r="A4885" i="1"/>
  <c r="F4885" i="1"/>
  <c r="B4886" i="1"/>
  <c r="A4886" i="1"/>
  <c r="F4886" i="1"/>
  <c r="B4887" i="1"/>
  <c r="A4887" i="1"/>
  <c r="F4887" i="1"/>
  <c r="B4888" i="1"/>
  <c r="A4888" i="1"/>
  <c r="F4888" i="1"/>
  <c r="B4889" i="1"/>
  <c r="A4889" i="1"/>
  <c r="F4889" i="1"/>
  <c r="B4890" i="1"/>
  <c r="A4890" i="1"/>
  <c r="F4890" i="1"/>
  <c r="B4891" i="1"/>
  <c r="A4891" i="1"/>
  <c r="F4891" i="1"/>
  <c r="B4892" i="1"/>
  <c r="A4892" i="1"/>
  <c r="F4892" i="1"/>
  <c r="B4893" i="1"/>
  <c r="A4893" i="1"/>
  <c r="F4893" i="1"/>
  <c r="B4894" i="1"/>
  <c r="A4894" i="1"/>
  <c r="F4894" i="1"/>
  <c r="B4895" i="1"/>
  <c r="A4895" i="1"/>
  <c r="F4895" i="1"/>
  <c r="B4896" i="1"/>
  <c r="A4896" i="1"/>
  <c r="F4896" i="1"/>
  <c r="B4897" i="1"/>
  <c r="A4897" i="1"/>
  <c r="F4897" i="1"/>
  <c r="B4898" i="1"/>
  <c r="A4898" i="1"/>
  <c r="F4898" i="1"/>
  <c r="B4899" i="1"/>
  <c r="A4899" i="1"/>
  <c r="F4899" i="1"/>
  <c r="B4900" i="1"/>
  <c r="A4900" i="1"/>
  <c r="F4900" i="1"/>
  <c r="B4901" i="1"/>
  <c r="A4901" i="1"/>
  <c r="F4901" i="1"/>
  <c r="B4902" i="1"/>
  <c r="A4902" i="1"/>
  <c r="F4902" i="1"/>
  <c r="B4903" i="1"/>
  <c r="A4903" i="1"/>
  <c r="F4903" i="1"/>
  <c r="B4904" i="1"/>
  <c r="A4904" i="1"/>
  <c r="F4904" i="1"/>
  <c r="B4905" i="1"/>
  <c r="A4905" i="1"/>
  <c r="F4905" i="1"/>
  <c r="B4906" i="1"/>
  <c r="A4906" i="1"/>
  <c r="F4906" i="1"/>
  <c r="B4907" i="1"/>
  <c r="A4907" i="1"/>
  <c r="F4907" i="1"/>
  <c r="B4908" i="1"/>
  <c r="A4908" i="1"/>
  <c r="F4908" i="1"/>
  <c r="B4909" i="1"/>
  <c r="A4909" i="1"/>
  <c r="F4909" i="1"/>
  <c r="B4910" i="1"/>
  <c r="A4910" i="1"/>
  <c r="F4910" i="1"/>
  <c r="B4911" i="1"/>
  <c r="A4911" i="1"/>
  <c r="F4911" i="1"/>
  <c r="B4912" i="1"/>
  <c r="A4912" i="1"/>
  <c r="F4912" i="1"/>
  <c r="B4913" i="1"/>
  <c r="A4913" i="1"/>
  <c r="F4913" i="1"/>
  <c r="B4914" i="1"/>
  <c r="A4914" i="1"/>
  <c r="F4914" i="1"/>
  <c r="B4915" i="1"/>
  <c r="A4915" i="1"/>
  <c r="F4915" i="1"/>
  <c r="B4916" i="1"/>
  <c r="A4916" i="1"/>
  <c r="F4916" i="1"/>
  <c r="B4917" i="1"/>
  <c r="A4917" i="1"/>
  <c r="F4917" i="1"/>
  <c r="B4918" i="1"/>
  <c r="A4918" i="1"/>
  <c r="F4918" i="1"/>
  <c r="B4919" i="1"/>
  <c r="A4919" i="1"/>
  <c r="F4919" i="1"/>
  <c r="B4920" i="1"/>
  <c r="A4920" i="1"/>
  <c r="F4920" i="1"/>
  <c r="B4921" i="1"/>
  <c r="A4921" i="1"/>
  <c r="F4921" i="1"/>
  <c r="B4922" i="1"/>
  <c r="A4922" i="1"/>
  <c r="F4922" i="1"/>
  <c r="B4923" i="1"/>
  <c r="A4923" i="1"/>
  <c r="F4923" i="1"/>
  <c r="B4924" i="1"/>
  <c r="A4924" i="1"/>
  <c r="F4924" i="1"/>
  <c r="B4925" i="1"/>
  <c r="A4925" i="1"/>
  <c r="F4925" i="1"/>
  <c r="B4926" i="1"/>
  <c r="A4926" i="1"/>
  <c r="F4926" i="1"/>
  <c r="B4927" i="1"/>
  <c r="A4927" i="1"/>
  <c r="F4927" i="1"/>
  <c r="B4928" i="1"/>
  <c r="A4928" i="1"/>
  <c r="F4928" i="1"/>
  <c r="B4929" i="1"/>
  <c r="A4929" i="1"/>
  <c r="F4929" i="1"/>
  <c r="B4930" i="1"/>
  <c r="A4930" i="1"/>
  <c r="F4930" i="1"/>
  <c r="B4931" i="1"/>
  <c r="A4931" i="1"/>
  <c r="F4931" i="1"/>
  <c r="B4932" i="1"/>
  <c r="A4932" i="1"/>
  <c r="F4932" i="1"/>
  <c r="B4933" i="1"/>
  <c r="A4933" i="1"/>
  <c r="F4933" i="1"/>
  <c r="B4934" i="1"/>
  <c r="A4934" i="1"/>
  <c r="F4934" i="1"/>
  <c r="B4935" i="1"/>
  <c r="A4935" i="1"/>
  <c r="F4935" i="1"/>
  <c r="B4936" i="1"/>
  <c r="A4936" i="1"/>
  <c r="F4936" i="1"/>
  <c r="B4937" i="1"/>
  <c r="A4937" i="1"/>
  <c r="F4937" i="1"/>
  <c r="B4938" i="1"/>
  <c r="A4938" i="1"/>
  <c r="F4938" i="1"/>
  <c r="B4939" i="1"/>
  <c r="A4939" i="1"/>
  <c r="F4939" i="1"/>
  <c r="B4940" i="1"/>
  <c r="A4940" i="1"/>
  <c r="F4940" i="1"/>
  <c r="B4941" i="1"/>
  <c r="A4941" i="1"/>
  <c r="F4941" i="1"/>
  <c r="B4942" i="1"/>
  <c r="A4942" i="1"/>
  <c r="F4942" i="1"/>
  <c r="B4943" i="1"/>
  <c r="A4943" i="1"/>
  <c r="F4943" i="1"/>
  <c r="B4944" i="1"/>
  <c r="A4944" i="1"/>
  <c r="F4944" i="1"/>
  <c r="B4945" i="1"/>
  <c r="A4945" i="1"/>
  <c r="F4945" i="1"/>
  <c r="B4946" i="1"/>
  <c r="A4946" i="1"/>
  <c r="F4946" i="1"/>
  <c r="B4947" i="1"/>
  <c r="A4947" i="1"/>
  <c r="F4947" i="1"/>
  <c r="B4948" i="1"/>
  <c r="A4948" i="1"/>
  <c r="F4948" i="1"/>
  <c r="B4949" i="1"/>
  <c r="A4949" i="1"/>
  <c r="F4949" i="1"/>
  <c r="B4950" i="1"/>
  <c r="A4950" i="1"/>
  <c r="F4950" i="1"/>
  <c r="B4951" i="1"/>
  <c r="A4951" i="1"/>
  <c r="F4951" i="1"/>
  <c r="B4952" i="1"/>
  <c r="A4952" i="1"/>
  <c r="F4952" i="1"/>
  <c r="B4953" i="1"/>
  <c r="A4953" i="1"/>
  <c r="F4953" i="1"/>
  <c r="B4954" i="1"/>
  <c r="A4954" i="1"/>
  <c r="F4954" i="1"/>
  <c r="B4955" i="1"/>
  <c r="A4955" i="1"/>
  <c r="F4955" i="1"/>
  <c r="B4956" i="1"/>
  <c r="A4956" i="1"/>
  <c r="F4956" i="1"/>
  <c r="B4957" i="1"/>
  <c r="A4957" i="1"/>
  <c r="F4957" i="1"/>
  <c r="B4958" i="1"/>
  <c r="A4958" i="1"/>
  <c r="F4958" i="1"/>
  <c r="B4959" i="1"/>
  <c r="A4959" i="1"/>
  <c r="F4959" i="1"/>
  <c r="B4960" i="1"/>
  <c r="A4960" i="1"/>
  <c r="F4960" i="1"/>
  <c r="B4961" i="1"/>
  <c r="A4961" i="1"/>
  <c r="F4961" i="1"/>
  <c r="B4962" i="1"/>
  <c r="A4962" i="1"/>
  <c r="F4962" i="1"/>
  <c r="B4963" i="1"/>
  <c r="A4963" i="1"/>
  <c r="F4963" i="1"/>
  <c r="B4964" i="1"/>
  <c r="A4964" i="1"/>
  <c r="F4964" i="1"/>
  <c r="B4965" i="1"/>
  <c r="A4965" i="1"/>
  <c r="F4965" i="1"/>
  <c r="B4966" i="1"/>
  <c r="A4966" i="1"/>
  <c r="F4966" i="1"/>
  <c r="B4967" i="1"/>
  <c r="A4967" i="1"/>
  <c r="F4967" i="1"/>
  <c r="B4968" i="1"/>
  <c r="A4968" i="1"/>
  <c r="F4968" i="1"/>
  <c r="B4969" i="1"/>
  <c r="A4969" i="1"/>
  <c r="F4969" i="1"/>
  <c r="B4970" i="1"/>
  <c r="A4970" i="1"/>
  <c r="F4970" i="1"/>
  <c r="B4971" i="1"/>
  <c r="A4971" i="1"/>
  <c r="F4971" i="1"/>
  <c r="B4972" i="1"/>
  <c r="A4972" i="1"/>
  <c r="F4972" i="1"/>
  <c r="B4973" i="1"/>
  <c r="A4973" i="1"/>
  <c r="F4973" i="1"/>
  <c r="B4974" i="1"/>
  <c r="A4974" i="1"/>
  <c r="F4974" i="1"/>
  <c r="B4975" i="1"/>
  <c r="A4975" i="1"/>
  <c r="F4975" i="1"/>
  <c r="B4976" i="1"/>
  <c r="A4976" i="1"/>
  <c r="F4976" i="1"/>
  <c r="B4977" i="1"/>
  <c r="A4977" i="1"/>
  <c r="F4977" i="1"/>
  <c r="B4978" i="1"/>
  <c r="A4978" i="1"/>
  <c r="F4978" i="1"/>
  <c r="B4979" i="1"/>
  <c r="A4979" i="1"/>
  <c r="F4979" i="1"/>
  <c r="B4980" i="1"/>
  <c r="A4980" i="1"/>
  <c r="F4980" i="1"/>
  <c r="B4981" i="1"/>
  <c r="A4981" i="1"/>
  <c r="F4981" i="1"/>
  <c r="B4982" i="1"/>
  <c r="A4982" i="1"/>
  <c r="F4982" i="1"/>
  <c r="B4983" i="1"/>
  <c r="A4983" i="1"/>
  <c r="F4983" i="1"/>
  <c r="B4984" i="1"/>
  <c r="A4984" i="1"/>
  <c r="F4984" i="1"/>
  <c r="B4985" i="1"/>
  <c r="A4985" i="1"/>
  <c r="F4985" i="1"/>
  <c r="B4986" i="1"/>
  <c r="A4986" i="1"/>
  <c r="F4986" i="1"/>
  <c r="B4987" i="1"/>
  <c r="A4987" i="1"/>
  <c r="F4987" i="1"/>
  <c r="B4988" i="1"/>
  <c r="A4988" i="1"/>
  <c r="F4988" i="1"/>
  <c r="B4989" i="1"/>
  <c r="A4989" i="1"/>
  <c r="F4989" i="1"/>
  <c r="B4990" i="1"/>
  <c r="A4990" i="1"/>
  <c r="F4990" i="1"/>
  <c r="B4991" i="1"/>
  <c r="A4991" i="1"/>
  <c r="F4991" i="1"/>
  <c r="B4992" i="1"/>
  <c r="A4992" i="1"/>
  <c r="F4992" i="1"/>
  <c r="B4993" i="1"/>
  <c r="A4993" i="1"/>
  <c r="F4993" i="1"/>
  <c r="B4994" i="1"/>
  <c r="A4994" i="1"/>
  <c r="F4994" i="1"/>
  <c r="B4995" i="1"/>
  <c r="A4995" i="1"/>
  <c r="F4995" i="1"/>
  <c r="B4996" i="1"/>
  <c r="A4996" i="1"/>
  <c r="F4996" i="1"/>
  <c r="B4997" i="1"/>
  <c r="A4997" i="1"/>
  <c r="F4997" i="1"/>
  <c r="B4998" i="1"/>
  <c r="A4998" i="1"/>
  <c r="F4998" i="1"/>
  <c r="B4999" i="1"/>
  <c r="A4999" i="1"/>
  <c r="F4999" i="1"/>
  <c r="B5000" i="1"/>
  <c r="A5000" i="1"/>
  <c r="F5000" i="1"/>
  <c r="B5001" i="1"/>
  <c r="A5001" i="1"/>
  <c r="F5001" i="1"/>
  <c r="B5002" i="1"/>
  <c r="A5002" i="1"/>
  <c r="F5002" i="1"/>
  <c r="B5003" i="1"/>
  <c r="A5003" i="1"/>
  <c r="F5003" i="1"/>
  <c r="B5004" i="1"/>
  <c r="A5004" i="1"/>
  <c r="F5004" i="1"/>
  <c r="B5005" i="1"/>
  <c r="A5005" i="1"/>
  <c r="F5005" i="1"/>
  <c r="B5006" i="1"/>
  <c r="A5006" i="1"/>
  <c r="F5006" i="1"/>
  <c r="B5007" i="1"/>
  <c r="A5007" i="1"/>
  <c r="F5007" i="1"/>
  <c r="B5008" i="1"/>
  <c r="A5008" i="1"/>
  <c r="F5008" i="1"/>
  <c r="B5009" i="1"/>
  <c r="A5009" i="1"/>
  <c r="F5009" i="1"/>
  <c r="B5010" i="1"/>
  <c r="A5010" i="1"/>
  <c r="F5010" i="1"/>
  <c r="B5011" i="1"/>
  <c r="A5011" i="1"/>
  <c r="F5011" i="1"/>
  <c r="B5012" i="1"/>
  <c r="A5012" i="1"/>
  <c r="F5012" i="1"/>
  <c r="B5013" i="1"/>
  <c r="A5013" i="1"/>
  <c r="F5013" i="1"/>
  <c r="B5014" i="1"/>
  <c r="A5014" i="1"/>
  <c r="F5014" i="1"/>
  <c r="B5015" i="1"/>
  <c r="A5015" i="1"/>
  <c r="F5015" i="1"/>
  <c r="B5016" i="1"/>
  <c r="A5016" i="1"/>
  <c r="F5016" i="1"/>
  <c r="B5017" i="1"/>
  <c r="A5017" i="1"/>
  <c r="F5017" i="1"/>
  <c r="B5018" i="1"/>
  <c r="A5018" i="1"/>
  <c r="F5018" i="1"/>
  <c r="B5019" i="1"/>
  <c r="A5019" i="1"/>
  <c r="F5019" i="1"/>
  <c r="B5020" i="1"/>
  <c r="A5020" i="1"/>
  <c r="F5020" i="1"/>
  <c r="B5021" i="1"/>
  <c r="A5021" i="1"/>
  <c r="F5021" i="1"/>
  <c r="B5022" i="1"/>
  <c r="A5022" i="1"/>
  <c r="F5022" i="1"/>
  <c r="B5023" i="1"/>
  <c r="A5023" i="1"/>
  <c r="F5023" i="1"/>
  <c r="B5024" i="1"/>
  <c r="A5024" i="1"/>
  <c r="F5024" i="1"/>
  <c r="B5025" i="1"/>
  <c r="A5025" i="1"/>
  <c r="F5025" i="1"/>
  <c r="B5026" i="1"/>
  <c r="A5026" i="1"/>
  <c r="F5026" i="1"/>
  <c r="B5027" i="1"/>
  <c r="A5027" i="1"/>
  <c r="F5027" i="1"/>
  <c r="B5028" i="1"/>
  <c r="A5028" i="1"/>
  <c r="F5028" i="1"/>
  <c r="B5029" i="1"/>
  <c r="A5029" i="1"/>
  <c r="F5029" i="1"/>
  <c r="B5030" i="1"/>
  <c r="A5030" i="1"/>
  <c r="F5030" i="1"/>
  <c r="B5031" i="1"/>
  <c r="A5031" i="1"/>
  <c r="F5031" i="1"/>
  <c r="B5032" i="1"/>
  <c r="A5032" i="1"/>
  <c r="F5032" i="1"/>
  <c r="B5033" i="1"/>
  <c r="A5033" i="1"/>
  <c r="F5033" i="1"/>
  <c r="B5034" i="1"/>
  <c r="A5034" i="1"/>
  <c r="F5034" i="1"/>
  <c r="B5035" i="1"/>
  <c r="A5035" i="1"/>
  <c r="F5035" i="1"/>
  <c r="B5036" i="1"/>
  <c r="A5036" i="1"/>
  <c r="F5036" i="1"/>
  <c r="B5037" i="1"/>
  <c r="A5037" i="1"/>
  <c r="F5037" i="1"/>
  <c r="B5038" i="1"/>
  <c r="A5038" i="1"/>
  <c r="F5038" i="1"/>
  <c r="B5039" i="1"/>
  <c r="A5039" i="1"/>
  <c r="F5039" i="1"/>
  <c r="B5040" i="1"/>
  <c r="A5040" i="1"/>
  <c r="F5040" i="1"/>
  <c r="B5041" i="1"/>
  <c r="A5041" i="1"/>
  <c r="F5041" i="1"/>
  <c r="B5042" i="1"/>
  <c r="A5042" i="1"/>
  <c r="F5042" i="1"/>
  <c r="B5043" i="1"/>
  <c r="A5043" i="1"/>
  <c r="F5043" i="1"/>
  <c r="B5044" i="1"/>
  <c r="A5044" i="1"/>
  <c r="F5044" i="1"/>
  <c r="B5045" i="1"/>
  <c r="A5045" i="1"/>
  <c r="F5045" i="1"/>
  <c r="B5046" i="1"/>
  <c r="A5046" i="1"/>
  <c r="F5046" i="1"/>
  <c r="B5047" i="1"/>
  <c r="A5047" i="1"/>
  <c r="F5047" i="1"/>
  <c r="B5048" i="1"/>
  <c r="A5048" i="1"/>
  <c r="F5048" i="1"/>
  <c r="B5049" i="1"/>
  <c r="A5049" i="1"/>
  <c r="F5049" i="1"/>
  <c r="B5050" i="1"/>
  <c r="A5050" i="1"/>
  <c r="F5050" i="1"/>
  <c r="B5051" i="1"/>
  <c r="A5051" i="1"/>
  <c r="F5051" i="1"/>
  <c r="B5052" i="1"/>
  <c r="A5052" i="1"/>
  <c r="F5052" i="1"/>
  <c r="B5053" i="1"/>
  <c r="A5053" i="1"/>
  <c r="F5053" i="1"/>
  <c r="B5054" i="1"/>
  <c r="A5054" i="1"/>
  <c r="F5054" i="1"/>
  <c r="B5055" i="1"/>
  <c r="A5055" i="1"/>
  <c r="F5055" i="1"/>
  <c r="B5056" i="1"/>
  <c r="A5056" i="1"/>
  <c r="F5056" i="1"/>
  <c r="B5057" i="1"/>
  <c r="A5057" i="1"/>
  <c r="F5057" i="1"/>
  <c r="B5058" i="1"/>
  <c r="A5058" i="1"/>
  <c r="F5058" i="1"/>
  <c r="B5059" i="1"/>
  <c r="A5059" i="1"/>
  <c r="F5059" i="1"/>
  <c r="B5060" i="1"/>
  <c r="A5060" i="1"/>
  <c r="F5060" i="1"/>
  <c r="B5061" i="1"/>
  <c r="A5061" i="1"/>
  <c r="F5061" i="1"/>
  <c r="B5062" i="1"/>
  <c r="A5062" i="1"/>
  <c r="F5062" i="1"/>
  <c r="B5063" i="1"/>
  <c r="A5063" i="1"/>
  <c r="F5063" i="1"/>
  <c r="B5064" i="1"/>
  <c r="A5064" i="1"/>
  <c r="F5064" i="1"/>
  <c r="B5065" i="1"/>
  <c r="A5065" i="1"/>
  <c r="F5065" i="1"/>
  <c r="B5066" i="1"/>
  <c r="A5066" i="1"/>
  <c r="F5066" i="1"/>
  <c r="B5067" i="1"/>
  <c r="A5067" i="1"/>
  <c r="F5067" i="1"/>
  <c r="B5068" i="1"/>
  <c r="A5068" i="1"/>
  <c r="F5068" i="1"/>
  <c r="B5069" i="1"/>
  <c r="A5069" i="1"/>
  <c r="F5069" i="1"/>
  <c r="B5070" i="1"/>
  <c r="A5070" i="1"/>
  <c r="F5070" i="1"/>
  <c r="B5071" i="1"/>
  <c r="A5071" i="1"/>
  <c r="F5071" i="1"/>
  <c r="B5072" i="1"/>
  <c r="A5072" i="1"/>
  <c r="F5072" i="1"/>
  <c r="B5073" i="1"/>
  <c r="A5073" i="1"/>
  <c r="F5073" i="1"/>
  <c r="B5074" i="1"/>
  <c r="A5074" i="1"/>
  <c r="F5074" i="1"/>
  <c r="B5075" i="1"/>
  <c r="A5075" i="1"/>
  <c r="F5075" i="1"/>
  <c r="B5076" i="1"/>
  <c r="A5076" i="1"/>
  <c r="F5076" i="1"/>
  <c r="B5077" i="1"/>
  <c r="A5077" i="1"/>
  <c r="F5077" i="1"/>
  <c r="B5078" i="1"/>
  <c r="A5078" i="1"/>
  <c r="F5078" i="1"/>
  <c r="B5079" i="1"/>
  <c r="A5079" i="1"/>
  <c r="F5079" i="1"/>
  <c r="B5080" i="1"/>
  <c r="A5080" i="1"/>
  <c r="F5080" i="1"/>
  <c r="B5081" i="1"/>
  <c r="A5081" i="1"/>
  <c r="F5081" i="1"/>
  <c r="B5082" i="1"/>
  <c r="A5082" i="1"/>
  <c r="F5082" i="1"/>
  <c r="B5083" i="1"/>
  <c r="A5083" i="1"/>
  <c r="F5083" i="1"/>
  <c r="B5084" i="1"/>
  <c r="A5084" i="1"/>
  <c r="F5084" i="1"/>
  <c r="B5085" i="1"/>
  <c r="A5085" i="1"/>
  <c r="F5085" i="1"/>
  <c r="B5086" i="1"/>
  <c r="A5086" i="1"/>
  <c r="F5086" i="1"/>
  <c r="B5087" i="1"/>
  <c r="A5087" i="1"/>
  <c r="F5087" i="1"/>
  <c r="B5088" i="1"/>
  <c r="A5088" i="1"/>
  <c r="F5088" i="1"/>
  <c r="B5089" i="1"/>
  <c r="A5089" i="1"/>
  <c r="F5089" i="1"/>
  <c r="B5090" i="1"/>
  <c r="A5090" i="1"/>
  <c r="F5090" i="1"/>
  <c r="B5091" i="1"/>
  <c r="A5091" i="1"/>
  <c r="F5091" i="1"/>
  <c r="B5092" i="1"/>
  <c r="A5092" i="1"/>
  <c r="F5092" i="1"/>
  <c r="B5093" i="1"/>
  <c r="A5093" i="1"/>
  <c r="F5093" i="1"/>
  <c r="B5094" i="1"/>
  <c r="A5094" i="1"/>
  <c r="F5094" i="1"/>
  <c r="B5095" i="1"/>
  <c r="A5095" i="1"/>
  <c r="F5095" i="1"/>
  <c r="B5096" i="1"/>
  <c r="A5096" i="1"/>
  <c r="F5096" i="1"/>
  <c r="B5097" i="1"/>
  <c r="A5097" i="1"/>
  <c r="F5097" i="1"/>
  <c r="B5098" i="1"/>
  <c r="A5098" i="1"/>
  <c r="F5098" i="1"/>
  <c r="B5099" i="1"/>
  <c r="A5099" i="1"/>
  <c r="F5099" i="1"/>
  <c r="B5100" i="1"/>
  <c r="A5100" i="1"/>
  <c r="F5100" i="1"/>
  <c r="B5101" i="1"/>
  <c r="A5101" i="1"/>
  <c r="F5101" i="1"/>
  <c r="B5102" i="1"/>
  <c r="A5102" i="1"/>
  <c r="F5102" i="1"/>
  <c r="B5103" i="1"/>
  <c r="A5103" i="1"/>
  <c r="F5103" i="1"/>
  <c r="B5104" i="1"/>
  <c r="A5104" i="1"/>
  <c r="F5104" i="1"/>
  <c r="B5105" i="1"/>
  <c r="A5105" i="1"/>
  <c r="F5105" i="1"/>
  <c r="B5106" i="1"/>
  <c r="A5106" i="1"/>
  <c r="F5106" i="1"/>
  <c r="B5107" i="1"/>
  <c r="A5107" i="1"/>
  <c r="F5107" i="1"/>
  <c r="B5108" i="1"/>
  <c r="A5108" i="1"/>
  <c r="F5108" i="1"/>
  <c r="B5109" i="1"/>
  <c r="A5109" i="1"/>
  <c r="F5109" i="1"/>
  <c r="B5110" i="1"/>
  <c r="A5110" i="1"/>
  <c r="F5110" i="1"/>
  <c r="B5111" i="1"/>
  <c r="A5111" i="1"/>
  <c r="F5111" i="1"/>
  <c r="B5112" i="1"/>
  <c r="A5112" i="1"/>
  <c r="F5112" i="1"/>
  <c r="B5113" i="1"/>
  <c r="A5113" i="1"/>
  <c r="F5113" i="1"/>
  <c r="B5114" i="1"/>
  <c r="A5114" i="1"/>
  <c r="F5114" i="1"/>
  <c r="B5115" i="1"/>
  <c r="A5115" i="1"/>
  <c r="F5115" i="1"/>
  <c r="B5116" i="1"/>
  <c r="A5116" i="1"/>
  <c r="F5116" i="1"/>
  <c r="B5117" i="1"/>
  <c r="A5117" i="1"/>
  <c r="F5117" i="1"/>
  <c r="B5118" i="1"/>
  <c r="A5118" i="1"/>
  <c r="F5118" i="1"/>
  <c r="B5119" i="1"/>
  <c r="A5119" i="1"/>
  <c r="F5119" i="1"/>
  <c r="B5120" i="1"/>
  <c r="A5120" i="1"/>
  <c r="F5120" i="1"/>
  <c r="B5121" i="1"/>
  <c r="A5121" i="1"/>
  <c r="F5121" i="1"/>
  <c r="B5122" i="1"/>
  <c r="A5122" i="1"/>
  <c r="F5122" i="1"/>
  <c r="B5123" i="1"/>
  <c r="A5123" i="1"/>
  <c r="F5123" i="1"/>
  <c r="B5124" i="1"/>
  <c r="A5124" i="1"/>
  <c r="F5124" i="1"/>
  <c r="B5125" i="1"/>
  <c r="A5125" i="1"/>
  <c r="F5125" i="1"/>
  <c r="B5126" i="1"/>
  <c r="A5126" i="1"/>
  <c r="F5126" i="1"/>
  <c r="B5127" i="1"/>
  <c r="A5127" i="1"/>
  <c r="F5127" i="1"/>
  <c r="B5128" i="1"/>
  <c r="A5128" i="1"/>
  <c r="F5128" i="1"/>
  <c r="B5129" i="1"/>
  <c r="A5129" i="1"/>
  <c r="F5129" i="1"/>
  <c r="B5130" i="1"/>
  <c r="A5130" i="1"/>
  <c r="F5130" i="1"/>
  <c r="B5131" i="1"/>
  <c r="A5131" i="1"/>
  <c r="F5131" i="1"/>
  <c r="B5132" i="1"/>
  <c r="A5132" i="1"/>
  <c r="F5132" i="1"/>
  <c r="B5133" i="1"/>
  <c r="A5133" i="1"/>
  <c r="F5133" i="1"/>
  <c r="B5134" i="1"/>
  <c r="A5134" i="1"/>
  <c r="F5134" i="1"/>
  <c r="B5135" i="1"/>
  <c r="A5135" i="1"/>
  <c r="F5135" i="1"/>
  <c r="B5136" i="1"/>
  <c r="A5136" i="1"/>
  <c r="F5136" i="1"/>
  <c r="B5137" i="1"/>
  <c r="A5137" i="1"/>
  <c r="F5137" i="1"/>
  <c r="B5138" i="1"/>
  <c r="A5138" i="1"/>
  <c r="F5138" i="1"/>
  <c r="B5139" i="1"/>
  <c r="A5139" i="1"/>
  <c r="F5139" i="1"/>
  <c r="B5140" i="1"/>
  <c r="A5140" i="1"/>
  <c r="F5140" i="1"/>
  <c r="B5141" i="1"/>
  <c r="A5141" i="1"/>
  <c r="F5141" i="1"/>
  <c r="B5142" i="1"/>
  <c r="A5142" i="1"/>
  <c r="F5142" i="1"/>
  <c r="B5143" i="1"/>
  <c r="A5143" i="1"/>
  <c r="F5143" i="1"/>
  <c r="B5144" i="1"/>
  <c r="A5144" i="1"/>
  <c r="F5144" i="1"/>
  <c r="B5145" i="1"/>
  <c r="A5145" i="1"/>
  <c r="F5145" i="1"/>
  <c r="B5146" i="1"/>
  <c r="A5146" i="1"/>
  <c r="F5146" i="1"/>
  <c r="B5147" i="1"/>
  <c r="A5147" i="1"/>
  <c r="F5147" i="1"/>
  <c r="B5148" i="1"/>
  <c r="A5148" i="1"/>
  <c r="F5148" i="1"/>
  <c r="B5149" i="1"/>
  <c r="A5149" i="1"/>
  <c r="F5149" i="1"/>
  <c r="B5150" i="1"/>
  <c r="A5150" i="1"/>
  <c r="F5150" i="1"/>
  <c r="B5151" i="1"/>
  <c r="A5151" i="1"/>
  <c r="F5151" i="1"/>
  <c r="B5152" i="1"/>
  <c r="A5152" i="1"/>
  <c r="F5152" i="1"/>
  <c r="B5153" i="1"/>
  <c r="A5153" i="1"/>
  <c r="F5153" i="1"/>
  <c r="B5154" i="1"/>
  <c r="A5154" i="1"/>
  <c r="F5154" i="1"/>
  <c r="B5155" i="1"/>
  <c r="A5155" i="1"/>
  <c r="F5155" i="1"/>
  <c r="B5156" i="1"/>
  <c r="A5156" i="1"/>
  <c r="F5156" i="1"/>
  <c r="B5157" i="1"/>
  <c r="A5157" i="1"/>
  <c r="F5157" i="1"/>
  <c r="B5158" i="1"/>
  <c r="A5158" i="1"/>
  <c r="F5158" i="1"/>
  <c r="B5159" i="1"/>
  <c r="A5159" i="1"/>
  <c r="F5159" i="1"/>
  <c r="B5160" i="1"/>
  <c r="A5160" i="1"/>
  <c r="F5160" i="1"/>
  <c r="B5161" i="1"/>
  <c r="A5161" i="1"/>
  <c r="F5161" i="1"/>
  <c r="B5162" i="1"/>
  <c r="A5162" i="1"/>
  <c r="F5162" i="1"/>
  <c r="B5163" i="1"/>
  <c r="A5163" i="1"/>
  <c r="F5163" i="1"/>
  <c r="B5164" i="1"/>
  <c r="A5164" i="1"/>
  <c r="F5164" i="1"/>
  <c r="B5165" i="1"/>
  <c r="A5165" i="1"/>
  <c r="F5165" i="1"/>
  <c r="B5166" i="1"/>
  <c r="A5166" i="1"/>
  <c r="F5166" i="1"/>
  <c r="B5167" i="1"/>
  <c r="A5167" i="1"/>
  <c r="F5167" i="1"/>
  <c r="B5168" i="1"/>
  <c r="A5168" i="1"/>
  <c r="F5168" i="1"/>
  <c r="B5169" i="1"/>
  <c r="A5169" i="1"/>
  <c r="F5169" i="1"/>
  <c r="B5170" i="1"/>
  <c r="A5170" i="1"/>
  <c r="F5170" i="1"/>
  <c r="B5171" i="1"/>
  <c r="A5171" i="1"/>
  <c r="F5171" i="1"/>
  <c r="B5172" i="1"/>
  <c r="A5172" i="1"/>
  <c r="F5172" i="1"/>
  <c r="B5173" i="1"/>
  <c r="A5173" i="1"/>
  <c r="F5173" i="1"/>
  <c r="B5174" i="1"/>
  <c r="A5174" i="1"/>
  <c r="F5174" i="1"/>
  <c r="B5175" i="1"/>
  <c r="A5175" i="1"/>
  <c r="F5175" i="1"/>
  <c r="B5176" i="1"/>
  <c r="A5176" i="1"/>
  <c r="F5176" i="1"/>
  <c r="B5177" i="1"/>
  <c r="A5177" i="1"/>
  <c r="F5177" i="1"/>
  <c r="B5178" i="1"/>
  <c r="A5178" i="1"/>
  <c r="F5178" i="1"/>
  <c r="B5179" i="1"/>
  <c r="A5179" i="1"/>
  <c r="F5179" i="1"/>
  <c r="B5180" i="1"/>
  <c r="A5180" i="1"/>
  <c r="F5180" i="1"/>
  <c r="B5181" i="1"/>
  <c r="A5181" i="1"/>
  <c r="F5181" i="1"/>
  <c r="B5182" i="1"/>
  <c r="A5182" i="1"/>
  <c r="F5182" i="1"/>
  <c r="B5183" i="1"/>
  <c r="A5183" i="1"/>
  <c r="F5183" i="1"/>
  <c r="B5184" i="1"/>
  <c r="A5184" i="1"/>
  <c r="F5184" i="1"/>
  <c r="B5185" i="1"/>
  <c r="A5185" i="1"/>
  <c r="F5185" i="1"/>
  <c r="B5186" i="1"/>
  <c r="A5186" i="1"/>
  <c r="F5186" i="1"/>
  <c r="B5187" i="1"/>
  <c r="A5187" i="1"/>
  <c r="F5187" i="1"/>
  <c r="B5188" i="1"/>
  <c r="A5188" i="1"/>
  <c r="F5188" i="1"/>
  <c r="B5189" i="1"/>
  <c r="A5189" i="1"/>
  <c r="F5189" i="1"/>
  <c r="B5190" i="1"/>
  <c r="A5190" i="1"/>
  <c r="F5190" i="1"/>
  <c r="B5191" i="1"/>
  <c r="A5191" i="1"/>
  <c r="F5191" i="1"/>
  <c r="B5192" i="1"/>
  <c r="A5192" i="1"/>
  <c r="F5192" i="1"/>
  <c r="B5193" i="1"/>
  <c r="A5193" i="1"/>
  <c r="F5193" i="1"/>
  <c r="B5194" i="1"/>
  <c r="A5194" i="1"/>
  <c r="F5194" i="1"/>
  <c r="B5195" i="1"/>
  <c r="A5195" i="1"/>
  <c r="F5195" i="1"/>
  <c r="B5196" i="1"/>
  <c r="A5196" i="1"/>
  <c r="F5196" i="1"/>
  <c r="B5197" i="1"/>
  <c r="A5197" i="1"/>
  <c r="F5197" i="1"/>
  <c r="B5198" i="1"/>
  <c r="A5198" i="1"/>
  <c r="F5198" i="1"/>
  <c r="B5199" i="1"/>
  <c r="A5199" i="1"/>
  <c r="F5199" i="1"/>
  <c r="B5200" i="1"/>
  <c r="A5200" i="1"/>
  <c r="F5200" i="1"/>
  <c r="B5201" i="1"/>
  <c r="A5201" i="1"/>
  <c r="F5201" i="1"/>
  <c r="B5202" i="1"/>
  <c r="A5202" i="1"/>
  <c r="F5202" i="1"/>
  <c r="B5203" i="1"/>
  <c r="A5203" i="1"/>
  <c r="F5203" i="1"/>
  <c r="B5204" i="1"/>
  <c r="A5204" i="1"/>
  <c r="F5204" i="1"/>
  <c r="B5205" i="1"/>
  <c r="A5205" i="1"/>
  <c r="F5205" i="1"/>
  <c r="B5206" i="1"/>
  <c r="A5206" i="1"/>
  <c r="F5206" i="1"/>
  <c r="B5207" i="1"/>
  <c r="A5207" i="1"/>
  <c r="F5207" i="1"/>
  <c r="B5208" i="1"/>
  <c r="A5208" i="1"/>
  <c r="F5208" i="1"/>
  <c r="B5209" i="1"/>
  <c r="A5209" i="1"/>
  <c r="F5209" i="1"/>
  <c r="B5210" i="1"/>
  <c r="A5210" i="1"/>
  <c r="F5210" i="1"/>
  <c r="B5211" i="1"/>
  <c r="A5211" i="1"/>
  <c r="F5211" i="1"/>
  <c r="B5212" i="1"/>
  <c r="A5212" i="1"/>
  <c r="F5212" i="1"/>
  <c r="B5213" i="1"/>
  <c r="A5213" i="1"/>
  <c r="F5213" i="1"/>
  <c r="B5214" i="1"/>
  <c r="A5214" i="1"/>
  <c r="F5214" i="1"/>
  <c r="B5215" i="1"/>
  <c r="A5215" i="1"/>
  <c r="F5215" i="1"/>
  <c r="B5216" i="1"/>
  <c r="A5216" i="1"/>
  <c r="F5216" i="1"/>
  <c r="B5217" i="1"/>
  <c r="A5217" i="1"/>
  <c r="F5217" i="1"/>
  <c r="B5218" i="1"/>
  <c r="A5218" i="1"/>
  <c r="F5218" i="1"/>
  <c r="B5219" i="1"/>
  <c r="A5219" i="1"/>
  <c r="F5219" i="1"/>
  <c r="B5220" i="1"/>
  <c r="A5220" i="1"/>
  <c r="F5220" i="1"/>
  <c r="B5221" i="1"/>
  <c r="A5221" i="1"/>
  <c r="F5221" i="1"/>
  <c r="B5222" i="1"/>
  <c r="A5222" i="1"/>
  <c r="F5222" i="1"/>
  <c r="B5223" i="1"/>
  <c r="A5223" i="1"/>
  <c r="F5223" i="1"/>
  <c r="B5224" i="1"/>
  <c r="A5224" i="1"/>
  <c r="F5224" i="1"/>
  <c r="B5225" i="1"/>
  <c r="A5225" i="1"/>
  <c r="F5225" i="1"/>
  <c r="B5226" i="1"/>
  <c r="A5226" i="1"/>
  <c r="F5226" i="1"/>
  <c r="B5227" i="1"/>
  <c r="A5227" i="1"/>
  <c r="F5227" i="1"/>
  <c r="B5228" i="1"/>
  <c r="A5228" i="1"/>
  <c r="F5228" i="1"/>
  <c r="B5229" i="1"/>
  <c r="A5229" i="1"/>
  <c r="F5229" i="1"/>
  <c r="B5230" i="1"/>
  <c r="A5230" i="1"/>
  <c r="F5230" i="1"/>
  <c r="B5231" i="1"/>
  <c r="A5231" i="1"/>
  <c r="F5231" i="1"/>
  <c r="B5232" i="1"/>
  <c r="A5232" i="1"/>
  <c r="F5232" i="1"/>
  <c r="B5233" i="1"/>
  <c r="A5233" i="1"/>
  <c r="F5233" i="1"/>
  <c r="B5234" i="1"/>
  <c r="A5234" i="1"/>
  <c r="F5234" i="1"/>
  <c r="B5235" i="1"/>
  <c r="A5235" i="1"/>
  <c r="F5235" i="1"/>
  <c r="B5236" i="1"/>
  <c r="A5236" i="1"/>
  <c r="F5236" i="1"/>
  <c r="B5237" i="1"/>
  <c r="A5237" i="1"/>
  <c r="F5237" i="1"/>
  <c r="B5238" i="1"/>
  <c r="A5238" i="1"/>
  <c r="F5238" i="1"/>
  <c r="B5239" i="1"/>
  <c r="A5239" i="1"/>
  <c r="F5239" i="1"/>
  <c r="B5240" i="1"/>
  <c r="A5240" i="1"/>
  <c r="F5240" i="1"/>
  <c r="B5241" i="1"/>
  <c r="A5241" i="1"/>
  <c r="F5241" i="1"/>
  <c r="B5242" i="1"/>
  <c r="A5242" i="1"/>
  <c r="F5242" i="1"/>
  <c r="B5243" i="1"/>
  <c r="A5243" i="1"/>
  <c r="F5243" i="1"/>
  <c r="B5244" i="1"/>
  <c r="A5244" i="1"/>
  <c r="F5244" i="1"/>
  <c r="B5245" i="1"/>
  <c r="A5245" i="1"/>
  <c r="F5245" i="1"/>
  <c r="B5246" i="1"/>
  <c r="A5246" i="1"/>
  <c r="F5246" i="1"/>
  <c r="B5247" i="1"/>
  <c r="A5247" i="1"/>
  <c r="F5247" i="1"/>
  <c r="B5248" i="1"/>
  <c r="A5248" i="1"/>
  <c r="F5248" i="1"/>
  <c r="B5249" i="1"/>
  <c r="A5249" i="1"/>
  <c r="F5249" i="1"/>
  <c r="B5250" i="1"/>
  <c r="A5250" i="1"/>
  <c r="F5250" i="1"/>
  <c r="B5251" i="1"/>
  <c r="A5251" i="1"/>
  <c r="F5251" i="1"/>
  <c r="B5252" i="1"/>
  <c r="A5252" i="1"/>
  <c r="F5252" i="1"/>
  <c r="B5253" i="1"/>
  <c r="A5253" i="1"/>
  <c r="F5253" i="1"/>
  <c r="B5254" i="1"/>
  <c r="A5254" i="1"/>
  <c r="F5254" i="1"/>
  <c r="B5255" i="1"/>
  <c r="A5255" i="1"/>
  <c r="F5255" i="1"/>
  <c r="B5256" i="1"/>
  <c r="A5256" i="1"/>
  <c r="F5256" i="1"/>
  <c r="B5257" i="1"/>
  <c r="A5257" i="1"/>
  <c r="F5257" i="1"/>
  <c r="B5258" i="1"/>
  <c r="A5258" i="1"/>
  <c r="F5258" i="1"/>
  <c r="B5259" i="1"/>
  <c r="A5259" i="1"/>
  <c r="F5259" i="1"/>
  <c r="B5260" i="1"/>
  <c r="A5260" i="1"/>
  <c r="F5260" i="1"/>
  <c r="B5261" i="1"/>
  <c r="A5261" i="1"/>
  <c r="F5261" i="1"/>
  <c r="B5262" i="1"/>
  <c r="A5262" i="1"/>
  <c r="F5262" i="1"/>
  <c r="B5263" i="1"/>
  <c r="A5263" i="1"/>
  <c r="F5263" i="1"/>
  <c r="B5264" i="1"/>
  <c r="A5264" i="1"/>
  <c r="F5264" i="1"/>
  <c r="B5265" i="1"/>
  <c r="A5265" i="1"/>
  <c r="F5265" i="1"/>
  <c r="B5266" i="1"/>
  <c r="A5266" i="1"/>
  <c r="F5266" i="1"/>
  <c r="B5267" i="1"/>
  <c r="A5267" i="1"/>
  <c r="F5267" i="1"/>
  <c r="B5268" i="1"/>
  <c r="A5268" i="1"/>
  <c r="F5268" i="1"/>
  <c r="B5269" i="1"/>
  <c r="A5269" i="1"/>
  <c r="F5269" i="1"/>
  <c r="B5270" i="1"/>
  <c r="A5270" i="1"/>
  <c r="F5270" i="1"/>
  <c r="B5271" i="1"/>
  <c r="A5271" i="1"/>
  <c r="F5271" i="1"/>
  <c r="B5272" i="1"/>
  <c r="A5272" i="1"/>
  <c r="F5272" i="1"/>
  <c r="B5273" i="1"/>
  <c r="A5273" i="1"/>
  <c r="F5273" i="1"/>
  <c r="B5274" i="1"/>
  <c r="A5274" i="1"/>
  <c r="F5274" i="1"/>
  <c r="B5275" i="1"/>
  <c r="A5275" i="1"/>
  <c r="F5275" i="1"/>
  <c r="B5276" i="1"/>
  <c r="A5276" i="1"/>
  <c r="F5276" i="1"/>
  <c r="B5277" i="1"/>
  <c r="A5277" i="1"/>
  <c r="F5277" i="1"/>
  <c r="B5278" i="1"/>
  <c r="A5278" i="1"/>
  <c r="F5278" i="1"/>
  <c r="B5279" i="1"/>
  <c r="A5279" i="1"/>
  <c r="F5279" i="1"/>
  <c r="B5280" i="1"/>
  <c r="A5280" i="1"/>
  <c r="F5280" i="1"/>
  <c r="B5281" i="1"/>
  <c r="A5281" i="1"/>
  <c r="F5281" i="1"/>
  <c r="B5282" i="1"/>
  <c r="A5282" i="1"/>
  <c r="F5282" i="1"/>
  <c r="B5283" i="1"/>
  <c r="A5283" i="1"/>
  <c r="F5283" i="1"/>
  <c r="B5284" i="1"/>
  <c r="A5284" i="1"/>
  <c r="F5284" i="1"/>
  <c r="B5285" i="1"/>
  <c r="A5285" i="1"/>
  <c r="F5285" i="1"/>
  <c r="B5286" i="1"/>
  <c r="A5286" i="1"/>
  <c r="F5286" i="1"/>
  <c r="B5287" i="1"/>
  <c r="A5287" i="1"/>
  <c r="F5287" i="1"/>
  <c r="B5288" i="1"/>
  <c r="A5288" i="1"/>
  <c r="F5288" i="1"/>
  <c r="B5289" i="1"/>
  <c r="A5289" i="1"/>
  <c r="F5289" i="1"/>
  <c r="B5290" i="1"/>
  <c r="A5290" i="1"/>
  <c r="F5290" i="1"/>
  <c r="B5291" i="1"/>
  <c r="A5291" i="1"/>
  <c r="F5291" i="1"/>
  <c r="B5292" i="1"/>
  <c r="A5292" i="1"/>
  <c r="F5292" i="1"/>
  <c r="B5293" i="1"/>
  <c r="A5293" i="1"/>
  <c r="F5293" i="1"/>
  <c r="B5294" i="1"/>
  <c r="A5294" i="1"/>
  <c r="F5294" i="1"/>
  <c r="B5295" i="1"/>
  <c r="A5295" i="1"/>
  <c r="F5295" i="1"/>
  <c r="B5296" i="1"/>
  <c r="A5296" i="1"/>
  <c r="F5296" i="1"/>
  <c r="B5297" i="1"/>
  <c r="A5297" i="1"/>
  <c r="F5297" i="1"/>
  <c r="B5298" i="1"/>
  <c r="A5298" i="1"/>
  <c r="F5298" i="1"/>
  <c r="B5299" i="1"/>
  <c r="A5299" i="1"/>
  <c r="F5299" i="1"/>
  <c r="B5300" i="1"/>
  <c r="A5300" i="1"/>
  <c r="F5300" i="1"/>
  <c r="B5301" i="1"/>
  <c r="A5301" i="1"/>
  <c r="F5301" i="1"/>
  <c r="B5302" i="1"/>
  <c r="A5302" i="1"/>
  <c r="F5302" i="1"/>
  <c r="B5303" i="1"/>
  <c r="A5303" i="1"/>
  <c r="F5303" i="1"/>
  <c r="B5304" i="1"/>
  <c r="A5304" i="1"/>
  <c r="F5304" i="1"/>
  <c r="B5305" i="1"/>
  <c r="A5305" i="1"/>
  <c r="F5305" i="1"/>
  <c r="B5306" i="1"/>
  <c r="A5306" i="1"/>
  <c r="F5306" i="1"/>
  <c r="B5307" i="1"/>
  <c r="A5307" i="1"/>
  <c r="F5307" i="1"/>
  <c r="B5308" i="1"/>
  <c r="A5308" i="1"/>
  <c r="F5308" i="1"/>
  <c r="B5309" i="1"/>
  <c r="A5309" i="1"/>
  <c r="F5309" i="1"/>
  <c r="B5310" i="1"/>
  <c r="A5310" i="1"/>
  <c r="F5310" i="1"/>
  <c r="B5311" i="1"/>
  <c r="A5311" i="1"/>
  <c r="F5311" i="1"/>
  <c r="B5312" i="1"/>
  <c r="A5312" i="1"/>
  <c r="F5312" i="1"/>
  <c r="B5313" i="1"/>
  <c r="A5313" i="1"/>
  <c r="F5313" i="1"/>
  <c r="B5314" i="1"/>
  <c r="A5314" i="1"/>
  <c r="F5314" i="1"/>
  <c r="B5315" i="1"/>
  <c r="A5315" i="1"/>
  <c r="F5315" i="1"/>
  <c r="B5316" i="1"/>
  <c r="A5316" i="1"/>
  <c r="F5316" i="1"/>
  <c r="B5317" i="1"/>
  <c r="A5317" i="1"/>
  <c r="F5317" i="1"/>
  <c r="B5318" i="1"/>
  <c r="A5318" i="1"/>
  <c r="F5318" i="1"/>
  <c r="B5319" i="1"/>
  <c r="A5319" i="1"/>
  <c r="F5319" i="1"/>
  <c r="B5320" i="1"/>
  <c r="A5320" i="1"/>
  <c r="F5320" i="1"/>
  <c r="B5321" i="1"/>
  <c r="A5321" i="1"/>
  <c r="F5321" i="1"/>
  <c r="B5322" i="1"/>
  <c r="A5322" i="1"/>
  <c r="F5322" i="1"/>
  <c r="B5323" i="1"/>
  <c r="A5323" i="1"/>
  <c r="F5323" i="1"/>
  <c r="B5324" i="1"/>
  <c r="A5324" i="1"/>
  <c r="F5324" i="1"/>
  <c r="B5325" i="1"/>
  <c r="A5325" i="1"/>
  <c r="F5325" i="1"/>
  <c r="B5326" i="1"/>
  <c r="A5326" i="1"/>
  <c r="F5326" i="1"/>
  <c r="B5327" i="1"/>
  <c r="A5327" i="1"/>
  <c r="F5327" i="1"/>
  <c r="B5328" i="1"/>
  <c r="A5328" i="1"/>
  <c r="F5328" i="1"/>
  <c r="B5329" i="1"/>
  <c r="A5329" i="1"/>
  <c r="F5329" i="1"/>
  <c r="B5330" i="1"/>
  <c r="A5330" i="1"/>
  <c r="F5330" i="1"/>
  <c r="B5331" i="1"/>
  <c r="A5331" i="1"/>
  <c r="F5331" i="1"/>
  <c r="B5332" i="1"/>
  <c r="A5332" i="1"/>
  <c r="F5332" i="1"/>
  <c r="B5333" i="1"/>
  <c r="A5333" i="1"/>
  <c r="F5333" i="1"/>
  <c r="B5334" i="1"/>
  <c r="A5334" i="1"/>
  <c r="F5334" i="1"/>
  <c r="B5335" i="1"/>
  <c r="A5335" i="1"/>
  <c r="F5335" i="1"/>
  <c r="B5336" i="1"/>
  <c r="A5336" i="1"/>
  <c r="F5336" i="1"/>
  <c r="B5337" i="1"/>
  <c r="A5337" i="1"/>
  <c r="F5337" i="1"/>
  <c r="B5338" i="1"/>
  <c r="A5338" i="1"/>
  <c r="F5338" i="1"/>
  <c r="B5339" i="1"/>
  <c r="A5339" i="1"/>
  <c r="F5339" i="1"/>
  <c r="B5340" i="1"/>
  <c r="A5340" i="1"/>
  <c r="F5340" i="1"/>
  <c r="B5341" i="1"/>
  <c r="A5341" i="1"/>
  <c r="F5341" i="1"/>
  <c r="B5342" i="1"/>
  <c r="A5342" i="1"/>
  <c r="F5342" i="1"/>
  <c r="B5343" i="1"/>
  <c r="A5343" i="1"/>
  <c r="F5343" i="1"/>
  <c r="B5344" i="1"/>
  <c r="A5344" i="1"/>
  <c r="F5344" i="1"/>
  <c r="B5345" i="1"/>
  <c r="A5345" i="1"/>
  <c r="F5345" i="1"/>
  <c r="B5346" i="1"/>
  <c r="A5346" i="1"/>
  <c r="F5346" i="1"/>
  <c r="B5347" i="1"/>
  <c r="A5347" i="1"/>
  <c r="F5347" i="1"/>
  <c r="B5348" i="1"/>
  <c r="A5348" i="1"/>
  <c r="F5348" i="1"/>
  <c r="B5349" i="1"/>
  <c r="A5349" i="1"/>
  <c r="F5349" i="1"/>
  <c r="B5350" i="1"/>
  <c r="A5350" i="1"/>
  <c r="F5350" i="1"/>
  <c r="B5351" i="1"/>
  <c r="A5351" i="1"/>
  <c r="F5351" i="1"/>
  <c r="B5352" i="1"/>
  <c r="A5352" i="1"/>
  <c r="F5352" i="1"/>
  <c r="B5353" i="1"/>
  <c r="A5353" i="1"/>
  <c r="F5353" i="1"/>
  <c r="B5354" i="1"/>
  <c r="A5354" i="1"/>
  <c r="F5354" i="1"/>
  <c r="B5355" i="1"/>
  <c r="A5355" i="1"/>
  <c r="F5355" i="1"/>
  <c r="B5356" i="1"/>
  <c r="A5356" i="1"/>
  <c r="F5356" i="1"/>
  <c r="B5357" i="1"/>
  <c r="A5357" i="1"/>
  <c r="F5357" i="1"/>
  <c r="B5358" i="1"/>
  <c r="A5358" i="1"/>
  <c r="F5358" i="1"/>
  <c r="B5359" i="1"/>
  <c r="A5359" i="1"/>
  <c r="F5359" i="1"/>
  <c r="B5360" i="1"/>
  <c r="A5360" i="1"/>
  <c r="F5360" i="1"/>
  <c r="B5361" i="1"/>
  <c r="A5361" i="1"/>
  <c r="F5361" i="1"/>
  <c r="B5362" i="1"/>
  <c r="A5362" i="1"/>
  <c r="F5362" i="1"/>
  <c r="B5363" i="1"/>
  <c r="A5363" i="1"/>
  <c r="F5363" i="1"/>
  <c r="B5364" i="1"/>
  <c r="A5364" i="1"/>
  <c r="F5364" i="1"/>
  <c r="B5365" i="1"/>
  <c r="A5365" i="1"/>
  <c r="F5365" i="1"/>
  <c r="B5366" i="1"/>
  <c r="A5366" i="1"/>
  <c r="F5366" i="1"/>
  <c r="B5367" i="1"/>
  <c r="A5367" i="1"/>
  <c r="F5367" i="1"/>
  <c r="B5368" i="1"/>
  <c r="A5368" i="1"/>
  <c r="F5368" i="1"/>
  <c r="B5369" i="1"/>
  <c r="A5369" i="1"/>
  <c r="F5369" i="1"/>
  <c r="B5370" i="1"/>
  <c r="A5370" i="1"/>
  <c r="F5370" i="1"/>
  <c r="B5371" i="1"/>
  <c r="A5371" i="1"/>
  <c r="F5371" i="1"/>
  <c r="B5372" i="1"/>
  <c r="A5372" i="1"/>
  <c r="F5372" i="1"/>
  <c r="B5373" i="1"/>
  <c r="A5373" i="1"/>
  <c r="F5373" i="1"/>
  <c r="B5374" i="1"/>
  <c r="A5374" i="1"/>
  <c r="F5374" i="1"/>
  <c r="B5375" i="1"/>
  <c r="A5375" i="1"/>
  <c r="F5375" i="1"/>
  <c r="B5376" i="1"/>
  <c r="A5376" i="1"/>
  <c r="F5376" i="1"/>
  <c r="B5377" i="1"/>
  <c r="A5377" i="1"/>
  <c r="F5377" i="1"/>
  <c r="B5378" i="1"/>
  <c r="A5378" i="1"/>
  <c r="F5378" i="1"/>
  <c r="B5379" i="1"/>
  <c r="A5379" i="1"/>
  <c r="F5379" i="1"/>
  <c r="B5380" i="1"/>
  <c r="A5380" i="1"/>
  <c r="F5380" i="1"/>
  <c r="B5381" i="1"/>
  <c r="A5381" i="1"/>
  <c r="F5381" i="1"/>
  <c r="B5382" i="1"/>
  <c r="A5382" i="1"/>
  <c r="F5382" i="1"/>
  <c r="B5383" i="1"/>
  <c r="A5383" i="1"/>
  <c r="F5383" i="1"/>
  <c r="B5384" i="1"/>
  <c r="A5384" i="1"/>
  <c r="F5384" i="1"/>
  <c r="B5385" i="1"/>
  <c r="A5385" i="1"/>
  <c r="F5385" i="1"/>
  <c r="B5386" i="1"/>
  <c r="A5386" i="1"/>
  <c r="F5386" i="1"/>
  <c r="B5387" i="1"/>
  <c r="A5387" i="1"/>
  <c r="F5387" i="1"/>
  <c r="B5388" i="1"/>
  <c r="A5388" i="1"/>
  <c r="F5388" i="1"/>
  <c r="B5389" i="1"/>
  <c r="A5389" i="1"/>
  <c r="F5389" i="1"/>
  <c r="B5390" i="1"/>
  <c r="A5390" i="1"/>
  <c r="F5390" i="1"/>
  <c r="B5391" i="1"/>
  <c r="A5391" i="1"/>
  <c r="F5391" i="1"/>
  <c r="B5392" i="1"/>
  <c r="A5392" i="1"/>
  <c r="F5392" i="1"/>
  <c r="B5393" i="1"/>
  <c r="A5393" i="1"/>
  <c r="F5393" i="1"/>
  <c r="B5394" i="1"/>
  <c r="A5394" i="1"/>
  <c r="F5394" i="1"/>
  <c r="B5395" i="1"/>
  <c r="A5395" i="1"/>
  <c r="F5395" i="1"/>
  <c r="B5396" i="1"/>
  <c r="A5396" i="1"/>
  <c r="F5396" i="1"/>
  <c r="B5397" i="1"/>
  <c r="A5397" i="1"/>
  <c r="F5397" i="1"/>
  <c r="B5398" i="1"/>
  <c r="A5398" i="1"/>
  <c r="F5398" i="1"/>
  <c r="B5399" i="1"/>
  <c r="A5399" i="1"/>
  <c r="F5399" i="1"/>
  <c r="B5400" i="1"/>
  <c r="A5400" i="1"/>
  <c r="F5400" i="1"/>
  <c r="B5401" i="1"/>
  <c r="A5401" i="1"/>
  <c r="F5401" i="1"/>
  <c r="B5402" i="1"/>
  <c r="A5402" i="1"/>
  <c r="F5402" i="1"/>
  <c r="B5403" i="1"/>
  <c r="A5403" i="1"/>
  <c r="F5403" i="1"/>
  <c r="B5404" i="1"/>
  <c r="A5404" i="1"/>
  <c r="F5404" i="1"/>
  <c r="B5405" i="1"/>
  <c r="A5405" i="1"/>
  <c r="F5405" i="1"/>
  <c r="B5406" i="1"/>
  <c r="A5406" i="1"/>
  <c r="F5406" i="1"/>
  <c r="B5407" i="1"/>
  <c r="A5407" i="1"/>
  <c r="F5407" i="1"/>
  <c r="B5408" i="1"/>
  <c r="A5408" i="1"/>
  <c r="F5408" i="1"/>
  <c r="B5409" i="1"/>
  <c r="A5409" i="1"/>
  <c r="F5409" i="1"/>
  <c r="B5410" i="1"/>
  <c r="A5410" i="1"/>
  <c r="F5410" i="1"/>
  <c r="B5411" i="1"/>
  <c r="A5411" i="1"/>
  <c r="F5411" i="1"/>
  <c r="B5412" i="1"/>
  <c r="A5412" i="1"/>
  <c r="F5412" i="1"/>
  <c r="B5413" i="1"/>
  <c r="A5413" i="1"/>
  <c r="F5413" i="1"/>
  <c r="B5414" i="1"/>
  <c r="A5414" i="1"/>
  <c r="F5414" i="1"/>
  <c r="B5415" i="1"/>
  <c r="A5415" i="1"/>
  <c r="F5415" i="1"/>
  <c r="B5416" i="1"/>
  <c r="A5416" i="1"/>
  <c r="F5416" i="1"/>
  <c r="B5417" i="1"/>
  <c r="A5417" i="1"/>
  <c r="F5417" i="1"/>
  <c r="B5418" i="1"/>
  <c r="A5418" i="1"/>
  <c r="F5418" i="1"/>
  <c r="B5419" i="1"/>
  <c r="A5419" i="1"/>
  <c r="F5419" i="1"/>
  <c r="B5420" i="1"/>
  <c r="A5420" i="1"/>
  <c r="F5420" i="1"/>
  <c r="B5421" i="1"/>
  <c r="A5421" i="1"/>
  <c r="F5421" i="1"/>
  <c r="B5422" i="1"/>
  <c r="A5422" i="1"/>
  <c r="F5422" i="1"/>
  <c r="B5423" i="1"/>
  <c r="A5423" i="1"/>
  <c r="F5423" i="1"/>
  <c r="B5424" i="1"/>
  <c r="A5424" i="1"/>
  <c r="F5424" i="1"/>
  <c r="B5425" i="1"/>
  <c r="A5425" i="1"/>
  <c r="F5425" i="1"/>
  <c r="B5426" i="1"/>
  <c r="A5426" i="1"/>
  <c r="F5426" i="1"/>
  <c r="B5427" i="1"/>
  <c r="A5427" i="1"/>
  <c r="F5427" i="1"/>
  <c r="B5428" i="1"/>
  <c r="A5428" i="1"/>
  <c r="F5428" i="1"/>
  <c r="B5429" i="1"/>
  <c r="A5429" i="1"/>
  <c r="F5429" i="1"/>
  <c r="B5430" i="1"/>
  <c r="A5430" i="1"/>
  <c r="F5430" i="1"/>
  <c r="B5431" i="1"/>
  <c r="A5431" i="1"/>
  <c r="F5431" i="1"/>
  <c r="B5432" i="1"/>
  <c r="A5432" i="1"/>
  <c r="F5432" i="1"/>
  <c r="B5433" i="1"/>
  <c r="A5433" i="1"/>
  <c r="F5433" i="1"/>
  <c r="B5434" i="1"/>
  <c r="A5434" i="1"/>
  <c r="F5434" i="1"/>
  <c r="B5435" i="1"/>
  <c r="A5435" i="1"/>
  <c r="F5435" i="1"/>
  <c r="B5436" i="1"/>
  <c r="A5436" i="1"/>
  <c r="F5436" i="1"/>
  <c r="B5437" i="1"/>
  <c r="A5437" i="1"/>
  <c r="F5437" i="1"/>
  <c r="B5438" i="1"/>
  <c r="A5438" i="1"/>
  <c r="F5438" i="1"/>
  <c r="B5439" i="1"/>
  <c r="A5439" i="1"/>
  <c r="F5439" i="1"/>
  <c r="B5440" i="1"/>
  <c r="A5440" i="1"/>
  <c r="F5440" i="1"/>
  <c r="B5441" i="1"/>
  <c r="A5441" i="1"/>
  <c r="F5441" i="1"/>
  <c r="B5442" i="1"/>
  <c r="A5442" i="1"/>
  <c r="F5442" i="1"/>
  <c r="B5443" i="1"/>
  <c r="A5443" i="1"/>
  <c r="F5443" i="1"/>
  <c r="B5444" i="1"/>
  <c r="A5444" i="1"/>
  <c r="F5444" i="1"/>
  <c r="B5445" i="1"/>
  <c r="A5445" i="1"/>
  <c r="F5445" i="1"/>
  <c r="B5446" i="1"/>
  <c r="A5446" i="1"/>
  <c r="F5446" i="1"/>
  <c r="B5447" i="1"/>
  <c r="A5447" i="1"/>
  <c r="F5447" i="1"/>
  <c r="B5448" i="1"/>
  <c r="A5448" i="1"/>
  <c r="F5448" i="1"/>
  <c r="B5449" i="1"/>
  <c r="A5449" i="1"/>
  <c r="F5449" i="1"/>
  <c r="B5450" i="1"/>
  <c r="A5450" i="1"/>
  <c r="F5450" i="1"/>
  <c r="B5451" i="1"/>
  <c r="A5451" i="1"/>
  <c r="F5451" i="1"/>
  <c r="B5452" i="1"/>
  <c r="A5452" i="1"/>
  <c r="F5452" i="1"/>
  <c r="B5453" i="1"/>
  <c r="A5453" i="1"/>
  <c r="F5453" i="1"/>
  <c r="B5454" i="1"/>
  <c r="A5454" i="1"/>
  <c r="F5454" i="1"/>
  <c r="B5455" i="1"/>
  <c r="A5455" i="1"/>
  <c r="F5455" i="1"/>
  <c r="B5456" i="1"/>
  <c r="A5456" i="1"/>
  <c r="F5456" i="1"/>
  <c r="B5457" i="1"/>
  <c r="A5457" i="1"/>
  <c r="F5457" i="1"/>
  <c r="B5458" i="1"/>
  <c r="A5458" i="1"/>
  <c r="F5458" i="1"/>
  <c r="B5459" i="1"/>
  <c r="A5459" i="1"/>
  <c r="F5459" i="1"/>
  <c r="B5460" i="1"/>
  <c r="A5460" i="1"/>
  <c r="F5460" i="1"/>
  <c r="B5461" i="1"/>
  <c r="A5461" i="1"/>
  <c r="F5461" i="1"/>
  <c r="B5462" i="1"/>
  <c r="A5462" i="1"/>
  <c r="F5462" i="1"/>
  <c r="B5463" i="1"/>
  <c r="A5463" i="1"/>
  <c r="F5463" i="1"/>
  <c r="B5464" i="1"/>
  <c r="A5464" i="1"/>
  <c r="F5464" i="1"/>
  <c r="B5465" i="1"/>
  <c r="A5465" i="1"/>
  <c r="F5465" i="1"/>
  <c r="B5466" i="1"/>
  <c r="A5466" i="1"/>
  <c r="F5466" i="1"/>
  <c r="B5467" i="1"/>
  <c r="A5467" i="1"/>
  <c r="F5467" i="1"/>
  <c r="B5468" i="1"/>
  <c r="A5468" i="1"/>
  <c r="F5468" i="1"/>
  <c r="B5469" i="1"/>
  <c r="A5469" i="1"/>
  <c r="F5469" i="1"/>
  <c r="B5470" i="1"/>
  <c r="A5470" i="1"/>
  <c r="F5470" i="1"/>
  <c r="B5471" i="1"/>
  <c r="A5471" i="1"/>
  <c r="F5471" i="1"/>
  <c r="B5472" i="1"/>
  <c r="A5472" i="1"/>
  <c r="F5472" i="1"/>
  <c r="B5473" i="1"/>
  <c r="A5473" i="1"/>
  <c r="F5473" i="1"/>
  <c r="B5474" i="1"/>
  <c r="A5474" i="1"/>
  <c r="F5474" i="1"/>
  <c r="B5475" i="1"/>
  <c r="A5475" i="1"/>
  <c r="F5475" i="1"/>
  <c r="B5476" i="1"/>
  <c r="A5476" i="1"/>
  <c r="F5476" i="1"/>
  <c r="B5477" i="1"/>
  <c r="A5477" i="1"/>
  <c r="F5477" i="1"/>
  <c r="B5478" i="1"/>
  <c r="A5478" i="1"/>
  <c r="F5478" i="1"/>
  <c r="B5479" i="1"/>
  <c r="A5479" i="1"/>
  <c r="F5479" i="1"/>
  <c r="B5480" i="1"/>
  <c r="A5480" i="1"/>
  <c r="F5480" i="1"/>
  <c r="B5481" i="1"/>
  <c r="A5481" i="1"/>
  <c r="F5481" i="1"/>
  <c r="B5482" i="1"/>
  <c r="A5482" i="1"/>
  <c r="F5482" i="1"/>
  <c r="B5483" i="1"/>
  <c r="A5483" i="1"/>
  <c r="F5483" i="1"/>
  <c r="B5484" i="1"/>
  <c r="A5484" i="1"/>
  <c r="F5484" i="1"/>
  <c r="B5485" i="1"/>
  <c r="A5485" i="1"/>
  <c r="F5485" i="1"/>
  <c r="B5486" i="1"/>
  <c r="A5486" i="1"/>
  <c r="F5486" i="1"/>
  <c r="B5487" i="1"/>
  <c r="A5487" i="1"/>
  <c r="F5487" i="1"/>
  <c r="B5488" i="1"/>
  <c r="A5488" i="1"/>
  <c r="F5488" i="1"/>
  <c r="B5489" i="1"/>
  <c r="A5489" i="1"/>
  <c r="F5489" i="1"/>
  <c r="B5490" i="1"/>
  <c r="A5490" i="1"/>
  <c r="F5490" i="1"/>
  <c r="B5491" i="1"/>
  <c r="A5491" i="1"/>
  <c r="F5491" i="1"/>
  <c r="B5492" i="1"/>
  <c r="A5492" i="1"/>
  <c r="F5492" i="1"/>
  <c r="B5493" i="1"/>
  <c r="A5493" i="1"/>
  <c r="F5493" i="1"/>
  <c r="B5494" i="1"/>
  <c r="A5494" i="1"/>
  <c r="F5494" i="1"/>
  <c r="B5495" i="1"/>
  <c r="A5495" i="1"/>
  <c r="F5495" i="1"/>
  <c r="B5496" i="1"/>
  <c r="A5496" i="1"/>
  <c r="F5496" i="1"/>
  <c r="B5497" i="1"/>
  <c r="A5497" i="1"/>
  <c r="F5497" i="1"/>
  <c r="B5498" i="1"/>
  <c r="A5498" i="1"/>
  <c r="F5498" i="1"/>
  <c r="B5499" i="1"/>
  <c r="A5499" i="1"/>
  <c r="F5499" i="1"/>
  <c r="B5500" i="1"/>
  <c r="A5500" i="1"/>
  <c r="F5500" i="1"/>
  <c r="B5501" i="1"/>
  <c r="A5501" i="1"/>
  <c r="F5501" i="1"/>
  <c r="B5502" i="1"/>
  <c r="A5502" i="1"/>
  <c r="F5502" i="1"/>
  <c r="B5503" i="1"/>
  <c r="A5503" i="1"/>
  <c r="F5503" i="1"/>
  <c r="B5504" i="1"/>
  <c r="A5504" i="1"/>
  <c r="F5504" i="1"/>
  <c r="B5505" i="1"/>
  <c r="A5505" i="1"/>
  <c r="F5505" i="1"/>
  <c r="B5506" i="1"/>
  <c r="A5506" i="1"/>
  <c r="F5506" i="1"/>
  <c r="B5507" i="1"/>
  <c r="A5507" i="1"/>
  <c r="F5507" i="1"/>
  <c r="B5508" i="1"/>
  <c r="A5508" i="1"/>
  <c r="F5508" i="1"/>
  <c r="B5509" i="1"/>
  <c r="A5509" i="1"/>
  <c r="F5509" i="1"/>
  <c r="B5510" i="1"/>
  <c r="A5510" i="1"/>
  <c r="F5510" i="1"/>
  <c r="B5511" i="1"/>
  <c r="A5511" i="1"/>
  <c r="F5511" i="1"/>
  <c r="B5512" i="1"/>
  <c r="A5512" i="1"/>
  <c r="F5512" i="1"/>
  <c r="B5513" i="1"/>
  <c r="A5513" i="1"/>
  <c r="F5513" i="1"/>
  <c r="B5514" i="1"/>
  <c r="A5514" i="1"/>
  <c r="F5514" i="1"/>
  <c r="B5515" i="1"/>
  <c r="A5515" i="1"/>
  <c r="F5515" i="1"/>
  <c r="B5516" i="1"/>
  <c r="A5516" i="1"/>
  <c r="F5516" i="1"/>
  <c r="B5517" i="1"/>
  <c r="A5517" i="1"/>
  <c r="F5517" i="1"/>
  <c r="B5518" i="1"/>
  <c r="A5518" i="1"/>
  <c r="F5518" i="1"/>
  <c r="B5519" i="1"/>
  <c r="A5519" i="1"/>
  <c r="F5519" i="1"/>
  <c r="B5520" i="1"/>
  <c r="A5520" i="1"/>
  <c r="F5520" i="1"/>
  <c r="B5521" i="1"/>
  <c r="A5521" i="1"/>
  <c r="F5521" i="1"/>
  <c r="B5522" i="1"/>
  <c r="A5522" i="1"/>
  <c r="F5522" i="1"/>
  <c r="B5523" i="1"/>
  <c r="A5523" i="1"/>
  <c r="F5523" i="1"/>
  <c r="B5524" i="1"/>
  <c r="A5524" i="1"/>
  <c r="F5524" i="1"/>
  <c r="B5525" i="1"/>
  <c r="A5525" i="1"/>
  <c r="F5525" i="1"/>
  <c r="B5526" i="1"/>
  <c r="A5526" i="1"/>
  <c r="F5526" i="1"/>
  <c r="B5527" i="1"/>
  <c r="A5527" i="1"/>
  <c r="F5527" i="1"/>
  <c r="B5528" i="1"/>
  <c r="A5528" i="1"/>
  <c r="F5528" i="1"/>
  <c r="B5529" i="1"/>
  <c r="A5529" i="1"/>
  <c r="F5529" i="1"/>
  <c r="B5530" i="1"/>
  <c r="A5530" i="1"/>
  <c r="F5530" i="1"/>
  <c r="B5531" i="1"/>
  <c r="A5531" i="1"/>
  <c r="F5531" i="1"/>
  <c r="B5532" i="1"/>
  <c r="A5532" i="1"/>
  <c r="F5532" i="1"/>
  <c r="B5533" i="1"/>
  <c r="A5533" i="1"/>
  <c r="F5533" i="1"/>
  <c r="B5534" i="1"/>
  <c r="A5534" i="1"/>
  <c r="F5534" i="1"/>
  <c r="B5535" i="1"/>
  <c r="A5535" i="1"/>
  <c r="F5535" i="1"/>
  <c r="B5536" i="1"/>
  <c r="A5536" i="1"/>
  <c r="F5536" i="1"/>
  <c r="B5537" i="1"/>
  <c r="A5537" i="1"/>
  <c r="F5537" i="1"/>
  <c r="B5538" i="1"/>
  <c r="A5538" i="1"/>
  <c r="F5538" i="1"/>
  <c r="B5539" i="1"/>
  <c r="A5539" i="1"/>
  <c r="F5539" i="1"/>
  <c r="B5540" i="1"/>
  <c r="A5540" i="1"/>
  <c r="F5540" i="1"/>
  <c r="B5541" i="1"/>
  <c r="A5541" i="1"/>
  <c r="F5541" i="1"/>
  <c r="B5542" i="1"/>
  <c r="A5542" i="1"/>
  <c r="F5542" i="1"/>
  <c r="B5543" i="1"/>
  <c r="A5543" i="1"/>
  <c r="F5543" i="1"/>
  <c r="B5544" i="1"/>
  <c r="A5544" i="1"/>
  <c r="F5544" i="1"/>
  <c r="B5545" i="1"/>
  <c r="A5545" i="1"/>
  <c r="F5545" i="1"/>
  <c r="B5546" i="1"/>
  <c r="A5546" i="1"/>
  <c r="F5546" i="1"/>
  <c r="B5547" i="1"/>
  <c r="A5547" i="1"/>
  <c r="F5547" i="1"/>
  <c r="B5548" i="1"/>
  <c r="A5548" i="1"/>
  <c r="F5548" i="1"/>
  <c r="B5549" i="1"/>
  <c r="A5549" i="1"/>
  <c r="F5549" i="1"/>
  <c r="B5550" i="1"/>
  <c r="A5550" i="1"/>
  <c r="F5550" i="1"/>
  <c r="B5551" i="1"/>
  <c r="A5551" i="1"/>
  <c r="F5551" i="1"/>
  <c r="B5552" i="1"/>
  <c r="A5552" i="1"/>
  <c r="F5552" i="1"/>
  <c r="B5553" i="1"/>
  <c r="A5553" i="1"/>
  <c r="F5553" i="1"/>
  <c r="B5554" i="1"/>
  <c r="A5554" i="1"/>
  <c r="F5554" i="1"/>
  <c r="B5555" i="1"/>
  <c r="A5555" i="1"/>
  <c r="F5555" i="1"/>
  <c r="B5556" i="1"/>
  <c r="A5556" i="1"/>
  <c r="F5556" i="1"/>
  <c r="B5557" i="1"/>
  <c r="A5557" i="1"/>
  <c r="F5557" i="1"/>
  <c r="B5558" i="1"/>
  <c r="A5558" i="1"/>
  <c r="F5558" i="1"/>
  <c r="B5559" i="1"/>
  <c r="A5559" i="1"/>
  <c r="F5559" i="1"/>
  <c r="B5560" i="1"/>
  <c r="A5560" i="1"/>
  <c r="F5560" i="1"/>
  <c r="B5561" i="1"/>
  <c r="A5561" i="1"/>
  <c r="F5561" i="1"/>
  <c r="B5562" i="1"/>
  <c r="A5562" i="1"/>
  <c r="F5562" i="1"/>
  <c r="B5563" i="1"/>
  <c r="A5563" i="1"/>
  <c r="F5563" i="1"/>
  <c r="B5564" i="1"/>
  <c r="A5564" i="1"/>
  <c r="F5564" i="1"/>
  <c r="B5565" i="1"/>
  <c r="A5565" i="1"/>
  <c r="F5565" i="1"/>
  <c r="B5566" i="1"/>
  <c r="A5566" i="1"/>
  <c r="F5566" i="1"/>
  <c r="B5567" i="1"/>
  <c r="A5567" i="1"/>
  <c r="F5567" i="1"/>
  <c r="B5568" i="1"/>
  <c r="A5568" i="1"/>
  <c r="F5568" i="1"/>
  <c r="B5569" i="1"/>
  <c r="A5569" i="1"/>
  <c r="F5569" i="1"/>
  <c r="B5570" i="1"/>
  <c r="A5570" i="1"/>
  <c r="F5570" i="1"/>
  <c r="B5571" i="1"/>
  <c r="A5571" i="1"/>
  <c r="F5571" i="1"/>
  <c r="B5572" i="1"/>
  <c r="A5572" i="1"/>
  <c r="F5572" i="1"/>
  <c r="B5573" i="1"/>
  <c r="A5573" i="1"/>
  <c r="F5573" i="1"/>
  <c r="B5574" i="1"/>
  <c r="A5574" i="1"/>
  <c r="F5574" i="1"/>
  <c r="B5575" i="1"/>
  <c r="A5575" i="1"/>
  <c r="F5575" i="1"/>
  <c r="B5576" i="1"/>
  <c r="A5576" i="1"/>
  <c r="F5576" i="1"/>
  <c r="B5577" i="1"/>
  <c r="A5577" i="1"/>
  <c r="F5577" i="1"/>
  <c r="B5578" i="1"/>
  <c r="A5578" i="1"/>
  <c r="F5578" i="1"/>
  <c r="B5579" i="1"/>
  <c r="A5579" i="1"/>
  <c r="F5579" i="1"/>
  <c r="B5580" i="1"/>
  <c r="A5580" i="1"/>
  <c r="F5580" i="1"/>
  <c r="B5581" i="1"/>
  <c r="A5581" i="1"/>
  <c r="F5581" i="1"/>
  <c r="B5582" i="1"/>
  <c r="A5582" i="1"/>
  <c r="F5582" i="1"/>
  <c r="B5583" i="1"/>
  <c r="A5583" i="1"/>
  <c r="F5583" i="1"/>
  <c r="B5584" i="1"/>
  <c r="A5584" i="1"/>
  <c r="F5584" i="1"/>
  <c r="B5585" i="1"/>
  <c r="A5585" i="1"/>
  <c r="F5585" i="1"/>
  <c r="B5586" i="1"/>
  <c r="A5586" i="1"/>
  <c r="F5586" i="1"/>
  <c r="B5587" i="1"/>
  <c r="A5587" i="1"/>
  <c r="F5587" i="1"/>
  <c r="B5588" i="1"/>
  <c r="A5588" i="1"/>
  <c r="F5588" i="1"/>
  <c r="B5589" i="1"/>
  <c r="A5589" i="1"/>
  <c r="F5589" i="1"/>
  <c r="B5590" i="1"/>
  <c r="A5590" i="1"/>
  <c r="F5590" i="1"/>
  <c r="B5591" i="1"/>
  <c r="A5591" i="1"/>
  <c r="F5591" i="1"/>
  <c r="B5592" i="1"/>
  <c r="A5592" i="1"/>
  <c r="F5592" i="1"/>
  <c r="B5593" i="1"/>
  <c r="A5593" i="1"/>
  <c r="F5593" i="1"/>
  <c r="B5594" i="1"/>
  <c r="A5594" i="1"/>
  <c r="F5594" i="1"/>
  <c r="B5595" i="1"/>
  <c r="A5595" i="1"/>
  <c r="F5595" i="1"/>
  <c r="B5596" i="1"/>
  <c r="A5596" i="1"/>
  <c r="F5596" i="1"/>
  <c r="B5597" i="1"/>
  <c r="A5597" i="1"/>
  <c r="F5597" i="1"/>
  <c r="B5598" i="1"/>
  <c r="A5598" i="1"/>
  <c r="F5598" i="1"/>
  <c r="B5599" i="1"/>
  <c r="A5599" i="1"/>
  <c r="F5599" i="1"/>
  <c r="B5600" i="1"/>
  <c r="A5600" i="1"/>
  <c r="F5600" i="1"/>
  <c r="B5601" i="1"/>
  <c r="A5601" i="1"/>
  <c r="F5601" i="1"/>
  <c r="B5602" i="1"/>
  <c r="A5602" i="1"/>
  <c r="F5602" i="1"/>
  <c r="B5603" i="1"/>
  <c r="A5603" i="1"/>
  <c r="F5603" i="1"/>
  <c r="B5604" i="1"/>
  <c r="A5604" i="1"/>
  <c r="F5604" i="1"/>
  <c r="B5605" i="1"/>
  <c r="A5605" i="1"/>
  <c r="F5605" i="1"/>
  <c r="B5606" i="1"/>
  <c r="A5606" i="1"/>
  <c r="F5606" i="1"/>
  <c r="B5607" i="1"/>
  <c r="A5607" i="1"/>
  <c r="F5607" i="1"/>
  <c r="B5608" i="1"/>
  <c r="A5608" i="1"/>
  <c r="F5608" i="1"/>
  <c r="B5609" i="1"/>
  <c r="A5609" i="1"/>
  <c r="F5609" i="1"/>
  <c r="B5610" i="1"/>
  <c r="A5610" i="1"/>
  <c r="F5610" i="1"/>
  <c r="B5611" i="1"/>
  <c r="A5611" i="1"/>
  <c r="F5611" i="1"/>
  <c r="B5612" i="1"/>
  <c r="A5612" i="1"/>
  <c r="F5612" i="1"/>
  <c r="B5613" i="1"/>
  <c r="A5613" i="1"/>
  <c r="F5613" i="1"/>
  <c r="B5614" i="1"/>
  <c r="A5614" i="1"/>
  <c r="F5614" i="1"/>
  <c r="B5615" i="1"/>
  <c r="A5615" i="1"/>
  <c r="F5615" i="1"/>
  <c r="B5616" i="1"/>
  <c r="A5616" i="1"/>
  <c r="F5616" i="1"/>
  <c r="B5617" i="1"/>
  <c r="A5617" i="1"/>
  <c r="F5617" i="1"/>
  <c r="B5618" i="1"/>
  <c r="A5618" i="1"/>
  <c r="F5618" i="1"/>
  <c r="B5619" i="1"/>
  <c r="A5619" i="1"/>
  <c r="F5619" i="1"/>
  <c r="B5620" i="1"/>
  <c r="A5620" i="1"/>
  <c r="F5620" i="1"/>
  <c r="B5621" i="1"/>
  <c r="A5621" i="1"/>
  <c r="F5621" i="1"/>
  <c r="B5622" i="1"/>
  <c r="A5622" i="1"/>
  <c r="F5622" i="1"/>
  <c r="B5623" i="1"/>
  <c r="A5623" i="1"/>
  <c r="F5623" i="1"/>
  <c r="B5624" i="1"/>
  <c r="A5624" i="1"/>
  <c r="F5624" i="1"/>
  <c r="B5625" i="1"/>
  <c r="A5625" i="1"/>
  <c r="F5625" i="1"/>
  <c r="B5626" i="1"/>
  <c r="A5626" i="1"/>
  <c r="F5626" i="1"/>
  <c r="B5627" i="1"/>
  <c r="A5627" i="1"/>
  <c r="F5627" i="1"/>
  <c r="B5628" i="1"/>
  <c r="A5628" i="1"/>
  <c r="F5628" i="1"/>
  <c r="B5629" i="1"/>
  <c r="A5629" i="1"/>
  <c r="F5629" i="1"/>
  <c r="B5630" i="1"/>
  <c r="A5630" i="1"/>
  <c r="F5630" i="1"/>
  <c r="B5631" i="1"/>
  <c r="A5631" i="1"/>
  <c r="F5631" i="1"/>
  <c r="B5632" i="1"/>
  <c r="A5632" i="1"/>
  <c r="F5632" i="1"/>
  <c r="B5633" i="1"/>
  <c r="A5633" i="1"/>
  <c r="F5633" i="1"/>
  <c r="B5634" i="1"/>
  <c r="A5634" i="1"/>
  <c r="F5634" i="1"/>
  <c r="B5635" i="1"/>
  <c r="A5635" i="1"/>
  <c r="F5635" i="1"/>
  <c r="B5636" i="1"/>
  <c r="A5636" i="1"/>
  <c r="F5636" i="1"/>
  <c r="B5637" i="1"/>
  <c r="A5637" i="1"/>
  <c r="F5637" i="1"/>
  <c r="B5638" i="1"/>
  <c r="A5638" i="1"/>
  <c r="F5638" i="1"/>
  <c r="B5639" i="1"/>
  <c r="A5639" i="1"/>
  <c r="F5639" i="1"/>
  <c r="B5640" i="1"/>
  <c r="A5640" i="1"/>
  <c r="F5640" i="1"/>
  <c r="B5641" i="1"/>
  <c r="A5641" i="1"/>
  <c r="F5641" i="1"/>
  <c r="B5642" i="1"/>
  <c r="A5642" i="1"/>
  <c r="F5642" i="1"/>
  <c r="B5643" i="1"/>
  <c r="A5643" i="1"/>
  <c r="F5643" i="1"/>
  <c r="B5644" i="1"/>
  <c r="A5644" i="1"/>
  <c r="F5644" i="1"/>
  <c r="B5645" i="1"/>
  <c r="A5645" i="1"/>
  <c r="F5645" i="1"/>
  <c r="B5646" i="1"/>
  <c r="A5646" i="1"/>
  <c r="F5646" i="1"/>
  <c r="B5647" i="1"/>
  <c r="A5647" i="1"/>
  <c r="F5647" i="1"/>
  <c r="B5648" i="1"/>
  <c r="A5648" i="1"/>
  <c r="F5648" i="1"/>
  <c r="B5649" i="1"/>
  <c r="A5649" i="1"/>
  <c r="F5649" i="1"/>
  <c r="B5650" i="1"/>
  <c r="A5650" i="1"/>
  <c r="F5650" i="1"/>
  <c r="B5651" i="1"/>
  <c r="A5651" i="1"/>
  <c r="F5651" i="1"/>
  <c r="B5652" i="1"/>
  <c r="A5652" i="1"/>
  <c r="F5652" i="1"/>
  <c r="B5653" i="1"/>
  <c r="A5653" i="1"/>
  <c r="F5653" i="1"/>
  <c r="B5654" i="1"/>
  <c r="A5654" i="1"/>
  <c r="F5654" i="1"/>
  <c r="B5655" i="1"/>
  <c r="A5655" i="1"/>
  <c r="F5655" i="1"/>
  <c r="B5656" i="1"/>
  <c r="A5656" i="1"/>
  <c r="F5656" i="1"/>
  <c r="B5657" i="1"/>
  <c r="A5657" i="1"/>
  <c r="F5657" i="1"/>
  <c r="B5658" i="1"/>
  <c r="A5658" i="1"/>
  <c r="F5658" i="1"/>
  <c r="B5659" i="1"/>
  <c r="A5659" i="1"/>
  <c r="F5659" i="1"/>
  <c r="B5660" i="1"/>
  <c r="A5660" i="1"/>
  <c r="F5660" i="1"/>
  <c r="B5661" i="1"/>
  <c r="A5661" i="1"/>
  <c r="F5661" i="1"/>
  <c r="B5662" i="1"/>
  <c r="A5662" i="1"/>
  <c r="F5662" i="1"/>
  <c r="B5663" i="1"/>
  <c r="A5663" i="1"/>
  <c r="F5663" i="1"/>
  <c r="B5664" i="1"/>
  <c r="A5664" i="1"/>
  <c r="F5664" i="1"/>
  <c r="B5665" i="1"/>
  <c r="A5665" i="1"/>
  <c r="F5665" i="1"/>
  <c r="B5666" i="1"/>
  <c r="A5666" i="1"/>
  <c r="F5666" i="1"/>
  <c r="B5667" i="1"/>
  <c r="A5667" i="1"/>
  <c r="F5667" i="1"/>
  <c r="B5668" i="1"/>
  <c r="A5668" i="1"/>
  <c r="F5668" i="1"/>
  <c r="B5669" i="1"/>
  <c r="A5669" i="1"/>
  <c r="F5669" i="1"/>
  <c r="B5670" i="1"/>
  <c r="A5670" i="1"/>
  <c r="F5670" i="1"/>
  <c r="B5671" i="1"/>
  <c r="A5671" i="1"/>
  <c r="F5671" i="1"/>
  <c r="B5672" i="1"/>
  <c r="A5672" i="1"/>
  <c r="F5672" i="1"/>
  <c r="B5673" i="1"/>
  <c r="A5673" i="1"/>
  <c r="F5673" i="1"/>
  <c r="B5674" i="1"/>
  <c r="A5674" i="1"/>
  <c r="F5674" i="1"/>
  <c r="B5675" i="1"/>
  <c r="A5675" i="1"/>
  <c r="F5675" i="1"/>
  <c r="B5676" i="1"/>
  <c r="A5676" i="1"/>
  <c r="F5676" i="1"/>
  <c r="B5677" i="1"/>
  <c r="A5677" i="1"/>
  <c r="F5677" i="1"/>
  <c r="B5678" i="1"/>
  <c r="A5678" i="1"/>
  <c r="F5678" i="1"/>
  <c r="B5679" i="1"/>
  <c r="A5679" i="1"/>
  <c r="F5679" i="1"/>
  <c r="B5680" i="1"/>
  <c r="A5680" i="1"/>
  <c r="F5680" i="1"/>
  <c r="B5681" i="1"/>
  <c r="A5681" i="1"/>
  <c r="F5681" i="1"/>
  <c r="B5682" i="1"/>
  <c r="A5682" i="1"/>
  <c r="F5682" i="1"/>
  <c r="B5683" i="1"/>
  <c r="A5683" i="1"/>
  <c r="F5683" i="1"/>
  <c r="B5684" i="1"/>
  <c r="A5684" i="1"/>
  <c r="F5684" i="1"/>
  <c r="B5685" i="1"/>
  <c r="A5685" i="1"/>
  <c r="F5685" i="1"/>
  <c r="B5686" i="1"/>
  <c r="A5686" i="1"/>
  <c r="F5686" i="1"/>
  <c r="B5687" i="1"/>
  <c r="A5687" i="1"/>
  <c r="F5687" i="1"/>
  <c r="B5688" i="1"/>
  <c r="A5688" i="1"/>
  <c r="F5688" i="1"/>
  <c r="B5689" i="1"/>
  <c r="A5689" i="1"/>
  <c r="F5689" i="1"/>
  <c r="B5690" i="1"/>
  <c r="A5690" i="1"/>
  <c r="F5690" i="1"/>
  <c r="B5691" i="1"/>
  <c r="A5691" i="1"/>
  <c r="F5691" i="1"/>
  <c r="B5692" i="1"/>
  <c r="A5692" i="1"/>
  <c r="F5692" i="1"/>
  <c r="B5693" i="1"/>
  <c r="A5693" i="1"/>
  <c r="F5693" i="1"/>
  <c r="B5694" i="1"/>
  <c r="A5694" i="1"/>
  <c r="F5694" i="1"/>
  <c r="B5695" i="1"/>
  <c r="A5695" i="1"/>
  <c r="F5695" i="1"/>
  <c r="B5696" i="1"/>
  <c r="A5696" i="1"/>
  <c r="F5696" i="1"/>
  <c r="B5697" i="1"/>
  <c r="A5697" i="1"/>
  <c r="F5697" i="1"/>
  <c r="B5698" i="1"/>
  <c r="A5698" i="1"/>
  <c r="F5698" i="1"/>
  <c r="B5699" i="1"/>
  <c r="A5699" i="1"/>
  <c r="F5699" i="1"/>
  <c r="B5700" i="1"/>
  <c r="A5700" i="1"/>
  <c r="F5700" i="1"/>
  <c r="B5701" i="1"/>
  <c r="A5701" i="1"/>
  <c r="F5701" i="1"/>
  <c r="B5702" i="1"/>
  <c r="A5702" i="1"/>
  <c r="F5702" i="1"/>
  <c r="B5703" i="1"/>
  <c r="A5703" i="1"/>
  <c r="F5703" i="1"/>
  <c r="B5704" i="1"/>
  <c r="A5704" i="1"/>
  <c r="F5704" i="1"/>
  <c r="B5705" i="1"/>
  <c r="A5705" i="1"/>
  <c r="F5705" i="1"/>
  <c r="B5706" i="1"/>
  <c r="A5706" i="1"/>
  <c r="F5706" i="1"/>
  <c r="B5707" i="1"/>
  <c r="A5707" i="1"/>
  <c r="F5707" i="1"/>
  <c r="B5708" i="1"/>
  <c r="A5708" i="1"/>
  <c r="F5708" i="1"/>
  <c r="B5709" i="1"/>
  <c r="A5709" i="1"/>
  <c r="F5709" i="1"/>
  <c r="B5710" i="1"/>
  <c r="A5710" i="1"/>
  <c r="F5710" i="1"/>
  <c r="B5711" i="1"/>
  <c r="A5711" i="1"/>
  <c r="F5711" i="1"/>
  <c r="B5712" i="1"/>
  <c r="A5712" i="1"/>
  <c r="F5712" i="1"/>
  <c r="B5713" i="1"/>
  <c r="A5713" i="1"/>
  <c r="F5713" i="1"/>
  <c r="B5714" i="1"/>
  <c r="A5714" i="1"/>
  <c r="F5714" i="1"/>
  <c r="B5715" i="1"/>
  <c r="A5715" i="1"/>
  <c r="F5715" i="1"/>
  <c r="B5716" i="1"/>
  <c r="A5716" i="1"/>
  <c r="F5716" i="1"/>
  <c r="B5717" i="1"/>
  <c r="A5717" i="1"/>
  <c r="F5717" i="1"/>
  <c r="B5718" i="1"/>
  <c r="A5718" i="1"/>
  <c r="F5718" i="1"/>
  <c r="B5719" i="1"/>
  <c r="A5719" i="1"/>
  <c r="F5719" i="1"/>
  <c r="B5720" i="1"/>
  <c r="A5720" i="1"/>
  <c r="F5720" i="1"/>
  <c r="B5721" i="1"/>
  <c r="A5721" i="1"/>
  <c r="F5721" i="1"/>
  <c r="B5722" i="1"/>
  <c r="A5722" i="1"/>
  <c r="F5722" i="1"/>
  <c r="B5723" i="1"/>
  <c r="A5723" i="1"/>
  <c r="F5723" i="1"/>
  <c r="B5724" i="1"/>
  <c r="A5724" i="1"/>
  <c r="F5724" i="1"/>
  <c r="B5725" i="1"/>
  <c r="A5725" i="1"/>
  <c r="F5725" i="1"/>
  <c r="B5726" i="1"/>
  <c r="A5726" i="1"/>
  <c r="F5726" i="1"/>
  <c r="B5727" i="1"/>
  <c r="A5727" i="1"/>
  <c r="F5727" i="1"/>
  <c r="B5728" i="1"/>
  <c r="A5728" i="1"/>
  <c r="F5728" i="1"/>
  <c r="B5729" i="1"/>
  <c r="A5729" i="1"/>
  <c r="F5729" i="1"/>
  <c r="B5730" i="1"/>
  <c r="A5730" i="1"/>
  <c r="F5730" i="1"/>
  <c r="B5731" i="1"/>
  <c r="A5731" i="1"/>
  <c r="F5731" i="1"/>
  <c r="B5732" i="1"/>
  <c r="A5732" i="1"/>
  <c r="F5732" i="1"/>
  <c r="B5733" i="1"/>
  <c r="A5733" i="1"/>
  <c r="F5733" i="1"/>
  <c r="B5734" i="1"/>
  <c r="A5734" i="1"/>
  <c r="F5734" i="1"/>
  <c r="B5735" i="1"/>
  <c r="A5735" i="1"/>
  <c r="F5735" i="1"/>
  <c r="B5736" i="1"/>
  <c r="A5736" i="1"/>
  <c r="F5736" i="1"/>
  <c r="B5737" i="1"/>
  <c r="A5737" i="1"/>
  <c r="F5737" i="1"/>
  <c r="B5738" i="1"/>
  <c r="A5738" i="1"/>
  <c r="F5738" i="1"/>
  <c r="B5739" i="1"/>
  <c r="A5739" i="1"/>
  <c r="F5739" i="1"/>
  <c r="B5740" i="1"/>
  <c r="A5740" i="1"/>
  <c r="F5740" i="1"/>
  <c r="B5741" i="1"/>
  <c r="A5741" i="1"/>
  <c r="F5741" i="1"/>
  <c r="B5742" i="1"/>
  <c r="A5742" i="1"/>
  <c r="F5742" i="1"/>
  <c r="B5743" i="1"/>
  <c r="A5743" i="1"/>
  <c r="F5743" i="1"/>
  <c r="B5744" i="1"/>
  <c r="A5744" i="1"/>
  <c r="F5744" i="1"/>
  <c r="B5745" i="1"/>
  <c r="A5745" i="1"/>
  <c r="F5745" i="1"/>
  <c r="B5746" i="1"/>
  <c r="A5746" i="1"/>
  <c r="F5746" i="1"/>
  <c r="B5747" i="1"/>
  <c r="A5747" i="1"/>
  <c r="F5747" i="1"/>
  <c r="B5748" i="1"/>
  <c r="A5748" i="1"/>
  <c r="F5748" i="1"/>
  <c r="B5749" i="1"/>
  <c r="A5749" i="1"/>
  <c r="F5749" i="1"/>
  <c r="B5750" i="1"/>
  <c r="A5750" i="1"/>
  <c r="F5750" i="1"/>
  <c r="B5751" i="1"/>
  <c r="A5751" i="1"/>
  <c r="F5751" i="1"/>
  <c r="B5752" i="1"/>
  <c r="A5752" i="1"/>
  <c r="F5752" i="1"/>
  <c r="B5753" i="1"/>
  <c r="A5753" i="1"/>
  <c r="F5753" i="1"/>
  <c r="B5754" i="1"/>
  <c r="A5754" i="1"/>
  <c r="F5754" i="1"/>
  <c r="B5755" i="1"/>
  <c r="A5755" i="1"/>
  <c r="F5755" i="1"/>
  <c r="B5756" i="1"/>
  <c r="A5756" i="1"/>
  <c r="F5756" i="1"/>
  <c r="B5757" i="1"/>
  <c r="A5757" i="1"/>
  <c r="F5757" i="1"/>
  <c r="B5758" i="1"/>
  <c r="A5758" i="1"/>
  <c r="F5758" i="1"/>
  <c r="B5759" i="1"/>
  <c r="A5759" i="1"/>
  <c r="F5759" i="1"/>
  <c r="B5760" i="1"/>
  <c r="A5760" i="1"/>
  <c r="F5760" i="1"/>
  <c r="B5761" i="1"/>
  <c r="A5761" i="1"/>
  <c r="F5761" i="1"/>
  <c r="B5762" i="1"/>
  <c r="A5762" i="1"/>
  <c r="F5762" i="1"/>
  <c r="B5763" i="1"/>
  <c r="A5763" i="1"/>
  <c r="F5763" i="1"/>
  <c r="B5764" i="1"/>
  <c r="A5764" i="1"/>
  <c r="F5764" i="1"/>
  <c r="B5765" i="1"/>
  <c r="A5765" i="1"/>
  <c r="F5765" i="1"/>
  <c r="B5766" i="1"/>
  <c r="A5766" i="1"/>
  <c r="F5766" i="1"/>
  <c r="B5767" i="1"/>
  <c r="A5767" i="1"/>
  <c r="F5767" i="1"/>
  <c r="B5768" i="1"/>
  <c r="A5768" i="1"/>
  <c r="F5768" i="1"/>
  <c r="B5769" i="1"/>
  <c r="A5769" i="1"/>
  <c r="F5769" i="1"/>
  <c r="B5770" i="1"/>
  <c r="A5770" i="1"/>
  <c r="F5770" i="1"/>
  <c r="B5771" i="1"/>
  <c r="A5771" i="1"/>
  <c r="F5771" i="1"/>
  <c r="B5772" i="1"/>
  <c r="A5772" i="1"/>
  <c r="F5772" i="1"/>
  <c r="B5773" i="1"/>
  <c r="A5773" i="1"/>
  <c r="F5773" i="1"/>
  <c r="B5774" i="1"/>
  <c r="A5774" i="1"/>
  <c r="F5774" i="1"/>
  <c r="B5775" i="1"/>
  <c r="A5775" i="1"/>
  <c r="F5775" i="1"/>
  <c r="B5776" i="1"/>
  <c r="A5776" i="1"/>
  <c r="F5776" i="1"/>
  <c r="B5777" i="1"/>
  <c r="A5777" i="1"/>
  <c r="F5777" i="1"/>
  <c r="B5778" i="1"/>
  <c r="A5778" i="1"/>
  <c r="F5778" i="1"/>
  <c r="B5779" i="1"/>
  <c r="A5779" i="1"/>
  <c r="F5779" i="1"/>
  <c r="B5780" i="1"/>
  <c r="A5780" i="1"/>
  <c r="F5780" i="1"/>
  <c r="B5781" i="1"/>
  <c r="A5781" i="1"/>
  <c r="F5781" i="1"/>
  <c r="B5782" i="1"/>
  <c r="A5782" i="1"/>
  <c r="F5782" i="1"/>
  <c r="B5783" i="1"/>
  <c r="A5783" i="1"/>
  <c r="F5783" i="1"/>
  <c r="B5784" i="1"/>
  <c r="A5784" i="1"/>
  <c r="F5784" i="1"/>
  <c r="B5785" i="1"/>
  <c r="A5785" i="1"/>
  <c r="F5785" i="1"/>
  <c r="B5786" i="1"/>
  <c r="A5786" i="1"/>
  <c r="F5786" i="1"/>
  <c r="B5787" i="1"/>
  <c r="A5787" i="1"/>
  <c r="F5787" i="1"/>
  <c r="B5788" i="1"/>
  <c r="A5788" i="1"/>
  <c r="F5788" i="1"/>
  <c r="B5789" i="1"/>
  <c r="A5789" i="1"/>
  <c r="F5789" i="1"/>
  <c r="B5790" i="1"/>
  <c r="A5790" i="1"/>
  <c r="F5790" i="1"/>
  <c r="B5791" i="1"/>
  <c r="A5791" i="1"/>
  <c r="F5791" i="1"/>
  <c r="B5792" i="1"/>
  <c r="A5792" i="1"/>
  <c r="F5792" i="1"/>
  <c r="B5793" i="1"/>
  <c r="A5793" i="1"/>
  <c r="F5793" i="1"/>
  <c r="B5794" i="1"/>
  <c r="A5794" i="1"/>
  <c r="F5794" i="1"/>
  <c r="B5795" i="1"/>
  <c r="A5795" i="1"/>
  <c r="F5795" i="1"/>
  <c r="B5796" i="1"/>
  <c r="A5796" i="1"/>
  <c r="F5796" i="1"/>
  <c r="B5797" i="1"/>
  <c r="A5797" i="1"/>
  <c r="F5797" i="1"/>
  <c r="B5798" i="1"/>
  <c r="A5798" i="1"/>
  <c r="F5798" i="1"/>
  <c r="B5799" i="1"/>
  <c r="A5799" i="1"/>
  <c r="F5799" i="1"/>
  <c r="B5800" i="1"/>
  <c r="A5800" i="1"/>
  <c r="F5800" i="1"/>
  <c r="B5801" i="1"/>
  <c r="A5801" i="1"/>
  <c r="F5801" i="1"/>
  <c r="B5802" i="1"/>
  <c r="A5802" i="1"/>
  <c r="F5802" i="1"/>
  <c r="B5803" i="1"/>
  <c r="A5803" i="1"/>
  <c r="F5803" i="1"/>
  <c r="B5804" i="1"/>
  <c r="A5804" i="1"/>
  <c r="F5804" i="1"/>
  <c r="B5805" i="1"/>
  <c r="A5805" i="1"/>
  <c r="F5805" i="1"/>
  <c r="B5806" i="1"/>
  <c r="A5806" i="1"/>
  <c r="F5806" i="1"/>
  <c r="B5807" i="1"/>
  <c r="A5807" i="1"/>
  <c r="F5807" i="1"/>
  <c r="B5808" i="1"/>
  <c r="A5808" i="1"/>
  <c r="F5808" i="1"/>
  <c r="B5809" i="1"/>
  <c r="A5809" i="1"/>
  <c r="F5809" i="1"/>
  <c r="B5810" i="1"/>
  <c r="A5810" i="1"/>
  <c r="F5810" i="1"/>
  <c r="B5811" i="1"/>
  <c r="A5811" i="1"/>
  <c r="F5811" i="1"/>
  <c r="B5812" i="1"/>
  <c r="A5812" i="1"/>
  <c r="F5812" i="1"/>
  <c r="B5813" i="1"/>
  <c r="A5813" i="1"/>
  <c r="F5813" i="1"/>
  <c r="B5814" i="1"/>
  <c r="A5814" i="1"/>
  <c r="F5814" i="1"/>
  <c r="B5815" i="1"/>
  <c r="A5815" i="1"/>
  <c r="F5815" i="1"/>
  <c r="B5816" i="1"/>
  <c r="A5816" i="1"/>
  <c r="F5816" i="1"/>
  <c r="B5817" i="1"/>
  <c r="A5817" i="1"/>
  <c r="F5817" i="1"/>
  <c r="B5818" i="1"/>
  <c r="A5818" i="1"/>
  <c r="F5818" i="1"/>
  <c r="B5819" i="1"/>
  <c r="A5819" i="1"/>
  <c r="F5819" i="1"/>
  <c r="B5820" i="1"/>
  <c r="A5820" i="1"/>
  <c r="F5820" i="1"/>
  <c r="B5821" i="1"/>
  <c r="A5821" i="1"/>
  <c r="F5821" i="1"/>
  <c r="B5822" i="1"/>
  <c r="A5822" i="1"/>
  <c r="F5822" i="1"/>
  <c r="B5823" i="1"/>
  <c r="A5823" i="1"/>
  <c r="F5823" i="1"/>
  <c r="B5824" i="1"/>
  <c r="A5824" i="1"/>
  <c r="F5824" i="1"/>
  <c r="B5825" i="1"/>
  <c r="A5825" i="1"/>
  <c r="F5825" i="1"/>
  <c r="B5826" i="1"/>
  <c r="A5826" i="1"/>
  <c r="F5826" i="1"/>
  <c r="B5827" i="1"/>
  <c r="A5827" i="1"/>
  <c r="F5827" i="1"/>
  <c r="B5828" i="1"/>
  <c r="A5828" i="1"/>
  <c r="F5828" i="1"/>
  <c r="B5829" i="1"/>
  <c r="A5829" i="1"/>
  <c r="F5829" i="1"/>
  <c r="B5830" i="1"/>
  <c r="A5830" i="1"/>
  <c r="F5830" i="1"/>
  <c r="B5831" i="1"/>
  <c r="A5831" i="1"/>
  <c r="F5831" i="1"/>
  <c r="B5832" i="1"/>
  <c r="A5832" i="1"/>
  <c r="F5832" i="1"/>
  <c r="B5833" i="1"/>
  <c r="A5833" i="1"/>
  <c r="F5833" i="1"/>
  <c r="B5834" i="1"/>
  <c r="A5834" i="1"/>
  <c r="F5834" i="1"/>
  <c r="B5835" i="1"/>
  <c r="A5835" i="1"/>
  <c r="F5835" i="1"/>
  <c r="B5836" i="1"/>
  <c r="A5836" i="1"/>
  <c r="F5836" i="1"/>
  <c r="B5837" i="1"/>
  <c r="A5837" i="1"/>
  <c r="F5837" i="1"/>
  <c r="B5838" i="1"/>
  <c r="A5838" i="1"/>
  <c r="F5838" i="1"/>
  <c r="B5839" i="1"/>
  <c r="A5839" i="1"/>
  <c r="F5839" i="1"/>
  <c r="B5840" i="1"/>
  <c r="A5840" i="1"/>
  <c r="F5840" i="1"/>
  <c r="B5841" i="1"/>
  <c r="A5841" i="1"/>
  <c r="F5841" i="1"/>
  <c r="B5842" i="1"/>
  <c r="A5842" i="1"/>
  <c r="F5842" i="1"/>
  <c r="B5843" i="1"/>
  <c r="A5843" i="1"/>
  <c r="F5843" i="1"/>
  <c r="B5844" i="1"/>
  <c r="A5844" i="1"/>
  <c r="F5844" i="1"/>
  <c r="B5845" i="1"/>
  <c r="A5845" i="1"/>
  <c r="F5845" i="1"/>
  <c r="B5846" i="1"/>
  <c r="A5846" i="1"/>
  <c r="F5846" i="1"/>
  <c r="B5847" i="1"/>
  <c r="A5847" i="1"/>
  <c r="F5847" i="1"/>
  <c r="B5848" i="1"/>
  <c r="A5848" i="1"/>
  <c r="F5848" i="1"/>
  <c r="B5849" i="1"/>
  <c r="A5849" i="1"/>
  <c r="F5849" i="1"/>
  <c r="B5850" i="1"/>
  <c r="A5850" i="1"/>
  <c r="F5850" i="1"/>
  <c r="B5851" i="1"/>
  <c r="A5851" i="1"/>
  <c r="F5851" i="1"/>
  <c r="B5852" i="1"/>
  <c r="A5852" i="1"/>
  <c r="F5852" i="1"/>
  <c r="B5853" i="1"/>
  <c r="A5853" i="1"/>
  <c r="F5853" i="1"/>
  <c r="B5854" i="1"/>
  <c r="A5854" i="1"/>
  <c r="F5854" i="1"/>
  <c r="B5855" i="1"/>
  <c r="A5855" i="1"/>
  <c r="F5855" i="1"/>
  <c r="B5856" i="1"/>
  <c r="A5856" i="1"/>
  <c r="F5856" i="1"/>
  <c r="B5857" i="1"/>
  <c r="A5857" i="1"/>
  <c r="F5857" i="1"/>
  <c r="B5858" i="1"/>
  <c r="A5858" i="1"/>
  <c r="F5858" i="1"/>
  <c r="B5859" i="1"/>
  <c r="A5859" i="1"/>
  <c r="F5859" i="1"/>
  <c r="B5860" i="1"/>
  <c r="A5860" i="1"/>
  <c r="F5860" i="1"/>
  <c r="B5861" i="1"/>
  <c r="A5861" i="1"/>
  <c r="F5861" i="1"/>
  <c r="B5862" i="1"/>
  <c r="A5862" i="1"/>
  <c r="F5862" i="1"/>
  <c r="B5863" i="1"/>
  <c r="A5863" i="1"/>
  <c r="F5863" i="1"/>
  <c r="B5864" i="1"/>
  <c r="A5864" i="1"/>
  <c r="F5864" i="1"/>
  <c r="B5865" i="1"/>
  <c r="A5865" i="1"/>
  <c r="F5865" i="1"/>
  <c r="B5866" i="1"/>
  <c r="A5866" i="1"/>
  <c r="F5866" i="1"/>
  <c r="B5867" i="1"/>
  <c r="A5867" i="1"/>
  <c r="F5867" i="1"/>
  <c r="B5868" i="1"/>
  <c r="A5868" i="1"/>
  <c r="F5868" i="1"/>
  <c r="B5869" i="1"/>
  <c r="A5869" i="1"/>
  <c r="F5869" i="1"/>
  <c r="B5870" i="1"/>
  <c r="A5870" i="1"/>
  <c r="F5870" i="1"/>
  <c r="B5871" i="1"/>
  <c r="A5871" i="1"/>
  <c r="F5871" i="1"/>
  <c r="B5872" i="1"/>
  <c r="A5872" i="1"/>
  <c r="F5872" i="1"/>
  <c r="B5873" i="1"/>
  <c r="A5873" i="1"/>
  <c r="F5873" i="1"/>
  <c r="B5874" i="1"/>
  <c r="A5874" i="1"/>
  <c r="F5874" i="1"/>
  <c r="B5875" i="1"/>
  <c r="A5875" i="1"/>
  <c r="F5875" i="1"/>
  <c r="B5876" i="1"/>
  <c r="A5876" i="1"/>
  <c r="F5876" i="1"/>
  <c r="B5877" i="1"/>
  <c r="A5877" i="1"/>
  <c r="F5877" i="1"/>
  <c r="B5878" i="1"/>
  <c r="A5878" i="1"/>
  <c r="F5878" i="1"/>
  <c r="B5879" i="1"/>
  <c r="A5879" i="1"/>
  <c r="F5879" i="1"/>
  <c r="B5880" i="1"/>
  <c r="A5880" i="1"/>
  <c r="F5880" i="1"/>
  <c r="B5881" i="1"/>
  <c r="A5881" i="1"/>
  <c r="F5881" i="1"/>
  <c r="B5882" i="1"/>
  <c r="A5882" i="1"/>
  <c r="F5882" i="1"/>
  <c r="B5883" i="1"/>
  <c r="A5883" i="1"/>
  <c r="F5883" i="1"/>
  <c r="B5884" i="1"/>
  <c r="A5884" i="1"/>
  <c r="F5884" i="1"/>
  <c r="B5885" i="1"/>
  <c r="A5885" i="1"/>
  <c r="F5885" i="1"/>
  <c r="B5886" i="1"/>
  <c r="A5886" i="1"/>
  <c r="F5886" i="1"/>
  <c r="B5887" i="1"/>
  <c r="A5887" i="1"/>
  <c r="F5887" i="1"/>
  <c r="B5888" i="1"/>
  <c r="A5888" i="1"/>
  <c r="F5888" i="1"/>
  <c r="B5889" i="1"/>
  <c r="A5889" i="1"/>
  <c r="F5889" i="1"/>
  <c r="B5890" i="1"/>
  <c r="A5890" i="1"/>
  <c r="F5890" i="1"/>
  <c r="B5891" i="1"/>
  <c r="A5891" i="1"/>
  <c r="F5891" i="1"/>
  <c r="B5892" i="1"/>
  <c r="A5892" i="1"/>
  <c r="F5892" i="1"/>
  <c r="B5893" i="1"/>
  <c r="A5893" i="1"/>
  <c r="F5893" i="1"/>
  <c r="B5894" i="1"/>
  <c r="A5894" i="1"/>
  <c r="F5894" i="1"/>
  <c r="B5895" i="1"/>
  <c r="A5895" i="1"/>
  <c r="F5895" i="1"/>
  <c r="B5896" i="1"/>
  <c r="A5896" i="1"/>
  <c r="F5896" i="1"/>
  <c r="B5897" i="1"/>
  <c r="A5897" i="1"/>
  <c r="F5897" i="1"/>
  <c r="B5898" i="1"/>
  <c r="A5898" i="1"/>
  <c r="F5898" i="1"/>
  <c r="B5899" i="1"/>
  <c r="A5899" i="1"/>
  <c r="F5899" i="1"/>
  <c r="B5900" i="1"/>
  <c r="A5900" i="1"/>
  <c r="F5900" i="1"/>
  <c r="B5901" i="1"/>
  <c r="A5901" i="1"/>
  <c r="F5901" i="1"/>
  <c r="B5902" i="1"/>
  <c r="A5902" i="1"/>
  <c r="F5902" i="1"/>
  <c r="B5903" i="1"/>
  <c r="A5903" i="1"/>
  <c r="F5903" i="1"/>
  <c r="B5904" i="1"/>
  <c r="A5904" i="1"/>
  <c r="F5904" i="1"/>
  <c r="B5905" i="1"/>
  <c r="A5905" i="1"/>
  <c r="F5905" i="1"/>
  <c r="B5906" i="1"/>
  <c r="A5906" i="1"/>
  <c r="F5906" i="1"/>
  <c r="B5907" i="1"/>
  <c r="A5907" i="1"/>
  <c r="F5907" i="1"/>
  <c r="B5908" i="1"/>
  <c r="A5908" i="1"/>
  <c r="F5908" i="1"/>
  <c r="B5909" i="1"/>
  <c r="A5909" i="1"/>
  <c r="F5909" i="1"/>
  <c r="B5910" i="1"/>
  <c r="A5910" i="1"/>
  <c r="F5910" i="1"/>
  <c r="B5911" i="1"/>
  <c r="A5911" i="1"/>
  <c r="F5911" i="1"/>
  <c r="B5912" i="1"/>
  <c r="A5912" i="1"/>
  <c r="F5912" i="1"/>
  <c r="B5913" i="1"/>
  <c r="A5913" i="1"/>
  <c r="F5913" i="1"/>
  <c r="B5914" i="1"/>
  <c r="A5914" i="1"/>
  <c r="F5914" i="1"/>
  <c r="B5915" i="1"/>
  <c r="A5915" i="1"/>
  <c r="F5915" i="1"/>
  <c r="B5916" i="1"/>
  <c r="A5916" i="1"/>
  <c r="F5916" i="1"/>
  <c r="B5917" i="1"/>
  <c r="A5917" i="1"/>
  <c r="F5917" i="1"/>
  <c r="B5918" i="1"/>
  <c r="A5918" i="1"/>
  <c r="F5918" i="1"/>
  <c r="B5919" i="1"/>
  <c r="A5919" i="1"/>
  <c r="F5919" i="1"/>
  <c r="B5920" i="1"/>
  <c r="A5920" i="1"/>
  <c r="F5920" i="1"/>
  <c r="B5921" i="1"/>
  <c r="A5921" i="1"/>
  <c r="F5921" i="1"/>
  <c r="B5922" i="1"/>
  <c r="A5922" i="1"/>
  <c r="F5922" i="1"/>
  <c r="B5923" i="1"/>
  <c r="A5923" i="1"/>
  <c r="F5923" i="1"/>
  <c r="B5924" i="1"/>
  <c r="A5924" i="1"/>
  <c r="F5924" i="1"/>
  <c r="B5925" i="1"/>
  <c r="A5925" i="1"/>
  <c r="F5925" i="1"/>
  <c r="B5926" i="1"/>
  <c r="A5926" i="1"/>
  <c r="F5926" i="1"/>
  <c r="B5927" i="1"/>
  <c r="A5927" i="1"/>
  <c r="F5927" i="1"/>
  <c r="B5928" i="1"/>
  <c r="A5928" i="1"/>
  <c r="F5928" i="1"/>
  <c r="B5929" i="1"/>
  <c r="A5929" i="1"/>
  <c r="F5929" i="1"/>
  <c r="B5930" i="1"/>
  <c r="A5930" i="1"/>
  <c r="F5930" i="1"/>
  <c r="B5931" i="1"/>
  <c r="A5931" i="1"/>
  <c r="F5931" i="1"/>
  <c r="B5932" i="1"/>
  <c r="A5932" i="1"/>
  <c r="F5932" i="1"/>
  <c r="B5933" i="1"/>
  <c r="A5933" i="1"/>
  <c r="F5933" i="1"/>
  <c r="B5934" i="1"/>
  <c r="A5934" i="1"/>
  <c r="F5934" i="1"/>
  <c r="B5935" i="1"/>
  <c r="A5935" i="1"/>
  <c r="F5935" i="1"/>
  <c r="B5936" i="1"/>
  <c r="A5936" i="1"/>
  <c r="F5936" i="1"/>
  <c r="B5937" i="1"/>
  <c r="A5937" i="1"/>
  <c r="F5937" i="1"/>
  <c r="B5938" i="1"/>
  <c r="A5938" i="1"/>
  <c r="F5938" i="1"/>
  <c r="B5939" i="1"/>
  <c r="A5939" i="1"/>
  <c r="F5939" i="1"/>
  <c r="B5940" i="1"/>
  <c r="A5940" i="1"/>
  <c r="F5940" i="1"/>
  <c r="B5941" i="1"/>
  <c r="A5941" i="1"/>
  <c r="F5941" i="1"/>
  <c r="B5942" i="1"/>
  <c r="A5942" i="1"/>
  <c r="F5942" i="1"/>
  <c r="B5943" i="1"/>
  <c r="A5943" i="1"/>
  <c r="F5943" i="1"/>
  <c r="B5944" i="1"/>
  <c r="A5944" i="1"/>
  <c r="F5944" i="1"/>
  <c r="B5945" i="1"/>
  <c r="A5945" i="1"/>
  <c r="F5945" i="1"/>
  <c r="B5946" i="1"/>
  <c r="A5946" i="1"/>
  <c r="F5946" i="1"/>
  <c r="B5947" i="1"/>
  <c r="A5947" i="1"/>
  <c r="F5947" i="1"/>
  <c r="B5948" i="1"/>
  <c r="A5948" i="1"/>
  <c r="F5948" i="1"/>
  <c r="B5949" i="1"/>
  <c r="A5949" i="1"/>
  <c r="F5949" i="1"/>
  <c r="B5950" i="1"/>
  <c r="A5950" i="1"/>
  <c r="F5950" i="1"/>
  <c r="B5951" i="1"/>
  <c r="A5951" i="1"/>
  <c r="F5951" i="1"/>
  <c r="B5952" i="1"/>
  <c r="A5952" i="1"/>
  <c r="F5952" i="1"/>
  <c r="B5953" i="1"/>
  <c r="A5953" i="1"/>
  <c r="F5953" i="1"/>
  <c r="B5954" i="1"/>
  <c r="A5954" i="1"/>
  <c r="F5954" i="1"/>
  <c r="B5955" i="1"/>
  <c r="A5955" i="1"/>
  <c r="F5955" i="1"/>
  <c r="B5956" i="1"/>
  <c r="A5956" i="1"/>
  <c r="F5956" i="1"/>
  <c r="B5957" i="1"/>
  <c r="A5957" i="1"/>
  <c r="F5957" i="1"/>
  <c r="B5958" i="1"/>
  <c r="A5958" i="1"/>
  <c r="F5958" i="1"/>
  <c r="B5959" i="1"/>
  <c r="A5959" i="1"/>
  <c r="F5959" i="1"/>
  <c r="B5960" i="1"/>
  <c r="A5960" i="1"/>
  <c r="F5960" i="1"/>
  <c r="B5961" i="1"/>
  <c r="A5961" i="1"/>
  <c r="F5961" i="1"/>
  <c r="B5962" i="1"/>
  <c r="A5962" i="1"/>
  <c r="F5962" i="1"/>
  <c r="B5963" i="1"/>
  <c r="A5963" i="1"/>
  <c r="F5963" i="1"/>
  <c r="B5964" i="1"/>
  <c r="A5964" i="1"/>
  <c r="F5964" i="1"/>
  <c r="B5965" i="1"/>
  <c r="A5965" i="1"/>
  <c r="F5965" i="1"/>
  <c r="B5966" i="1"/>
  <c r="A5966" i="1"/>
  <c r="F5966" i="1"/>
  <c r="B5967" i="1"/>
  <c r="A5967" i="1"/>
  <c r="F5967" i="1"/>
  <c r="B5968" i="1"/>
  <c r="A5968" i="1"/>
  <c r="F5968" i="1"/>
  <c r="B5969" i="1"/>
  <c r="A5969" i="1"/>
  <c r="F5969" i="1"/>
  <c r="B5970" i="1"/>
  <c r="A5970" i="1"/>
  <c r="F5970" i="1"/>
  <c r="B5971" i="1"/>
  <c r="A5971" i="1"/>
  <c r="F5971" i="1"/>
  <c r="B5972" i="1"/>
  <c r="A5972" i="1"/>
  <c r="F5972" i="1"/>
  <c r="B5973" i="1"/>
  <c r="A5973" i="1"/>
  <c r="F5973" i="1"/>
  <c r="B5974" i="1"/>
  <c r="A5974" i="1"/>
  <c r="F5974" i="1"/>
  <c r="B5975" i="1"/>
  <c r="A5975" i="1"/>
  <c r="F5975" i="1"/>
  <c r="B5976" i="1"/>
  <c r="A5976" i="1"/>
  <c r="F5976" i="1"/>
  <c r="B5977" i="1"/>
  <c r="A5977" i="1"/>
  <c r="F5977" i="1"/>
  <c r="B5978" i="1"/>
  <c r="A5978" i="1"/>
  <c r="F5978" i="1"/>
  <c r="B5979" i="1"/>
  <c r="A5979" i="1"/>
  <c r="F5979" i="1"/>
  <c r="B5980" i="1"/>
  <c r="A5980" i="1"/>
  <c r="F5980" i="1"/>
  <c r="B5981" i="1"/>
  <c r="A5981" i="1"/>
  <c r="F5981" i="1"/>
  <c r="B5982" i="1"/>
  <c r="A5982" i="1"/>
  <c r="F5982" i="1"/>
  <c r="B5983" i="1"/>
  <c r="A5983" i="1"/>
  <c r="F5983" i="1"/>
  <c r="B5984" i="1"/>
  <c r="A5984" i="1"/>
  <c r="F5984" i="1"/>
  <c r="B5985" i="1"/>
  <c r="A5985" i="1"/>
  <c r="F5985" i="1"/>
  <c r="B5986" i="1"/>
  <c r="A5986" i="1"/>
  <c r="F5986" i="1"/>
  <c r="B5987" i="1"/>
  <c r="A5987" i="1"/>
  <c r="F5987" i="1"/>
  <c r="B5988" i="1"/>
  <c r="A5988" i="1"/>
  <c r="F5988" i="1"/>
  <c r="B5989" i="1"/>
  <c r="A5989" i="1"/>
  <c r="F5989" i="1"/>
  <c r="B5990" i="1"/>
  <c r="A5990" i="1"/>
  <c r="F5990" i="1"/>
  <c r="B5991" i="1"/>
  <c r="A5991" i="1"/>
  <c r="F5991" i="1"/>
  <c r="B5992" i="1"/>
  <c r="A5992" i="1"/>
  <c r="F5992" i="1"/>
  <c r="B5993" i="1"/>
  <c r="A5993" i="1"/>
  <c r="F5993" i="1"/>
  <c r="B5994" i="1"/>
  <c r="A5994" i="1"/>
  <c r="F5994" i="1"/>
  <c r="B5995" i="1"/>
  <c r="A5995" i="1"/>
  <c r="F5995" i="1"/>
  <c r="B5996" i="1"/>
  <c r="A5996" i="1"/>
  <c r="F5996" i="1"/>
  <c r="B5997" i="1"/>
  <c r="A5997" i="1"/>
  <c r="F5997" i="1"/>
  <c r="B5998" i="1"/>
  <c r="A5998" i="1"/>
  <c r="F5998" i="1"/>
  <c r="B5999" i="1"/>
  <c r="A5999" i="1"/>
  <c r="F5999" i="1"/>
  <c r="B6000" i="1"/>
  <c r="A6000" i="1"/>
  <c r="F6000" i="1"/>
  <c r="B6001" i="1"/>
  <c r="A6001" i="1"/>
  <c r="F6001" i="1"/>
  <c r="B6002" i="1"/>
  <c r="A6002" i="1"/>
  <c r="F6002" i="1"/>
  <c r="B6003" i="1"/>
  <c r="A6003" i="1"/>
  <c r="F6003" i="1"/>
  <c r="B6004" i="1"/>
  <c r="A6004" i="1"/>
  <c r="F6004" i="1"/>
  <c r="B6005" i="1"/>
  <c r="A6005" i="1"/>
  <c r="F6005" i="1"/>
  <c r="B6006" i="1"/>
  <c r="A6006" i="1"/>
  <c r="F6006" i="1"/>
  <c r="B6007" i="1"/>
  <c r="A6007" i="1"/>
  <c r="F6007" i="1"/>
  <c r="B6008" i="1"/>
  <c r="A6008" i="1"/>
  <c r="F6008" i="1"/>
  <c r="B6009" i="1"/>
  <c r="A6009" i="1"/>
  <c r="F6009" i="1"/>
  <c r="B6010" i="1"/>
  <c r="A6010" i="1"/>
  <c r="F6010" i="1"/>
  <c r="B6011" i="1"/>
  <c r="A6011" i="1"/>
  <c r="F6011" i="1"/>
  <c r="B6012" i="1"/>
  <c r="A6012" i="1"/>
  <c r="F6012" i="1"/>
  <c r="B6013" i="1"/>
  <c r="A6013" i="1"/>
  <c r="F6013" i="1"/>
  <c r="B6014" i="1"/>
  <c r="A6014" i="1"/>
  <c r="F6014" i="1"/>
  <c r="B6015" i="1"/>
  <c r="A6015" i="1"/>
  <c r="F6015" i="1"/>
  <c r="B6016" i="1"/>
  <c r="A6016" i="1"/>
  <c r="F6016" i="1"/>
  <c r="B6017" i="1"/>
  <c r="A6017" i="1"/>
  <c r="F6017" i="1"/>
  <c r="B6018" i="1"/>
  <c r="A6018" i="1"/>
  <c r="F6018" i="1"/>
  <c r="B6019" i="1"/>
  <c r="A6019" i="1"/>
  <c r="F6019" i="1"/>
  <c r="B6020" i="1"/>
  <c r="A6020" i="1"/>
  <c r="F6020" i="1"/>
  <c r="B6021" i="1"/>
  <c r="A6021" i="1"/>
  <c r="F6021" i="1"/>
  <c r="B6022" i="1"/>
  <c r="A6022" i="1"/>
  <c r="F6022" i="1"/>
  <c r="B6023" i="1"/>
  <c r="A6023" i="1"/>
  <c r="F6023" i="1"/>
  <c r="B6024" i="1"/>
  <c r="A6024" i="1"/>
  <c r="F6024" i="1"/>
  <c r="B6025" i="1"/>
  <c r="A6025" i="1"/>
  <c r="F6025" i="1"/>
  <c r="B6026" i="1"/>
  <c r="A6026" i="1"/>
  <c r="F6026" i="1"/>
  <c r="B6027" i="1"/>
  <c r="A6027" i="1"/>
  <c r="F6027" i="1"/>
  <c r="B6028" i="1"/>
  <c r="A6028" i="1"/>
  <c r="F6028" i="1"/>
  <c r="B6029" i="1"/>
  <c r="A6029" i="1"/>
  <c r="F6029" i="1"/>
  <c r="B6030" i="1"/>
  <c r="A6030" i="1"/>
  <c r="F6030" i="1"/>
  <c r="B6031" i="1"/>
  <c r="A6031" i="1"/>
  <c r="F6031" i="1"/>
  <c r="B6032" i="1"/>
  <c r="A6032" i="1"/>
  <c r="F6032" i="1"/>
  <c r="B6033" i="1"/>
  <c r="A6033" i="1"/>
  <c r="F6033" i="1"/>
  <c r="B6034" i="1"/>
  <c r="A6034" i="1"/>
  <c r="F6034" i="1"/>
  <c r="B6035" i="1"/>
  <c r="A6035" i="1"/>
  <c r="F6035" i="1"/>
  <c r="B6036" i="1"/>
  <c r="A6036" i="1"/>
  <c r="F6036" i="1"/>
  <c r="B6037" i="1"/>
  <c r="A6037" i="1"/>
  <c r="F6037" i="1"/>
  <c r="B6038" i="1"/>
  <c r="A6038" i="1"/>
  <c r="F6038" i="1"/>
  <c r="B6039" i="1"/>
  <c r="A6039" i="1"/>
  <c r="F6039" i="1"/>
  <c r="B6040" i="1"/>
  <c r="A6040" i="1"/>
  <c r="F6040" i="1"/>
  <c r="B6041" i="1"/>
  <c r="A6041" i="1"/>
  <c r="F6041" i="1"/>
  <c r="B6042" i="1"/>
  <c r="A6042" i="1"/>
  <c r="F6042" i="1"/>
  <c r="B6043" i="1"/>
  <c r="A6043" i="1"/>
  <c r="F6043" i="1"/>
  <c r="B6044" i="1"/>
  <c r="A6044" i="1"/>
  <c r="F6044" i="1"/>
  <c r="B6045" i="1"/>
  <c r="A6045" i="1"/>
  <c r="F6045" i="1"/>
  <c r="B6046" i="1"/>
  <c r="A6046" i="1"/>
  <c r="F6046" i="1"/>
  <c r="B6047" i="1"/>
  <c r="A6047" i="1"/>
  <c r="F6047" i="1"/>
  <c r="B6048" i="1"/>
  <c r="A6048" i="1"/>
  <c r="F6048" i="1"/>
  <c r="B6049" i="1"/>
  <c r="A6049" i="1"/>
  <c r="F6049" i="1"/>
  <c r="B6050" i="1"/>
  <c r="A6050" i="1"/>
  <c r="F6050" i="1"/>
  <c r="B6051" i="1"/>
  <c r="A6051" i="1"/>
  <c r="F6051" i="1"/>
  <c r="B6052" i="1"/>
  <c r="A6052" i="1"/>
  <c r="F6052" i="1"/>
  <c r="B6053" i="1"/>
  <c r="A6053" i="1"/>
  <c r="F6053" i="1"/>
  <c r="B6054" i="1"/>
  <c r="A6054" i="1"/>
  <c r="F6054" i="1"/>
  <c r="B6055" i="1"/>
  <c r="A6055" i="1"/>
  <c r="F6055" i="1"/>
  <c r="B6056" i="1"/>
  <c r="A6056" i="1"/>
  <c r="F6056" i="1"/>
  <c r="B6057" i="1"/>
  <c r="A6057" i="1"/>
  <c r="F6057" i="1"/>
  <c r="B6058" i="1"/>
  <c r="A6058" i="1"/>
  <c r="F6058" i="1"/>
  <c r="B6059" i="1"/>
  <c r="A6059" i="1"/>
  <c r="F6059" i="1"/>
  <c r="B6060" i="1"/>
  <c r="A6060" i="1"/>
  <c r="F6060" i="1"/>
  <c r="B6061" i="1"/>
  <c r="A6061" i="1"/>
  <c r="F6061" i="1"/>
  <c r="B6062" i="1"/>
  <c r="A6062" i="1"/>
  <c r="F6062" i="1"/>
  <c r="B6063" i="1"/>
  <c r="A6063" i="1"/>
  <c r="F6063" i="1"/>
  <c r="B6064" i="1"/>
  <c r="A6064" i="1"/>
  <c r="F6064" i="1"/>
  <c r="B6065" i="1"/>
  <c r="A6065" i="1"/>
  <c r="F6065" i="1"/>
  <c r="B6066" i="1"/>
  <c r="A6066" i="1"/>
  <c r="F6066" i="1"/>
  <c r="B6067" i="1"/>
  <c r="A6067" i="1"/>
  <c r="F6067" i="1"/>
  <c r="B6068" i="1"/>
  <c r="A6068" i="1"/>
  <c r="F6068" i="1"/>
  <c r="B6069" i="1"/>
  <c r="A6069" i="1"/>
  <c r="F6069" i="1"/>
  <c r="B6070" i="1"/>
  <c r="A6070" i="1"/>
  <c r="F6070" i="1"/>
  <c r="B6071" i="1"/>
  <c r="A6071" i="1"/>
  <c r="F6071" i="1"/>
  <c r="B6072" i="1"/>
  <c r="A6072" i="1"/>
  <c r="F6072" i="1"/>
  <c r="B6073" i="1"/>
  <c r="A6073" i="1"/>
  <c r="F6073" i="1"/>
  <c r="B6074" i="1"/>
  <c r="A6074" i="1"/>
  <c r="F6074" i="1"/>
  <c r="B6075" i="1"/>
  <c r="A6075" i="1"/>
  <c r="F6075" i="1"/>
  <c r="B6076" i="1"/>
  <c r="A6076" i="1"/>
  <c r="F6076" i="1"/>
  <c r="B6077" i="1"/>
  <c r="A6077" i="1"/>
  <c r="F6077" i="1"/>
  <c r="B6078" i="1"/>
  <c r="A6078" i="1"/>
  <c r="F6078" i="1"/>
  <c r="B6079" i="1"/>
  <c r="A6079" i="1"/>
  <c r="F6079" i="1"/>
  <c r="B6080" i="1"/>
  <c r="A6080" i="1"/>
  <c r="F6080" i="1"/>
  <c r="B6081" i="1"/>
  <c r="A6081" i="1"/>
  <c r="F6081" i="1"/>
  <c r="B6082" i="1"/>
  <c r="A6082" i="1"/>
  <c r="F6082" i="1"/>
  <c r="B6083" i="1"/>
  <c r="A6083" i="1"/>
  <c r="F6083" i="1"/>
  <c r="B6084" i="1"/>
  <c r="A6084" i="1"/>
  <c r="F6084" i="1"/>
  <c r="B6085" i="1"/>
  <c r="A6085" i="1"/>
  <c r="F6085" i="1"/>
  <c r="B6086" i="1"/>
  <c r="A6086" i="1"/>
  <c r="F6086" i="1"/>
  <c r="B6087" i="1"/>
  <c r="A6087" i="1"/>
  <c r="F6087" i="1"/>
  <c r="B6088" i="1"/>
  <c r="A6088" i="1"/>
  <c r="F6088" i="1"/>
  <c r="B6089" i="1"/>
  <c r="A6089" i="1"/>
  <c r="F6089" i="1"/>
  <c r="B6090" i="1"/>
  <c r="A6090" i="1"/>
  <c r="F6090" i="1"/>
  <c r="B6091" i="1"/>
  <c r="A6091" i="1"/>
  <c r="F6091" i="1"/>
  <c r="B6092" i="1"/>
  <c r="A6092" i="1"/>
  <c r="F6092" i="1"/>
  <c r="B6093" i="1"/>
  <c r="A6093" i="1"/>
  <c r="F6093" i="1"/>
  <c r="B6094" i="1"/>
  <c r="A6094" i="1"/>
  <c r="F6094" i="1"/>
  <c r="B6095" i="1"/>
  <c r="A6095" i="1"/>
  <c r="F6095" i="1"/>
  <c r="B6096" i="1"/>
  <c r="A6096" i="1"/>
  <c r="F6096" i="1"/>
  <c r="B6097" i="1"/>
  <c r="A6097" i="1"/>
  <c r="F6097" i="1"/>
  <c r="B6098" i="1"/>
  <c r="A6098" i="1"/>
  <c r="F6098" i="1"/>
  <c r="B6099" i="1"/>
  <c r="A6099" i="1"/>
  <c r="F6099" i="1"/>
  <c r="B6100" i="1"/>
  <c r="A6100" i="1"/>
  <c r="F6100" i="1"/>
  <c r="B6101" i="1"/>
  <c r="A6101" i="1"/>
  <c r="F6101" i="1"/>
  <c r="B6102" i="1"/>
  <c r="A6102" i="1"/>
  <c r="F6102" i="1"/>
  <c r="B6103" i="1"/>
  <c r="A6103" i="1"/>
  <c r="F6103" i="1"/>
  <c r="B6104" i="1"/>
  <c r="A6104" i="1"/>
  <c r="F6104" i="1"/>
  <c r="B6105" i="1"/>
  <c r="A6105" i="1"/>
  <c r="F6105" i="1"/>
  <c r="B6106" i="1"/>
  <c r="A6106" i="1"/>
  <c r="F6106" i="1"/>
  <c r="B6107" i="1"/>
  <c r="A6107" i="1"/>
  <c r="F6107" i="1"/>
  <c r="B6108" i="1"/>
  <c r="A6108" i="1"/>
  <c r="F6108" i="1"/>
  <c r="B6109" i="1"/>
  <c r="A6109" i="1"/>
  <c r="F6109" i="1"/>
  <c r="B6110" i="1"/>
  <c r="A6110" i="1"/>
  <c r="F6110" i="1"/>
  <c r="B6111" i="1"/>
  <c r="A6111" i="1"/>
  <c r="F6111" i="1"/>
  <c r="B6112" i="1"/>
  <c r="A6112" i="1"/>
  <c r="F6112" i="1"/>
  <c r="B6113" i="1"/>
  <c r="A6113" i="1"/>
  <c r="F6113" i="1"/>
  <c r="B6114" i="1"/>
  <c r="A6114" i="1"/>
  <c r="F6114" i="1"/>
  <c r="B6115" i="1"/>
  <c r="A6115" i="1"/>
  <c r="F6115" i="1"/>
  <c r="B6116" i="1"/>
  <c r="A6116" i="1"/>
  <c r="F6116" i="1"/>
  <c r="B6117" i="1"/>
  <c r="A6117" i="1"/>
  <c r="F6117" i="1"/>
  <c r="B6118" i="1"/>
  <c r="A6118" i="1"/>
  <c r="F6118" i="1"/>
  <c r="B6119" i="1"/>
  <c r="A6119" i="1"/>
  <c r="F6119" i="1"/>
  <c r="B6120" i="1"/>
  <c r="A6120" i="1"/>
  <c r="F6120" i="1"/>
  <c r="B6121" i="1"/>
  <c r="A6121" i="1"/>
  <c r="F6121" i="1"/>
  <c r="B6122" i="1"/>
  <c r="A6122" i="1"/>
  <c r="F6122" i="1"/>
  <c r="B6123" i="1"/>
  <c r="A6123" i="1"/>
  <c r="F6123" i="1"/>
  <c r="B6124" i="1"/>
  <c r="A6124" i="1"/>
  <c r="F6124" i="1"/>
  <c r="B6125" i="1"/>
  <c r="A6125" i="1"/>
  <c r="F6125" i="1"/>
  <c r="B6126" i="1"/>
  <c r="A6126" i="1"/>
  <c r="F6126" i="1"/>
  <c r="B6127" i="1"/>
  <c r="A6127" i="1"/>
  <c r="F6127" i="1"/>
  <c r="B6128" i="1"/>
  <c r="A6128" i="1"/>
  <c r="F6128" i="1"/>
  <c r="B6129" i="1"/>
  <c r="A6129" i="1"/>
  <c r="F6129" i="1"/>
  <c r="B6130" i="1"/>
  <c r="A6130" i="1"/>
  <c r="F6130" i="1"/>
  <c r="B6131" i="1"/>
  <c r="A6131" i="1"/>
  <c r="F6131" i="1"/>
  <c r="B6132" i="1"/>
  <c r="A6132" i="1"/>
  <c r="F6132" i="1"/>
  <c r="B6133" i="1"/>
  <c r="A6133" i="1"/>
  <c r="F6133" i="1"/>
  <c r="B6134" i="1"/>
  <c r="A6134" i="1"/>
  <c r="F6134" i="1"/>
  <c r="B6135" i="1"/>
  <c r="A6135" i="1"/>
  <c r="F6135" i="1"/>
  <c r="B6136" i="1"/>
  <c r="A6136" i="1"/>
  <c r="F6136" i="1"/>
  <c r="B6137" i="1"/>
  <c r="A6137" i="1"/>
  <c r="F6137" i="1"/>
  <c r="B6138" i="1"/>
  <c r="A6138" i="1"/>
  <c r="F6138" i="1"/>
  <c r="B6139" i="1"/>
  <c r="A6139" i="1"/>
  <c r="F6139" i="1"/>
  <c r="B6140" i="1"/>
  <c r="A6140" i="1"/>
  <c r="F6140" i="1"/>
  <c r="B6141" i="1"/>
  <c r="A6141" i="1"/>
  <c r="F6141" i="1"/>
  <c r="B6142" i="1"/>
  <c r="A6142" i="1"/>
  <c r="F6142" i="1"/>
  <c r="B6143" i="1"/>
  <c r="A6143" i="1"/>
  <c r="F6143" i="1"/>
  <c r="B6144" i="1"/>
  <c r="A6144" i="1"/>
  <c r="F6144" i="1"/>
  <c r="B6145" i="1"/>
  <c r="A6145" i="1"/>
  <c r="F6145" i="1"/>
  <c r="B6146" i="1"/>
  <c r="A6146" i="1"/>
  <c r="F6146" i="1"/>
  <c r="B6147" i="1"/>
  <c r="A6147" i="1"/>
  <c r="F6147" i="1"/>
  <c r="B6148" i="1"/>
  <c r="A6148" i="1"/>
  <c r="F6148" i="1"/>
  <c r="B6149" i="1"/>
  <c r="A6149" i="1"/>
  <c r="F6149" i="1"/>
  <c r="B6150" i="1"/>
  <c r="A6150" i="1"/>
  <c r="F6150" i="1"/>
  <c r="B6151" i="1"/>
  <c r="A6151" i="1"/>
  <c r="F6151" i="1"/>
  <c r="B6152" i="1"/>
  <c r="A6152" i="1"/>
  <c r="F6152" i="1"/>
  <c r="B6153" i="1"/>
  <c r="A6153" i="1"/>
  <c r="F6153" i="1"/>
  <c r="B6154" i="1"/>
  <c r="A6154" i="1"/>
  <c r="F6154" i="1"/>
  <c r="B6155" i="1"/>
  <c r="A6155" i="1"/>
  <c r="F6155" i="1"/>
  <c r="B6156" i="1"/>
  <c r="A6156" i="1"/>
  <c r="F6156" i="1"/>
  <c r="B6157" i="1"/>
  <c r="A6157" i="1"/>
  <c r="F6157" i="1"/>
  <c r="B6158" i="1"/>
  <c r="A6158" i="1"/>
  <c r="F6158" i="1"/>
  <c r="B6159" i="1"/>
  <c r="A6159" i="1"/>
  <c r="F6159" i="1"/>
  <c r="B6160" i="1"/>
  <c r="A6160" i="1"/>
  <c r="F6160" i="1"/>
  <c r="B6161" i="1"/>
  <c r="A6161" i="1"/>
  <c r="F6161" i="1"/>
  <c r="B6162" i="1"/>
  <c r="A6162" i="1"/>
  <c r="F6162" i="1"/>
  <c r="B6163" i="1"/>
  <c r="A6163" i="1"/>
  <c r="F6163" i="1"/>
  <c r="B6164" i="1"/>
  <c r="A6164" i="1"/>
  <c r="F6164" i="1"/>
  <c r="B6165" i="1"/>
  <c r="A6165" i="1"/>
  <c r="F6165" i="1"/>
  <c r="B6166" i="1"/>
  <c r="A6166" i="1"/>
  <c r="F6166" i="1"/>
  <c r="B6167" i="1"/>
  <c r="A6167" i="1"/>
  <c r="F6167" i="1"/>
  <c r="B6168" i="1"/>
  <c r="A6168" i="1"/>
  <c r="F6168" i="1"/>
  <c r="B6169" i="1"/>
  <c r="A6169" i="1"/>
  <c r="F6169" i="1"/>
  <c r="B6170" i="1"/>
  <c r="A6170" i="1"/>
  <c r="F6170" i="1"/>
  <c r="B6171" i="1"/>
  <c r="A6171" i="1"/>
  <c r="F6171" i="1"/>
  <c r="B6172" i="1"/>
  <c r="A6172" i="1"/>
  <c r="F6172" i="1"/>
  <c r="B6173" i="1"/>
  <c r="A6173" i="1"/>
  <c r="F6173" i="1"/>
  <c r="B6174" i="1"/>
  <c r="A6174" i="1"/>
  <c r="F6174" i="1"/>
  <c r="B6175" i="1"/>
  <c r="A6175" i="1"/>
  <c r="F6175" i="1"/>
  <c r="B6176" i="1"/>
  <c r="A6176" i="1"/>
  <c r="F6176" i="1"/>
  <c r="B6177" i="1"/>
  <c r="A6177" i="1"/>
  <c r="F6177" i="1"/>
  <c r="B6178" i="1"/>
  <c r="A6178" i="1"/>
  <c r="F6178" i="1"/>
  <c r="B6179" i="1"/>
  <c r="A6179" i="1"/>
  <c r="F6179" i="1"/>
  <c r="B6180" i="1"/>
  <c r="A6180" i="1"/>
  <c r="F6180" i="1"/>
  <c r="B6181" i="1"/>
  <c r="A6181" i="1"/>
  <c r="F6181" i="1"/>
  <c r="B6182" i="1"/>
  <c r="A6182" i="1"/>
  <c r="F6182" i="1"/>
  <c r="B6183" i="1"/>
  <c r="A6183" i="1"/>
  <c r="F6183" i="1"/>
  <c r="B6184" i="1"/>
  <c r="A6184" i="1"/>
  <c r="F6184" i="1"/>
  <c r="B6185" i="1"/>
  <c r="A6185" i="1"/>
  <c r="F6185" i="1"/>
  <c r="B6186" i="1"/>
  <c r="A6186" i="1"/>
  <c r="F6186" i="1"/>
  <c r="B6187" i="1"/>
  <c r="A6187" i="1"/>
  <c r="F6187" i="1"/>
  <c r="B6188" i="1"/>
  <c r="A6188" i="1"/>
  <c r="F6188" i="1"/>
  <c r="B6189" i="1"/>
  <c r="A6189" i="1"/>
  <c r="F6189" i="1"/>
  <c r="B6190" i="1"/>
  <c r="A6190" i="1"/>
  <c r="F6190" i="1"/>
  <c r="B6191" i="1"/>
  <c r="A6191" i="1"/>
  <c r="F6191" i="1"/>
  <c r="B6192" i="1"/>
  <c r="A6192" i="1"/>
  <c r="F6192" i="1"/>
  <c r="B6193" i="1"/>
  <c r="A6193" i="1"/>
  <c r="F6193" i="1"/>
  <c r="B6194" i="1"/>
  <c r="A6194" i="1"/>
  <c r="F6194" i="1"/>
  <c r="B6195" i="1"/>
  <c r="A6195" i="1"/>
  <c r="F6195" i="1"/>
  <c r="B6196" i="1"/>
  <c r="A6196" i="1"/>
  <c r="F6196" i="1"/>
  <c r="B6197" i="1"/>
  <c r="A6197" i="1"/>
  <c r="F6197" i="1"/>
  <c r="B6198" i="1"/>
  <c r="A6198" i="1"/>
  <c r="F6198" i="1"/>
  <c r="B6199" i="1"/>
  <c r="A6199" i="1"/>
  <c r="F6199" i="1"/>
  <c r="B6200" i="1"/>
  <c r="A6200" i="1"/>
  <c r="F6200" i="1"/>
  <c r="B6201" i="1"/>
  <c r="A6201" i="1"/>
  <c r="F6201" i="1"/>
  <c r="B6202" i="1"/>
  <c r="A6202" i="1"/>
  <c r="F6202" i="1"/>
  <c r="B6203" i="1"/>
  <c r="A6203" i="1"/>
  <c r="F6203" i="1"/>
  <c r="B6204" i="1"/>
  <c r="A6204" i="1"/>
  <c r="F6204" i="1"/>
  <c r="B6205" i="1"/>
  <c r="A6205" i="1"/>
  <c r="F6205" i="1"/>
  <c r="B6206" i="1"/>
  <c r="A6206" i="1"/>
  <c r="F6206" i="1"/>
  <c r="B6207" i="1"/>
  <c r="A6207" i="1"/>
  <c r="F6207" i="1"/>
  <c r="B6208" i="1"/>
  <c r="A6208" i="1"/>
  <c r="F6208" i="1"/>
  <c r="B6209" i="1"/>
  <c r="A6209" i="1"/>
  <c r="F6209" i="1"/>
  <c r="B6210" i="1"/>
  <c r="A6210" i="1"/>
  <c r="F6210" i="1"/>
  <c r="B6211" i="1"/>
  <c r="A6211" i="1"/>
  <c r="F6211" i="1"/>
  <c r="B6212" i="1"/>
  <c r="A6212" i="1"/>
  <c r="F6212" i="1"/>
  <c r="B6213" i="1"/>
  <c r="A6213" i="1"/>
  <c r="F6213" i="1"/>
  <c r="B6214" i="1"/>
  <c r="A6214" i="1"/>
  <c r="F6214" i="1"/>
  <c r="B6215" i="1"/>
  <c r="A6215" i="1"/>
  <c r="F6215" i="1"/>
  <c r="B6216" i="1"/>
  <c r="A6216" i="1"/>
  <c r="F6216" i="1"/>
  <c r="B6217" i="1"/>
  <c r="A6217" i="1"/>
  <c r="F6217" i="1"/>
  <c r="B6218" i="1"/>
  <c r="A6218" i="1"/>
  <c r="F6218" i="1"/>
  <c r="B6219" i="1"/>
  <c r="A6219" i="1"/>
  <c r="F6219" i="1"/>
  <c r="B6220" i="1"/>
  <c r="A6220" i="1"/>
  <c r="F6220" i="1"/>
  <c r="B6221" i="1"/>
  <c r="A6221" i="1"/>
  <c r="F6221" i="1"/>
  <c r="B6222" i="1"/>
  <c r="A6222" i="1"/>
  <c r="F6222" i="1"/>
  <c r="B6223" i="1"/>
  <c r="A6223" i="1"/>
  <c r="F6223" i="1"/>
  <c r="B6224" i="1"/>
  <c r="A6224" i="1"/>
  <c r="F6224" i="1"/>
  <c r="B6225" i="1"/>
  <c r="A6225" i="1"/>
  <c r="F6225" i="1"/>
  <c r="B6226" i="1"/>
  <c r="A6226" i="1"/>
  <c r="F6226" i="1"/>
  <c r="B6227" i="1"/>
  <c r="A6227" i="1"/>
  <c r="F6227" i="1"/>
  <c r="B6228" i="1"/>
  <c r="A6228" i="1"/>
  <c r="F6228" i="1"/>
  <c r="B6229" i="1"/>
  <c r="A6229" i="1"/>
  <c r="F6229" i="1"/>
  <c r="B6230" i="1"/>
  <c r="A6230" i="1"/>
  <c r="F6230" i="1"/>
  <c r="B6231" i="1"/>
  <c r="A6231" i="1"/>
  <c r="F6231" i="1"/>
  <c r="B6232" i="1"/>
  <c r="A6232" i="1"/>
  <c r="F6232" i="1"/>
  <c r="B6233" i="1"/>
  <c r="A6233" i="1"/>
  <c r="F6233" i="1"/>
  <c r="B6234" i="1"/>
  <c r="A6234" i="1"/>
  <c r="F6234" i="1"/>
  <c r="B6235" i="1"/>
  <c r="A6235" i="1"/>
  <c r="F6235" i="1"/>
  <c r="B6236" i="1"/>
  <c r="A6236" i="1"/>
  <c r="F6236" i="1"/>
  <c r="B6237" i="1"/>
  <c r="A6237" i="1"/>
  <c r="F6237" i="1"/>
  <c r="B6238" i="1"/>
  <c r="A6238" i="1"/>
  <c r="F6238" i="1"/>
  <c r="B6239" i="1"/>
  <c r="A6239" i="1"/>
  <c r="F6239" i="1"/>
  <c r="B6240" i="1"/>
  <c r="A6240" i="1"/>
  <c r="F6240" i="1"/>
  <c r="B6241" i="1"/>
  <c r="A6241" i="1"/>
  <c r="F6241" i="1"/>
  <c r="B6242" i="1"/>
  <c r="A6242" i="1"/>
  <c r="F6242" i="1"/>
  <c r="B6243" i="1"/>
  <c r="A6243" i="1"/>
  <c r="F6243" i="1"/>
  <c r="B6244" i="1"/>
  <c r="A6244" i="1"/>
  <c r="F6244" i="1"/>
  <c r="B6245" i="1"/>
  <c r="A6245" i="1"/>
  <c r="F6245" i="1"/>
  <c r="B6246" i="1"/>
  <c r="A6246" i="1"/>
  <c r="F6246" i="1"/>
  <c r="B6247" i="1"/>
  <c r="A6247" i="1"/>
  <c r="F6247" i="1"/>
  <c r="B6248" i="1"/>
  <c r="A6248" i="1"/>
  <c r="F6248" i="1"/>
  <c r="B6249" i="1"/>
  <c r="A6249" i="1"/>
  <c r="F6249" i="1"/>
  <c r="B6250" i="1"/>
  <c r="A6250" i="1"/>
  <c r="F6250" i="1"/>
  <c r="B6251" i="1"/>
  <c r="A6251" i="1"/>
  <c r="F6251" i="1"/>
  <c r="B6252" i="1"/>
  <c r="A6252" i="1"/>
  <c r="F6252" i="1"/>
  <c r="B6253" i="1"/>
  <c r="A6253" i="1"/>
  <c r="F6253" i="1"/>
  <c r="B6254" i="1"/>
  <c r="A6254" i="1"/>
  <c r="F6254" i="1"/>
  <c r="B6255" i="1"/>
  <c r="A6255" i="1"/>
  <c r="F6255" i="1"/>
  <c r="B6256" i="1"/>
  <c r="A6256" i="1"/>
  <c r="F6256" i="1"/>
  <c r="B6257" i="1"/>
  <c r="A6257" i="1"/>
  <c r="F6257" i="1"/>
  <c r="B6258" i="1"/>
  <c r="A6258" i="1"/>
  <c r="F6258" i="1"/>
  <c r="B6259" i="1"/>
  <c r="A6259" i="1"/>
  <c r="F6259" i="1"/>
  <c r="B6260" i="1"/>
  <c r="A6260" i="1"/>
  <c r="F6260" i="1"/>
  <c r="B6261" i="1"/>
  <c r="A6261" i="1"/>
  <c r="F6261" i="1"/>
  <c r="B6262" i="1"/>
  <c r="A6262" i="1"/>
  <c r="F6262" i="1"/>
  <c r="B6263" i="1"/>
  <c r="A6263" i="1"/>
  <c r="F6263" i="1"/>
  <c r="B6264" i="1"/>
  <c r="A6264" i="1"/>
  <c r="F6264" i="1"/>
  <c r="B6265" i="1"/>
  <c r="A6265" i="1"/>
  <c r="F6265" i="1"/>
  <c r="B6266" i="1"/>
  <c r="A6266" i="1"/>
  <c r="F6266" i="1"/>
  <c r="B6267" i="1"/>
  <c r="A6267" i="1"/>
  <c r="F6267" i="1"/>
  <c r="B6268" i="1"/>
  <c r="A6268" i="1"/>
  <c r="F6268" i="1"/>
  <c r="B6269" i="1"/>
  <c r="A6269" i="1"/>
  <c r="F6269" i="1"/>
  <c r="B6270" i="1"/>
  <c r="A6270" i="1"/>
  <c r="F6270" i="1"/>
  <c r="B6271" i="1"/>
  <c r="A6271" i="1"/>
  <c r="F6271" i="1"/>
  <c r="B6272" i="1"/>
  <c r="A6272" i="1"/>
  <c r="F6272" i="1"/>
  <c r="B6273" i="1"/>
  <c r="A6273" i="1"/>
  <c r="F6273" i="1"/>
  <c r="B6274" i="1"/>
  <c r="A6274" i="1"/>
  <c r="F6274" i="1"/>
  <c r="B6275" i="1"/>
  <c r="A6275" i="1"/>
  <c r="F6275" i="1"/>
  <c r="B6276" i="1"/>
  <c r="A6276" i="1"/>
  <c r="F6276" i="1"/>
  <c r="B6277" i="1"/>
  <c r="A6277" i="1"/>
  <c r="F6277" i="1"/>
  <c r="B6278" i="1"/>
  <c r="A6278" i="1"/>
  <c r="F6278" i="1"/>
  <c r="B6279" i="1"/>
  <c r="A6279" i="1"/>
  <c r="F6279" i="1"/>
  <c r="B6280" i="1"/>
  <c r="A6280" i="1"/>
  <c r="F6280" i="1"/>
  <c r="B6281" i="1"/>
  <c r="A6281" i="1"/>
  <c r="F6281" i="1"/>
  <c r="B6282" i="1"/>
  <c r="A6282" i="1"/>
  <c r="F6282" i="1"/>
  <c r="B6283" i="1"/>
  <c r="A6283" i="1"/>
  <c r="F6283" i="1"/>
  <c r="B6284" i="1"/>
  <c r="A6284" i="1"/>
  <c r="F6284" i="1"/>
  <c r="B6285" i="1"/>
  <c r="A6285" i="1"/>
  <c r="F6285" i="1"/>
  <c r="B6286" i="1"/>
  <c r="A6286" i="1"/>
  <c r="F6286" i="1"/>
  <c r="B6287" i="1"/>
  <c r="A6287" i="1"/>
  <c r="F6287" i="1"/>
  <c r="B6288" i="1"/>
  <c r="A6288" i="1"/>
  <c r="F6288" i="1"/>
  <c r="B6289" i="1"/>
  <c r="A6289" i="1"/>
  <c r="F6289" i="1"/>
  <c r="B6290" i="1"/>
  <c r="A6290" i="1"/>
  <c r="F6290" i="1"/>
  <c r="B6291" i="1"/>
  <c r="A6291" i="1"/>
  <c r="F6291" i="1"/>
  <c r="B6292" i="1"/>
  <c r="A6292" i="1"/>
  <c r="F6292" i="1"/>
  <c r="B6293" i="1"/>
  <c r="A6293" i="1"/>
  <c r="F6293" i="1"/>
  <c r="B6294" i="1"/>
  <c r="A6294" i="1"/>
  <c r="F6294" i="1"/>
  <c r="B6295" i="1"/>
  <c r="A6295" i="1"/>
  <c r="F6295" i="1"/>
  <c r="B6296" i="1"/>
  <c r="A6296" i="1"/>
  <c r="F6296" i="1"/>
  <c r="B6297" i="1"/>
  <c r="A6297" i="1"/>
  <c r="F6297" i="1"/>
  <c r="B6298" i="1"/>
  <c r="A6298" i="1"/>
  <c r="F6298" i="1"/>
  <c r="B6299" i="1"/>
  <c r="A6299" i="1"/>
  <c r="F6299" i="1"/>
  <c r="B6300" i="1"/>
  <c r="A6300" i="1"/>
  <c r="F6300" i="1"/>
  <c r="B6301" i="1"/>
  <c r="A6301" i="1"/>
  <c r="F6301" i="1"/>
  <c r="B6302" i="1"/>
  <c r="A6302" i="1"/>
  <c r="F6302" i="1"/>
  <c r="B6303" i="1"/>
  <c r="A6303" i="1"/>
  <c r="F6303" i="1"/>
  <c r="B6304" i="1"/>
  <c r="A6304" i="1"/>
  <c r="F6304" i="1"/>
  <c r="B6305" i="1"/>
  <c r="A6305" i="1"/>
  <c r="F6305" i="1"/>
  <c r="B6306" i="1"/>
  <c r="A6306" i="1"/>
  <c r="F6306" i="1"/>
  <c r="B6307" i="1"/>
  <c r="A6307" i="1"/>
  <c r="F6307" i="1"/>
  <c r="B6308" i="1"/>
  <c r="A6308" i="1"/>
  <c r="F6308" i="1"/>
  <c r="B6309" i="1"/>
  <c r="A6309" i="1"/>
  <c r="F6309" i="1"/>
  <c r="B6310" i="1"/>
  <c r="A6310" i="1"/>
  <c r="F6310" i="1"/>
  <c r="B6311" i="1"/>
  <c r="A6311" i="1"/>
  <c r="F6311" i="1"/>
  <c r="B6312" i="1"/>
  <c r="A6312" i="1"/>
  <c r="F6312" i="1"/>
  <c r="B6313" i="1"/>
  <c r="A6313" i="1"/>
  <c r="F6313" i="1"/>
  <c r="B6314" i="1"/>
  <c r="A6314" i="1"/>
  <c r="F6314" i="1"/>
  <c r="B6315" i="1"/>
  <c r="A6315" i="1"/>
  <c r="F6315" i="1"/>
  <c r="B6316" i="1"/>
  <c r="A6316" i="1"/>
  <c r="F6316" i="1"/>
  <c r="B6317" i="1"/>
  <c r="A6317" i="1"/>
  <c r="F6317" i="1"/>
  <c r="B6318" i="1"/>
  <c r="A6318" i="1"/>
  <c r="F6318" i="1"/>
  <c r="B6319" i="1"/>
  <c r="A6319" i="1"/>
  <c r="F6319" i="1"/>
  <c r="B6320" i="1"/>
  <c r="A6320" i="1"/>
  <c r="F6320" i="1"/>
  <c r="B6321" i="1"/>
  <c r="A6321" i="1"/>
  <c r="F6321" i="1"/>
  <c r="B6322" i="1"/>
  <c r="A6322" i="1"/>
  <c r="F6322" i="1"/>
  <c r="B6323" i="1"/>
  <c r="A6323" i="1"/>
  <c r="F6323" i="1"/>
  <c r="B6324" i="1"/>
  <c r="A6324" i="1"/>
  <c r="F6324" i="1"/>
  <c r="B6325" i="1"/>
  <c r="A6325" i="1"/>
  <c r="F6325" i="1"/>
  <c r="B6326" i="1"/>
  <c r="A6326" i="1"/>
  <c r="F6326" i="1"/>
  <c r="B6327" i="1"/>
  <c r="A6327" i="1"/>
  <c r="F6327" i="1"/>
  <c r="B6328" i="1"/>
  <c r="A6328" i="1"/>
  <c r="F6328" i="1"/>
  <c r="B6329" i="1"/>
  <c r="A6329" i="1"/>
  <c r="F6329" i="1"/>
  <c r="B6330" i="1"/>
  <c r="A6330" i="1"/>
  <c r="F6330" i="1"/>
  <c r="B6331" i="1"/>
  <c r="A6331" i="1"/>
  <c r="F6331" i="1"/>
  <c r="B6332" i="1"/>
  <c r="A6332" i="1"/>
  <c r="F6332" i="1"/>
  <c r="B6333" i="1"/>
  <c r="A6333" i="1"/>
  <c r="F6333" i="1"/>
  <c r="B6334" i="1"/>
  <c r="A6334" i="1"/>
  <c r="F6334" i="1"/>
  <c r="B6335" i="1"/>
  <c r="A6335" i="1"/>
  <c r="F6335" i="1"/>
  <c r="B6336" i="1"/>
  <c r="A6336" i="1"/>
  <c r="F6336" i="1"/>
  <c r="B6337" i="1"/>
  <c r="A6337" i="1"/>
  <c r="F6337" i="1"/>
  <c r="B6338" i="1"/>
  <c r="A6338" i="1"/>
  <c r="F6338" i="1"/>
  <c r="B6339" i="1"/>
  <c r="A6339" i="1"/>
  <c r="F6339" i="1"/>
  <c r="B6340" i="1"/>
  <c r="A6340" i="1"/>
  <c r="F6340" i="1"/>
  <c r="B6341" i="1"/>
  <c r="A6341" i="1"/>
  <c r="F6341" i="1"/>
  <c r="B6342" i="1"/>
  <c r="A6342" i="1"/>
  <c r="F6342" i="1"/>
  <c r="B6343" i="1"/>
  <c r="A6343" i="1"/>
  <c r="F6343" i="1"/>
  <c r="B6344" i="1"/>
  <c r="A6344" i="1"/>
  <c r="F6344" i="1"/>
  <c r="B6345" i="1"/>
  <c r="A6345" i="1"/>
  <c r="F6345" i="1"/>
  <c r="B6346" i="1"/>
  <c r="A6346" i="1"/>
  <c r="F6346" i="1"/>
  <c r="B6347" i="1"/>
  <c r="A6347" i="1"/>
  <c r="F6347" i="1"/>
  <c r="B6348" i="1"/>
  <c r="A6348" i="1"/>
  <c r="F6348" i="1"/>
  <c r="B6349" i="1"/>
  <c r="A6349" i="1"/>
  <c r="F6349" i="1"/>
  <c r="B6350" i="1"/>
  <c r="A6350" i="1"/>
  <c r="F6350" i="1"/>
  <c r="B6351" i="1"/>
  <c r="A6351" i="1"/>
  <c r="F6351" i="1"/>
  <c r="B6352" i="1"/>
  <c r="A6352" i="1"/>
  <c r="F6352" i="1"/>
  <c r="B6353" i="1"/>
  <c r="A6353" i="1"/>
  <c r="F6353" i="1"/>
  <c r="B6354" i="1"/>
  <c r="A6354" i="1"/>
  <c r="F6354" i="1"/>
  <c r="B6355" i="1"/>
  <c r="A6355" i="1"/>
  <c r="F6355" i="1"/>
  <c r="B6356" i="1"/>
  <c r="A6356" i="1"/>
  <c r="F6356" i="1"/>
  <c r="B6357" i="1"/>
  <c r="A6357" i="1"/>
  <c r="F6357" i="1"/>
  <c r="B6358" i="1"/>
  <c r="A6358" i="1"/>
  <c r="F6358" i="1"/>
  <c r="B6359" i="1"/>
  <c r="A6359" i="1"/>
  <c r="F6359" i="1"/>
  <c r="B6360" i="1"/>
  <c r="A6360" i="1"/>
  <c r="F6360" i="1"/>
  <c r="B6361" i="1"/>
  <c r="A6361" i="1"/>
  <c r="F6361" i="1"/>
  <c r="B6362" i="1"/>
  <c r="A6362" i="1"/>
  <c r="F6362" i="1"/>
  <c r="B6363" i="1"/>
  <c r="A6363" i="1"/>
  <c r="F6363" i="1"/>
  <c r="B6364" i="1"/>
  <c r="A6364" i="1"/>
  <c r="F6364" i="1"/>
  <c r="B6365" i="1"/>
  <c r="A6365" i="1"/>
  <c r="F6365" i="1"/>
  <c r="B6366" i="1"/>
  <c r="A6366" i="1"/>
  <c r="F6366" i="1"/>
  <c r="B6367" i="1"/>
  <c r="A6367" i="1"/>
  <c r="F6367" i="1"/>
  <c r="B6368" i="1"/>
  <c r="A6368" i="1"/>
  <c r="F6368" i="1"/>
  <c r="B6369" i="1"/>
  <c r="A6369" i="1"/>
  <c r="F6369" i="1"/>
  <c r="B6370" i="1"/>
  <c r="A6370" i="1"/>
  <c r="F6370" i="1"/>
  <c r="B6371" i="1"/>
  <c r="A6371" i="1"/>
  <c r="F6371" i="1"/>
  <c r="B6372" i="1"/>
  <c r="A6372" i="1"/>
  <c r="F6372" i="1"/>
  <c r="B6373" i="1"/>
  <c r="A6373" i="1"/>
  <c r="F6373" i="1"/>
  <c r="B6374" i="1"/>
  <c r="A6374" i="1"/>
  <c r="F6374" i="1"/>
  <c r="B6375" i="1"/>
  <c r="A6375" i="1"/>
  <c r="F6375" i="1"/>
  <c r="B6376" i="1"/>
  <c r="A6376" i="1"/>
  <c r="F6376" i="1"/>
  <c r="B6377" i="1"/>
  <c r="A6377" i="1"/>
  <c r="F6377" i="1"/>
  <c r="B6378" i="1"/>
  <c r="A6378" i="1"/>
  <c r="F6378" i="1"/>
  <c r="B6379" i="1"/>
  <c r="A6379" i="1"/>
  <c r="F6379" i="1"/>
  <c r="B6380" i="1"/>
  <c r="A6380" i="1"/>
  <c r="F6380" i="1"/>
  <c r="B6381" i="1"/>
  <c r="A6381" i="1"/>
  <c r="F6381" i="1"/>
  <c r="B6382" i="1"/>
  <c r="A6382" i="1"/>
  <c r="F6382" i="1"/>
  <c r="B6383" i="1"/>
  <c r="A6383" i="1"/>
  <c r="F6383" i="1"/>
  <c r="B6384" i="1"/>
  <c r="A6384" i="1"/>
  <c r="F6384" i="1"/>
  <c r="B6385" i="1"/>
  <c r="A6385" i="1"/>
  <c r="F6385" i="1"/>
  <c r="B6386" i="1"/>
  <c r="A6386" i="1"/>
  <c r="F6386" i="1"/>
  <c r="B6387" i="1"/>
  <c r="A6387" i="1"/>
  <c r="F6387" i="1"/>
  <c r="B6388" i="1"/>
  <c r="A6388" i="1"/>
  <c r="F6388" i="1"/>
  <c r="B6389" i="1"/>
  <c r="A6389" i="1"/>
  <c r="F6389" i="1"/>
  <c r="B6390" i="1"/>
  <c r="A6390" i="1"/>
  <c r="F6390" i="1"/>
  <c r="B6391" i="1"/>
  <c r="A6391" i="1"/>
  <c r="F6391" i="1"/>
  <c r="B6392" i="1"/>
  <c r="A6392" i="1"/>
  <c r="F6392" i="1"/>
  <c r="B6393" i="1"/>
  <c r="A6393" i="1"/>
  <c r="F6393" i="1"/>
  <c r="B6394" i="1"/>
  <c r="A6394" i="1"/>
  <c r="F6394" i="1"/>
  <c r="B6395" i="1"/>
  <c r="A6395" i="1"/>
  <c r="F6395" i="1"/>
  <c r="B6396" i="1"/>
  <c r="A6396" i="1"/>
  <c r="F6396" i="1"/>
  <c r="B6397" i="1"/>
  <c r="A6397" i="1"/>
  <c r="F6397" i="1"/>
  <c r="B6398" i="1"/>
  <c r="A6398" i="1"/>
  <c r="F6398" i="1"/>
  <c r="B6399" i="1"/>
  <c r="A6399" i="1"/>
  <c r="F6399" i="1"/>
  <c r="B6400" i="1"/>
  <c r="A6400" i="1"/>
  <c r="F6400" i="1"/>
  <c r="B6401" i="1"/>
  <c r="A6401" i="1"/>
  <c r="F6401" i="1"/>
  <c r="B6402" i="1"/>
  <c r="A6402" i="1"/>
  <c r="F6402" i="1"/>
  <c r="B6403" i="1"/>
  <c r="A6403" i="1"/>
  <c r="F6403" i="1"/>
  <c r="B6404" i="1"/>
  <c r="A6404" i="1"/>
  <c r="F6404" i="1"/>
  <c r="B6405" i="1"/>
  <c r="A6405" i="1"/>
  <c r="F6405" i="1"/>
  <c r="B6406" i="1"/>
  <c r="A6406" i="1"/>
  <c r="F6406" i="1"/>
  <c r="B6407" i="1"/>
  <c r="A6407" i="1"/>
  <c r="F6407" i="1"/>
  <c r="B6408" i="1"/>
  <c r="A6408" i="1"/>
  <c r="F6408" i="1"/>
  <c r="B6409" i="1"/>
  <c r="A6409" i="1"/>
  <c r="F6409" i="1"/>
  <c r="B6410" i="1"/>
  <c r="A6410" i="1"/>
  <c r="F6410" i="1"/>
  <c r="B6411" i="1"/>
  <c r="A6411" i="1"/>
  <c r="F6411" i="1"/>
  <c r="B6412" i="1"/>
  <c r="A6412" i="1"/>
  <c r="F6412" i="1"/>
  <c r="B6413" i="1"/>
  <c r="A6413" i="1"/>
  <c r="F6413" i="1"/>
  <c r="B6414" i="1"/>
  <c r="A6414" i="1"/>
  <c r="F6414" i="1"/>
  <c r="B6415" i="1"/>
  <c r="A6415" i="1"/>
  <c r="F6415" i="1"/>
  <c r="B6416" i="1"/>
  <c r="A6416" i="1"/>
  <c r="F6416" i="1"/>
  <c r="B6417" i="1"/>
  <c r="A6417" i="1"/>
  <c r="F6417" i="1"/>
  <c r="B6418" i="1"/>
  <c r="A6418" i="1"/>
  <c r="F6418" i="1"/>
  <c r="B6419" i="1"/>
  <c r="A6419" i="1"/>
  <c r="F6419" i="1"/>
  <c r="B6420" i="1"/>
  <c r="A6420" i="1"/>
  <c r="F6420" i="1"/>
  <c r="B6421" i="1"/>
  <c r="A6421" i="1"/>
  <c r="F6421" i="1"/>
  <c r="B6422" i="1"/>
  <c r="A6422" i="1"/>
  <c r="F6422" i="1"/>
  <c r="B6423" i="1"/>
  <c r="A6423" i="1"/>
  <c r="F6423" i="1"/>
  <c r="B6424" i="1"/>
  <c r="A6424" i="1"/>
  <c r="F6424" i="1"/>
  <c r="B6425" i="1"/>
  <c r="A6425" i="1"/>
  <c r="F6425" i="1"/>
  <c r="B6426" i="1"/>
  <c r="A6426" i="1"/>
  <c r="F6426" i="1"/>
  <c r="B6427" i="1"/>
  <c r="A6427" i="1"/>
  <c r="F6427" i="1"/>
  <c r="B6428" i="1"/>
  <c r="A6428" i="1"/>
  <c r="F6428" i="1"/>
  <c r="B6429" i="1"/>
  <c r="A6429" i="1"/>
  <c r="F6429" i="1"/>
  <c r="B6430" i="1"/>
  <c r="A6430" i="1"/>
  <c r="F6430" i="1"/>
  <c r="B6431" i="1"/>
  <c r="A6431" i="1"/>
  <c r="F6431" i="1"/>
  <c r="B6432" i="1"/>
  <c r="A6432" i="1"/>
  <c r="F6432" i="1"/>
  <c r="B6433" i="1"/>
  <c r="A6433" i="1"/>
  <c r="F6433" i="1"/>
  <c r="B6434" i="1"/>
  <c r="A6434" i="1"/>
  <c r="F6434" i="1"/>
  <c r="B6435" i="1"/>
  <c r="A6435" i="1"/>
  <c r="F6435" i="1"/>
  <c r="B6436" i="1"/>
  <c r="A6436" i="1"/>
  <c r="F6436" i="1"/>
  <c r="B6437" i="1"/>
  <c r="A6437" i="1"/>
  <c r="F6437" i="1"/>
  <c r="B6438" i="1"/>
  <c r="A6438" i="1"/>
  <c r="F6438" i="1"/>
  <c r="B6439" i="1"/>
  <c r="A6439" i="1"/>
  <c r="F6439" i="1"/>
  <c r="B6440" i="1"/>
  <c r="A6440" i="1"/>
  <c r="F6440" i="1"/>
  <c r="B6441" i="1"/>
  <c r="A6441" i="1"/>
  <c r="F6441" i="1"/>
  <c r="B6442" i="1"/>
  <c r="A6442" i="1"/>
  <c r="F6442" i="1"/>
  <c r="B6443" i="1"/>
  <c r="A6443" i="1"/>
  <c r="F6443" i="1"/>
  <c r="B6444" i="1"/>
  <c r="A6444" i="1"/>
  <c r="F6444" i="1"/>
  <c r="B6445" i="1"/>
  <c r="A6445" i="1"/>
  <c r="F6445" i="1"/>
  <c r="B6446" i="1"/>
  <c r="A6446" i="1"/>
  <c r="F6446" i="1"/>
  <c r="B6447" i="1"/>
  <c r="A6447" i="1"/>
  <c r="F6447" i="1"/>
  <c r="B6448" i="1"/>
  <c r="A6448" i="1"/>
  <c r="F6448" i="1"/>
  <c r="B6449" i="1"/>
  <c r="A6449" i="1"/>
  <c r="F6449" i="1"/>
  <c r="B6450" i="1"/>
  <c r="A6450" i="1"/>
  <c r="F6450" i="1"/>
  <c r="B6451" i="1"/>
  <c r="A6451" i="1"/>
  <c r="F6451" i="1"/>
  <c r="B6452" i="1"/>
  <c r="A6452" i="1"/>
  <c r="F6452" i="1"/>
  <c r="B6453" i="1"/>
  <c r="A6453" i="1"/>
  <c r="F6453" i="1"/>
  <c r="B6454" i="1"/>
  <c r="A6454" i="1"/>
  <c r="F6454" i="1"/>
  <c r="B6455" i="1"/>
  <c r="A6455" i="1"/>
  <c r="F6455" i="1"/>
  <c r="B6456" i="1"/>
  <c r="A6456" i="1"/>
  <c r="F6456" i="1"/>
  <c r="B6457" i="1"/>
  <c r="A6457" i="1"/>
  <c r="F6457" i="1"/>
  <c r="B6458" i="1"/>
  <c r="A6458" i="1"/>
  <c r="F6458" i="1"/>
  <c r="B6459" i="1"/>
  <c r="A6459" i="1"/>
  <c r="F6459" i="1"/>
  <c r="B6460" i="1"/>
  <c r="A6460" i="1"/>
  <c r="F6460" i="1"/>
  <c r="B6461" i="1"/>
  <c r="A6461" i="1"/>
  <c r="F6461" i="1"/>
  <c r="B6462" i="1"/>
  <c r="A6462" i="1"/>
  <c r="F6462" i="1"/>
  <c r="B6463" i="1"/>
  <c r="A6463" i="1"/>
  <c r="F6463" i="1"/>
  <c r="B6464" i="1"/>
  <c r="A6464" i="1"/>
  <c r="F6464" i="1"/>
  <c r="B6465" i="1"/>
  <c r="A6465" i="1"/>
  <c r="F6465" i="1"/>
  <c r="B6466" i="1"/>
  <c r="A6466" i="1"/>
  <c r="F6466" i="1"/>
  <c r="B6467" i="1"/>
  <c r="A6467" i="1"/>
  <c r="F6467" i="1"/>
  <c r="B6468" i="1"/>
  <c r="A6468" i="1"/>
  <c r="F6468" i="1"/>
  <c r="B6469" i="1"/>
  <c r="A6469" i="1"/>
  <c r="F6469" i="1"/>
  <c r="B6470" i="1"/>
  <c r="A6470" i="1"/>
  <c r="F6470" i="1"/>
  <c r="B6471" i="1"/>
  <c r="A6471" i="1"/>
  <c r="F6471" i="1"/>
  <c r="B6472" i="1"/>
  <c r="A6472" i="1"/>
  <c r="F6472" i="1"/>
  <c r="B6473" i="1"/>
  <c r="A6473" i="1"/>
  <c r="F6473" i="1"/>
  <c r="B6474" i="1"/>
  <c r="A6474" i="1"/>
  <c r="F6474" i="1"/>
  <c r="B6475" i="1"/>
  <c r="A6475" i="1"/>
  <c r="F6475" i="1"/>
  <c r="B6476" i="1"/>
  <c r="A6476" i="1"/>
  <c r="F6476" i="1"/>
  <c r="B6477" i="1"/>
  <c r="A6477" i="1"/>
  <c r="F6477" i="1"/>
  <c r="B6478" i="1"/>
  <c r="A6478" i="1"/>
  <c r="F6478" i="1"/>
  <c r="B6479" i="1"/>
  <c r="A6479" i="1"/>
  <c r="F6479" i="1"/>
  <c r="B6480" i="1"/>
  <c r="A6480" i="1"/>
  <c r="F6480" i="1"/>
  <c r="B6481" i="1"/>
  <c r="A6481" i="1"/>
  <c r="F6481" i="1"/>
  <c r="B6482" i="1"/>
  <c r="A6482" i="1"/>
  <c r="F6482" i="1"/>
  <c r="B6483" i="1"/>
  <c r="A6483" i="1"/>
  <c r="F6483" i="1"/>
  <c r="B6484" i="1"/>
  <c r="A6484" i="1"/>
  <c r="F6484" i="1"/>
  <c r="B6485" i="1"/>
  <c r="A6485" i="1"/>
  <c r="F6485" i="1"/>
  <c r="B6486" i="1"/>
  <c r="A6486" i="1"/>
  <c r="F6486" i="1"/>
  <c r="B6487" i="1"/>
  <c r="A6487" i="1"/>
  <c r="F6487" i="1"/>
  <c r="B6488" i="1"/>
  <c r="A6488" i="1"/>
  <c r="F6488" i="1"/>
  <c r="B6489" i="1"/>
  <c r="A6489" i="1"/>
  <c r="F6489" i="1"/>
  <c r="B6490" i="1"/>
  <c r="A6490" i="1"/>
  <c r="F6490" i="1"/>
  <c r="B6491" i="1"/>
  <c r="A6491" i="1"/>
  <c r="F6491" i="1"/>
  <c r="B6492" i="1"/>
  <c r="A6492" i="1"/>
  <c r="F6492" i="1"/>
  <c r="B6493" i="1"/>
  <c r="A6493" i="1"/>
  <c r="F6493" i="1"/>
  <c r="B6494" i="1"/>
  <c r="A6494" i="1"/>
  <c r="F6494" i="1"/>
  <c r="B6495" i="1"/>
  <c r="A6495" i="1"/>
  <c r="F6495" i="1"/>
  <c r="B6496" i="1"/>
  <c r="A6496" i="1"/>
  <c r="F6496" i="1"/>
  <c r="B6497" i="1"/>
  <c r="A6497" i="1"/>
  <c r="F6497" i="1"/>
  <c r="B6498" i="1"/>
  <c r="A6498" i="1"/>
  <c r="F6498" i="1"/>
  <c r="B6499" i="1"/>
  <c r="A6499" i="1"/>
  <c r="F6499" i="1"/>
  <c r="B6500" i="1"/>
  <c r="A6500" i="1"/>
  <c r="F6500" i="1"/>
  <c r="B6501" i="1"/>
  <c r="A6501" i="1"/>
  <c r="F6501" i="1"/>
  <c r="B6502" i="1"/>
  <c r="A6502" i="1"/>
  <c r="F6502" i="1"/>
  <c r="B6503" i="1"/>
  <c r="A6503" i="1"/>
  <c r="F6503" i="1"/>
  <c r="B6504" i="1"/>
  <c r="A6504" i="1"/>
  <c r="F6504" i="1"/>
  <c r="B6505" i="1"/>
  <c r="A6505" i="1"/>
  <c r="F6505" i="1"/>
  <c r="B6506" i="1"/>
  <c r="A6506" i="1"/>
  <c r="F6506" i="1"/>
  <c r="B6507" i="1"/>
  <c r="A6507" i="1"/>
  <c r="F6507" i="1"/>
  <c r="B6508" i="1"/>
  <c r="A6508" i="1"/>
  <c r="F6508" i="1"/>
  <c r="B6509" i="1"/>
  <c r="A6509" i="1"/>
  <c r="F6509" i="1"/>
  <c r="B6510" i="1"/>
  <c r="A6510" i="1"/>
  <c r="F6510" i="1"/>
  <c r="B6511" i="1"/>
  <c r="A6511" i="1"/>
  <c r="F6511" i="1"/>
  <c r="B6512" i="1"/>
  <c r="A6512" i="1"/>
  <c r="F6512" i="1"/>
  <c r="B6513" i="1"/>
  <c r="A6513" i="1"/>
  <c r="F6513" i="1"/>
  <c r="B6514" i="1"/>
  <c r="A6514" i="1"/>
  <c r="F6514" i="1"/>
  <c r="B6515" i="1"/>
  <c r="A6515" i="1"/>
  <c r="F6515" i="1"/>
  <c r="B6516" i="1"/>
  <c r="A6516" i="1"/>
  <c r="F6516" i="1"/>
  <c r="B6517" i="1"/>
  <c r="A6517" i="1"/>
  <c r="F6517" i="1"/>
  <c r="B6518" i="1"/>
  <c r="A6518" i="1"/>
  <c r="F6518" i="1"/>
  <c r="B6519" i="1"/>
  <c r="A6519" i="1"/>
  <c r="F6519" i="1"/>
  <c r="B6520" i="1"/>
  <c r="A6520" i="1"/>
  <c r="F6520" i="1"/>
  <c r="B6521" i="1"/>
  <c r="A6521" i="1"/>
  <c r="F6521" i="1"/>
  <c r="B6522" i="1"/>
  <c r="A6522" i="1"/>
  <c r="F6522" i="1"/>
  <c r="B6523" i="1"/>
  <c r="A6523" i="1"/>
  <c r="F6523" i="1"/>
  <c r="B6524" i="1"/>
  <c r="A6524" i="1"/>
  <c r="F6524" i="1"/>
  <c r="B6525" i="1"/>
  <c r="A6525" i="1"/>
  <c r="F6525" i="1"/>
  <c r="B6526" i="1"/>
  <c r="A6526" i="1"/>
  <c r="F6526" i="1"/>
  <c r="B6527" i="1"/>
  <c r="A6527" i="1"/>
  <c r="F6527" i="1"/>
  <c r="B6528" i="1"/>
  <c r="A6528" i="1"/>
  <c r="F6528" i="1"/>
  <c r="B6529" i="1"/>
  <c r="A6529" i="1"/>
  <c r="F6529" i="1"/>
  <c r="B6530" i="1"/>
  <c r="A6530" i="1"/>
  <c r="F6530" i="1"/>
  <c r="B6531" i="1"/>
  <c r="A6531" i="1"/>
  <c r="F6531" i="1"/>
  <c r="B6532" i="1"/>
  <c r="A6532" i="1"/>
  <c r="F6532" i="1"/>
  <c r="B6533" i="1"/>
  <c r="A6533" i="1"/>
  <c r="F6533" i="1"/>
  <c r="B6534" i="1"/>
  <c r="A6534" i="1"/>
  <c r="F6534" i="1"/>
  <c r="B6535" i="1"/>
  <c r="A6535" i="1"/>
  <c r="F6535" i="1"/>
  <c r="B6536" i="1"/>
  <c r="A6536" i="1"/>
  <c r="F6536" i="1"/>
  <c r="B6537" i="1"/>
  <c r="A6537" i="1"/>
  <c r="F6537" i="1"/>
  <c r="B6538" i="1"/>
  <c r="A6538" i="1"/>
  <c r="F6538" i="1"/>
  <c r="B6539" i="1"/>
  <c r="A6539" i="1"/>
  <c r="F6539" i="1"/>
  <c r="B6540" i="1"/>
  <c r="A6540" i="1"/>
  <c r="F6540" i="1"/>
  <c r="B6541" i="1"/>
  <c r="A6541" i="1"/>
  <c r="F6541" i="1"/>
  <c r="B6542" i="1"/>
  <c r="A6542" i="1"/>
  <c r="F6542" i="1"/>
  <c r="B6543" i="1"/>
  <c r="A6543" i="1"/>
  <c r="F6543" i="1"/>
  <c r="B6544" i="1"/>
  <c r="A6544" i="1"/>
  <c r="F6544" i="1"/>
  <c r="B6545" i="1"/>
  <c r="A6545" i="1"/>
  <c r="F6545" i="1"/>
  <c r="B6546" i="1"/>
  <c r="A6546" i="1"/>
  <c r="F6546" i="1"/>
  <c r="B6547" i="1"/>
  <c r="A6547" i="1"/>
  <c r="F6547" i="1"/>
  <c r="B6548" i="1"/>
  <c r="A6548" i="1"/>
  <c r="F6548" i="1"/>
  <c r="B6549" i="1"/>
  <c r="A6549" i="1"/>
  <c r="F6549" i="1"/>
  <c r="B6550" i="1"/>
  <c r="A6550" i="1"/>
  <c r="F6550" i="1"/>
  <c r="B6551" i="1"/>
  <c r="A6551" i="1"/>
  <c r="F6551" i="1"/>
  <c r="B6552" i="1"/>
  <c r="A6552" i="1"/>
  <c r="F6552" i="1"/>
  <c r="B6553" i="1"/>
  <c r="A6553" i="1"/>
  <c r="F6553" i="1"/>
  <c r="B6554" i="1"/>
  <c r="A6554" i="1"/>
  <c r="F6554" i="1"/>
  <c r="B6555" i="1"/>
  <c r="A6555" i="1"/>
  <c r="F6555" i="1"/>
  <c r="B6556" i="1"/>
  <c r="A6556" i="1"/>
  <c r="F6556" i="1"/>
  <c r="B6557" i="1"/>
  <c r="A6557" i="1"/>
  <c r="F6557" i="1"/>
  <c r="B6558" i="1"/>
  <c r="A6558" i="1"/>
  <c r="F6558" i="1"/>
  <c r="B6559" i="1"/>
  <c r="A6559" i="1"/>
  <c r="F6559" i="1"/>
  <c r="B6560" i="1"/>
  <c r="A6560" i="1"/>
  <c r="F6560" i="1"/>
  <c r="B6561" i="1"/>
  <c r="A6561" i="1"/>
  <c r="F6561" i="1"/>
  <c r="B6562" i="1"/>
  <c r="A6562" i="1"/>
  <c r="F6562" i="1"/>
  <c r="B6563" i="1"/>
  <c r="A6563" i="1"/>
  <c r="F6563" i="1"/>
  <c r="B6564" i="1"/>
  <c r="A6564" i="1"/>
  <c r="F6564" i="1"/>
  <c r="B6565" i="1"/>
  <c r="A6565" i="1"/>
  <c r="F6565" i="1"/>
  <c r="B6566" i="1"/>
  <c r="A6566" i="1"/>
  <c r="F6566" i="1"/>
  <c r="B6567" i="1"/>
  <c r="A6567" i="1"/>
  <c r="F6567" i="1"/>
  <c r="B6568" i="1"/>
  <c r="A6568" i="1"/>
  <c r="F6568" i="1"/>
  <c r="B6569" i="1"/>
  <c r="A6569" i="1"/>
  <c r="F6569" i="1"/>
  <c r="B6570" i="1"/>
  <c r="A6570" i="1"/>
  <c r="F6570" i="1"/>
  <c r="B6571" i="1"/>
  <c r="A6571" i="1"/>
  <c r="F6571" i="1"/>
  <c r="B6572" i="1"/>
  <c r="A6572" i="1"/>
  <c r="F6572" i="1"/>
  <c r="B6573" i="1"/>
  <c r="A6573" i="1"/>
  <c r="F6573" i="1"/>
  <c r="B6574" i="1"/>
  <c r="A6574" i="1"/>
  <c r="F6574" i="1"/>
  <c r="B6575" i="1"/>
  <c r="A6575" i="1"/>
  <c r="F6575" i="1"/>
  <c r="B6576" i="1"/>
  <c r="A6576" i="1"/>
  <c r="F6576" i="1"/>
  <c r="B6577" i="1"/>
  <c r="A6577" i="1"/>
  <c r="F6577" i="1"/>
  <c r="B6578" i="1"/>
  <c r="A6578" i="1"/>
  <c r="F6578" i="1"/>
  <c r="B6579" i="1"/>
  <c r="A6579" i="1"/>
  <c r="F6579" i="1"/>
  <c r="B6580" i="1"/>
  <c r="A6580" i="1"/>
  <c r="F6580" i="1"/>
  <c r="B6581" i="1"/>
  <c r="A6581" i="1"/>
  <c r="F6581" i="1"/>
  <c r="B6582" i="1"/>
  <c r="A6582" i="1"/>
  <c r="F6582" i="1"/>
  <c r="B6583" i="1"/>
  <c r="A6583" i="1"/>
  <c r="F6583" i="1"/>
  <c r="B6584" i="1"/>
  <c r="A6584" i="1"/>
  <c r="F6584" i="1"/>
  <c r="B6585" i="1"/>
  <c r="A6585" i="1"/>
  <c r="F6585" i="1"/>
  <c r="B6586" i="1"/>
  <c r="A6586" i="1"/>
  <c r="F6586" i="1"/>
  <c r="B6587" i="1"/>
  <c r="A6587" i="1"/>
  <c r="F6587" i="1"/>
  <c r="B6588" i="1"/>
  <c r="A6588" i="1"/>
  <c r="F6588" i="1"/>
  <c r="B6589" i="1"/>
  <c r="A6589" i="1"/>
  <c r="F6589" i="1"/>
  <c r="B6590" i="1"/>
  <c r="A6590" i="1"/>
  <c r="F6590" i="1"/>
  <c r="B6591" i="1"/>
  <c r="A6591" i="1"/>
  <c r="F6591" i="1"/>
  <c r="B6592" i="1"/>
  <c r="A6592" i="1"/>
  <c r="F6592" i="1"/>
  <c r="B6593" i="1"/>
  <c r="A6593" i="1"/>
  <c r="F6593" i="1"/>
  <c r="B6594" i="1"/>
  <c r="A6594" i="1"/>
  <c r="F6594" i="1"/>
  <c r="B6595" i="1"/>
  <c r="A6595" i="1"/>
  <c r="F6595" i="1"/>
  <c r="B6596" i="1"/>
  <c r="A6596" i="1"/>
  <c r="F6596" i="1"/>
  <c r="B6597" i="1"/>
  <c r="A6597" i="1"/>
  <c r="F6597" i="1"/>
  <c r="B6598" i="1"/>
  <c r="A6598" i="1"/>
  <c r="F6598" i="1"/>
  <c r="B6599" i="1"/>
  <c r="A6599" i="1"/>
  <c r="F6599" i="1"/>
  <c r="B6600" i="1"/>
  <c r="A6600" i="1"/>
  <c r="F6600" i="1"/>
  <c r="B6601" i="1"/>
  <c r="A6601" i="1"/>
  <c r="F6601" i="1"/>
  <c r="B6602" i="1"/>
  <c r="A6602" i="1"/>
  <c r="F6602" i="1"/>
  <c r="B6603" i="1"/>
  <c r="A6603" i="1"/>
  <c r="F6603" i="1"/>
  <c r="B6604" i="1"/>
  <c r="A6604" i="1"/>
  <c r="F6604" i="1"/>
  <c r="B6605" i="1"/>
  <c r="A6605" i="1"/>
  <c r="F6605" i="1"/>
  <c r="B6606" i="1"/>
  <c r="A6606" i="1"/>
  <c r="F6606" i="1"/>
  <c r="B6607" i="1"/>
  <c r="A6607" i="1"/>
  <c r="F6607" i="1"/>
  <c r="B6608" i="1"/>
  <c r="A6608" i="1"/>
  <c r="F6608" i="1"/>
  <c r="B6609" i="1"/>
  <c r="A6609" i="1"/>
  <c r="F6609" i="1"/>
  <c r="B6610" i="1"/>
  <c r="A6610" i="1"/>
  <c r="F6610" i="1"/>
  <c r="B6611" i="1"/>
  <c r="A6611" i="1"/>
  <c r="F6611" i="1"/>
  <c r="B6612" i="1"/>
  <c r="A6612" i="1"/>
  <c r="F6612" i="1"/>
  <c r="B6613" i="1"/>
  <c r="A6613" i="1"/>
  <c r="F6613" i="1"/>
  <c r="B6614" i="1"/>
  <c r="A6614" i="1"/>
  <c r="F6614" i="1"/>
  <c r="B6615" i="1"/>
  <c r="A6615" i="1"/>
  <c r="F6615" i="1"/>
  <c r="B6616" i="1"/>
  <c r="A6616" i="1"/>
  <c r="F6616" i="1"/>
  <c r="B6617" i="1"/>
  <c r="A6617" i="1"/>
  <c r="F6617" i="1"/>
  <c r="B6618" i="1"/>
  <c r="A6618" i="1"/>
  <c r="F6618" i="1"/>
  <c r="B6619" i="1"/>
  <c r="A6619" i="1"/>
  <c r="F6619" i="1"/>
  <c r="B6620" i="1"/>
  <c r="A6620" i="1"/>
  <c r="F6620" i="1"/>
  <c r="B6621" i="1"/>
  <c r="A6621" i="1"/>
  <c r="F6621" i="1"/>
  <c r="B6622" i="1"/>
  <c r="A6622" i="1"/>
  <c r="F6622" i="1"/>
  <c r="B6623" i="1"/>
  <c r="A6623" i="1"/>
  <c r="F6623" i="1"/>
  <c r="B6624" i="1"/>
  <c r="A6624" i="1"/>
  <c r="F6624" i="1"/>
  <c r="B6625" i="1"/>
  <c r="A6625" i="1"/>
  <c r="F6625" i="1"/>
  <c r="B6626" i="1"/>
  <c r="A6626" i="1"/>
  <c r="F6626" i="1"/>
  <c r="B6627" i="1"/>
  <c r="A6627" i="1"/>
  <c r="F6627" i="1"/>
  <c r="B6628" i="1"/>
  <c r="A6628" i="1"/>
  <c r="F6628" i="1"/>
  <c r="B6629" i="1"/>
  <c r="A6629" i="1"/>
  <c r="F6629" i="1"/>
  <c r="B6630" i="1"/>
  <c r="A6630" i="1"/>
  <c r="F6630" i="1"/>
  <c r="B6631" i="1"/>
  <c r="A6631" i="1"/>
  <c r="F6631" i="1"/>
  <c r="B6632" i="1"/>
  <c r="A6632" i="1"/>
  <c r="F6632" i="1"/>
  <c r="B6633" i="1"/>
  <c r="A6633" i="1"/>
  <c r="F6633" i="1"/>
  <c r="B6634" i="1"/>
  <c r="A6634" i="1"/>
  <c r="F6634" i="1"/>
  <c r="B6635" i="1"/>
  <c r="A6635" i="1"/>
  <c r="F6635" i="1"/>
  <c r="B6636" i="1"/>
  <c r="A6636" i="1"/>
  <c r="F6636" i="1"/>
  <c r="B6637" i="1"/>
  <c r="A6637" i="1"/>
  <c r="F6637" i="1"/>
  <c r="B6638" i="1"/>
  <c r="A6638" i="1"/>
  <c r="F6638" i="1"/>
  <c r="B6639" i="1"/>
  <c r="A6639" i="1"/>
  <c r="F6639" i="1"/>
  <c r="B6640" i="1"/>
  <c r="A6640" i="1"/>
  <c r="F6640" i="1"/>
  <c r="B6641" i="1"/>
  <c r="A6641" i="1"/>
  <c r="F6641" i="1"/>
  <c r="B6642" i="1"/>
  <c r="A6642" i="1"/>
  <c r="F6642" i="1"/>
  <c r="B6643" i="1"/>
  <c r="A6643" i="1"/>
  <c r="F6643" i="1"/>
  <c r="B6644" i="1"/>
  <c r="A6644" i="1"/>
  <c r="F6644" i="1"/>
  <c r="B6645" i="1"/>
  <c r="A6645" i="1"/>
  <c r="F6645" i="1"/>
  <c r="B6646" i="1"/>
  <c r="A6646" i="1"/>
  <c r="F6646" i="1"/>
  <c r="B6647" i="1"/>
  <c r="A6647" i="1"/>
  <c r="F6647" i="1"/>
  <c r="B6648" i="1"/>
  <c r="A6648" i="1"/>
  <c r="F6648" i="1"/>
  <c r="B6649" i="1"/>
  <c r="A6649" i="1"/>
  <c r="F6649" i="1"/>
  <c r="B6650" i="1"/>
  <c r="A6650" i="1"/>
  <c r="F6650" i="1"/>
  <c r="B6651" i="1"/>
  <c r="A6651" i="1"/>
  <c r="F6651" i="1"/>
  <c r="B6652" i="1"/>
  <c r="A6652" i="1"/>
  <c r="F6652" i="1"/>
  <c r="B6653" i="1"/>
  <c r="A6653" i="1"/>
  <c r="F6653" i="1"/>
  <c r="B6654" i="1"/>
  <c r="A6654" i="1"/>
  <c r="F6654" i="1"/>
  <c r="B6655" i="1"/>
  <c r="A6655" i="1"/>
  <c r="F6655" i="1"/>
  <c r="B6656" i="1"/>
  <c r="A6656" i="1"/>
  <c r="F6656" i="1"/>
  <c r="B6657" i="1"/>
  <c r="A6657" i="1"/>
  <c r="F6657" i="1"/>
  <c r="B6658" i="1"/>
  <c r="A6658" i="1"/>
  <c r="F6658" i="1"/>
  <c r="B6659" i="1"/>
  <c r="A6659" i="1"/>
  <c r="F6659" i="1"/>
  <c r="B6660" i="1"/>
  <c r="A6660" i="1"/>
  <c r="F6660" i="1"/>
  <c r="B6661" i="1"/>
  <c r="A6661" i="1"/>
  <c r="F6661" i="1"/>
  <c r="B6662" i="1"/>
  <c r="A6662" i="1"/>
  <c r="F6662" i="1"/>
  <c r="B6663" i="1"/>
  <c r="A6663" i="1"/>
  <c r="F6663" i="1"/>
  <c r="B6664" i="1"/>
  <c r="A6664" i="1"/>
  <c r="F6664" i="1"/>
  <c r="B6665" i="1"/>
  <c r="A6665" i="1"/>
  <c r="F6665" i="1"/>
  <c r="B6666" i="1"/>
  <c r="A6666" i="1"/>
  <c r="F6666" i="1"/>
  <c r="B6667" i="1"/>
  <c r="A6667" i="1"/>
  <c r="F6667" i="1"/>
  <c r="B6668" i="1"/>
  <c r="A6668" i="1"/>
  <c r="F6668" i="1"/>
  <c r="B6669" i="1"/>
  <c r="A6669" i="1"/>
  <c r="F6669" i="1"/>
  <c r="B6670" i="1"/>
  <c r="A6670" i="1"/>
  <c r="F6670" i="1"/>
  <c r="B6671" i="1"/>
  <c r="A6671" i="1"/>
  <c r="F6671" i="1"/>
  <c r="B6672" i="1"/>
  <c r="A6672" i="1"/>
  <c r="F6672" i="1"/>
  <c r="B6673" i="1"/>
  <c r="A6673" i="1"/>
  <c r="F6673" i="1"/>
  <c r="B6674" i="1"/>
  <c r="A6674" i="1"/>
  <c r="F6674" i="1"/>
  <c r="B6675" i="1"/>
  <c r="A6675" i="1"/>
  <c r="F6675" i="1"/>
  <c r="B6676" i="1"/>
  <c r="A6676" i="1"/>
  <c r="F6676" i="1"/>
  <c r="B6677" i="1"/>
  <c r="A6677" i="1"/>
  <c r="F6677" i="1"/>
  <c r="B6678" i="1"/>
  <c r="A6678" i="1"/>
  <c r="F6678" i="1"/>
  <c r="B6679" i="1"/>
  <c r="A6679" i="1"/>
  <c r="F6679" i="1"/>
  <c r="B6680" i="1"/>
  <c r="A6680" i="1"/>
  <c r="F6680" i="1"/>
  <c r="B6681" i="1"/>
  <c r="A6681" i="1"/>
  <c r="F6681" i="1"/>
  <c r="B6682" i="1"/>
  <c r="A6682" i="1"/>
  <c r="F6682" i="1"/>
  <c r="B6683" i="1"/>
  <c r="A6683" i="1"/>
  <c r="F6683" i="1"/>
  <c r="B6684" i="1"/>
  <c r="A6684" i="1"/>
  <c r="F6684" i="1"/>
  <c r="B6685" i="1"/>
  <c r="A6685" i="1"/>
  <c r="F6685" i="1"/>
  <c r="B6686" i="1"/>
  <c r="A6686" i="1"/>
  <c r="F6686" i="1"/>
  <c r="B6687" i="1"/>
  <c r="A6687" i="1"/>
  <c r="F6687" i="1"/>
  <c r="B6688" i="1"/>
  <c r="A6688" i="1"/>
  <c r="F6688" i="1"/>
  <c r="B6689" i="1"/>
  <c r="A6689" i="1"/>
  <c r="F6689" i="1"/>
  <c r="B6690" i="1"/>
  <c r="A6690" i="1"/>
  <c r="F6690" i="1"/>
  <c r="B6691" i="1"/>
  <c r="A6691" i="1"/>
  <c r="F6691" i="1"/>
  <c r="B6692" i="1"/>
  <c r="A6692" i="1"/>
  <c r="F6692" i="1"/>
  <c r="B6693" i="1"/>
  <c r="A6693" i="1"/>
  <c r="F6693" i="1"/>
  <c r="B6694" i="1"/>
  <c r="A6694" i="1"/>
  <c r="F6694" i="1"/>
  <c r="B6695" i="1"/>
  <c r="A6695" i="1"/>
  <c r="F6695" i="1"/>
  <c r="B6696" i="1"/>
  <c r="A6696" i="1"/>
  <c r="F6696" i="1"/>
  <c r="B6697" i="1"/>
  <c r="A6697" i="1"/>
  <c r="F6697" i="1"/>
  <c r="B6698" i="1"/>
  <c r="A6698" i="1"/>
  <c r="F6698" i="1"/>
  <c r="B6699" i="1"/>
  <c r="A6699" i="1"/>
  <c r="F6699" i="1"/>
  <c r="B6700" i="1"/>
  <c r="A6700" i="1"/>
  <c r="F6700" i="1"/>
  <c r="B6701" i="1"/>
  <c r="A6701" i="1"/>
  <c r="F6701" i="1"/>
  <c r="B6702" i="1"/>
  <c r="A6702" i="1"/>
  <c r="F6702" i="1"/>
  <c r="B6703" i="1"/>
  <c r="A6703" i="1"/>
  <c r="F6703" i="1"/>
  <c r="B6704" i="1"/>
  <c r="A6704" i="1"/>
  <c r="F6704" i="1"/>
  <c r="B6705" i="1"/>
  <c r="A6705" i="1"/>
  <c r="F6705" i="1"/>
  <c r="B6706" i="1"/>
  <c r="A6706" i="1"/>
  <c r="F6706" i="1"/>
  <c r="B6707" i="1"/>
  <c r="A6707" i="1"/>
  <c r="F6707" i="1"/>
  <c r="B6708" i="1"/>
  <c r="A6708" i="1"/>
  <c r="F6708" i="1"/>
  <c r="B6709" i="1"/>
  <c r="A6709" i="1"/>
  <c r="F6709" i="1"/>
  <c r="B6710" i="1"/>
  <c r="A6710" i="1"/>
  <c r="F6710" i="1"/>
  <c r="B6711" i="1"/>
  <c r="A6711" i="1"/>
  <c r="F6711" i="1"/>
  <c r="B6712" i="1"/>
  <c r="A6712" i="1"/>
  <c r="F6712" i="1"/>
  <c r="B6713" i="1"/>
  <c r="A6713" i="1"/>
  <c r="F6713" i="1"/>
  <c r="B6714" i="1"/>
  <c r="A6714" i="1"/>
  <c r="F6714" i="1"/>
  <c r="B6715" i="1"/>
  <c r="A6715" i="1"/>
  <c r="F6715" i="1"/>
  <c r="B6716" i="1"/>
  <c r="A6716" i="1"/>
  <c r="F6716" i="1"/>
  <c r="B6717" i="1"/>
  <c r="A6717" i="1"/>
  <c r="F6717" i="1"/>
  <c r="B6718" i="1"/>
  <c r="A6718" i="1"/>
  <c r="F6718" i="1"/>
  <c r="B6719" i="1"/>
  <c r="A6719" i="1"/>
  <c r="F6719" i="1"/>
  <c r="B6720" i="1"/>
  <c r="A6720" i="1"/>
  <c r="F6720" i="1"/>
  <c r="B6721" i="1"/>
  <c r="A6721" i="1"/>
  <c r="F6721" i="1"/>
  <c r="B6722" i="1"/>
  <c r="A6722" i="1"/>
  <c r="F6722" i="1"/>
  <c r="B6723" i="1"/>
  <c r="A6723" i="1"/>
  <c r="F6723" i="1"/>
  <c r="B6724" i="1"/>
  <c r="A6724" i="1"/>
  <c r="F6724" i="1"/>
  <c r="B6725" i="1"/>
  <c r="A6725" i="1"/>
  <c r="F6725" i="1"/>
  <c r="B6726" i="1"/>
  <c r="A6726" i="1"/>
  <c r="F6726" i="1"/>
  <c r="B6727" i="1"/>
  <c r="A6727" i="1"/>
  <c r="F6727" i="1"/>
  <c r="B6728" i="1"/>
  <c r="A6728" i="1"/>
  <c r="F6728" i="1"/>
  <c r="B6729" i="1"/>
  <c r="A6729" i="1"/>
  <c r="F6729" i="1"/>
  <c r="B6730" i="1"/>
  <c r="A6730" i="1"/>
  <c r="F6730" i="1"/>
  <c r="B6731" i="1"/>
  <c r="A6731" i="1"/>
  <c r="F6731" i="1"/>
  <c r="B6732" i="1"/>
  <c r="A6732" i="1"/>
  <c r="F6732" i="1"/>
  <c r="B6733" i="1"/>
  <c r="A6733" i="1"/>
  <c r="F6733" i="1"/>
  <c r="B6734" i="1"/>
  <c r="A6734" i="1"/>
  <c r="F6734" i="1"/>
  <c r="B6735" i="1"/>
  <c r="A6735" i="1"/>
  <c r="F6735" i="1"/>
  <c r="B6736" i="1"/>
  <c r="A6736" i="1"/>
  <c r="F6736" i="1"/>
  <c r="B6737" i="1"/>
  <c r="A6737" i="1"/>
  <c r="F6737" i="1"/>
  <c r="B6738" i="1"/>
  <c r="A6738" i="1"/>
  <c r="F6738" i="1"/>
  <c r="B6739" i="1"/>
  <c r="A6739" i="1"/>
  <c r="F6739" i="1"/>
  <c r="B6740" i="1"/>
  <c r="A6740" i="1"/>
  <c r="F6740" i="1"/>
  <c r="B6741" i="1"/>
  <c r="A6741" i="1"/>
  <c r="F6741" i="1"/>
  <c r="B6742" i="1"/>
  <c r="A6742" i="1"/>
  <c r="F6742" i="1"/>
  <c r="B6743" i="1"/>
  <c r="A6743" i="1"/>
  <c r="F6743" i="1"/>
  <c r="B6744" i="1"/>
  <c r="A6744" i="1"/>
  <c r="F6744" i="1"/>
  <c r="B6745" i="1"/>
  <c r="A6745" i="1"/>
  <c r="F6745" i="1"/>
  <c r="B6746" i="1"/>
  <c r="A6746" i="1"/>
  <c r="F6746" i="1"/>
  <c r="B6747" i="1"/>
  <c r="A6747" i="1"/>
  <c r="F6747" i="1"/>
  <c r="B6748" i="1"/>
  <c r="A6748" i="1"/>
  <c r="F6748" i="1"/>
  <c r="B6749" i="1"/>
  <c r="A6749" i="1"/>
  <c r="F6749" i="1"/>
  <c r="B6750" i="1"/>
  <c r="A6750" i="1"/>
  <c r="F6750" i="1"/>
  <c r="B6751" i="1"/>
  <c r="A6751" i="1"/>
  <c r="F6751" i="1"/>
  <c r="B6752" i="1"/>
  <c r="A6752" i="1"/>
  <c r="F6752" i="1"/>
  <c r="B6753" i="1"/>
  <c r="A6753" i="1"/>
  <c r="F6753" i="1"/>
  <c r="B6754" i="1"/>
  <c r="A6754" i="1"/>
  <c r="F6754" i="1"/>
  <c r="B6755" i="1"/>
  <c r="A6755" i="1"/>
  <c r="F6755" i="1"/>
  <c r="B6756" i="1"/>
  <c r="A6756" i="1"/>
  <c r="F6756" i="1"/>
  <c r="B6757" i="1"/>
  <c r="A6757" i="1"/>
  <c r="F6757" i="1"/>
  <c r="B6758" i="1"/>
  <c r="A6758" i="1"/>
  <c r="F6758" i="1"/>
  <c r="B6759" i="1"/>
  <c r="A6759" i="1"/>
  <c r="F6759" i="1"/>
  <c r="B6760" i="1"/>
  <c r="A6760" i="1"/>
  <c r="F6760" i="1"/>
  <c r="B6761" i="1"/>
  <c r="A6761" i="1"/>
  <c r="F6761" i="1"/>
  <c r="B6762" i="1"/>
  <c r="A6762" i="1"/>
  <c r="F6762" i="1"/>
  <c r="B6763" i="1"/>
  <c r="A6763" i="1"/>
  <c r="F6763" i="1"/>
  <c r="B6764" i="1"/>
  <c r="A6764" i="1"/>
  <c r="F6764" i="1"/>
  <c r="B6765" i="1"/>
  <c r="A6765" i="1"/>
  <c r="F6765" i="1"/>
  <c r="B6766" i="1"/>
  <c r="A6766" i="1"/>
  <c r="F6766" i="1"/>
  <c r="B6767" i="1"/>
  <c r="A6767" i="1"/>
  <c r="F6767" i="1"/>
  <c r="B6768" i="1"/>
  <c r="A6768" i="1"/>
  <c r="F6768" i="1"/>
  <c r="B6769" i="1"/>
  <c r="A6769" i="1"/>
  <c r="F6769" i="1"/>
  <c r="B6770" i="1"/>
  <c r="A6770" i="1"/>
  <c r="F6770" i="1"/>
  <c r="B6771" i="1"/>
  <c r="A6771" i="1"/>
  <c r="F6771" i="1"/>
  <c r="B6772" i="1"/>
  <c r="A6772" i="1"/>
  <c r="F6772" i="1"/>
  <c r="B6773" i="1"/>
  <c r="A6773" i="1"/>
  <c r="F6773" i="1"/>
  <c r="B6774" i="1"/>
  <c r="A6774" i="1"/>
  <c r="F6774" i="1"/>
  <c r="B6775" i="1"/>
  <c r="A6775" i="1"/>
  <c r="F6775" i="1"/>
  <c r="B6776" i="1"/>
  <c r="A6776" i="1"/>
  <c r="F6776" i="1"/>
  <c r="B6777" i="1"/>
  <c r="A6777" i="1"/>
  <c r="F6777" i="1"/>
  <c r="B6778" i="1"/>
  <c r="A6778" i="1"/>
  <c r="F6778" i="1"/>
  <c r="B6779" i="1"/>
  <c r="A6779" i="1"/>
  <c r="F6779" i="1"/>
  <c r="B6780" i="1"/>
  <c r="A6780" i="1"/>
  <c r="F6780" i="1"/>
  <c r="B6781" i="1"/>
  <c r="A6781" i="1"/>
  <c r="F6781" i="1"/>
  <c r="B6782" i="1"/>
  <c r="A6782" i="1"/>
  <c r="F6782" i="1"/>
  <c r="B6783" i="1"/>
  <c r="A6783" i="1"/>
  <c r="F6783" i="1"/>
  <c r="B6784" i="1"/>
  <c r="A6784" i="1"/>
  <c r="F6784" i="1"/>
  <c r="B6785" i="1"/>
  <c r="A6785" i="1"/>
  <c r="F6785" i="1"/>
  <c r="B6786" i="1"/>
  <c r="A6786" i="1"/>
  <c r="F6786" i="1"/>
  <c r="B6787" i="1"/>
  <c r="A6787" i="1"/>
  <c r="F6787" i="1"/>
  <c r="B6788" i="1"/>
  <c r="A6788" i="1"/>
  <c r="F6788" i="1"/>
  <c r="B6789" i="1"/>
  <c r="A6789" i="1"/>
  <c r="F6789" i="1"/>
  <c r="B6790" i="1"/>
  <c r="A6790" i="1"/>
  <c r="F6790" i="1"/>
  <c r="B6791" i="1"/>
  <c r="A6791" i="1"/>
  <c r="F6791" i="1"/>
  <c r="B6792" i="1"/>
  <c r="A6792" i="1"/>
  <c r="F6792" i="1"/>
  <c r="B6793" i="1"/>
  <c r="A6793" i="1"/>
  <c r="F6793" i="1"/>
  <c r="B6794" i="1"/>
  <c r="A6794" i="1"/>
  <c r="F6794" i="1"/>
  <c r="B6795" i="1"/>
  <c r="A6795" i="1"/>
  <c r="F6795" i="1"/>
  <c r="B6796" i="1"/>
  <c r="A6796" i="1"/>
  <c r="F6796" i="1"/>
  <c r="B6797" i="1"/>
  <c r="A6797" i="1"/>
  <c r="F6797" i="1"/>
  <c r="B6798" i="1"/>
  <c r="A6798" i="1"/>
  <c r="F6798" i="1"/>
  <c r="B6799" i="1"/>
  <c r="A6799" i="1"/>
  <c r="F6799" i="1"/>
  <c r="B6800" i="1"/>
  <c r="A6800" i="1"/>
  <c r="F6800" i="1"/>
  <c r="B6801" i="1"/>
  <c r="A6801" i="1"/>
  <c r="F6801" i="1"/>
  <c r="B6802" i="1"/>
  <c r="A6802" i="1"/>
  <c r="F6802" i="1"/>
  <c r="B6803" i="1"/>
  <c r="A6803" i="1"/>
  <c r="F6803" i="1"/>
  <c r="B6804" i="1"/>
  <c r="A6804" i="1"/>
  <c r="F6804" i="1"/>
  <c r="B6805" i="1"/>
  <c r="A6805" i="1"/>
  <c r="F6805" i="1"/>
  <c r="B6806" i="1"/>
  <c r="A6806" i="1"/>
  <c r="F6806" i="1"/>
  <c r="B6807" i="1"/>
  <c r="A6807" i="1"/>
  <c r="F6807" i="1"/>
  <c r="B6808" i="1"/>
  <c r="A6808" i="1"/>
  <c r="F6808" i="1"/>
  <c r="B6809" i="1"/>
  <c r="A6809" i="1"/>
  <c r="F6809" i="1"/>
  <c r="B6810" i="1"/>
  <c r="A6810" i="1"/>
  <c r="F6810" i="1"/>
  <c r="B6811" i="1"/>
  <c r="A6811" i="1"/>
  <c r="F6811" i="1"/>
  <c r="B6812" i="1"/>
  <c r="A6812" i="1"/>
  <c r="F6812" i="1"/>
  <c r="B6813" i="1"/>
  <c r="A6813" i="1"/>
  <c r="F6813" i="1"/>
  <c r="B6814" i="1"/>
  <c r="A6814" i="1"/>
  <c r="F6814" i="1"/>
  <c r="B6815" i="1"/>
  <c r="A6815" i="1"/>
  <c r="F6815" i="1"/>
  <c r="B6816" i="1"/>
  <c r="A6816" i="1"/>
  <c r="F6816" i="1"/>
  <c r="B6817" i="1"/>
  <c r="A6817" i="1"/>
  <c r="F6817" i="1"/>
  <c r="B6818" i="1"/>
  <c r="A6818" i="1"/>
  <c r="F6818" i="1"/>
  <c r="B6819" i="1"/>
  <c r="A6819" i="1"/>
  <c r="F6819" i="1"/>
  <c r="B6820" i="1"/>
  <c r="A6820" i="1"/>
  <c r="F6820" i="1"/>
  <c r="B6821" i="1"/>
  <c r="A6821" i="1"/>
  <c r="F6821" i="1"/>
  <c r="B6822" i="1"/>
  <c r="A6822" i="1"/>
  <c r="F6822" i="1"/>
  <c r="B6823" i="1"/>
  <c r="A6823" i="1"/>
  <c r="F6823" i="1"/>
  <c r="B6824" i="1"/>
  <c r="A6824" i="1"/>
  <c r="F6824" i="1"/>
  <c r="B6825" i="1"/>
  <c r="A6825" i="1"/>
  <c r="F6825" i="1"/>
  <c r="B6826" i="1"/>
  <c r="A6826" i="1"/>
  <c r="F6826" i="1"/>
  <c r="B6827" i="1"/>
  <c r="A6827" i="1"/>
  <c r="F6827" i="1"/>
  <c r="B6828" i="1"/>
  <c r="A6828" i="1"/>
  <c r="F6828" i="1"/>
  <c r="B6829" i="1"/>
  <c r="A6829" i="1"/>
  <c r="F6829" i="1"/>
  <c r="B6830" i="1"/>
  <c r="A6830" i="1"/>
  <c r="F6830" i="1"/>
  <c r="B6831" i="1"/>
  <c r="A6831" i="1"/>
  <c r="F6831" i="1"/>
  <c r="B6832" i="1"/>
  <c r="A6832" i="1"/>
  <c r="F6832" i="1"/>
  <c r="B6833" i="1"/>
  <c r="A6833" i="1"/>
  <c r="F6833" i="1"/>
  <c r="B6834" i="1"/>
  <c r="A6834" i="1"/>
  <c r="F6834" i="1"/>
  <c r="B6835" i="1"/>
  <c r="A6835" i="1"/>
  <c r="F6835" i="1"/>
  <c r="B6836" i="1"/>
  <c r="A6836" i="1"/>
  <c r="F6836" i="1"/>
  <c r="B6837" i="1"/>
  <c r="A6837" i="1"/>
  <c r="F6837" i="1"/>
  <c r="B6838" i="1"/>
  <c r="A6838" i="1"/>
  <c r="F6838" i="1"/>
  <c r="B6839" i="1"/>
  <c r="A6839" i="1"/>
  <c r="F6839" i="1"/>
  <c r="B6840" i="1"/>
  <c r="A6840" i="1"/>
  <c r="F6840" i="1"/>
  <c r="B6841" i="1"/>
  <c r="A6841" i="1"/>
  <c r="F6841" i="1"/>
  <c r="B6842" i="1"/>
  <c r="A6842" i="1"/>
  <c r="F6842" i="1"/>
  <c r="B6843" i="1"/>
  <c r="A6843" i="1"/>
  <c r="F6843" i="1"/>
  <c r="B6844" i="1"/>
  <c r="A6844" i="1"/>
  <c r="F6844" i="1"/>
  <c r="B6845" i="1"/>
  <c r="A6845" i="1"/>
  <c r="F6845" i="1"/>
  <c r="B6846" i="1"/>
  <c r="A6846" i="1"/>
  <c r="F6846" i="1"/>
  <c r="B6847" i="1"/>
  <c r="A6847" i="1"/>
  <c r="F6847" i="1"/>
  <c r="B6848" i="1"/>
  <c r="A6848" i="1"/>
  <c r="F6848" i="1"/>
  <c r="B6849" i="1"/>
  <c r="A6849" i="1"/>
  <c r="F6849" i="1"/>
  <c r="B6850" i="1"/>
  <c r="A6850" i="1"/>
  <c r="F6850" i="1"/>
  <c r="B6851" i="1"/>
  <c r="A6851" i="1"/>
  <c r="F6851" i="1"/>
  <c r="B6852" i="1"/>
  <c r="A6852" i="1"/>
  <c r="F6852" i="1"/>
  <c r="B6853" i="1"/>
  <c r="A6853" i="1"/>
  <c r="F6853" i="1"/>
  <c r="B6854" i="1"/>
  <c r="A6854" i="1"/>
  <c r="F6854" i="1"/>
  <c r="B6855" i="1"/>
  <c r="A6855" i="1"/>
  <c r="F6855" i="1"/>
  <c r="B6856" i="1"/>
  <c r="A6856" i="1"/>
  <c r="F6856" i="1"/>
  <c r="B6857" i="1"/>
  <c r="A6857" i="1"/>
  <c r="F6857" i="1"/>
  <c r="B6858" i="1"/>
  <c r="A6858" i="1"/>
  <c r="F6858" i="1"/>
  <c r="B6859" i="1"/>
  <c r="A6859" i="1"/>
  <c r="F6859" i="1"/>
  <c r="B6860" i="1"/>
  <c r="A6860" i="1"/>
  <c r="F6860" i="1"/>
  <c r="B6861" i="1"/>
  <c r="A6861" i="1"/>
  <c r="F6861" i="1"/>
  <c r="B6862" i="1"/>
  <c r="A6862" i="1"/>
  <c r="F6862" i="1"/>
  <c r="B6863" i="1"/>
  <c r="A6863" i="1"/>
  <c r="F6863" i="1"/>
  <c r="B6864" i="1"/>
  <c r="A6864" i="1"/>
  <c r="F6864" i="1"/>
  <c r="B6865" i="1"/>
  <c r="A6865" i="1"/>
  <c r="F6865" i="1"/>
  <c r="B6866" i="1"/>
  <c r="A6866" i="1"/>
  <c r="F6866" i="1"/>
  <c r="B6867" i="1"/>
  <c r="A6867" i="1"/>
  <c r="F6867" i="1"/>
  <c r="B6868" i="1"/>
  <c r="A6868" i="1"/>
  <c r="F6868" i="1"/>
  <c r="B6869" i="1"/>
  <c r="A6869" i="1"/>
  <c r="F6869" i="1"/>
  <c r="B6870" i="1"/>
  <c r="A6870" i="1"/>
  <c r="F6870" i="1"/>
  <c r="B6871" i="1"/>
  <c r="A6871" i="1"/>
  <c r="F6871" i="1"/>
  <c r="B6872" i="1"/>
  <c r="A6872" i="1"/>
  <c r="F6872" i="1"/>
  <c r="B6873" i="1"/>
  <c r="A6873" i="1"/>
  <c r="F6873" i="1"/>
  <c r="B6874" i="1"/>
  <c r="A6874" i="1"/>
  <c r="F6874" i="1"/>
  <c r="B6875" i="1"/>
  <c r="A6875" i="1"/>
  <c r="F6875" i="1"/>
  <c r="B6876" i="1"/>
  <c r="A6876" i="1"/>
  <c r="F6876" i="1"/>
  <c r="B6877" i="1"/>
  <c r="A6877" i="1"/>
  <c r="F6877" i="1"/>
  <c r="B6878" i="1"/>
  <c r="A6878" i="1"/>
  <c r="F6878" i="1"/>
  <c r="B6879" i="1"/>
  <c r="A6879" i="1"/>
  <c r="F6879" i="1"/>
  <c r="B6880" i="1"/>
  <c r="A6880" i="1"/>
  <c r="F6880" i="1"/>
  <c r="B6881" i="1"/>
  <c r="A6881" i="1"/>
  <c r="F6881" i="1"/>
  <c r="B6882" i="1"/>
  <c r="A6882" i="1"/>
  <c r="F6882" i="1"/>
  <c r="B6883" i="1"/>
  <c r="A6883" i="1"/>
  <c r="F6883" i="1"/>
  <c r="B6884" i="1"/>
  <c r="A6884" i="1"/>
  <c r="F6884" i="1"/>
  <c r="B6885" i="1"/>
  <c r="A6885" i="1"/>
  <c r="F6885" i="1"/>
  <c r="B6886" i="1"/>
  <c r="A6886" i="1"/>
  <c r="F6886" i="1"/>
  <c r="B6887" i="1"/>
  <c r="A6887" i="1"/>
  <c r="F6887" i="1"/>
  <c r="B6888" i="1"/>
  <c r="A6888" i="1"/>
  <c r="F6888" i="1"/>
  <c r="B6889" i="1"/>
  <c r="A6889" i="1"/>
  <c r="F6889" i="1"/>
  <c r="B6890" i="1"/>
  <c r="A6890" i="1"/>
  <c r="F6890" i="1"/>
  <c r="B6891" i="1"/>
  <c r="A6891" i="1"/>
  <c r="F6891" i="1"/>
  <c r="B6892" i="1"/>
  <c r="A6892" i="1"/>
  <c r="F6892" i="1"/>
  <c r="B6893" i="1"/>
  <c r="A6893" i="1"/>
  <c r="F6893" i="1"/>
  <c r="B6894" i="1"/>
  <c r="A6894" i="1"/>
  <c r="F6894" i="1"/>
  <c r="B6895" i="1"/>
  <c r="A6895" i="1"/>
  <c r="F6895" i="1"/>
  <c r="B6896" i="1"/>
  <c r="A6896" i="1"/>
  <c r="F6896" i="1"/>
  <c r="B6897" i="1"/>
  <c r="A6897" i="1"/>
  <c r="F6897" i="1"/>
  <c r="B6898" i="1"/>
  <c r="A6898" i="1"/>
  <c r="F6898" i="1"/>
  <c r="B6899" i="1"/>
  <c r="A6899" i="1"/>
  <c r="F6899" i="1"/>
  <c r="B6900" i="1"/>
  <c r="A6900" i="1"/>
  <c r="F6900" i="1"/>
  <c r="B6901" i="1"/>
  <c r="A6901" i="1"/>
  <c r="F6901" i="1"/>
  <c r="B6902" i="1"/>
  <c r="A6902" i="1"/>
  <c r="F6902" i="1"/>
  <c r="B6903" i="1"/>
  <c r="A6903" i="1"/>
  <c r="F6903" i="1"/>
  <c r="B6904" i="1"/>
  <c r="A6904" i="1"/>
  <c r="F6904" i="1"/>
  <c r="B6905" i="1"/>
  <c r="A6905" i="1"/>
  <c r="F6905" i="1"/>
  <c r="B6906" i="1"/>
  <c r="A6906" i="1"/>
  <c r="F6906" i="1"/>
  <c r="B6907" i="1"/>
  <c r="A6907" i="1"/>
  <c r="F6907" i="1"/>
  <c r="B6908" i="1"/>
  <c r="A6908" i="1"/>
  <c r="F6908" i="1"/>
  <c r="B6909" i="1"/>
  <c r="A6909" i="1"/>
  <c r="F6909" i="1"/>
  <c r="B6910" i="1"/>
  <c r="A6910" i="1"/>
  <c r="F6910" i="1"/>
  <c r="B6911" i="1"/>
  <c r="A6911" i="1"/>
  <c r="F6911" i="1"/>
  <c r="B6912" i="1"/>
  <c r="A6912" i="1"/>
  <c r="F6912" i="1"/>
  <c r="B6913" i="1"/>
  <c r="A6913" i="1"/>
  <c r="F6913" i="1"/>
  <c r="B6914" i="1"/>
  <c r="A6914" i="1"/>
  <c r="F6914" i="1"/>
  <c r="B6915" i="1"/>
  <c r="A6915" i="1"/>
  <c r="F6915" i="1"/>
  <c r="B6916" i="1"/>
  <c r="A6916" i="1"/>
  <c r="F6916" i="1"/>
  <c r="B6917" i="1"/>
  <c r="A6917" i="1"/>
  <c r="F6917" i="1"/>
  <c r="B6918" i="1"/>
  <c r="A6918" i="1"/>
  <c r="F6918" i="1"/>
  <c r="B6919" i="1"/>
  <c r="A6919" i="1"/>
  <c r="F6919" i="1"/>
  <c r="B6920" i="1"/>
  <c r="A6920" i="1"/>
  <c r="F6920" i="1"/>
  <c r="B6921" i="1"/>
  <c r="A6921" i="1"/>
  <c r="F6921" i="1"/>
  <c r="B6922" i="1"/>
  <c r="A6922" i="1"/>
  <c r="F6922" i="1"/>
  <c r="B6923" i="1"/>
  <c r="A6923" i="1"/>
  <c r="F6923" i="1"/>
  <c r="B6924" i="1"/>
  <c r="A6924" i="1"/>
  <c r="F6924" i="1"/>
  <c r="B6925" i="1"/>
  <c r="A6925" i="1"/>
  <c r="F6925" i="1"/>
  <c r="B6926" i="1"/>
  <c r="A6926" i="1"/>
  <c r="F6926" i="1"/>
  <c r="B6927" i="1"/>
  <c r="A6927" i="1"/>
  <c r="F6927" i="1"/>
  <c r="B6928" i="1"/>
  <c r="A6928" i="1"/>
  <c r="F6928" i="1"/>
  <c r="B6929" i="1"/>
  <c r="A6929" i="1"/>
  <c r="F6929" i="1"/>
  <c r="B6930" i="1"/>
  <c r="A6930" i="1"/>
  <c r="F6930" i="1"/>
  <c r="B6931" i="1"/>
  <c r="A6931" i="1"/>
  <c r="F6931" i="1"/>
  <c r="B6932" i="1"/>
  <c r="A6932" i="1"/>
  <c r="F6932" i="1"/>
  <c r="B6933" i="1"/>
  <c r="A6933" i="1"/>
  <c r="F6933" i="1"/>
  <c r="B6934" i="1"/>
  <c r="A6934" i="1"/>
  <c r="F6934" i="1"/>
  <c r="B6935" i="1"/>
  <c r="A6935" i="1"/>
  <c r="F6935" i="1"/>
  <c r="B6936" i="1"/>
  <c r="A6936" i="1"/>
  <c r="F6936" i="1"/>
  <c r="B6937" i="1"/>
  <c r="A6937" i="1"/>
  <c r="F6937" i="1"/>
  <c r="B6938" i="1"/>
  <c r="A6938" i="1"/>
  <c r="F6938" i="1"/>
  <c r="B6939" i="1"/>
  <c r="A6939" i="1"/>
  <c r="F6939" i="1"/>
  <c r="B6940" i="1"/>
  <c r="A6940" i="1"/>
  <c r="F6940" i="1"/>
  <c r="B6941" i="1"/>
  <c r="A6941" i="1"/>
  <c r="F6941" i="1"/>
  <c r="B6942" i="1"/>
  <c r="A6942" i="1"/>
  <c r="F6942" i="1"/>
  <c r="B6943" i="1"/>
  <c r="A6943" i="1"/>
  <c r="F6943" i="1"/>
  <c r="B6944" i="1"/>
  <c r="A6944" i="1"/>
  <c r="F6944" i="1"/>
  <c r="B6945" i="1"/>
  <c r="A6945" i="1"/>
  <c r="F6945" i="1"/>
  <c r="B6946" i="1"/>
  <c r="A6946" i="1"/>
  <c r="F6946" i="1"/>
  <c r="B6947" i="1"/>
  <c r="A6947" i="1"/>
  <c r="F6947" i="1"/>
  <c r="B6948" i="1"/>
  <c r="A6948" i="1"/>
  <c r="F6948" i="1"/>
  <c r="B6949" i="1"/>
  <c r="A6949" i="1"/>
  <c r="F6949" i="1"/>
  <c r="B6950" i="1"/>
  <c r="A6950" i="1"/>
  <c r="F6950" i="1"/>
  <c r="B6951" i="1"/>
  <c r="A6951" i="1"/>
  <c r="F6951" i="1"/>
  <c r="B6952" i="1"/>
  <c r="A6952" i="1"/>
  <c r="F6952" i="1"/>
  <c r="B6953" i="1"/>
  <c r="A6953" i="1"/>
  <c r="F6953" i="1"/>
  <c r="B6954" i="1"/>
  <c r="A6954" i="1"/>
  <c r="F6954" i="1"/>
  <c r="B6955" i="1"/>
  <c r="A6955" i="1"/>
  <c r="F6955" i="1"/>
  <c r="B6956" i="1"/>
  <c r="A6956" i="1"/>
  <c r="F6956" i="1"/>
  <c r="B6957" i="1"/>
  <c r="A6957" i="1"/>
  <c r="F6957" i="1"/>
  <c r="B6958" i="1"/>
  <c r="A6958" i="1"/>
  <c r="F6958" i="1"/>
  <c r="B6959" i="1"/>
  <c r="A6959" i="1"/>
  <c r="F6959" i="1"/>
  <c r="B6960" i="1"/>
  <c r="A6960" i="1"/>
  <c r="F6960" i="1"/>
  <c r="B6961" i="1"/>
  <c r="A6961" i="1"/>
  <c r="F6961" i="1"/>
  <c r="B6962" i="1"/>
  <c r="A6962" i="1"/>
  <c r="F6962" i="1"/>
  <c r="B6963" i="1"/>
  <c r="A6963" i="1"/>
  <c r="F6963" i="1"/>
  <c r="B6964" i="1"/>
  <c r="A6964" i="1"/>
  <c r="F6964" i="1"/>
  <c r="B6965" i="1"/>
  <c r="A6965" i="1"/>
  <c r="F6965" i="1"/>
  <c r="B6966" i="1"/>
  <c r="A6966" i="1"/>
  <c r="F6966" i="1"/>
  <c r="B6967" i="1"/>
  <c r="A6967" i="1"/>
  <c r="F6967" i="1"/>
  <c r="B6968" i="1"/>
  <c r="A6968" i="1"/>
  <c r="F6968" i="1"/>
  <c r="B6969" i="1"/>
  <c r="A6969" i="1"/>
  <c r="F6969" i="1"/>
  <c r="B6970" i="1"/>
  <c r="A6970" i="1"/>
  <c r="F6970" i="1"/>
  <c r="B6971" i="1"/>
  <c r="A6971" i="1"/>
  <c r="F6971" i="1"/>
  <c r="B6972" i="1"/>
  <c r="A6972" i="1"/>
  <c r="F6972" i="1"/>
  <c r="B6973" i="1"/>
  <c r="A6973" i="1"/>
  <c r="F6973" i="1"/>
  <c r="B6974" i="1"/>
  <c r="A6974" i="1"/>
  <c r="F6974" i="1"/>
  <c r="B6975" i="1"/>
  <c r="A6975" i="1"/>
  <c r="F6975" i="1"/>
  <c r="B6976" i="1"/>
  <c r="A6976" i="1"/>
  <c r="F6976" i="1"/>
  <c r="B6977" i="1"/>
  <c r="A6977" i="1"/>
  <c r="F6977" i="1"/>
  <c r="B6978" i="1"/>
  <c r="A6978" i="1"/>
  <c r="F6978" i="1"/>
  <c r="B6979" i="1"/>
  <c r="A6979" i="1"/>
  <c r="F6979" i="1"/>
  <c r="B6980" i="1"/>
  <c r="A6980" i="1"/>
  <c r="F6980" i="1"/>
  <c r="B6981" i="1"/>
  <c r="A6981" i="1"/>
  <c r="F6981" i="1"/>
  <c r="B6982" i="1"/>
  <c r="A6982" i="1"/>
  <c r="F6982" i="1"/>
  <c r="B6983" i="1"/>
  <c r="A6983" i="1"/>
  <c r="F6983" i="1"/>
  <c r="B6984" i="1"/>
  <c r="A6984" i="1"/>
  <c r="F6984" i="1"/>
  <c r="B6985" i="1"/>
  <c r="A6985" i="1"/>
  <c r="F6985" i="1"/>
  <c r="B6986" i="1"/>
  <c r="A6986" i="1"/>
  <c r="F6986" i="1"/>
  <c r="B6987" i="1"/>
  <c r="A6987" i="1"/>
  <c r="F6987" i="1"/>
  <c r="B6988" i="1"/>
  <c r="A6988" i="1"/>
  <c r="F6988" i="1"/>
  <c r="B6989" i="1"/>
  <c r="A6989" i="1"/>
  <c r="F6989" i="1"/>
  <c r="B6990" i="1"/>
  <c r="A6990" i="1"/>
  <c r="F6990" i="1"/>
  <c r="B6991" i="1"/>
  <c r="A6991" i="1"/>
  <c r="F6991" i="1"/>
  <c r="B6992" i="1"/>
  <c r="A6992" i="1"/>
  <c r="F6992" i="1"/>
  <c r="B6993" i="1"/>
  <c r="A6993" i="1"/>
  <c r="F6993" i="1"/>
  <c r="B6994" i="1"/>
  <c r="A6994" i="1"/>
  <c r="F6994" i="1"/>
  <c r="B6995" i="1"/>
  <c r="A6995" i="1"/>
  <c r="F6995" i="1"/>
  <c r="B6996" i="1"/>
  <c r="A6996" i="1"/>
  <c r="F6996" i="1"/>
  <c r="B6997" i="1"/>
  <c r="A6997" i="1"/>
  <c r="F6997" i="1"/>
  <c r="B6998" i="1"/>
  <c r="A6998" i="1"/>
  <c r="F6998" i="1"/>
  <c r="B6999" i="1"/>
  <c r="A6999" i="1"/>
  <c r="F6999" i="1"/>
  <c r="B7000" i="1"/>
  <c r="A7000" i="1"/>
  <c r="F7000" i="1"/>
  <c r="B7001" i="1"/>
  <c r="A7001" i="1"/>
  <c r="F7001" i="1"/>
  <c r="B7002" i="1"/>
  <c r="A7002" i="1"/>
  <c r="F7002" i="1"/>
  <c r="B7003" i="1"/>
  <c r="A7003" i="1"/>
  <c r="F7003" i="1"/>
  <c r="B7004" i="1"/>
  <c r="A7004" i="1"/>
  <c r="F7004" i="1"/>
  <c r="B7005" i="1"/>
  <c r="A7005" i="1"/>
  <c r="F7005" i="1"/>
  <c r="B7006" i="1"/>
  <c r="A7006" i="1"/>
  <c r="F7006" i="1"/>
  <c r="B7007" i="1"/>
  <c r="A7007" i="1"/>
  <c r="F7007" i="1"/>
  <c r="B7008" i="1"/>
  <c r="A7008" i="1"/>
  <c r="F7008" i="1"/>
  <c r="B7009" i="1"/>
  <c r="A7009" i="1"/>
  <c r="F7009" i="1"/>
  <c r="B7010" i="1"/>
  <c r="A7010" i="1"/>
  <c r="F7010" i="1"/>
  <c r="B7011" i="1"/>
  <c r="A7011" i="1"/>
  <c r="F7011" i="1"/>
  <c r="B7012" i="1"/>
  <c r="A7012" i="1"/>
  <c r="F7012" i="1"/>
  <c r="B7013" i="1"/>
  <c r="A7013" i="1"/>
  <c r="F7013" i="1"/>
  <c r="B7014" i="1"/>
  <c r="A7014" i="1"/>
  <c r="F7014" i="1"/>
  <c r="B7015" i="1"/>
  <c r="A7015" i="1"/>
  <c r="F7015" i="1"/>
  <c r="B7016" i="1"/>
  <c r="A7016" i="1"/>
  <c r="F7016" i="1"/>
  <c r="B7017" i="1"/>
  <c r="A7017" i="1"/>
  <c r="F7017" i="1"/>
  <c r="B7018" i="1"/>
  <c r="A7018" i="1"/>
  <c r="F7018" i="1"/>
  <c r="B7019" i="1"/>
  <c r="A7019" i="1"/>
  <c r="F7019" i="1"/>
  <c r="B7020" i="1"/>
  <c r="A7020" i="1"/>
  <c r="F7020" i="1"/>
  <c r="B7021" i="1"/>
  <c r="A7021" i="1"/>
  <c r="F7021" i="1"/>
  <c r="B7022" i="1"/>
  <c r="A7022" i="1"/>
  <c r="F7022" i="1"/>
  <c r="B7023" i="1"/>
  <c r="A7023" i="1"/>
  <c r="F7023" i="1"/>
  <c r="B7024" i="1"/>
  <c r="A7024" i="1"/>
  <c r="F7024" i="1"/>
  <c r="B7025" i="1"/>
  <c r="A7025" i="1"/>
  <c r="F7025" i="1"/>
  <c r="B7026" i="1"/>
  <c r="A7026" i="1"/>
  <c r="F7026" i="1"/>
  <c r="B7027" i="1"/>
  <c r="A7027" i="1"/>
  <c r="F7027" i="1"/>
  <c r="B7028" i="1"/>
  <c r="A7028" i="1"/>
  <c r="F7028" i="1"/>
  <c r="B7029" i="1"/>
  <c r="A7029" i="1"/>
  <c r="F7029" i="1"/>
  <c r="B7030" i="1"/>
  <c r="A7030" i="1"/>
  <c r="F7030" i="1"/>
  <c r="B7031" i="1"/>
  <c r="A7031" i="1"/>
  <c r="F7031" i="1"/>
  <c r="B7032" i="1"/>
  <c r="A7032" i="1"/>
  <c r="F7032" i="1"/>
  <c r="B7033" i="1"/>
  <c r="A7033" i="1"/>
  <c r="F7033" i="1"/>
  <c r="B7034" i="1"/>
  <c r="A7034" i="1"/>
  <c r="F7034" i="1"/>
  <c r="B7035" i="1"/>
  <c r="A7035" i="1"/>
  <c r="F7035" i="1"/>
  <c r="B7036" i="1"/>
  <c r="A7036" i="1"/>
  <c r="F7036" i="1"/>
  <c r="B7037" i="1"/>
  <c r="A7037" i="1"/>
  <c r="F7037" i="1"/>
  <c r="B7038" i="1"/>
  <c r="A7038" i="1"/>
  <c r="F7038" i="1"/>
  <c r="B7039" i="1"/>
  <c r="A7039" i="1"/>
  <c r="F7039" i="1"/>
  <c r="B7040" i="1"/>
  <c r="A7040" i="1"/>
  <c r="F7040" i="1"/>
  <c r="B7041" i="1"/>
  <c r="A7041" i="1"/>
  <c r="F7041" i="1"/>
  <c r="B7042" i="1"/>
  <c r="A7042" i="1"/>
  <c r="F7042" i="1"/>
  <c r="B7043" i="1"/>
  <c r="A7043" i="1"/>
  <c r="F7043" i="1"/>
  <c r="B7044" i="1"/>
  <c r="A7044" i="1"/>
  <c r="F7044" i="1"/>
  <c r="B7045" i="1"/>
  <c r="A7045" i="1"/>
  <c r="F7045" i="1"/>
  <c r="B7046" i="1"/>
  <c r="A7046" i="1"/>
  <c r="F7046" i="1"/>
  <c r="B7047" i="1"/>
  <c r="A7047" i="1"/>
  <c r="F7047" i="1"/>
  <c r="B7048" i="1"/>
  <c r="A7048" i="1"/>
  <c r="F7048" i="1"/>
  <c r="B7049" i="1"/>
  <c r="A7049" i="1"/>
  <c r="F7049" i="1"/>
  <c r="B7050" i="1"/>
  <c r="A7050" i="1"/>
  <c r="F7050" i="1"/>
  <c r="B7051" i="1"/>
  <c r="A7051" i="1"/>
  <c r="F7051" i="1"/>
  <c r="B7052" i="1"/>
  <c r="A7052" i="1"/>
  <c r="F7052" i="1"/>
  <c r="B7053" i="1"/>
  <c r="A7053" i="1"/>
  <c r="F7053" i="1"/>
  <c r="B7054" i="1"/>
  <c r="A7054" i="1"/>
  <c r="F7054" i="1"/>
  <c r="B7055" i="1"/>
  <c r="A7055" i="1"/>
  <c r="F7055" i="1"/>
  <c r="B7056" i="1"/>
  <c r="A7056" i="1"/>
  <c r="F7056" i="1"/>
  <c r="B7057" i="1"/>
  <c r="A7057" i="1"/>
  <c r="F7057" i="1"/>
  <c r="B7058" i="1"/>
  <c r="A7058" i="1"/>
  <c r="F7058" i="1"/>
  <c r="B7059" i="1"/>
  <c r="A7059" i="1"/>
  <c r="F7059" i="1"/>
  <c r="B7060" i="1"/>
  <c r="A7060" i="1"/>
  <c r="F7060" i="1"/>
  <c r="B7061" i="1"/>
  <c r="A7061" i="1"/>
  <c r="F7061" i="1"/>
  <c r="B7062" i="1"/>
  <c r="A7062" i="1"/>
  <c r="F7062" i="1"/>
  <c r="B7063" i="1"/>
  <c r="A7063" i="1"/>
  <c r="F7063" i="1"/>
  <c r="B7064" i="1"/>
  <c r="A7064" i="1"/>
  <c r="F7064" i="1"/>
  <c r="B7065" i="1"/>
  <c r="A7065" i="1"/>
  <c r="F7065" i="1"/>
  <c r="B7066" i="1"/>
  <c r="A7066" i="1"/>
  <c r="F7066" i="1"/>
  <c r="B7067" i="1"/>
  <c r="A7067" i="1"/>
  <c r="F7067" i="1"/>
  <c r="B7068" i="1"/>
  <c r="A7068" i="1"/>
  <c r="F7068" i="1"/>
  <c r="B7069" i="1"/>
  <c r="A7069" i="1"/>
  <c r="F7069" i="1"/>
  <c r="B7070" i="1"/>
  <c r="A7070" i="1"/>
  <c r="F7070" i="1"/>
  <c r="B7071" i="1"/>
  <c r="A7071" i="1"/>
  <c r="F7071" i="1"/>
  <c r="B7072" i="1"/>
  <c r="A7072" i="1"/>
  <c r="F7072" i="1"/>
  <c r="B7073" i="1"/>
  <c r="A7073" i="1"/>
  <c r="F7073" i="1"/>
  <c r="B7074" i="1"/>
  <c r="A7074" i="1"/>
  <c r="F7074" i="1"/>
  <c r="B7075" i="1"/>
  <c r="A7075" i="1"/>
  <c r="F7075" i="1"/>
  <c r="B7076" i="1"/>
  <c r="A7076" i="1"/>
  <c r="F7076" i="1"/>
  <c r="B7077" i="1"/>
  <c r="A7077" i="1"/>
  <c r="F7077" i="1"/>
  <c r="B7078" i="1"/>
  <c r="A7078" i="1"/>
  <c r="F7078" i="1"/>
  <c r="B7079" i="1"/>
  <c r="A7079" i="1"/>
  <c r="F7079" i="1"/>
  <c r="B7080" i="1"/>
  <c r="A7080" i="1"/>
  <c r="F7080" i="1"/>
  <c r="B7081" i="1"/>
  <c r="A7081" i="1"/>
  <c r="F7081" i="1"/>
  <c r="B7082" i="1"/>
  <c r="A7082" i="1"/>
  <c r="F7082" i="1"/>
  <c r="B7083" i="1"/>
  <c r="A7083" i="1"/>
  <c r="F7083" i="1"/>
  <c r="B7084" i="1"/>
  <c r="A7084" i="1"/>
  <c r="F7084" i="1"/>
  <c r="B7085" i="1"/>
  <c r="A7085" i="1"/>
  <c r="F7085" i="1"/>
  <c r="B7086" i="1"/>
  <c r="A7086" i="1"/>
  <c r="F7086" i="1"/>
  <c r="B7087" i="1"/>
  <c r="A7087" i="1"/>
  <c r="F7087" i="1"/>
  <c r="B7088" i="1"/>
  <c r="A7088" i="1"/>
  <c r="F7088" i="1"/>
  <c r="B7089" i="1"/>
  <c r="A7089" i="1"/>
  <c r="F7089" i="1"/>
  <c r="B7090" i="1"/>
  <c r="A7090" i="1"/>
  <c r="F7090" i="1"/>
  <c r="B7091" i="1"/>
  <c r="A7091" i="1"/>
  <c r="F7091" i="1"/>
  <c r="B7092" i="1"/>
  <c r="A7092" i="1"/>
  <c r="F7092" i="1"/>
  <c r="B7093" i="1"/>
  <c r="A7093" i="1"/>
  <c r="F7093" i="1"/>
  <c r="B7094" i="1"/>
  <c r="A7094" i="1"/>
  <c r="F7094" i="1"/>
  <c r="B7095" i="1"/>
  <c r="A7095" i="1"/>
  <c r="F7095" i="1"/>
  <c r="B7096" i="1"/>
  <c r="A7096" i="1"/>
  <c r="F7096" i="1"/>
  <c r="B7097" i="1"/>
  <c r="A7097" i="1"/>
  <c r="F7097" i="1"/>
  <c r="B7098" i="1"/>
  <c r="A7098" i="1"/>
  <c r="F7098" i="1"/>
  <c r="B7099" i="1"/>
  <c r="A7099" i="1"/>
  <c r="F7099" i="1"/>
  <c r="B7100" i="1"/>
  <c r="A7100" i="1"/>
  <c r="F7100" i="1"/>
  <c r="B7101" i="1"/>
  <c r="A7101" i="1"/>
  <c r="F7101" i="1"/>
  <c r="B7102" i="1"/>
  <c r="A7102" i="1"/>
  <c r="F7102" i="1"/>
  <c r="B7103" i="1"/>
  <c r="A7103" i="1"/>
  <c r="F7103" i="1"/>
  <c r="B7104" i="1"/>
  <c r="A7104" i="1"/>
  <c r="F7104" i="1"/>
  <c r="B7105" i="1"/>
  <c r="A7105" i="1"/>
  <c r="F7105" i="1"/>
  <c r="B7106" i="1"/>
  <c r="A7106" i="1"/>
  <c r="F7106" i="1"/>
  <c r="B7107" i="1"/>
  <c r="A7107" i="1"/>
  <c r="F7107" i="1"/>
  <c r="B7108" i="1"/>
  <c r="A7108" i="1"/>
  <c r="F7108" i="1"/>
  <c r="B7109" i="1"/>
  <c r="A7109" i="1"/>
  <c r="F7109" i="1"/>
  <c r="B7110" i="1"/>
  <c r="A7110" i="1"/>
  <c r="F7110" i="1"/>
  <c r="B7111" i="1"/>
  <c r="A7111" i="1"/>
  <c r="F7111" i="1"/>
  <c r="B7112" i="1"/>
  <c r="A7112" i="1"/>
  <c r="F7112" i="1"/>
  <c r="B7113" i="1"/>
  <c r="A7113" i="1"/>
  <c r="F7113" i="1"/>
  <c r="B7114" i="1"/>
  <c r="A7114" i="1"/>
  <c r="F7114" i="1"/>
  <c r="B7115" i="1"/>
  <c r="A7115" i="1"/>
  <c r="F7115" i="1"/>
  <c r="B7116" i="1"/>
  <c r="A7116" i="1"/>
  <c r="F7116" i="1"/>
  <c r="B7117" i="1"/>
  <c r="A7117" i="1"/>
  <c r="F7117" i="1"/>
  <c r="B7118" i="1"/>
  <c r="A7118" i="1"/>
  <c r="F7118" i="1"/>
  <c r="B7119" i="1"/>
  <c r="A7119" i="1"/>
  <c r="F7119" i="1"/>
  <c r="B7120" i="1"/>
  <c r="A7120" i="1"/>
  <c r="F7120" i="1"/>
  <c r="B7121" i="1"/>
  <c r="A7121" i="1"/>
  <c r="F7121" i="1"/>
  <c r="B7122" i="1"/>
  <c r="A7122" i="1"/>
  <c r="F7122" i="1"/>
  <c r="B7123" i="1"/>
  <c r="A7123" i="1"/>
  <c r="F7123" i="1"/>
  <c r="B7124" i="1"/>
  <c r="A7124" i="1"/>
  <c r="F7124" i="1"/>
  <c r="B7125" i="1"/>
  <c r="A7125" i="1"/>
  <c r="F7125" i="1"/>
  <c r="B7126" i="1"/>
  <c r="A7126" i="1"/>
  <c r="F7126" i="1"/>
  <c r="B7127" i="1"/>
  <c r="A7127" i="1"/>
  <c r="F7127" i="1"/>
  <c r="B7128" i="1"/>
  <c r="A7128" i="1"/>
  <c r="F7128" i="1"/>
  <c r="B7129" i="1"/>
  <c r="A7129" i="1"/>
  <c r="F7129" i="1"/>
  <c r="B7130" i="1"/>
  <c r="A7130" i="1"/>
  <c r="F7130" i="1"/>
  <c r="B7131" i="1"/>
  <c r="A7131" i="1"/>
  <c r="F7131" i="1"/>
  <c r="B7132" i="1"/>
  <c r="A7132" i="1"/>
  <c r="F7132" i="1"/>
  <c r="B7133" i="1"/>
  <c r="A7133" i="1"/>
  <c r="F7133" i="1"/>
  <c r="B7134" i="1"/>
  <c r="A7134" i="1"/>
  <c r="F7134" i="1"/>
  <c r="B7135" i="1"/>
  <c r="A7135" i="1"/>
  <c r="F7135" i="1"/>
  <c r="B7136" i="1"/>
  <c r="A7136" i="1"/>
  <c r="F7136" i="1"/>
  <c r="B7137" i="1"/>
  <c r="A7137" i="1"/>
  <c r="F7137" i="1"/>
  <c r="B7138" i="1"/>
  <c r="A7138" i="1"/>
  <c r="F7138" i="1"/>
  <c r="B7139" i="1"/>
  <c r="A7139" i="1"/>
  <c r="F7139" i="1"/>
  <c r="B7140" i="1"/>
  <c r="A7140" i="1"/>
  <c r="F7140" i="1"/>
  <c r="B7141" i="1"/>
  <c r="A7141" i="1"/>
  <c r="F7141" i="1"/>
  <c r="B7142" i="1"/>
  <c r="A7142" i="1"/>
  <c r="F7142" i="1"/>
  <c r="B7143" i="1"/>
  <c r="A7143" i="1"/>
  <c r="F7143" i="1"/>
  <c r="B7144" i="1"/>
  <c r="A7144" i="1"/>
  <c r="F7144" i="1"/>
  <c r="B7145" i="1"/>
  <c r="A7145" i="1"/>
  <c r="F7145" i="1"/>
  <c r="B7146" i="1"/>
  <c r="A7146" i="1"/>
  <c r="F7146" i="1"/>
  <c r="B7147" i="1"/>
  <c r="A7147" i="1"/>
  <c r="F7147" i="1"/>
  <c r="B7148" i="1"/>
  <c r="A7148" i="1"/>
  <c r="F7148" i="1"/>
  <c r="B7149" i="1"/>
  <c r="A7149" i="1"/>
  <c r="F7149" i="1"/>
  <c r="B7150" i="1"/>
  <c r="A7150" i="1"/>
  <c r="F7150" i="1"/>
  <c r="B7151" i="1"/>
  <c r="A7151" i="1"/>
  <c r="F7151" i="1"/>
  <c r="B7152" i="1"/>
  <c r="A7152" i="1"/>
  <c r="F7152" i="1"/>
  <c r="B7153" i="1"/>
  <c r="A7153" i="1"/>
  <c r="F7153" i="1"/>
  <c r="B7154" i="1"/>
  <c r="A7154" i="1"/>
  <c r="F7154" i="1"/>
  <c r="B7155" i="1"/>
  <c r="A7155" i="1"/>
  <c r="F7155" i="1"/>
  <c r="B7156" i="1"/>
  <c r="A7156" i="1"/>
  <c r="F7156" i="1"/>
  <c r="B7157" i="1"/>
  <c r="A7157" i="1"/>
  <c r="F7157" i="1"/>
  <c r="B7158" i="1"/>
  <c r="A7158" i="1"/>
  <c r="F7158" i="1"/>
  <c r="B7159" i="1"/>
  <c r="A7159" i="1"/>
  <c r="F7159" i="1"/>
  <c r="B7160" i="1"/>
  <c r="A7160" i="1"/>
  <c r="F7160" i="1"/>
  <c r="B7161" i="1"/>
  <c r="A7161" i="1"/>
  <c r="F7161" i="1"/>
  <c r="B7162" i="1"/>
  <c r="A7162" i="1"/>
  <c r="F7162" i="1"/>
  <c r="B7163" i="1"/>
  <c r="A7163" i="1"/>
  <c r="F7163" i="1"/>
  <c r="B7164" i="1"/>
  <c r="A7164" i="1"/>
  <c r="F7164" i="1"/>
  <c r="B7165" i="1"/>
  <c r="A7165" i="1"/>
  <c r="F7165" i="1"/>
  <c r="B7166" i="1"/>
  <c r="A7166" i="1"/>
  <c r="F7166" i="1"/>
  <c r="B7167" i="1"/>
  <c r="A7167" i="1"/>
  <c r="F7167" i="1"/>
  <c r="B7168" i="1"/>
  <c r="A7168" i="1"/>
  <c r="F7168" i="1"/>
  <c r="B7169" i="1"/>
  <c r="A7169" i="1"/>
  <c r="F7169" i="1"/>
  <c r="B7170" i="1"/>
  <c r="A7170" i="1"/>
  <c r="F7170" i="1"/>
  <c r="B7171" i="1"/>
  <c r="A7171" i="1"/>
  <c r="F7171" i="1"/>
  <c r="B7172" i="1"/>
  <c r="A7172" i="1"/>
  <c r="F7172" i="1"/>
  <c r="B7173" i="1"/>
  <c r="A7173" i="1"/>
  <c r="F7173" i="1"/>
  <c r="B7174" i="1"/>
  <c r="A7174" i="1"/>
  <c r="F7174" i="1"/>
  <c r="B7175" i="1"/>
  <c r="A7175" i="1"/>
  <c r="F7175" i="1"/>
  <c r="B7176" i="1"/>
  <c r="A7176" i="1"/>
  <c r="F7176" i="1"/>
  <c r="B7177" i="1"/>
  <c r="A7177" i="1"/>
  <c r="F7177" i="1"/>
  <c r="B7178" i="1"/>
  <c r="A7178" i="1"/>
  <c r="F7178" i="1"/>
  <c r="B7179" i="1"/>
  <c r="A7179" i="1"/>
  <c r="F7179" i="1"/>
  <c r="B7180" i="1"/>
  <c r="A7180" i="1"/>
  <c r="F7180" i="1"/>
  <c r="B7181" i="1"/>
  <c r="A7181" i="1"/>
  <c r="F7181" i="1"/>
  <c r="B7182" i="1"/>
  <c r="A7182" i="1"/>
  <c r="F7182" i="1"/>
  <c r="B7183" i="1"/>
  <c r="A7183" i="1"/>
  <c r="F7183" i="1"/>
  <c r="B7184" i="1"/>
  <c r="A7184" i="1"/>
  <c r="F7184" i="1"/>
  <c r="B7185" i="1"/>
  <c r="A7185" i="1"/>
  <c r="F7185" i="1"/>
  <c r="B7186" i="1"/>
  <c r="A7186" i="1"/>
  <c r="F7186" i="1"/>
  <c r="B7187" i="1"/>
  <c r="A7187" i="1"/>
  <c r="F7187" i="1"/>
  <c r="B7188" i="1"/>
  <c r="A7188" i="1"/>
  <c r="F7188" i="1"/>
  <c r="B7189" i="1"/>
  <c r="A7189" i="1"/>
  <c r="F7189" i="1"/>
  <c r="B7190" i="1"/>
  <c r="A7190" i="1"/>
  <c r="F7190" i="1"/>
  <c r="B7191" i="1"/>
  <c r="A7191" i="1"/>
  <c r="F7191" i="1"/>
  <c r="B7192" i="1"/>
  <c r="A7192" i="1"/>
  <c r="F7192" i="1"/>
  <c r="B7193" i="1"/>
  <c r="A7193" i="1"/>
  <c r="F7193" i="1"/>
  <c r="B7194" i="1"/>
  <c r="A7194" i="1"/>
  <c r="F7194" i="1"/>
  <c r="B7195" i="1"/>
  <c r="A7195" i="1"/>
  <c r="F7195" i="1"/>
  <c r="B7196" i="1"/>
  <c r="A7196" i="1"/>
  <c r="F7196" i="1"/>
  <c r="B7197" i="1"/>
  <c r="A7197" i="1"/>
  <c r="F7197" i="1"/>
  <c r="B7198" i="1"/>
  <c r="A7198" i="1"/>
  <c r="F7198" i="1"/>
  <c r="B7199" i="1"/>
  <c r="A7199" i="1"/>
  <c r="F7199" i="1"/>
  <c r="B7200" i="1"/>
  <c r="A7200" i="1"/>
  <c r="F7200" i="1"/>
  <c r="B7201" i="1"/>
  <c r="A7201" i="1"/>
  <c r="F7201" i="1"/>
  <c r="B7202" i="1"/>
  <c r="A7202" i="1"/>
  <c r="F7202" i="1"/>
  <c r="B7203" i="1"/>
  <c r="A7203" i="1"/>
  <c r="F7203" i="1"/>
  <c r="B7204" i="1"/>
  <c r="A7204" i="1"/>
  <c r="F7204" i="1"/>
  <c r="B7205" i="1"/>
  <c r="A7205" i="1"/>
  <c r="F7205" i="1"/>
  <c r="B7206" i="1"/>
  <c r="A7206" i="1"/>
  <c r="F7206" i="1"/>
  <c r="B7207" i="1"/>
  <c r="A7207" i="1"/>
  <c r="F7207" i="1"/>
  <c r="B7208" i="1"/>
  <c r="A7208" i="1"/>
  <c r="F7208" i="1"/>
  <c r="B7209" i="1"/>
  <c r="A7209" i="1"/>
  <c r="F7209" i="1"/>
  <c r="B7210" i="1"/>
  <c r="A7210" i="1"/>
  <c r="F7210" i="1"/>
  <c r="B7211" i="1"/>
  <c r="A7211" i="1"/>
  <c r="F7211" i="1"/>
  <c r="B7212" i="1"/>
  <c r="A7212" i="1"/>
  <c r="F7212" i="1"/>
  <c r="B7213" i="1"/>
  <c r="A7213" i="1"/>
  <c r="F7213" i="1"/>
  <c r="B7214" i="1"/>
  <c r="A7214" i="1"/>
  <c r="F7214" i="1"/>
  <c r="B7215" i="1"/>
  <c r="A7215" i="1"/>
  <c r="F7215" i="1"/>
  <c r="B7216" i="1"/>
  <c r="A7216" i="1"/>
  <c r="F7216" i="1"/>
  <c r="B7217" i="1"/>
  <c r="A7217" i="1"/>
  <c r="F7217" i="1"/>
  <c r="B7218" i="1"/>
  <c r="A7218" i="1"/>
  <c r="F7218" i="1"/>
  <c r="B7219" i="1"/>
  <c r="A7219" i="1"/>
  <c r="F7219" i="1"/>
  <c r="B7220" i="1"/>
  <c r="A7220" i="1"/>
  <c r="F7220" i="1"/>
  <c r="B7221" i="1"/>
  <c r="A7221" i="1"/>
  <c r="F7221" i="1"/>
  <c r="B7222" i="1"/>
  <c r="A7222" i="1"/>
  <c r="F7222" i="1"/>
  <c r="B7223" i="1"/>
  <c r="A7223" i="1"/>
  <c r="F7223" i="1"/>
  <c r="B7224" i="1"/>
  <c r="A7224" i="1"/>
  <c r="F7224" i="1"/>
  <c r="B7225" i="1"/>
  <c r="A7225" i="1"/>
  <c r="F7225" i="1"/>
  <c r="B7226" i="1"/>
  <c r="A7226" i="1"/>
  <c r="F7226" i="1"/>
  <c r="B7227" i="1"/>
  <c r="A7227" i="1"/>
  <c r="F7227" i="1"/>
  <c r="B7228" i="1"/>
  <c r="A7228" i="1"/>
  <c r="F7228" i="1"/>
  <c r="B7229" i="1"/>
  <c r="A7229" i="1"/>
  <c r="F7229" i="1"/>
  <c r="B7230" i="1"/>
  <c r="A7230" i="1"/>
  <c r="F7230" i="1"/>
  <c r="B7231" i="1"/>
  <c r="A7231" i="1"/>
  <c r="F7231" i="1"/>
  <c r="B7232" i="1"/>
  <c r="A7232" i="1"/>
  <c r="F7232" i="1"/>
  <c r="B7233" i="1"/>
  <c r="A7233" i="1"/>
  <c r="F7233" i="1"/>
  <c r="B7234" i="1"/>
  <c r="A7234" i="1"/>
  <c r="F7234" i="1"/>
  <c r="B7235" i="1"/>
  <c r="A7235" i="1"/>
  <c r="F7235" i="1"/>
  <c r="B7236" i="1"/>
  <c r="A7236" i="1"/>
  <c r="F7236" i="1"/>
  <c r="B7237" i="1"/>
  <c r="A7237" i="1"/>
  <c r="F7237" i="1"/>
  <c r="B7238" i="1"/>
  <c r="A7238" i="1"/>
  <c r="F7238" i="1"/>
  <c r="B7239" i="1"/>
  <c r="A7239" i="1"/>
  <c r="F7239" i="1"/>
  <c r="B7240" i="1"/>
  <c r="A7240" i="1"/>
  <c r="F7240" i="1"/>
  <c r="B7241" i="1"/>
  <c r="A7241" i="1"/>
  <c r="F7241" i="1"/>
  <c r="B7242" i="1"/>
  <c r="A7242" i="1"/>
  <c r="F7242" i="1"/>
  <c r="B7243" i="1"/>
  <c r="A7243" i="1"/>
  <c r="F7243" i="1"/>
  <c r="B7244" i="1"/>
  <c r="A7244" i="1"/>
  <c r="F7244" i="1"/>
  <c r="B7245" i="1"/>
  <c r="A7245" i="1"/>
  <c r="F7245" i="1"/>
  <c r="B7246" i="1"/>
  <c r="A7246" i="1"/>
  <c r="F7246" i="1"/>
  <c r="B7247" i="1"/>
  <c r="A7247" i="1"/>
  <c r="F7247" i="1"/>
  <c r="B7248" i="1"/>
  <c r="A7248" i="1"/>
  <c r="F7248" i="1"/>
  <c r="B7249" i="1"/>
  <c r="A7249" i="1"/>
  <c r="F7249" i="1"/>
  <c r="B7250" i="1"/>
  <c r="A7250" i="1"/>
  <c r="F7250" i="1"/>
  <c r="B7251" i="1"/>
  <c r="A7251" i="1"/>
  <c r="F7251" i="1"/>
  <c r="B7252" i="1"/>
  <c r="A7252" i="1"/>
  <c r="F7252" i="1"/>
  <c r="B7253" i="1"/>
  <c r="A7253" i="1"/>
  <c r="F7253" i="1"/>
  <c r="B7254" i="1"/>
  <c r="A7254" i="1"/>
  <c r="F7254" i="1"/>
  <c r="B7255" i="1"/>
  <c r="A7255" i="1"/>
  <c r="F7255" i="1"/>
  <c r="B7256" i="1"/>
  <c r="A7256" i="1"/>
  <c r="F7256" i="1"/>
  <c r="B7257" i="1"/>
  <c r="A7257" i="1"/>
  <c r="F7257" i="1"/>
  <c r="B7258" i="1"/>
  <c r="A7258" i="1"/>
  <c r="F7258" i="1"/>
  <c r="B7259" i="1"/>
  <c r="A7259" i="1"/>
  <c r="F7259" i="1"/>
  <c r="B7260" i="1"/>
  <c r="A7260" i="1"/>
  <c r="F7260" i="1"/>
  <c r="B7261" i="1"/>
  <c r="A7261" i="1"/>
  <c r="F7261" i="1"/>
  <c r="B7262" i="1"/>
  <c r="A7262" i="1"/>
  <c r="F7262" i="1"/>
  <c r="B7263" i="1"/>
  <c r="A7263" i="1"/>
  <c r="F7263" i="1"/>
  <c r="B7264" i="1"/>
  <c r="A7264" i="1"/>
  <c r="F7264" i="1"/>
  <c r="B7265" i="1"/>
  <c r="A7265" i="1"/>
  <c r="F7265" i="1"/>
  <c r="B7266" i="1"/>
  <c r="A7266" i="1"/>
  <c r="F7266" i="1"/>
  <c r="B7267" i="1"/>
  <c r="A7267" i="1"/>
  <c r="F7267" i="1"/>
  <c r="B7268" i="1"/>
  <c r="A7268" i="1"/>
  <c r="F7268" i="1"/>
  <c r="B7269" i="1"/>
  <c r="A7269" i="1"/>
  <c r="F7269" i="1"/>
  <c r="B7270" i="1"/>
  <c r="A7270" i="1"/>
  <c r="F7270" i="1"/>
  <c r="B7271" i="1"/>
  <c r="A7271" i="1"/>
  <c r="F7271" i="1"/>
  <c r="B7272" i="1"/>
  <c r="A7272" i="1"/>
  <c r="F7272" i="1"/>
  <c r="B7273" i="1"/>
  <c r="A7273" i="1"/>
  <c r="F7273" i="1"/>
  <c r="B7274" i="1"/>
  <c r="A7274" i="1"/>
  <c r="F7274" i="1"/>
  <c r="B7275" i="1"/>
  <c r="A7275" i="1"/>
  <c r="F7275" i="1"/>
  <c r="B7276" i="1"/>
  <c r="A7276" i="1"/>
  <c r="F7276" i="1"/>
  <c r="B7277" i="1"/>
  <c r="A7277" i="1"/>
  <c r="F7277" i="1"/>
  <c r="B7278" i="1"/>
  <c r="A7278" i="1"/>
  <c r="F7278" i="1"/>
  <c r="B7279" i="1"/>
  <c r="A7279" i="1"/>
  <c r="F7279" i="1"/>
  <c r="B7280" i="1"/>
  <c r="A7280" i="1"/>
  <c r="F7280" i="1"/>
  <c r="B7281" i="1"/>
  <c r="A7281" i="1"/>
  <c r="F7281" i="1"/>
  <c r="B7282" i="1"/>
  <c r="A7282" i="1"/>
  <c r="F7282" i="1"/>
  <c r="B7283" i="1"/>
  <c r="A7283" i="1"/>
  <c r="F7283" i="1"/>
  <c r="B7284" i="1"/>
  <c r="A7284" i="1"/>
  <c r="F7284" i="1"/>
  <c r="B7285" i="1"/>
  <c r="A7285" i="1"/>
  <c r="F7285" i="1"/>
  <c r="B7286" i="1"/>
  <c r="A7286" i="1"/>
  <c r="F7286" i="1"/>
  <c r="B7287" i="1"/>
  <c r="A7287" i="1"/>
  <c r="F7287" i="1"/>
  <c r="B7288" i="1"/>
  <c r="A7288" i="1"/>
  <c r="F7288" i="1"/>
  <c r="B7289" i="1"/>
  <c r="A7289" i="1"/>
  <c r="F7289" i="1"/>
  <c r="B7290" i="1"/>
  <c r="A7290" i="1"/>
  <c r="F7290" i="1"/>
  <c r="B7291" i="1"/>
  <c r="A7291" i="1"/>
  <c r="F7291" i="1"/>
  <c r="B7292" i="1"/>
  <c r="A7292" i="1"/>
  <c r="F7292" i="1"/>
  <c r="B7293" i="1"/>
  <c r="A7293" i="1"/>
  <c r="F7293" i="1"/>
  <c r="B7294" i="1"/>
  <c r="A7294" i="1"/>
  <c r="F7294" i="1"/>
  <c r="B7295" i="1"/>
  <c r="A7295" i="1"/>
  <c r="F7295" i="1"/>
  <c r="B7296" i="1"/>
  <c r="A7296" i="1"/>
  <c r="F7296" i="1"/>
  <c r="B7297" i="1"/>
  <c r="A7297" i="1"/>
  <c r="F7297" i="1"/>
  <c r="B7298" i="1"/>
  <c r="A7298" i="1"/>
  <c r="F7298" i="1"/>
  <c r="B7299" i="1"/>
  <c r="A7299" i="1"/>
  <c r="F7299" i="1"/>
  <c r="B7300" i="1"/>
  <c r="A7300" i="1"/>
  <c r="F7300" i="1"/>
  <c r="B7301" i="1"/>
  <c r="A7301" i="1"/>
  <c r="F7301" i="1"/>
  <c r="B7302" i="1"/>
  <c r="A7302" i="1"/>
  <c r="F7302" i="1"/>
  <c r="B7303" i="1"/>
  <c r="A7303" i="1"/>
  <c r="F7303" i="1"/>
  <c r="B7304" i="1"/>
  <c r="A7304" i="1"/>
  <c r="F7304" i="1"/>
  <c r="B7305" i="1"/>
  <c r="A7305" i="1"/>
  <c r="F7305" i="1"/>
  <c r="B7306" i="1"/>
  <c r="A7306" i="1"/>
  <c r="F7306" i="1"/>
  <c r="B7307" i="1"/>
  <c r="A7307" i="1"/>
  <c r="F7307" i="1"/>
  <c r="B7308" i="1"/>
  <c r="A7308" i="1"/>
  <c r="F7308" i="1"/>
  <c r="B7309" i="1"/>
  <c r="A7309" i="1"/>
  <c r="F7309" i="1"/>
  <c r="B7310" i="1"/>
  <c r="A7310" i="1"/>
  <c r="F7310" i="1"/>
  <c r="B7311" i="1"/>
  <c r="A7311" i="1"/>
  <c r="F7311" i="1"/>
  <c r="B7312" i="1"/>
  <c r="A7312" i="1"/>
  <c r="F7312" i="1"/>
  <c r="B7313" i="1"/>
  <c r="A7313" i="1"/>
  <c r="F7313" i="1"/>
  <c r="B7314" i="1"/>
  <c r="A7314" i="1"/>
  <c r="F7314" i="1"/>
  <c r="B7315" i="1"/>
  <c r="A7315" i="1"/>
  <c r="F7315" i="1"/>
  <c r="B7316" i="1"/>
  <c r="A7316" i="1"/>
  <c r="F7316" i="1"/>
  <c r="B7317" i="1"/>
  <c r="A7317" i="1"/>
  <c r="F7317" i="1"/>
  <c r="B7318" i="1"/>
  <c r="A7318" i="1"/>
  <c r="F7318" i="1"/>
  <c r="B7319" i="1"/>
  <c r="A7319" i="1"/>
  <c r="F7319" i="1"/>
  <c r="B7320" i="1"/>
  <c r="A7320" i="1"/>
  <c r="F7320" i="1"/>
  <c r="B7321" i="1"/>
  <c r="A7321" i="1"/>
  <c r="F7321" i="1"/>
  <c r="B7322" i="1"/>
  <c r="A7322" i="1"/>
  <c r="F7322" i="1"/>
  <c r="B7323" i="1"/>
  <c r="A7323" i="1"/>
  <c r="F7323" i="1"/>
  <c r="B7324" i="1"/>
  <c r="A7324" i="1"/>
  <c r="F7324" i="1"/>
  <c r="B7325" i="1"/>
  <c r="A7325" i="1"/>
  <c r="F7325" i="1"/>
  <c r="B7326" i="1"/>
  <c r="A7326" i="1"/>
  <c r="F7326" i="1"/>
  <c r="B7327" i="1"/>
  <c r="A7327" i="1"/>
  <c r="F7327" i="1"/>
  <c r="B7328" i="1"/>
  <c r="A7328" i="1"/>
  <c r="F7328" i="1"/>
  <c r="B7329" i="1"/>
  <c r="A7329" i="1"/>
  <c r="F7329" i="1"/>
  <c r="B7330" i="1"/>
  <c r="A7330" i="1"/>
  <c r="F7330" i="1"/>
  <c r="B7331" i="1"/>
  <c r="A7331" i="1"/>
  <c r="F7331" i="1"/>
  <c r="B7332" i="1"/>
  <c r="A7332" i="1"/>
  <c r="F7332" i="1"/>
  <c r="B7333" i="1"/>
  <c r="A7333" i="1"/>
  <c r="F7333" i="1"/>
  <c r="B7334" i="1"/>
  <c r="A7334" i="1"/>
  <c r="F7334" i="1"/>
  <c r="B7335" i="1"/>
  <c r="A7335" i="1"/>
  <c r="F7335" i="1"/>
  <c r="B7336" i="1"/>
  <c r="A7336" i="1"/>
  <c r="F7336" i="1"/>
  <c r="B7337" i="1"/>
  <c r="A7337" i="1"/>
  <c r="F7337" i="1"/>
  <c r="B7338" i="1"/>
  <c r="A7338" i="1"/>
  <c r="F7338" i="1"/>
  <c r="B7339" i="1"/>
  <c r="A7339" i="1"/>
  <c r="F7339" i="1"/>
  <c r="B7340" i="1"/>
  <c r="A7340" i="1"/>
  <c r="F7340" i="1"/>
  <c r="B7341" i="1"/>
  <c r="A7341" i="1"/>
  <c r="F7341" i="1"/>
  <c r="B7342" i="1"/>
  <c r="A7342" i="1"/>
  <c r="F7342" i="1"/>
  <c r="B7343" i="1"/>
  <c r="A7343" i="1"/>
  <c r="F7343" i="1"/>
  <c r="B7344" i="1"/>
  <c r="A7344" i="1"/>
  <c r="F7344" i="1"/>
  <c r="B7345" i="1"/>
  <c r="A7345" i="1"/>
  <c r="F7345" i="1"/>
  <c r="B7346" i="1"/>
  <c r="A7346" i="1"/>
  <c r="F7346" i="1"/>
  <c r="B7347" i="1"/>
  <c r="A7347" i="1"/>
  <c r="F7347" i="1"/>
  <c r="B7348" i="1"/>
  <c r="A7348" i="1"/>
  <c r="F7348" i="1"/>
  <c r="B7349" i="1"/>
  <c r="A7349" i="1"/>
  <c r="F7349" i="1"/>
  <c r="B7350" i="1"/>
  <c r="A7350" i="1"/>
  <c r="F7350" i="1"/>
  <c r="B7351" i="1"/>
  <c r="A7351" i="1"/>
  <c r="F7351" i="1"/>
  <c r="B7352" i="1"/>
  <c r="A7352" i="1"/>
  <c r="F7352" i="1"/>
  <c r="B7353" i="1"/>
  <c r="A7353" i="1"/>
  <c r="F7353" i="1"/>
  <c r="B7354" i="1"/>
  <c r="A7354" i="1"/>
  <c r="F7354" i="1"/>
  <c r="B7355" i="1"/>
  <c r="A7355" i="1"/>
  <c r="F7355" i="1"/>
  <c r="B7356" i="1"/>
  <c r="A7356" i="1"/>
  <c r="F7356" i="1"/>
  <c r="B7357" i="1"/>
  <c r="A7357" i="1"/>
  <c r="F7357" i="1"/>
  <c r="B7358" i="1"/>
  <c r="A7358" i="1"/>
  <c r="F7358" i="1"/>
  <c r="B7359" i="1"/>
  <c r="A7359" i="1"/>
  <c r="F7359" i="1"/>
  <c r="B7360" i="1"/>
  <c r="A7360" i="1"/>
  <c r="F7360" i="1"/>
  <c r="B7361" i="1"/>
  <c r="A7361" i="1"/>
  <c r="F7361" i="1"/>
  <c r="B7362" i="1"/>
  <c r="A7362" i="1"/>
  <c r="F7362" i="1"/>
  <c r="B7363" i="1"/>
  <c r="A7363" i="1"/>
  <c r="F7363" i="1"/>
  <c r="B7364" i="1"/>
  <c r="A7364" i="1"/>
  <c r="F7364" i="1"/>
  <c r="B7365" i="1"/>
  <c r="A7365" i="1"/>
  <c r="F7365" i="1"/>
  <c r="B7366" i="1"/>
  <c r="A7366" i="1"/>
  <c r="F7366" i="1"/>
  <c r="B7367" i="1"/>
  <c r="A7367" i="1"/>
  <c r="F7367" i="1"/>
  <c r="B7368" i="1"/>
  <c r="A7368" i="1"/>
  <c r="F7368" i="1"/>
  <c r="B7369" i="1"/>
  <c r="A7369" i="1"/>
  <c r="F7369" i="1"/>
  <c r="B7370" i="1"/>
  <c r="A7370" i="1"/>
  <c r="F7370" i="1"/>
  <c r="B7371" i="1"/>
  <c r="A7371" i="1"/>
  <c r="F7371" i="1"/>
  <c r="B7372" i="1"/>
  <c r="A7372" i="1"/>
  <c r="F7372" i="1"/>
  <c r="B7373" i="1"/>
  <c r="A7373" i="1"/>
  <c r="F7373" i="1"/>
  <c r="B7374" i="1"/>
  <c r="A7374" i="1"/>
  <c r="F7374" i="1"/>
  <c r="B7375" i="1"/>
  <c r="A7375" i="1"/>
  <c r="F7375" i="1"/>
  <c r="B7376" i="1"/>
  <c r="A7376" i="1"/>
  <c r="F7376" i="1"/>
  <c r="B7377" i="1"/>
  <c r="A7377" i="1"/>
  <c r="F7377" i="1"/>
  <c r="B7378" i="1"/>
  <c r="A7378" i="1"/>
  <c r="F7378" i="1"/>
  <c r="B7379" i="1"/>
  <c r="A7379" i="1"/>
  <c r="F7379" i="1"/>
  <c r="B7380" i="1"/>
  <c r="A7380" i="1"/>
  <c r="F7380" i="1"/>
  <c r="B7381" i="1"/>
  <c r="A7381" i="1"/>
  <c r="F7381" i="1"/>
  <c r="B7382" i="1"/>
  <c r="A7382" i="1"/>
  <c r="F7382" i="1"/>
  <c r="B7383" i="1"/>
  <c r="A7383" i="1"/>
  <c r="F7383" i="1"/>
  <c r="B7384" i="1"/>
  <c r="A7384" i="1"/>
  <c r="F7384" i="1"/>
  <c r="B7385" i="1"/>
  <c r="A7385" i="1"/>
  <c r="F7385" i="1"/>
  <c r="B7386" i="1"/>
  <c r="A7386" i="1"/>
  <c r="F7386" i="1"/>
  <c r="B7387" i="1"/>
  <c r="A7387" i="1"/>
  <c r="F7387" i="1"/>
  <c r="B7388" i="1"/>
  <c r="A7388" i="1"/>
  <c r="F7388" i="1"/>
  <c r="B7389" i="1"/>
  <c r="A7389" i="1"/>
  <c r="F7389" i="1"/>
  <c r="B7390" i="1"/>
  <c r="A7390" i="1"/>
  <c r="F7390" i="1"/>
  <c r="B7391" i="1"/>
  <c r="A7391" i="1"/>
  <c r="F7391" i="1"/>
  <c r="B7392" i="1"/>
  <c r="A7392" i="1"/>
  <c r="F7392" i="1"/>
  <c r="B7393" i="1"/>
  <c r="A7393" i="1"/>
  <c r="F7393" i="1"/>
  <c r="B7394" i="1"/>
  <c r="A7394" i="1"/>
  <c r="F7394" i="1"/>
  <c r="B7395" i="1"/>
  <c r="A7395" i="1"/>
  <c r="F7395" i="1"/>
  <c r="B7396" i="1"/>
  <c r="A7396" i="1"/>
  <c r="F7396" i="1"/>
  <c r="B7397" i="1"/>
  <c r="A7397" i="1"/>
  <c r="F7397" i="1"/>
  <c r="B7398" i="1"/>
  <c r="A7398" i="1"/>
  <c r="F7398" i="1"/>
  <c r="B7399" i="1"/>
  <c r="A7399" i="1"/>
  <c r="F7399" i="1"/>
  <c r="B7400" i="1"/>
  <c r="A7400" i="1"/>
  <c r="F7400" i="1"/>
  <c r="B7401" i="1"/>
  <c r="A7401" i="1"/>
  <c r="F7401" i="1"/>
  <c r="B7402" i="1"/>
  <c r="A7402" i="1"/>
  <c r="F7402" i="1"/>
  <c r="B7403" i="1"/>
  <c r="A7403" i="1"/>
  <c r="F7403" i="1"/>
  <c r="B7404" i="1"/>
  <c r="A7404" i="1"/>
  <c r="F7404" i="1"/>
  <c r="B7405" i="1"/>
  <c r="A7405" i="1"/>
  <c r="F7405" i="1"/>
  <c r="B7406" i="1"/>
  <c r="A7406" i="1"/>
  <c r="F7406" i="1"/>
  <c r="B7407" i="1"/>
  <c r="A7407" i="1"/>
  <c r="F7407" i="1"/>
  <c r="B7408" i="1"/>
  <c r="A7408" i="1"/>
  <c r="F7408" i="1"/>
  <c r="B7409" i="1"/>
  <c r="A7409" i="1"/>
  <c r="F7409" i="1"/>
  <c r="B7410" i="1"/>
  <c r="A7410" i="1"/>
  <c r="F7410" i="1"/>
  <c r="B7411" i="1"/>
  <c r="A7411" i="1"/>
  <c r="F7411" i="1"/>
  <c r="B7412" i="1"/>
  <c r="A7412" i="1"/>
  <c r="F7412" i="1"/>
  <c r="B7413" i="1"/>
  <c r="A7413" i="1"/>
  <c r="F7413" i="1"/>
  <c r="B7414" i="1"/>
  <c r="A7414" i="1"/>
  <c r="F7414" i="1"/>
  <c r="B7415" i="1"/>
  <c r="A7415" i="1"/>
  <c r="F7415" i="1"/>
  <c r="B7416" i="1"/>
  <c r="A7416" i="1"/>
  <c r="F7416" i="1"/>
  <c r="B7417" i="1"/>
  <c r="A7417" i="1"/>
  <c r="F7417" i="1"/>
  <c r="B7418" i="1"/>
  <c r="A7418" i="1"/>
  <c r="F7418" i="1"/>
  <c r="B7419" i="1"/>
  <c r="A7419" i="1"/>
  <c r="F7419" i="1"/>
  <c r="B7420" i="1"/>
  <c r="A7420" i="1"/>
  <c r="F7420" i="1"/>
  <c r="B7421" i="1"/>
  <c r="A7421" i="1"/>
  <c r="F7421" i="1"/>
  <c r="B7422" i="1"/>
  <c r="A7422" i="1"/>
  <c r="F7422" i="1"/>
  <c r="B7423" i="1"/>
  <c r="A7423" i="1"/>
  <c r="F7423" i="1"/>
  <c r="B7424" i="1"/>
  <c r="A7424" i="1"/>
  <c r="F7424" i="1"/>
  <c r="B7425" i="1"/>
  <c r="A7425" i="1"/>
  <c r="F7425" i="1"/>
  <c r="B7426" i="1"/>
  <c r="A7426" i="1"/>
  <c r="F7426" i="1"/>
  <c r="B7427" i="1"/>
  <c r="A7427" i="1"/>
  <c r="F7427" i="1"/>
  <c r="B7428" i="1"/>
  <c r="A7428" i="1"/>
  <c r="F7428" i="1"/>
  <c r="B7429" i="1"/>
  <c r="A7429" i="1"/>
  <c r="F7429" i="1"/>
  <c r="B7430" i="1"/>
  <c r="A7430" i="1"/>
  <c r="F7430" i="1"/>
  <c r="B7431" i="1"/>
  <c r="A7431" i="1"/>
  <c r="F7431" i="1"/>
  <c r="B7432" i="1"/>
  <c r="A7432" i="1"/>
  <c r="F7432" i="1"/>
  <c r="B7433" i="1"/>
  <c r="A7433" i="1"/>
  <c r="F7433" i="1"/>
  <c r="B7434" i="1"/>
  <c r="A7434" i="1"/>
  <c r="F7434" i="1"/>
  <c r="B7435" i="1"/>
  <c r="A7435" i="1"/>
  <c r="F7435" i="1"/>
  <c r="B7436" i="1"/>
  <c r="A7436" i="1"/>
  <c r="F7436" i="1"/>
  <c r="B7437" i="1"/>
  <c r="A7437" i="1"/>
  <c r="F7437" i="1"/>
  <c r="B7438" i="1"/>
  <c r="A7438" i="1"/>
  <c r="F7438" i="1"/>
  <c r="B7439" i="1"/>
  <c r="A7439" i="1"/>
  <c r="F7439" i="1"/>
  <c r="B7440" i="1"/>
  <c r="A7440" i="1"/>
  <c r="F7440" i="1"/>
  <c r="B7441" i="1"/>
  <c r="A7441" i="1"/>
  <c r="F7441" i="1"/>
  <c r="B7442" i="1"/>
  <c r="A7442" i="1"/>
  <c r="F7442" i="1"/>
  <c r="B7443" i="1"/>
  <c r="A7443" i="1"/>
  <c r="F7443" i="1"/>
  <c r="B7444" i="1"/>
  <c r="A7444" i="1"/>
  <c r="F7444" i="1"/>
  <c r="B7445" i="1"/>
  <c r="A7445" i="1"/>
  <c r="F7445" i="1"/>
  <c r="B7446" i="1"/>
  <c r="A7446" i="1"/>
  <c r="F7446" i="1"/>
  <c r="B7447" i="1"/>
  <c r="A7447" i="1"/>
  <c r="F7447" i="1"/>
  <c r="B7448" i="1"/>
  <c r="A7448" i="1"/>
  <c r="F7448" i="1"/>
  <c r="B7449" i="1"/>
  <c r="A7449" i="1"/>
  <c r="F7449" i="1"/>
  <c r="B7450" i="1"/>
  <c r="A7450" i="1"/>
  <c r="F7450" i="1"/>
  <c r="B7451" i="1"/>
  <c r="A7451" i="1"/>
  <c r="F7451" i="1"/>
  <c r="B7452" i="1"/>
  <c r="A7452" i="1"/>
  <c r="F7452" i="1"/>
  <c r="B7453" i="1"/>
  <c r="A7453" i="1"/>
  <c r="F7453" i="1"/>
  <c r="B7454" i="1"/>
  <c r="A7454" i="1"/>
  <c r="F7454" i="1"/>
  <c r="B7455" i="1"/>
  <c r="A7455" i="1"/>
  <c r="F7455" i="1"/>
  <c r="B7456" i="1"/>
  <c r="A7456" i="1"/>
  <c r="F7456" i="1"/>
  <c r="B7457" i="1"/>
  <c r="A7457" i="1"/>
  <c r="F7457" i="1"/>
  <c r="B7458" i="1"/>
  <c r="A7458" i="1"/>
  <c r="F7458" i="1"/>
  <c r="B7459" i="1"/>
  <c r="A7459" i="1"/>
  <c r="F7459" i="1"/>
  <c r="B7460" i="1"/>
  <c r="A7460" i="1"/>
  <c r="F7460" i="1"/>
  <c r="B7461" i="1"/>
  <c r="A7461" i="1"/>
  <c r="F7461" i="1"/>
  <c r="B7462" i="1"/>
  <c r="A7462" i="1"/>
  <c r="F7462" i="1"/>
  <c r="B7463" i="1"/>
  <c r="A7463" i="1"/>
  <c r="F7463" i="1"/>
  <c r="B7464" i="1"/>
  <c r="A7464" i="1"/>
  <c r="F7464" i="1"/>
  <c r="B7465" i="1"/>
  <c r="A7465" i="1"/>
  <c r="F7465" i="1"/>
  <c r="B7466" i="1"/>
  <c r="A7466" i="1"/>
  <c r="F7466" i="1"/>
  <c r="B7467" i="1"/>
  <c r="A7467" i="1"/>
  <c r="F7467" i="1"/>
  <c r="B7468" i="1"/>
  <c r="A7468" i="1"/>
  <c r="F7468" i="1"/>
  <c r="B7469" i="1"/>
  <c r="A7469" i="1"/>
  <c r="F7469" i="1"/>
  <c r="B7470" i="1"/>
  <c r="A7470" i="1"/>
  <c r="F7470" i="1"/>
  <c r="B7471" i="1"/>
  <c r="A7471" i="1"/>
  <c r="F7471" i="1"/>
  <c r="B7472" i="1"/>
  <c r="A7472" i="1"/>
  <c r="F7472" i="1"/>
  <c r="B7473" i="1"/>
  <c r="A7473" i="1"/>
  <c r="F7473" i="1"/>
  <c r="B7474" i="1"/>
  <c r="A7474" i="1"/>
  <c r="F7474" i="1"/>
  <c r="B7475" i="1"/>
  <c r="A7475" i="1"/>
  <c r="F7475" i="1"/>
  <c r="B7476" i="1"/>
  <c r="A7476" i="1"/>
  <c r="F7476" i="1"/>
  <c r="B7477" i="1"/>
  <c r="A7477" i="1"/>
  <c r="F7477" i="1"/>
  <c r="B7478" i="1"/>
  <c r="A7478" i="1"/>
  <c r="F7478" i="1"/>
  <c r="B7479" i="1"/>
  <c r="A7479" i="1"/>
  <c r="F7479" i="1"/>
  <c r="B7480" i="1"/>
  <c r="A7480" i="1"/>
  <c r="F7480" i="1"/>
  <c r="B7481" i="1"/>
  <c r="A7481" i="1"/>
  <c r="F7481" i="1"/>
  <c r="B7482" i="1"/>
  <c r="A7482" i="1"/>
  <c r="F7482" i="1"/>
  <c r="B7483" i="1"/>
  <c r="A7483" i="1"/>
  <c r="F7483" i="1"/>
  <c r="B7484" i="1"/>
  <c r="A7484" i="1"/>
  <c r="F7484" i="1"/>
  <c r="B7485" i="1"/>
  <c r="A7485" i="1"/>
  <c r="F7485" i="1"/>
  <c r="B7486" i="1"/>
  <c r="A7486" i="1"/>
  <c r="F7486" i="1"/>
  <c r="B7487" i="1"/>
  <c r="A7487" i="1"/>
  <c r="F7487" i="1"/>
  <c r="B7488" i="1"/>
  <c r="A7488" i="1"/>
  <c r="F7488" i="1"/>
  <c r="B7489" i="1"/>
  <c r="A7489" i="1"/>
  <c r="F7489" i="1"/>
  <c r="B7490" i="1"/>
  <c r="A7490" i="1"/>
  <c r="F7490" i="1"/>
  <c r="B7491" i="1"/>
  <c r="A7491" i="1"/>
  <c r="F7491" i="1"/>
  <c r="B7492" i="1"/>
  <c r="A7492" i="1"/>
  <c r="F7492" i="1"/>
  <c r="B7493" i="1"/>
  <c r="A7493" i="1"/>
  <c r="F7493" i="1"/>
  <c r="B7494" i="1"/>
  <c r="A7494" i="1"/>
  <c r="F7494" i="1"/>
  <c r="B7495" i="1"/>
  <c r="A7495" i="1"/>
  <c r="F7495" i="1"/>
  <c r="B7496" i="1"/>
  <c r="A7496" i="1"/>
  <c r="F7496" i="1"/>
  <c r="B7497" i="1"/>
  <c r="A7497" i="1"/>
  <c r="F7497" i="1"/>
  <c r="B7498" i="1"/>
  <c r="A7498" i="1"/>
  <c r="F7498" i="1"/>
  <c r="B7499" i="1"/>
  <c r="A7499" i="1"/>
  <c r="F7499" i="1"/>
  <c r="B7500" i="1"/>
  <c r="A7500" i="1"/>
  <c r="F7500" i="1"/>
  <c r="B7501" i="1"/>
  <c r="A7501" i="1"/>
  <c r="F7501" i="1"/>
  <c r="B7502" i="1"/>
  <c r="A7502" i="1"/>
  <c r="F7502" i="1"/>
  <c r="B7503" i="1"/>
  <c r="A7503" i="1"/>
  <c r="F7503" i="1"/>
  <c r="B7504" i="1"/>
  <c r="A7504" i="1"/>
  <c r="F7504" i="1"/>
  <c r="B7505" i="1"/>
  <c r="A7505" i="1"/>
  <c r="F7505" i="1"/>
  <c r="B7506" i="1"/>
  <c r="A7506" i="1"/>
  <c r="F7506" i="1"/>
  <c r="B7507" i="1"/>
  <c r="A7507" i="1"/>
  <c r="F7507" i="1"/>
  <c r="B7508" i="1"/>
  <c r="A7508" i="1"/>
  <c r="F7508" i="1"/>
  <c r="B7509" i="1"/>
  <c r="A7509" i="1"/>
  <c r="F7509" i="1"/>
  <c r="B7510" i="1"/>
  <c r="A7510" i="1"/>
  <c r="F7510" i="1"/>
  <c r="B7511" i="1"/>
  <c r="A7511" i="1"/>
  <c r="F7511" i="1"/>
  <c r="B7512" i="1"/>
  <c r="A7512" i="1"/>
  <c r="F7512" i="1"/>
  <c r="B7513" i="1"/>
  <c r="A7513" i="1"/>
  <c r="F7513" i="1"/>
  <c r="B7514" i="1"/>
  <c r="A7514" i="1"/>
  <c r="F7514" i="1"/>
  <c r="B7515" i="1"/>
  <c r="A7515" i="1"/>
  <c r="F7515" i="1"/>
  <c r="B7516" i="1"/>
  <c r="A7516" i="1"/>
  <c r="F7516" i="1"/>
  <c r="B7517" i="1"/>
  <c r="A7517" i="1"/>
  <c r="F7517" i="1"/>
  <c r="B7518" i="1"/>
  <c r="A7518" i="1"/>
  <c r="F7518" i="1"/>
  <c r="B7519" i="1"/>
  <c r="A7519" i="1"/>
  <c r="F7519" i="1"/>
  <c r="B7520" i="1"/>
  <c r="A7520" i="1"/>
  <c r="F7520" i="1"/>
  <c r="B7521" i="1"/>
  <c r="A7521" i="1"/>
  <c r="F7521" i="1"/>
  <c r="B7522" i="1"/>
  <c r="A7522" i="1"/>
  <c r="F7522" i="1"/>
  <c r="B7523" i="1"/>
  <c r="A7523" i="1"/>
  <c r="F7523" i="1"/>
  <c r="B7524" i="1"/>
  <c r="A7524" i="1"/>
  <c r="F7524" i="1"/>
  <c r="B7525" i="1"/>
  <c r="A7525" i="1"/>
  <c r="F7525" i="1"/>
  <c r="B7526" i="1"/>
  <c r="A7526" i="1"/>
  <c r="F7526" i="1"/>
  <c r="B7527" i="1"/>
  <c r="A7527" i="1"/>
  <c r="F7527" i="1"/>
  <c r="B7528" i="1"/>
  <c r="A7528" i="1"/>
  <c r="F7528" i="1"/>
  <c r="B7529" i="1"/>
  <c r="A7529" i="1"/>
  <c r="F7529" i="1"/>
  <c r="B7530" i="1"/>
  <c r="A7530" i="1"/>
  <c r="F7530" i="1"/>
  <c r="B7531" i="1"/>
  <c r="A7531" i="1"/>
  <c r="F7531" i="1"/>
  <c r="B7532" i="1"/>
  <c r="A7532" i="1"/>
  <c r="F7532" i="1"/>
  <c r="B7533" i="1"/>
  <c r="A7533" i="1"/>
  <c r="F7533" i="1"/>
  <c r="B7534" i="1"/>
  <c r="A7534" i="1"/>
  <c r="F7534" i="1"/>
  <c r="B7535" i="1"/>
  <c r="A7535" i="1"/>
  <c r="F7535" i="1"/>
  <c r="B7536" i="1"/>
  <c r="A7536" i="1"/>
  <c r="F7536" i="1"/>
  <c r="B7537" i="1"/>
  <c r="A7537" i="1"/>
  <c r="F7537" i="1"/>
  <c r="B7538" i="1"/>
  <c r="A7538" i="1"/>
  <c r="F7538" i="1"/>
  <c r="B7539" i="1"/>
  <c r="A7539" i="1"/>
  <c r="F7539" i="1"/>
  <c r="B7540" i="1"/>
  <c r="A7540" i="1"/>
  <c r="F7540" i="1"/>
  <c r="B7541" i="1"/>
  <c r="A7541" i="1"/>
  <c r="F7541" i="1"/>
  <c r="B7542" i="1"/>
  <c r="A7542" i="1"/>
  <c r="F7542" i="1"/>
  <c r="B7543" i="1"/>
  <c r="A7543" i="1"/>
  <c r="F7543" i="1"/>
  <c r="B7544" i="1"/>
  <c r="A7544" i="1"/>
  <c r="F7544" i="1"/>
  <c r="B7545" i="1"/>
  <c r="A7545" i="1"/>
  <c r="F7545" i="1"/>
  <c r="B7546" i="1"/>
  <c r="A7546" i="1"/>
  <c r="F7546" i="1"/>
  <c r="B7547" i="1"/>
  <c r="A7547" i="1"/>
  <c r="F7547" i="1"/>
  <c r="B7548" i="1"/>
  <c r="A7548" i="1"/>
  <c r="F7548" i="1"/>
  <c r="B7549" i="1"/>
  <c r="A7549" i="1"/>
  <c r="F7549" i="1"/>
  <c r="B7550" i="1"/>
  <c r="A7550" i="1"/>
  <c r="F7550" i="1"/>
  <c r="B7551" i="1"/>
  <c r="A7551" i="1"/>
  <c r="F7551" i="1"/>
  <c r="B7552" i="1"/>
  <c r="A7552" i="1"/>
  <c r="F7552" i="1"/>
  <c r="B7553" i="1"/>
  <c r="A7553" i="1"/>
  <c r="F7553" i="1"/>
  <c r="B7554" i="1"/>
  <c r="A7554" i="1"/>
  <c r="F7554" i="1"/>
  <c r="B7555" i="1"/>
  <c r="A7555" i="1"/>
  <c r="F7555" i="1"/>
  <c r="B7556" i="1"/>
  <c r="A7556" i="1"/>
  <c r="F7556" i="1"/>
  <c r="B7557" i="1"/>
  <c r="A7557" i="1"/>
  <c r="F7557" i="1"/>
  <c r="B7558" i="1"/>
  <c r="A7558" i="1"/>
  <c r="F7558" i="1"/>
  <c r="B7559" i="1"/>
  <c r="A7559" i="1"/>
  <c r="F7559" i="1"/>
  <c r="B7560" i="1"/>
  <c r="A7560" i="1"/>
  <c r="F7560" i="1"/>
  <c r="B7561" i="1"/>
  <c r="A7561" i="1"/>
  <c r="F7561" i="1"/>
  <c r="B7562" i="1"/>
  <c r="A7562" i="1"/>
  <c r="F7562" i="1"/>
  <c r="B7563" i="1"/>
  <c r="A7563" i="1"/>
  <c r="F7563" i="1"/>
  <c r="B7564" i="1"/>
  <c r="A7564" i="1"/>
  <c r="F7564" i="1"/>
  <c r="B7565" i="1"/>
  <c r="A7565" i="1"/>
  <c r="F7565" i="1"/>
  <c r="B7566" i="1"/>
  <c r="A7566" i="1"/>
  <c r="F7566" i="1"/>
  <c r="B7567" i="1"/>
  <c r="A7567" i="1"/>
  <c r="F7567" i="1"/>
  <c r="B7568" i="1"/>
  <c r="A7568" i="1"/>
  <c r="F7568" i="1"/>
  <c r="B7569" i="1"/>
  <c r="A7569" i="1"/>
  <c r="F7569" i="1"/>
  <c r="B7570" i="1"/>
  <c r="A7570" i="1"/>
  <c r="F7570" i="1"/>
  <c r="B7571" i="1"/>
  <c r="A7571" i="1"/>
  <c r="F7571" i="1"/>
  <c r="B7572" i="1"/>
  <c r="A7572" i="1"/>
  <c r="F7572" i="1"/>
  <c r="B7573" i="1"/>
  <c r="A7573" i="1"/>
  <c r="F7573" i="1"/>
  <c r="B7574" i="1"/>
  <c r="A7574" i="1"/>
  <c r="F7574" i="1"/>
  <c r="B7575" i="1"/>
  <c r="A7575" i="1"/>
  <c r="F7575" i="1"/>
  <c r="B7576" i="1"/>
  <c r="A7576" i="1"/>
  <c r="F7576" i="1"/>
  <c r="B7577" i="1"/>
  <c r="A7577" i="1"/>
  <c r="F7577" i="1"/>
  <c r="B7578" i="1"/>
  <c r="A7578" i="1"/>
  <c r="F7578" i="1"/>
  <c r="B7579" i="1"/>
  <c r="A7579" i="1"/>
  <c r="F7579" i="1"/>
  <c r="B7580" i="1"/>
  <c r="A7580" i="1"/>
  <c r="F7580" i="1"/>
  <c r="B7581" i="1"/>
  <c r="A7581" i="1"/>
  <c r="F7581" i="1"/>
  <c r="B7582" i="1"/>
  <c r="A7582" i="1"/>
  <c r="F7582" i="1"/>
  <c r="B7583" i="1"/>
  <c r="A7583" i="1"/>
  <c r="F7583" i="1"/>
  <c r="B7584" i="1"/>
  <c r="A7584" i="1"/>
  <c r="F7584" i="1"/>
  <c r="B7585" i="1"/>
  <c r="A7585" i="1"/>
  <c r="F7585" i="1"/>
  <c r="B7586" i="1"/>
  <c r="A7586" i="1"/>
  <c r="F7586" i="1"/>
  <c r="B7587" i="1"/>
  <c r="A7587" i="1"/>
  <c r="F7587" i="1"/>
  <c r="B7588" i="1"/>
  <c r="A7588" i="1"/>
  <c r="F7588" i="1"/>
  <c r="B7589" i="1"/>
  <c r="A7589" i="1"/>
  <c r="F7589" i="1"/>
  <c r="B7590" i="1"/>
  <c r="A7590" i="1"/>
  <c r="F7590" i="1"/>
  <c r="B7591" i="1"/>
  <c r="A7591" i="1"/>
  <c r="F7591" i="1"/>
  <c r="B7592" i="1"/>
  <c r="A7592" i="1"/>
  <c r="F7592" i="1"/>
  <c r="B7593" i="1"/>
  <c r="A7593" i="1"/>
  <c r="F7593" i="1"/>
  <c r="B7594" i="1"/>
  <c r="A7594" i="1"/>
  <c r="F7594" i="1"/>
  <c r="B7595" i="1"/>
  <c r="A7595" i="1"/>
  <c r="F7595" i="1"/>
  <c r="B7596" i="1"/>
  <c r="A7596" i="1"/>
  <c r="F7596" i="1"/>
  <c r="B7597" i="1"/>
  <c r="A7597" i="1"/>
  <c r="F7597" i="1"/>
  <c r="B7598" i="1"/>
  <c r="A7598" i="1"/>
  <c r="F7598" i="1"/>
  <c r="B7599" i="1"/>
  <c r="A7599" i="1"/>
  <c r="F7599" i="1"/>
  <c r="B7600" i="1"/>
  <c r="A7600" i="1"/>
  <c r="F7600" i="1"/>
  <c r="B7601" i="1"/>
  <c r="A7601" i="1"/>
  <c r="F7601" i="1"/>
  <c r="B7602" i="1"/>
  <c r="A7602" i="1"/>
  <c r="F7602" i="1"/>
  <c r="B7603" i="1"/>
  <c r="A7603" i="1"/>
  <c r="F7603" i="1"/>
  <c r="B7604" i="1"/>
  <c r="A7604" i="1"/>
  <c r="F7604" i="1"/>
  <c r="B7605" i="1"/>
  <c r="A7605" i="1"/>
  <c r="F7605" i="1"/>
  <c r="B7606" i="1"/>
  <c r="A7606" i="1"/>
  <c r="F7606" i="1"/>
  <c r="B7607" i="1"/>
  <c r="A7607" i="1"/>
  <c r="F7607" i="1"/>
  <c r="B7608" i="1"/>
  <c r="A7608" i="1"/>
  <c r="F7608" i="1"/>
  <c r="B7609" i="1"/>
  <c r="A7609" i="1"/>
  <c r="F7609" i="1"/>
  <c r="B7610" i="1"/>
  <c r="A7610" i="1"/>
  <c r="F7610" i="1"/>
  <c r="B7611" i="1"/>
  <c r="A7611" i="1"/>
  <c r="F7611" i="1"/>
  <c r="B7612" i="1"/>
  <c r="A7612" i="1"/>
  <c r="F7612" i="1"/>
  <c r="B7613" i="1"/>
  <c r="A7613" i="1"/>
  <c r="F7613" i="1"/>
  <c r="B7614" i="1"/>
  <c r="A7614" i="1"/>
  <c r="F7614" i="1"/>
  <c r="B7615" i="1"/>
  <c r="A7615" i="1"/>
  <c r="F7615" i="1"/>
  <c r="B7616" i="1"/>
  <c r="A7616" i="1"/>
  <c r="F7616" i="1"/>
  <c r="B7617" i="1"/>
  <c r="A7617" i="1"/>
  <c r="F7617" i="1"/>
  <c r="B7618" i="1"/>
  <c r="A7618" i="1"/>
  <c r="F7618" i="1"/>
  <c r="B7619" i="1"/>
  <c r="A7619" i="1"/>
  <c r="F7619" i="1"/>
  <c r="B7620" i="1"/>
  <c r="A7620" i="1"/>
  <c r="F7620" i="1"/>
  <c r="B7621" i="1"/>
  <c r="A7621" i="1"/>
  <c r="F7621" i="1"/>
  <c r="B7622" i="1"/>
  <c r="A7622" i="1"/>
  <c r="F7622" i="1"/>
  <c r="B7623" i="1"/>
  <c r="A7623" i="1"/>
  <c r="F7623" i="1"/>
  <c r="B7624" i="1"/>
  <c r="A7624" i="1"/>
  <c r="F7624" i="1"/>
  <c r="B7625" i="1"/>
  <c r="A7625" i="1"/>
  <c r="F7625" i="1"/>
  <c r="B7626" i="1"/>
  <c r="A7626" i="1"/>
  <c r="F7626" i="1"/>
  <c r="B7627" i="1"/>
  <c r="A7627" i="1"/>
  <c r="F7627" i="1"/>
  <c r="B7628" i="1"/>
  <c r="A7628" i="1"/>
  <c r="F7628" i="1"/>
  <c r="B7629" i="1"/>
  <c r="A7629" i="1"/>
  <c r="F7629" i="1"/>
  <c r="B7630" i="1"/>
  <c r="A7630" i="1"/>
  <c r="F7630" i="1"/>
  <c r="B7631" i="1"/>
  <c r="A7631" i="1"/>
  <c r="F7631" i="1"/>
  <c r="B7632" i="1"/>
  <c r="A7632" i="1"/>
  <c r="F7632" i="1"/>
  <c r="B7633" i="1"/>
  <c r="A7633" i="1"/>
  <c r="F7633" i="1"/>
  <c r="B7634" i="1"/>
  <c r="A7634" i="1"/>
  <c r="F7634" i="1"/>
  <c r="B7635" i="1"/>
  <c r="A7635" i="1"/>
  <c r="F7635" i="1"/>
  <c r="B7636" i="1"/>
  <c r="A7636" i="1"/>
  <c r="F7636" i="1"/>
  <c r="B7637" i="1"/>
  <c r="A7637" i="1"/>
  <c r="F7637" i="1"/>
  <c r="B7638" i="1"/>
  <c r="A7638" i="1"/>
  <c r="F7638" i="1"/>
  <c r="B7639" i="1"/>
  <c r="A7639" i="1"/>
  <c r="F7639" i="1"/>
  <c r="B7640" i="1"/>
  <c r="A7640" i="1"/>
  <c r="F7640" i="1"/>
  <c r="B7641" i="1"/>
  <c r="A7641" i="1"/>
  <c r="F7641" i="1"/>
  <c r="B7642" i="1"/>
  <c r="A7642" i="1"/>
  <c r="F7642" i="1"/>
  <c r="B7643" i="1"/>
  <c r="A7643" i="1"/>
  <c r="F7643" i="1"/>
  <c r="B7644" i="1"/>
  <c r="A7644" i="1"/>
  <c r="F7644" i="1"/>
  <c r="B7645" i="1"/>
  <c r="A7645" i="1"/>
  <c r="F7645" i="1"/>
  <c r="B7646" i="1"/>
  <c r="A7646" i="1"/>
  <c r="F7646" i="1"/>
  <c r="B7647" i="1"/>
  <c r="A7647" i="1"/>
  <c r="F7647" i="1"/>
  <c r="B7648" i="1"/>
  <c r="A7648" i="1"/>
  <c r="F7648" i="1"/>
  <c r="B7649" i="1"/>
  <c r="A7649" i="1"/>
  <c r="F7649" i="1"/>
  <c r="B7650" i="1"/>
  <c r="A7650" i="1"/>
  <c r="F7650" i="1"/>
  <c r="B7651" i="1"/>
  <c r="A7651" i="1"/>
  <c r="F7651" i="1"/>
  <c r="B7652" i="1"/>
  <c r="A7652" i="1"/>
  <c r="F7652" i="1"/>
  <c r="B7653" i="1"/>
  <c r="A7653" i="1"/>
  <c r="F7653" i="1"/>
  <c r="B7654" i="1"/>
  <c r="A7654" i="1"/>
  <c r="F7654" i="1"/>
  <c r="B7655" i="1"/>
  <c r="A7655" i="1"/>
  <c r="F7655" i="1"/>
  <c r="B7656" i="1"/>
  <c r="A7656" i="1"/>
  <c r="F7656" i="1"/>
  <c r="B7657" i="1"/>
  <c r="A7657" i="1"/>
  <c r="F7657" i="1"/>
  <c r="B7658" i="1"/>
  <c r="A7658" i="1"/>
  <c r="F7658" i="1"/>
  <c r="B7659" i="1"/>
  <c r="A7659" i="1"/>
  <c r="F7659" i="1"/>
  <c r="B7660" i="1"/>
  <c r="A7660" i="1"/>
  <c r="F7660" i="1"/>
  <c r="B7661" i="1"/>
  <c r="A7661" i="1"/>
  <c r="F7661" i="1"/>
  <c r="B7662" i="1"/>
  <c r="A7662" i="1"/>
  <c r="F7662" i="1"/>
  <c r="B7663" i="1"/>
  <c r="A7663" i="1"/>
  <c r="F7663" i="1"/>
  <c r="B7664" i="1"/>
  <c r="A7664" i="1"/>
  <c r="F7664" i="1"/>
  <c r="B7665" i="1"/>
  <c r="A7665" i="1"/>
  <c r="F7665" i="1"/>
  <c r="B7666" i="1"/>
  <c r="A7666" i="1"/>
  <c r="F7666" i="1"/>
  <c r="B7667" i="1"/>
  <c r="A7667" i="1"/>
  <c r="F7667" i="1"/>
  <c r="B7668" i="1"/>
  <c r="A7668" i="1"/>
  <c r="F7668" i="1"/>
  <c r="B7669" i="1"/>
  <c r="A7669" i="1"/>
  <c r="F7669" i="1"/>
  <c r="B7670" i="1"/>
  <c r="A7670" i="1"/>
  <c r="F7670" i="1"/>
  <c r="B7671" i="1"/>
  <c r="A7671" i="1"/>
  <c r="F7671" i="1"/>
  <c r="B7672" i="1"/>
  <c r="A7672" i="1"/>
  <c r="F7672" i="1"/>
  <c r="B7673" i="1"/>
  <c r="A7673" i="1"/>
  <c r="F7673" i="1"/>
  <c r="B7674" i="1"/>
  <c r="A7674" i="1"/>
  <c r="F7674" i="1"/>
  <c r="B7675" i="1"/>
  <c r="A7675" i="1"/>
  <c r="F7675" i="1"/>
  <c r="B7676" i="1"/>
  <c r="A7676" i="1"/>
  <c r="F7676" i="1"/>
  <c r="B7677" i="1"/>
  <c r="A7677" i="1"/>
  <c r="F7677" i="1"/>
  <c r="B7678" i="1"/>
  <c r="A7678" i="1"/>
  <c r="F7678" i="1"/>
  <c r="B7679" i="1"/>
  <c r="A7679" i="1"/>
  <c r="F7679" i="1"/>
  <c r="B7680" i="1"/>
  <c r="A7680" i="1"/>
  <c r="F7680" i="1"/>
  <c r="B7681" i="1"/>
  <c r="A7681" i="1"/>
  <c r="F7681" i="1"/>
  <c r="B7682" i="1"/>
  <c r="A7682" i="1"/>
  <c r="F7682" i="1"/>
  <c r="B7683" i="1"/>
  <c r="A7683" i="1"/>
  <c r="F7683" i="1"/>
  <c r="B7684" i="1"/>
  <c r="A7684" i="1"/>
  <c r="F7684" i="1"/>
  <c r="B7685" i="1"/>
  <c r="A7685" i="1"/>
  <c r="F7685" i="1"/>
  <c r="B7686" i="1"/>
  <c r="A7686" i="1"/>
  <c r="F7686" i="1"/>
  <c r="B7687" i="1"/>
  <c r="A7687" i="1"/>
  <c r="F7687" i="1"/>
  <c r="B7688" i="1"/>
  <c r="A7688" i="1"/>
  <c r="F7688" i="1"/>
  <c r="B7689" i="1"/>
  <c r="A7689" i="1"/>
  <c r="F7689" i="1"/>
  <c r="B7690" i="1"/>
  <c r="A7690" i="1"/>
  <c r="F7690" i="1"/>
  <c r="B7691" i="1"/>
  <c r="A7691" i="1"/>
  <c r="F7691" i="1"/>
  <c r="B7692" i="1"/>
  <c r="A7692" i="1"/>
  <c r="F7692" i="1"/>
  <c r="B7693" i="1"/>
  <c r="A7693" i="1"/>
  <c r="F7693" i="1"/>
  <c r="B7694" i="1"/>
  <c r="A7694" i="1"/>
  <c r="F7694" i="1"/>
  <c r="B7695" i="1"/>
  <c r="A7695" i="1"/>
  <c r="F7695" i="1"/>
  <c r="B7696" i="1"/>
  <c r="A7696" i="1"/>
  <c r="F7696" i="1"/>
  <c r="B7697" i="1"/>
  <c r="A7697" i="1"/>
  <c r="F7697" i="1"/>
  <c r="B7698" i="1"/>
  <c r="A7698" i="1"/>
  <c r="F7698" i="1"/>
  <c r="B7699" i="1"/>
  <c r="A7699" i="1"/>
  <c r="F7699" i="1"/>
  <c r="B7700" i="1"/>
  <c r="A7700" i="1"/>
  <c r="F7700" i="1"/>
  <c r="B7701" i="1"/>
  <c r="A7701" i="1"/>
  <c r="F7701" i="1"/>
  <c r="B7702" i="1"/>
  <c r="A7702" i="1"/>
  <c r="F7702" i="1"/>
  <c r="B7703" i="1"/>
  <c r="A7703" i="1"/>
  <c r="F7703" i="1"/>
  <c r="B7704" i="1"/>
  <c r="A7704" i="1"/>
  <c r="F7704" i="1"/>
  <c r="B7705" i="1"/>
  <c r="A7705" i="1"/>
  <c r="F7705" i="1"/>
  <c r="B7706" i="1"/>
  <c r="A7706" i="1"/>
  <c r="F7706" i="1"/>
  <c r="B7707" i="1"/>
  <c r="A7707" i="1"/>
  <c r="F7707" i="1"/>
  <c r="B7708" i="1"/>
  <c r="A7708" i="1"/>
  <c r="F7708" i="1"/>
  <c r="B7709" i="1"/>
  <c r="A7709" i="1"/>
  <c r="F7709" i="1"/>
  <c r="B7710" i="1"/>
  <c r="A7710" i="1"/>
  <c r="F7710" i="1"/>
  <c r="B7711" i="1"/>
  <c r="A7711" i="1"/>
  <c r="F7711" i="1"/>
  <c r="B7712" i="1"/>
  <c r="A7712" i="1"/>
  <c r="F7712" i="1"/>
  <c r="B7713" i="1"/>
  <c r="A7713" i="1"/>
  <c r="F7713" i="1"/>
  <c r="B7714" i="1"/>
  <c r="A7714" i="1"/>
  <c r="F7714" i="1"/>
  <c r="B7715" i="1"/>
  <c r="A7715" i="1"/>
  <c r="F7715" i="1"/>
  <c r="B7716" i="1"/>
  <c r="A7716" i="1"/>
  <c r="F7716" i="1"/>
  <c r="B7717" i="1"/>
  <c r="A7717" i="1"/>
  <c r="F7717" i="1"/>
  <c r="B7718" i="1"/>
  <c r="A7718" i="1"/>
  <c r="F7718" i="1"/>
  <c r="B7719" i="1"/>
  <c r="A7719" i="1"/>
  <c r="F7719" i="1"/>
  <c r="B7720" i="1"/>
  <c r="A7720" i="1"/>
  <c r="F7720" i="1"/>
  <c r="B7721" i="1"/>
  <c r="A7721" i="1"/>
  <c r="F7721" i="1"/>
  <c r="B7722" i="1"/>
  <c r="A7722" i="1"/>
  <c r="F7722" i="1"/>
  <c r="B7723" i="1"/>
  <c r="A7723" i="1"/>
  <c r="F7723" i="1"/>
  <c r="B7724" i="1"/>
  <c r="A7724" i="1"/>
  <c r="F7724" i="1"/>
  <c r="B7725" i="1"/>
  <c r="A7725" i="1"/>
  <c r="F7725" i="1"/>
  <c r="B7726" i="1"/>
  <c r="A7726" i="1"/>
  <c r="F7726" i="1"/>
  <c r="B7727" i="1"/>
  <c r="A7727" i="1"/>
  <c r="F7727" i="1"/>
  <c r="B7728" i="1"/>
  <c r="A7728" i="1"/>
  <c r="F7728" i="1"/>
  <c r="B7729" i="1"/>
  <c r="A7729" i="1"/>
  <c r="F7729" i="1"/>
  <c r="B7730" i="1"/>
  <c r="A7730" i="1"/>
  <c r="F7730" i="1"/>
  <c r="B7731" i="1"/>
  <c r="A7731" i="1"/>
  <c r="F7731" i="1"/>
  <c r="B7732" i="1"/>
  <c r="A7732" i="1"/>
  <c r="F7732" i="1"/>
  <c r="B7733" i="1"/>
  <c r="A7733" i="1"/>
  <c r="F7733" i="1"/>
  <c r="B7734" i="1"/>
  <c r="A7734" i="1"/>
  <c r="F7734" i="1"/>
  <c r="B7735" i="1"/>
  <c r="A7735" i="1"/>
  <c r="F7735" i="1"/>
  <c r="B7736" i="1"/>
  <c r="A7736" i="1"/>
  <c r="F7736" i="1"/>
  <c r="B7737" i="1"/>
  <c r="A7737" i="1"/>
  <c r="F7737" i="1"/>
  <c r="B7738" i="1"/>
  <c r="A7738" i="1"/>
  <c r="F7738" i="1"/>
  <c r="B7739" i="1"/>
  <c r="A7739" i="1"/>
  <c r="F7739" i="1"/>
  <c r="B7740" i="1"/>
  <c r="A7740" i="1"/>
  <c r="F7740" i="1"/>
  <c r="B7741" i="1"/>
  <c r="A7741" i="1"/>
  <c r="F7741" i="1"/>
  <c r="B7742" i="1"/>
  <c r="A7742" i="1"/>
  <c r="F7742" i="1"/>
  <c r="B7743" i="1"/>
  <c r="A7743" i="1"/>
  <c r="F7743" i="1"/>
  <c r="B7744" i="1"/>
  <c r="A7744" i="1"/>
  <c r="F7744" i="1"/>
  <c r="B7745" i="1"/>
  <c r="A7745" i="1"/>
  <c r="F7745" i="1"/>
  <c r="B7746" i="1"/>
  <c r="A7746" i="1"/>
  <c r="F7746" i="1"/>
  <c r="B7747" i="1"/>
  <c r="A7747" i="1"/>
  <c r="F7747" i="1"/>
  <c r="B7748" i="1"/>
  <c r="A7748" i="1"/>
  <c r="F7748" i="1"/>
  <c r="B7749" i="1"/>
  <c r="A7749" i="1"/>
  <c r="F7749" i="1"/>
  <c r="B7750" i="1"/>
  <c r="A7750" i="1"/>
  <c r="F7750" i="1"/>
  <c r="B7751" i="1"/>
  <c r="A7751" i="1"/>
  <c r="F7751" i="1"/>
  <c r="B7752" i="1"/>
  <c r="A7752" i="1"/>
  <c r="F7752" i="1"/>
  <c r="B7753" i="1"/>
  <c r="A7753" i="1"/>
  <c r="F7753" i="1"/>
  <c r="B7754" i="1"/>
  <c r="A7754" i="1"/>
  <c r="F7754" i="1"/>
  <c r="B7755" i="1"/>
  <c r="A7755" i="1"/>
  <c r="F7755" i="1"/>
  <c r="B7756" i="1"/>
  <c r="A7756" i="1"/>
  <c r="F7756" i="1"/>
  <c r="B7757" i="1"/>
  <c r="A7757" i="1"/>
  <c r="F7757" i="1"/>
  <c r="B7758" i="1"/>
  <c r="A7758" i="1"/>
  <c r="F7758" i="1"/>
  <c r="B7759" i="1"/>
  <c r="A7759" i="1"/>
  <c r="F7759" i="1"/>
  <c r="B7760" i="1"/>
  <c r="A7760" i="1"/>
  <c r="F7760" i="1"/>
  <c r="B7761" i="1"/>
  <c r="A7761" i="1"/>
  <c r="F7761" i="1"/>
  <c r="B7762" i="1"/>
  <c r="A7762" i="1"/>
  <c r="F7762" i="1"/>
  <c r="B7763" i="1"/>
  <c r="A7763" i="1"/>
  <c r="F7763" i="1"/>
  <c r="B7764" i="1"/>
  <c r="A7764" i="1"/>
  <c r="F7764" i="1"/>
  <c r="B7765" i="1"/>
  <c r="A7765" i="1"/>
  <c r="F7765" i="1"/>
  <c r="B7766" i="1"/>
  <c r="A7766" i="1"/>
  <c r="F7766" i="1"/>
  <c r="B7767" i="1"/>
  <c r="A7767" i="1"/>
  <c r="F7767" i="1"/>
  <c r="B7768" i="1"/>
  <c r="A7768" i="1"/>
  <c r="F7768" i="1"/>
  <c r="B7769" i="1"/>
  <c r="A7769" i="1"/>
  <c r="F7769" i="1"/>
  <c r="B7770" i="1"/>
  <c r="A7770" i="1"/>
  <c r="F7770" i="1"/>
  <c r="B7771" i="1"/>
  <c r="A7771" i="1"/>
  <c r="F7771" i="1"/>
  <c r="B7772" i="1"/>
  <c r="A7772" i="1"/>
  <c r="F7772" i="1"/>
  <c r="B7773" i="1"/>
  <c r="A7773" i="1"/>
  <c r="F7773" i="1"/>
  <c r="B7774" i="1"/>
  <c r="A7774" i="1"/>
  <c r="F7774" i="1"/>
  <c r="B7775" i="1"/>
  <c r="A7775" i="1"/>
  <c r="F7775" i="1"/>
  <c r="B7776" i="1"/>
  <c r="A7776" i="1"/>
  <c r="F7776" i="1"/>
  <c r="B7777" i="1"/>
  <c r="A7777" i="1"/>
  <c r="F7777" i="1"/>
  <c r="B7778" i="1"/>
  <c r="A7778" i="1"/>
  <c r="F7778" i="1"/>
  <c r="B7779" i="1"/>
  <c r="A7779" i="1"/>
  <c r="F7779" i="1"/>
  <c r="B7780" i="1"/>
  <c r="A7780" i="1"/>
  <c r="F7780" i="1"/>
  <c r="B7781" i="1"/>
  <c r="A7781" i="1"/>
  <c r="F7781" i="1"/>
  <c r="B7782" i="1"/>
  <c r="A7782" i="1"/>
  <c r="F7782" i="1"/>
  <c r="B7783" i="1"/>
  <c r="A7783" i="1"/>
  <c r="F7783" i="1"/>
  <c r="B7784" i="1"/>
  <c r="A7784" i="1"/>
  <c r="F7784" i="1"/>
  <c r="B7785" i="1"/>
  <c r="A7785" i="1"/>
  <c r="F7785" i="1"/>
  <c r="B7786" i="1"/>
  <c r="A7786" i="1"/>
  <c r="F7786" i="1"/>
  <c r="B7787" i="1"/>
  <c r="A7787" i="1"/>
  <c r="F7787" i="1"/>
  <c r="B7788" i="1"/>
  <c r="A7788" i="1"/>
  <c r="F7788" i="1"/>
  <c r="B7789" i="1"/>
  <c r="A7789" i="1"/>
  <c r="F7789" i="1"/>
  <c r="B7790" i="1"/>
  <c r="A7790" i="1"/>
  <c r="F7790" i="1"/>
  <c r="B7791" i="1"/>
  <c r="A7791" i="1"/>
  <c r="F7791" i="1"/>
  <c r="B7792" i="1"/>
  <c r="A7792" i="1"/>
  <c r="F7792" i="1"/>
  <c r="B7793" i="1"/>
  <c r="A7793" i="1"/>
  <c r="F7793" i="1"/>
  <c r="B7794" i="1"/>
  <c r="A7794" i="1"/>
  <c r="F7794" i="1"/>
  <c r="B7795" i="1"/>
  <c r="A7795" i="1"/>
  <c r="F7795" i="1"/>
  <c r="B7796" i="1"/>
  <c r="A7796" i="1"/>
  <c r="F7796" i="1"/>
  <c r="B7797" i="1"/>
  <c r="A7797" i="1"/>
  <c r="F7797" i="1"/>
  <c r="B7798" i="1"/>
  <c r="A7798" i="1"/>
  <c r="F7798" i="1"/>
  <c r="B7799" i="1"/>
  <c r="A7799" i="1"/>
  <c r="F7799" i="1"/>
  <c r="B7800" i="1"/>
  <c r="A7800" i="1"/>
  <c r="F7800" i="1"/>
  <c r="B7801" i="1"/>
  <c r="A7801" i="1"/>
  <c r="F7801" i="1"/>
  <c r="B7802" i="1"/>
  <c r="A7802" i="1"/>
  <c r="F7802" i="1"/>
  <c r="B7803" i="1"/>
  <c r="A7803" i="1"/>
  <c r="F7803" i="1"/>
  <c r="B7804" i="1"/>
  <c r="A7804" i="1"/>
  <c r="F7804" i="1"/>
  <c r="B7805" i="1"/>
  <c r="A7805" i="1"/>
  <c r="F7805" i="1"/>
  <c r="B7806" i="1"/>
  <c r="A7806" i="1"/>
  <c r="F7806" i="1"/>
  <c r="B7807" i="1"/>
  <c r="A7807" i="1"/>
  <c r="F7807" i="1"/>
  <c r="B7808" i="1"/>
  <c r="A7808" i="1"/>
  <c r="F7808" i="1"/>
  <c r="B7809" i="1"/>
  <c r="A7809" i="1"/>
  <c r="F7809" i="1"/>
  <c r="B7810" i="1"/>
  <c r="A7810" i="1"/>
  <c r="F7810" i="1"/>
  <c r="B7811" i="1"/>
  <c r="A7811" i="1"/>
  <c r="F7811" i="1"/>
  <c r="B7812" i="1"/>
  <c r="A7812" i="1"/>
  <c r="F7812" i="1"/>
  <c r="B7813" i="1"/>
  <c r="A7813" i="1"/>
  <c r="F7813" i="1"/>
  <c r="B7814" i="1"/>
  <c r="A7814" i="1"/>
  <c r="F7814" i="1"/>
  <c r="B7815" i="1"/>
  <c r="A7815" i="1"/>
  <c r="F7815" i="1"/>
  <c r="B7816" i="1"/>
  <c r="A7816" i="1"/>
  <c r="F7816" i="1"/>
  <c r="B7817" i="1"/>
  <c r="A7817" i="1"/>
  <c r="F7817" i="1"/>
  <c r="B7818" i="1"/>
  <c r="A7818" i="1"/>
  <c r="F7818" i="1"/>
  <c r="B7819" i="1"/>
  <c r="A7819" i="1"/>
  <c r="F7819" i="1"/>
  <c r="B7820" i="1"/>
  <c r="A7820" i="1"/>
  <c r="F7820" i="1"/>
  <c r="B7821" i="1"/>
  <c r="A7821" i="1"/>
  <c r="F7821" i="1"/>
  <c r="B7822" i="1"/>
  <c r="A7822" i="1"/>
  <c r="F7822" i="1"/>
  <c r="B7823" i="1"/>
  <c r="A7823" i="1"/>
  <c r="F7823" i="1"/>
  <c r="B7824" i="1"/>
  <c r="A7824" i="1"/>
  <c r="F7824" i="1"/>
  <c r="B7825" i="1"/>
  <c r="A7825" i="1"/>
  <c r="F7825" i="1"/>
  <c r="B7826" i="1"/>
  <c r="A7826" i="1"/>
  <c r="F7826" i="1"/>
  <c r="B7827" i="1"/>
  <c r="A7827" i="1"/>
  <c r="F7827" i="1"/>
  <c r="B7828" i="1"/>
  <c r="A7828" i="1"/>
  <c r="F7828" i="1"/>
  <c r="B7829" i="1"/>
  <c r="A7829" i="1"/>
  <c r="F7829" i="1"/>
  <c r="B7830" i="1"/>
  <c r="A7830" i="1"/>
  <c r="F7830" i="1"/>
  <c r="B7831" i="1"/>
  <c r="A7831" i="1"/>
  <c r="F7831" i="1"/>
  <c r="B7832" i="1"/>
  <c r="A7832" i="1"/>
  <c r="F7832" i="1"/>
  <c r="B7833" i="1"/>
  <c r="A7833" i="1"/>
  <c r="F7833" i="1"/>
  <c r="B7834" i="1"/>
  <c r="A7834" i="1"/>
  <c r="F7834" i="1"/>
  <c r="B7835" i="1"/>
  <c r="A7835" i="1"/>
  <c r="F7835" i="1"/>
  <c r="B7836" i="1"/>
  <c r="A7836" i="1"/>
  <c r="F7836" i="1"/>
  <c r="B7837" i="1"/>
  <c r="A7837" i="1"/>
  <c r="F7837" i="1"/>
  <c r="B7838" i="1"/>
  <c r="A7838" i="1"/>
  <c r="F7838" i="1"/>
  <c r="B7839" i="1"/>
  <c r="A7839" i="1"/>
  <c r="F7839" i="1"/>
  <c r="B7840" i="1"/>
  <c r="A7840" i="1"/>
  <c r="F7840" i="1"/>
  <c r="B7841" i="1"/>
  <c r="A7841" i="1"/>
  <c r="F7841" i="1"/>
  <c r="B7842" i="1"/>
  <c r="A7842" i="1"/>
  <c r="F7842" i="1"/>
  <c r="B7843" i="1"/>
  <c r="A7843" i="1"/>
  <c r="F7843" i="1"/>
  <c r="B7844" i="1"/>
  <c r="A7844" i="1"/>
  <c r="F7844" i="1"/>
  <c r="B7845" i="1"/>
  <c r="A7845" i="1"/>
  <c r="F7845" i="1"/>
  <c r="B7846" i="1"/>
  <c r="A7846" i="1"/>
  <c r="F7846" i="1"/>
  <c r="B7847" i="1"/>
  <c r="A7847" i="1"/>
  <c r="F7847" i="1"/>
  <c r="B7848" i="1"/>
  <c r="A7848" i="1"/>
  <c r="F7848" i="1"/>
  <c r="B7849" i="1"/>
  <c r="A7849" i="1"/>
  <c r="F7849" i="1"/>
  <c r="B7850" i="1"/>
  <c r="A7850" i="1"/>
  <c r="F7850" i="1"/>
  <c r="B7851" i="1"/>
  <c r="A7851" i="1"/>
  <c r="F7851" i="1"/>
  <c r="B7852" i="1"/>
  <c r="A7852" i="1"/>
  <c r="F7852" i="1"/>
  <c r="B7853" i="1"/>
  <c r="A7853" i="1"/>
  <c r="F7853" i="1"/>
  <c r="B7854" i="1"/>
  <c r="A7854" i="1"/>
  <c r="F7854" i="1"/>
  <c r="B7855" i="1"/>
  <c r="A7855" i="1"/>
  <c r="F7855" i="1"/>
  <c r="B7856" i="1"/>
  <c r="A7856" i="1"/>
  <c r="F7856" i="1"/>
  <c r="B7857" i="1"/>
  <c r="A7857" i="1"/>
  <c r="F7857" i="1"/>
  <c r="B7858" i="1"/>
  <c r="A7858" i="1"/>
  <c r="F7858" i="1"/>
  <c r="B7859" i="1"/>
  <c r="A7859" i="1"/>
  <c r="F7859" i="1"/>
  <c r="B7860" i="1"/>
  <c r="A7860" i="1"/>
  <c r="F7860" i="1"/>
  <c r="B7861" i="1"/>
  <c r="A7861" i="1"/>
  <c r="F7861" i="1"/>
  <c r="B7862" i="1"/>
  <c r="A7862" i="1"/>
  <c r="F7862" i="1"/>
  <c r="B7863" i="1"/>
  <c r="A7863" i="1"/>
  <c r="F7863" i="1"/>
  <c r="B7864" i="1"/>
  <c r="A7864" i="1"/>
  <c r="F7864" i="1"/>
  <c r="B7865" i="1"/>
  <c r="A7865" i="1"/>
  <c r="F7865" i="1"/>
  <c r="B7866" i="1"/>
  <c r="A7866" i="1"/>
  <c r="F7866" i="1"/>
  <c r="B7867" i="1"/>
  <c r="A7867" i="1"/>
  <c r="F7867" i="1"/>
  <c r="B7868" i="1"/>
  <c r="A7868" i="1"/>
  <c r="F7868" i="1"/>
  <c r="B7869" i="1"/>
  <c r="A7869" i="1"/>
  <c r="F7869" i="1"/>
  <c r="B7870" i="1"/>
  <c r="A7870" i="1"/>
  <c r="F7870" i="1"/>
  <c r="B7871" i="1"/>
  <c r="A7871" i="1"/>
  <c r="F7871" i="1"/>
  <c r="B7872" i="1"/>
  <c r="A7872" i="1"/>
  <c r="F7872" i="1"/>
  <c r="B7873" i="1"/>
  <c r="A7873" i="1"/>
  <c r="F7873" i="1"/>
  <c r="B7874" i="1"/>
  <c r="A7874" i="1"/>
  <c r="F7874" i="1"/>
  <c r="B7875" i="1"/>
  <c r="A7875" i="1"/>
  <c r="F7875" i="1"/>
  <c r="B7876" i="1"/>
  <c r="A7876" i="1"/>
  <c r="F7876" i="1"/>
  <c r="B7877" i="1"/>
  <c r="A7877" i="1"/>
  <c r="F7877" i="1"/>
  <c r="B7878" i="1"/>
  <c r="A7878" i="1"/>
  <c r="F7878" i="1"/>
  <c r="B7879" i="1"/>
  <c r="A7879" i="1"/>
  <c r="F7879" i="1"/>
  <c r="B7880" i="1"/>
  <c r="A7880" i="1"/>
  <c r="F7880" i="1"/>
  <c r="B7881" i="1"/>
  <c r="A7881" i="1"/>
  <c r="F7881" i="1"/>
  <c r="B7882" i="1"/>
  <c r="A7882" i="1"/>
  <c r="F7882" i="1"/>
  <c r="B7883" i="1"/>
  <c r="A7883" i="1"/>
  <c r="F7883" i="1"/>
  <c r="B7884" i="1"/>
  <c r="A7884" i="1"/>
  <c r="F7884" i="1"/>
  <c r="B7885" i="1"/>
  <c r="A7885" i="1"/>
  <c r="F7885" i="1"/>
  <c r="B7886" i="1"/>
  <c r="A7886" i="1"/>
  <c r="F7886" i="1"/>
  <c r="B7887" i="1"/>
  <c r="A7887" i="1"/>
  <c r="F7887" i="1"/>
  <c r="B7888" i="1"/>
  <c r="A7888" i="1"/>
  <c r="F7888" i="1"/>
  <c r="B7889" i="1"/>
  <c r="A7889" i="1"/>
  <c r="F7889" i="1"/>
  <c r="B7890" i="1"/>
  <c r="A7890" i="1"/>
  <c r="F7890" i="1"/>
  <c r="B7891" i="1"/>
  <c r="A7891" i="1"/>
  <c r="F7891" i="1"/>
  <c r="B7892" i="1"/>
  <c r="A7892" i="1"/>
  <c r="F7892" i="1"/>
  <c r="B7893" i="1"/>
  <c r="A7893" i="1"/>
  <c r="F7893" i="1"/>
  <c r="B7894" i="1"/>
  <c r="A7894" i="1"/>
  <c r="F7894" i="1"/>
  <c r="B7895" i="1"/>
  <c r="A7895" i="1"/>
  <c r="F7895" i="1"/>
  <c r="B7896" i="1"/>
  <c r="A7896" i="1"/>
  <c r="F7896" i="1"/>
  <c r="B7897" i="1"/>
  <c r="A7897" i="1"/>
  <c r="F7897" i="1"/>
  <c r="B7898" i="1"/>
  <c r="A7898" i="1"/>
  <c r="F7898" i="1"/>
  <c r="B7899" i="1"/>
  <c r="A7899" i="1"/>
  <c r="F7899" i="1"/>
  <c r="B7900" i="1"/>
  <c r="A7900" i="1"/>
  <c r="F7900" i="1"/>
  <c r="B7901" i="1"/>
  <c r="A7901" i="1"/>
  <c r="F7901" i="1"/>
  <c r="B7902" i="1"/>
  <c r="A7902" i="1"/>
  <c r="F7902" i="1"/>
  <c r="B7903" i="1"/>
  <c r="A7903" i="1"/>
  <c r="F7903" i="1"/>
  <c r="B7904" i="1"/>
  <c r="A7904" i="1"/>
  <c r="F7904" i="1"/>
  <c r="B7905" i="1"/>
  <c r="A7905" i="1"/>
  <c r="F7905" i="1"/>
  <c r="B7906" i="1"/>
  <c r="A7906" i="1"/>
  <c r="F7906" i="1"/>
  <c r="B7907" i="1"/>
  <c r="A7907" i="1"/>
  <c r="F7907" i="1"/>
  <c r="B7908" i="1"/>
  <c r="A7908" i="1"/>
  <c r="F7908" i="1"/>
  <c r="B7909" i="1"/>
  <c r="A7909" i="1"/>
  <c r="F7909" i="1"/>
  <c r="B7910" i="1"/>
  <c r="A7910" i="1"/>
  <c r="F7910" i="1"/>
  <c r="B7911" i="1"/>
  <c r="A7911" i="1"/>
  <c r="F7911" i="1"/>
  <c r="B7912" i="1"/>
  <c r="A7912" i="1"/>
  <c r="F7912" i="1"/>
  <c r="B7913" i="1"/>
  <c r="A7913" i="1"/>
  <c r="F7913" i="1"/>
  <c r="B7914" i="1"/>
  <c r="A7914" i="1"/>
  <c r="F7914" i="1"/>
  <c r="B7915" i="1"/>
  <c r="A7915" i="1"/>
  <c r="F7915" i="1"/>
  <c r="B7916" i="1"/>
  <c r="A7916" i="1"/>
  <c r="F7916" i="1"/>
  <c r="B7917" i="1"/>
  <c r="A7917" i="1"/>
  <c r="F7917" i="1"/>
  <c r="B7918" i="1"/>
  <c r="A7918" i="1"/>
  <c r="F7918" i="1"/>
  <c r="B7919" i="1"/>
  <c r="A7919" i="1"/>
  <c r="F7919" i="1"/>
  <c r="B7920" i="1"/>
  <c r="A7920" i="1"/>
  <c r="F7920" i="1"/>
  <c r="B7921" i="1"/>
  <c r="A7921" i="1"/>
  <c r="F7921" i="1"/>
  <c r="B7922" i="1"/>
  <c r="A7922" i="1"/>
  <c r="F7922" i="1"/>
  <c r="B7923" i="1"/>
  <c r="A7923" i="1"/>
  <c r="F7923" i="1"/>
  <c r="B7924" i="1"/>
  <c r="A7924" i="1"/>
  <c r="F7924" i="1"/>
  <c r="B7925" i="1"/>
  <c r="A7925" i="1"/>
  <c r="F7925" i="1"/>
  <c r="B7926" i="1"/>
  <c r="A7926" i="1"/>
  <c r="F7926" i="1"/>
  <c r="B7927" i="1"/>
  <c r="A7927" i="1"/>
  <c r="F7927" i="1"/>
  <c r="B7928" i="1"/>
  <c r="A7928" i="1"/>
  <c r="F7928" i="1"/>
  <c r="B7929" i="1"/>
  <c r="A7929" i="1"/>
  <c r="F7929" i="1"/>
  <c r="B7930" i="1"/>
  <c r="A7930" i="1"/>
  <c r="F7930" i="1"/>
  <c r="B7931" i="1"/>
  <c r="A7931" i="1"/>
  <c r="F7931" i="1"/>
  <c r="B7932" i="1"/>
  <c r="A7932" i="1"/>
  <c r="F7932" i="1"/>
  <c r="B7933" i="1"/>
  <c r="A7933" i="1"/>
  <c r="F7933" i="1"/>
  <c r="B7934" i="1"/>
  <c r="A7934" i="1"/>
  <c r="F7934" i="1"/>
  <c r="B7935" i="1"/>
  <c r="A7935" i="1"/>
  <c r="F7935" i="1"/>
  <c r="B7936" i="1"/>
  <c r="A7936" i="1"/>
  <c r="F7936" i="1"/>
  <c r="B7937" i="1"/>
  <c r="A7937" i="1"/>
  <c r="F7937" i="1"/>
  <c r="B7938" i="1"/>
  <c r="A7938" i="1"/>
  <c r="F7938" i="1"/>
  <c r="B7939" i="1"/>
  <c r="A7939" i="1"/>
  <c r="F7939" i="1"/>
  <c r="B7940" i="1"/>
  <c r="A7940" i="1"/>
  <c r="F7940" i="1"/>
  <c r="B7941" i="1"/>
  <c r="A7941" i="1"/>
  <c r="F7941" i="1"/>
  <c r="B7942" i="1"/>
  <c r="A7942" i="1"/>
  <c r="F7942" i="1"/>
  <c r="B7943" i="1"/>
  <c r="A7943" i="1"/>
  <c r="F7943" i="1"/>
  <c r="B7944" i="1"/>
  <c r="A7944" i="1"/>
  <c r="F7944" i="1"/>
  <c r="B7945" i="1"/>
  <c r="A7945" i="1"/>
  <c r="F7945" i="1"/>
  <c r="B7946" i="1"/>
  <c r="A7946" i="1"/>
  <c r="F7946" i="1"/>
  <c r="B7947" i="1"/>
  <c r="A7947" i="1"/>
  <c r="F7947" i="1"/>
  <c r="B7948" i="1"/>
  <c r="A7948" i="1"/>
  <c r="F7948" i="1"/>
  <c r="B7949" i="1"/>
  <c r="A7949" i="1"/>
  <c r="F7949" i="1"/>
  <c r="B7950" i="1"/>
  <c r="A7950" i="1"/>
  <c r="F7950" i="1"/>
  <c r="B7951" i="1"/>
  <c r="A7951" i="1"/>
  <c r="F7951" i="1"/>
  <c r="B7952" i="1"/>
  <c r="A7952" i="1"/>
  <c r="F7952" i="1"/>
  <c r="B7953" i="1"/>
  <c r="A7953" i="1"/>
  <c r="F7953" i="1"/>
  <c r="B7954" i="1"/>
  <c r="A7954" i="1"/>
  <c r="F7954" i="1"/>
  <c r="B7955" i="1"/>
  <c r="A7955" i="1"/>
  <c r="F7955" i="1"/>
  <c r="B7956" i="1"/>
  <c r="A7956" i="1"/>
  <c r="F7956" i="1"/>
  <c r="B7957" i="1"/>
  <c r="A7957" i="1"/>
  <c r="F7957" i="1"/>
  <c r="B7958" i="1"/>
  <c r="A7958" i="1"/>
  <c r="F7958" i="1"/>
  <c r="B7959" i="1"/>
  <c r="A7959" i="1"/>
  <c r="F7959" i="1"/>
  <c r="B7960" i="1"/>
  <c r="A7960" i="1"/>
  <c r="F7960" i="1"/>
  <c r="B7961" i="1"/>
  <c r="A7961" i="1"/>
  <c r="F7961" i="1"/>
  <c r="B7962" i="1"/>
  <c r="A7962" i="1"/>
  <c r="F7962" i="1"/>
  <c r="B7963" i="1"/>
  <c r="A7963" i="1"/>
  <c r="F7963" i="1"/>
  <c r="B7964" i="1"/>
  <c r="A7964" i="1"/>
  <c r="F7964" i="1"/>
  <c r="B7965" i="1"/>
  <c r="A7965" i="1"/>
  <c r="F7965" i="1"/>
  <c r="B7966" i="1"/>
  <c r="A7966" i="1"/>
  <c r="F7966" i="1"/>
  <c r="B7967" i="1"/>
  <c r="A7967" i="1"/>
  <c r="F7967" i="1"/>
  <c r="B7968" i="1"/>
  <c r="A7968" i="1"/>
  <c r="F7968" i="1"/>
  <c r="B7969" i="1"/>
  <c r="A7969" i="1"/>
  <c r="F7969" i="1"/>
  <c r="B7970" i="1"/>
  <c r="A7970" i="1"/>
  <c r="F7970" i="1"/>
  <c r="B7971" i="1"/>
  <c r="A7971" i="1"/>
  <c r="F7971" i="1"/>
  <c r="B7972" i="1"/>
  <c r="A7972" i="1"/>
  <c r="F7972" i="1"/>
  <c r="B7973" i="1"/>
  <c r="A7973" i="1"/>
  <c r="F7973" i="1"/>
  <c r="B7974" i="1"/>
  <c r="A7974" i="1"/>
  <c r="F7974" i="1"/>
  <c r="B7975" i="1"/>
  <c r="A7975" i="1"/>
  <c r="F7975" i="1"/>
  <c r="B7976" i="1"/>
  <c r="A7976" i="1"/>
  <c r="F7976" i="1"/>
  <c r="B7977" i="1"/>
  <c r="A7977" i="1"/>
  <c r="F7977" i="1"/>
  <c r="B7978" i="1"/>
  <c r="A7978" i="1"/>
  <c r="F7978" i="1"/>
  <c r="B7979" i="1"/>
  <c r="A7979" i="1"/>
  <c r="F7979" i="1"/>
  <c r="B7980" i="1"/>
  <c r="A7980" i="1"/>
  <c r="F7980" i="1"/>
  <c r="B7981" i="1"/>
  <c r="A7981" i="1"/>
  <c r="F7981" i="1"/>
  <c r="B7982" i="1"/>
  <c r="A7982" i="1"/>
  <c r="F7982" i="1"/>
  <c r="B7983" i="1"/>
  <c r="A7983" i="1"/>
  <c r="F7983" i="1"/>
  <c r="B7984" i="1"/>
  <c r="A7984" i="1"/>
  <c r="F7984" i="1"/>
  <c r="B7985" i="1"/>
  <c r="A7985" i="1"/>
  <c r="F7985" i="1"/>
  <c r="B7986" i="1"/>
  <c r="A7986" i="1"/>
  <c r="F7986" i="1"/>
  <c r="B7987" i="1"/>
  <c r="A7987" i="1"/>
  <c r="F7987" i="1"/>
  <c r="B7988" i="1"/>
  <c r="A7988" i="1"/>
  <c r="F7988" i="1"/>
  <c r="B7989" i="1"/>
  <c r="A7989" i="1"/>
  <c r="F7989" i="1"/>
  <c r="B7990" i="1"/>
  <c r="A7990" i="1"/>
  <c r="F7990" i="1"/>
  <c r="B7991" i="1"/>
  <c r="A7991" i="1"/>
  <c r="F7991" i="1"/>
  <c r="B7992" i="1"/>
  <c r="A7992" i="1"/>
  <c r="F7992" i="1"/>
  <c r="B7993" i="1"/>
  <c r="A7993" i="1"/>
  <c r="F7993" i="1"/>
  <c r="B7994" i="1"/>
  <c r="A7994" i="1"/>
  <c r="F7994" i="1"/>
  <c r="B7995" i="1"/>
  <c r="A7995" i="1"/>
  <c r="F7995" i="1"/>
  <c r="B7996" i="1"/>
  <c r="A7996" i="1"/>
  <c r="F7996" i="1"/>
  <c r="B7997" i="1"/>
  <c r="A7997" i="1"/>
  <c r="F7997" i="1"/>
  <c r="B7998" i="1"/>
  <c r="A7998" i="1"/>
  <c r="F7998" i="1"/>
  <c r="B7999" i="1"/>
  <c r="A7999" i="1"/>
  <c r="F7999" i="1"/>
  <c r="B8000" i="1"/>
  <c r="A8000" i="1"/>
  <c r="F8000" i="1"/>
  <c r="B8001" i="1"/>
  <c r="A8001" i="1"/>
  <c r="F8001" i="1"/>
  <c r="B8002" i="1"/>
  <c r="A8002" i="1"/>
  <c r="F8002" i="1"/>
  <c r="B8003" i="1"/>
  <c r="A8003" i="1"/>
  <c r="F8003" i="1"/>
  <c r="B8004" i="1"/>
  <c r="A8004" i="1"/>
  <c r="F8004" i="1"/>
  <c r="B8005" i="1"/>
  <c r="A8005" i="1"/>
  <c r="F8005" i="1"/>
  <c r="B8006" i="1"/>
  <c r="A8006" i="1"/>
  <c r="F8006" i="1"/>
  <c r="B8007" i="1"/>
  <c r="A8007" i="1"/>
  <c r="F8007" i="1"/>
  <c r="B8008" i="1"/>
  <c r="A8008" i="1"/>
  <c r="F8008" i="1"/>
  <c r="B8009" i="1"/>
  <c r="A8009" i="1"/>
  <c r="F8009" i="1"/>
  <c r="B8010" i="1"/>
  <c r="A8010" i="1"/>
  <c r="F8010" i="1"/>
  <c r="B8011" i="1"/>
  <c r="A8011" i="1"/>
  <c r="F8011" i="1"/>
  <c r="B8012" i="1"/>
  <c r="A8012" i="1"/>
  <c r="F8012" i="1"/>
  <c r="B8013" i="1"/>
  <c r="A8013" i="1"/>
  <c r="F8013" i="1"/>
  <c r="B8014" i="1"/>
  <c r="A8014" i="1"/>
  <c r="F8014" i="1"/>
  <c r="B8015" i="1"/>
  <c r="A8015" i="1"/>
  <c r="F8015" i="1"/>
  <c r="B8016" i="1"/>
  <c r="A8016" i="1"/>
  <c r="F8016" i="1"/>
  <c r="B8017" i="1"/>
  <c r="A8017" i="1"/>
  <c r="F8017" i="1"/>
  <c r="B8018" i="1"/>
  <c r="A8018" i="1"/>
  <c r="F8018" i="1"/>
  <c r="B8019" i="1"/>
  <c r="A8019" i="1"/>
  <c r="F8019" i="1"/>
  <c r="B8020" i="1"/>
  <c r="A8020" i="1"/>
  <c r="F8020" i="1"/>
  <c r="B8021" i="1"/>
  <c r="A8021" i="1"/>
  <c r="F8021" i="1"/>
  <c r="B8022" i="1"/>
  <c r="A8022" i="1"/>
  <c r="F8022" i="1"/>
  <c r="B8023" i="1"/>
  <c r="A8023" i="1"/>
  <c r="F8023" i="1"/>
  <c r="B8024" i="1"/>
  <c r="A8024" i="1"/>
  <c r="F8024" i="1"/>
  <c r="B8025" i="1"/>
  <c r="A8025" i="1"/>
  <c r="F8025" i="1"/>
  <c r="B8026" i="1"/>
  <c r="A8026" i="1"/>
  <c r="F8026" i="1"/>
  <c r="B8027" i="1"/>
  <c r="A8027" i="1"/>
  <c r="F8027" i="1"/>
  <c r="B8028" i="1"/>
  <c r="A8028" i="1"/>
  <c r="F8028" i="1"/>
  <c r="B8029" i="1"/>
  <c r="A8029" i="1"/>
  <c r="F8029" i="1"/>
  <c r="B8030" i="1"/>
  <c r="A8030" i="1"/>
  <c r="F8030" i="1"/>
  <c r="B8031" i="1"/>
  <c r="A8031" i="1"/>
  <c r="F8031" i="1"/>
  <c r="B8032" i="1"/>
  <c r="A8032" i="1"/>
  <c r="F8032" i="1"/>
  <c r="B8033" i="1"/>
  <c r="A8033" i="1"/>
  <c r="F8033" i="1"/>
  <c r="B8034" i="1"/>
  <c r="A8034" i="1"/>
  <c r="F8034" i="1"/>
  <c r="B8035" i="1"/>
  <c r="A8035" i="1"/>
  <c r="F8035" i="1"/>
  <c r="B8036" i="1"/>
  <c r="A8036" i="1"/>
  <c r="F8036" i="1"/>
  <c r="B8037" i="1"/>
  <c r="A8037" i="1"/>
  <c r="F8037" i="1"/>
  <c r="B8038" i="1"/>
  <c r="A8038" i="1"/>
  <c r="F8038" i="1"/>
  <c r="B8039" i="1"/>
  <c r="A8039" i="1"/>
  <c r="F8039" i="1"/>
  <c r="B8040" i="1"/>
  <c r="A8040" i="1"/>
  <c r="F8040" i="1"/>
  <c r="B8041" i="1"/>
  <c r="A8041" i="1"/>
  <c r="F8041" i="1"/>
  <c r="B8042" i="1"/>
  <c r="A8042" i="1"/>
  <c r="F8042" i="1"/>
  <c r="B8043" i="1"/>
  <c r="A8043" i="1"/>
  <c r="F8043" i="1"/>
  <c r="B8044" i="1"/>
  <c r="A8044" i="1"/>
  <c r="F8044" i="1"/>
  <c r="B8045" i="1"/>
  <c r="A8045" i="1"/>
  <c r="F8045" i="1"/>
  <c r="B8046" i="1"/>
  <c r="A8046" i="1"/>
  <c r="F8046" i="1"/>
  <c r="B8047" i="1"/>
  <c r="A8047" i="1"/>
  <c r="F8047" i="1"/>
  <c r="B8048" i="1"/>
  <c r="A8048" i="1"/>
  <c r="F8048" i="1"/>
  <c r="B8049" i="1"/>
  <c r="A8049" i="1"/>
  <c r="F8049" i="1"/>
  <c r="B8050" i="1"/>
  <c r="A8050" i="1"/>
  <c r="F8050" i="1"/>
  <c r="B8051" i="1"/>
  <c r="A8051" i="1"/>
  <c r="F8051" i="1"/>
  <c r="B8052" i="1"/>
  <c r="A8052" i="1"/>
  <c r="F8052" i="1"/>
  <c r="B8053" i="1"/>
  <c r="A8053" i="1"/>
  <c r="F8053" i="1"/>
  <c r="B8054" i="1"/>
  <c r="A8054" i="1"/>
  <c r="F8054" i="1"/>
  <c r="B8055" i="1"/>
  <c r="A8055" i="1"/>
  <c r="F8055" i="1"/>
  <c r="B8056" i="1"/>
  <c r="A8056" i="1"/>
  <c r="F8056" i="1"/>
  <c r="B8057" i="1"/>
  <c r="A8057" i="1"/>
  <c r="F8057" i="1"/>
  <c r="B8058" i="1"/>
  <c r="A8058" i="1"/>
  <c r="F8058" i="1"/>
  <c r="B8059" i="1"/>
  <c r="A8059" i="1"/>
  <c r="F8059" i="1"/>
  <c r="B8060" i="1"/>
  <c r="A8060" i="1"/>
  <c r="F8060" i="1"/>
  <c r="B8061" i="1"/>
  <c r="A8061" i="1"/>
  <c r="F8061" i="1"/>
  <c r="B8062" i="1"/>
  <c r="A8062" i="1"/>
  <c r="F8062" i="1"/>
  <c r="B8063" i="1"/>
  <c r="A8063" i="1"/>
  <c r="F8063" i="1"/>
  <c r="B8064" i="1"/>
  <c r="A8064" i="1"/>
  <c r="F8064" i="1"/>
  <c r="B8065" i="1"/>
  <c r="A8065" i="1"/>
  <c r="F8065" i="1"/>
  <c r="B8066" i="1"/>
  <c r="A8066" i="1"/>
  <c r="F8066" i="1"/>
  <c r="B8067" i="1"/>
  <c r="A8067" i="1"/>
  <c r="F8067" i="1"/>
  <c r="B8068" i="1"/>
  <c r="A8068" i="1"/>
  <c r="F8068" i="1"/>
  <c r="B8069" i="1"/>
  <c r="A8069" i="1"/>
  <c r="F8069" i="1"/>
  <c r="B8070" i="1"/>
  <c r="A8070" i="1"/>
  <c r="F8070" i="1"/>
  <c r="B8071" i="1"/>
  <c r="A8071" i="1"/>
  <c r="F8071" i="1"/>
  <c r="B8072" i="1"/>
  <c r="A8072" i="1"/>
  <c r="F8072" i="1"/>
  <c r="B8073" i="1"/>
  <c r="A8073" i="1"/>
  <c r="F8073" i="1"/>
  <c r="B8074" i="1"/>
  <c r="A8074" i="1"/>
  <c r="F8074" i="1"/>
  <c r="B8075" i="1"/>
  <c r="A8075" i="1"/>
  <c r="F8075" i="1"/>
  <c r="B8076" i="1"/>
  <c r="A8076" i="1"/>
  <c r="F8076" i="1"/>
  <c r="B8077" i="1"/>
  <c r="A8077" i="1"/>
  <c r="F8077" i="1"/>
  <c r="B8078" i="1"/>
  <c r="A8078" i="1"/>
  <c r="F8078" i="1"/>
  <c r="B8079" i="1"/>
  <c r="A8079" i="1"/>
  <c r="F8079" i="1"/>
  <c r="B8080" i="1"/>
  <c r="A8080" i="1"/>
  <c r="F8080" i="1"/>
  <c r="B8081" i="1"/>
  <c r="A8081" i="1"/>
  <c r="F8081" i="1"/>
  <c r="B8082" i="1"/>
  <c r="A8082" i="1"/>
  <c r="F8082" i="1"/>
  <c r="B8083" i="1"/>
  <c r="A8083" i="1"/>
  <c r="F8083" i="1"/>
  <c r="B8084" i="1"/>
  <c r="A8084" i="1"/>
  <c r="F8084" i="1"/>
  <c r="B8085" i="1"/>
  <c r="A8085" i="1"/>
  <c r="F8085" i="1"/>
  <c r="B8086" i="1"/>
  <c r="A8086" i="1"/>
  <c r="F8086" i="1"/>
  <c r="B8087" i="1"/>
  <c r="A8087" i="1"/>
  <c r="F8087" i="1"/>
  <c r="B8088" i="1"/>
  <c r="A8088" i="1"/>
  <c r="F8088" i="1"/>
  <c r="B8089" i="1"/>
  <c r="A8089" i="1"/>
  <c r="F8089" i="1"/>
  <c r="B8090" i="1"/>
  <c r="A8090" i="1"/>
  <c r="F8090" i="1"/>
  <c r="B8091" i="1"/>
  <c r="A8091" i="1"/>
  <c r="F8091" i="1"/>
  <c r="B8092" i="1"/>
  <c r="A8092" i="1"/>
  <c r="F8092" i="1"/>
  <c r="B8093" i="1"/>
  <c r="A8093" i="1"/>
  <c r="F8093" i="1"/>
  <c r="B8094" i="1"/>
  <c r="A8094" i="1"/>
  <c r="F8094" i="1"/>
  <c r="B8095" i="1"/>
  <c r="A8095" i="1"/>
  <c r="F8095" i="1"/>
  <c r="B8096" i="1"/>
  <c r="A8096" i="1"/>
  <c r="F8096" i="1"/>
  <c r="B8097" i="1"/>
  <c r="A8097" i="1"/>
  <c r="F8097" i="1"/>
  <c r="B8098" i="1"/>
  <c r="A8098" i="1"/>
  <c r="F8098" i="1"/>
  <c r="B8099" i="1"/>
  <c r="A8099" i="1"/>
  <c r="F8099" i="1"/>
  <c r="B8100" i="1"/>
  <c r="A8100" i="1"/>
  <c r="F8100" i="1"/>
  <c r="B8101" i="1"/>
  <c r="A8101" i="1"/>
  <c r="F8101" i="1"/>
  <c r="B8102" i="1"/>
  <c r="A8102" i="1"/>
  <c r="F8102" i="1"/>
  <c r="B8103" i="1"/>
  <c r="A8103" i="1"/>
  <c r="F8103" i="1"/>
  <c r="B8104" i="1"/>
  <c r="A8104" i="1"/>
  <c r="F8104" i="1"/>
  <c r="B8105" i="1"/>
  <c r="A8105" i="1"/>
  <c r="F8105" i="1"/>
  <c r="B8106" i="1"/>
  <c r="A8106" i="1"/>
  <c r="F8106" i="1"/>
  <c r="B8107" i="1"/>
  <c r="A8107" i="1"/>
  <c r="F8107" i="1"/>
  <c r="B8108" i="1"/>
  <c r="A8108" i="1"/>
  <c r="F8108" i="1"/>
  <c r="B8109" i="1"/>
  <c r="A8109" i="1"/>
  <c r="F8109" i="1"/>
  <c r="B8110" i="1"/>
  <c r="A8110" i="1"/>
  <c r="F8110" i="1"/>
  <c r="B8111" i="1"/>
  <c r="A8111" i="1"/>
  <c r="F8111" i="1"/>
  <c r="B8112" i="1"/>
  <c r="A8112" i="1"/>
  <c r="F8112" i="1"/>
  <c r="B8113" i="1"/>
  <c r="A8113" i="1"/>
  <c r="F8113" i="1"/>
  <c r="B8114" i="1"/>
  <c r="A8114" i="1"/>
  <c r="F8114" i="1"/>
  <c r="B8115" i="1"/>
  <c r="A8115" i="1"/>
  <c r="F8115" i="1"/>
  <c r="B8116" i="1"/>
  <c r="A8116" i="1"/>
  <c r="F8116" i="1"/>
  <c r="B8117" i="1"/>
  <c r="A8117" i="1"/>
  <c r="F8117" i="1"/>
  <c r="B8118" i="1"/>
  <c r="A8118" i="1"/>
  <c r="F8118" i="1"/>
  <c r="B8119" i="1"/>
  <c r="A8119" i="1"/>
  <c r="F8119" i="1"/>
  <c r="B8120" i="1"/>
  <c r="A8120" i="1"/>
  <c r="F8120" i="1"/>
  <c r="B8121" i="1"/>
  <c r="A8121" i="1"/>
  <c r="F8121" i="1"/>
  <c r="B8122" i="1"/>
  <c r="A8122" i="1"/>
  <c r="F8122" i="1"/>
  <c r="B8123" i="1"/>
  <c r="A8123" i="1"/>
  <c r="F8123" i="1"/>
  <c r="B8124" i="1"/>
  <c r="A8124" i="1"/>
  <c r="F8124" i="1"/>
  <c r="B8125" i="1"/>
  <c r="A8125" i="1"/>
  <c r="F8125" i="1"/>
  <c r="B8126" i="1"/>
  <c r="A8126" i="1"/>
  <c r="F8126" i="1"/>
  <c r="B8127" i="1"/>
  <c r="A8127" i="1"/>
  <c r="F8127" i="1"/>
  <c r="B8128" i="1"/>
  <c r="A8128" i="1"/>
  <c r="F8128" i="1"/>
  <c r="B8129" i="1"/>
  <c r="A8129" i="1"/>
  <c r="F8129" i="1"/>
  <c r="B8130" i="1"/>
  <c r="A8130" i="1"/>
  <c r="F8130" i="1"/>
  <c r="B8131" i="1"/>
  <c r="A8131" i="1"/>
  <c r="F8131" i="1"/>
  <c r="B8132" i="1"/>
  <c r="A8132" i="1"/>
  <c r="F8132" i="1"/>
  <c r="B8133" i="1"/>
  <c r="A8133" i="1"/>
  <c r="F8133" i="1"/>
  <c r="B8134" i="1"/>
  <c r="A8134" i="1"/>
  <c r="F8134" i="1"/>
  <c r="B8135" i="1"/>
  <c r="A8135" i="1"/>
  <c r="F8135" i="1"/>
  <c r="B8136" i="1"/>
  <c r="A8136" i="1"/>
  <c r="F8136" i="1"/>
  <c r="B8137" i="1"/>
  <c r="A8137" i="1"/>
  <c r="F8137" i="1"/>
  <c r="B8138" i="1"/>
  <c r="A8138" i="1"/>
  <c r="F8138" i="1"/>
  <c r="B8139" i="1"/>
  <c r="A8139" i="1"/>
  <c r="F8139" i="1"/>
  <c r="B8140" i="1"/>
  <c r="A8140" i="1"/>
  <c r="F8140" i="1"/>
  <c r="B8141" i="1"/>
  <c r="A8141" i="1"/>
  <c r="F8141" i="1"/>
  <c r="B8142" i="1"/>
  <c r="A8142" i="1"/>
  <c r="F8142" i="1"/>
  <c r="B8143" i="1"/>
  <c r="A8143" i="1"/>
  <c r="F8143" i="1"/>
  <c r="B8144" i="1"/>
  <c r="A8144" i="1"/>
  <c r="F8144" i="1"/>
  <c r="B8145" i="1"/>
  <c r="A8145" i="1"/>
  <c r="F8145" i="1"/>
  <c r="B8146" i="1"/>
  <c r="A8146" i="1"/>
  <c r="F8146" i="1"/>
  <c r="B8147" i="1"/>
  <c r="A8147" i="1"/>
  <c r="F8147" i="1"/>
  <c r="B8148" i="1"/>
  <c r="A8148" i="1"/>
  <c r="F8148" i="1"/>
  <c r="B8149" i="1"/>
  <c r="A8149" i="1"/>
  <c r="F8149" i="1"/>
  <c r="B8150" i="1"/>
  <c r="A8150" i="1"/>
  <c r="F8150" i="1"/>
  <c r="B8151" i="1"/>
  <c r="A8151" i="1"/>
  <c r="F8151" i="1"/>
  <c r="B8152" i="1"/>
  <c r="A8152" i="1"/>
  <c r="F8152" i="1"/>
  <c r="B8153" i="1"/>
  <c r="A8153" i="1"/>
  <c r="F8153" i="1"/>
  <c r="B8154" i="1"/>
  <c r="A8154" i="1"/>
  <c r="F8154" i="1"/>
  <c r="B8155" i="1"/>
  <c r="A8155" i="1"/>
  <c r="F8155" i="1"/>
  <c r="B8156" i="1"/>
  <c r="A8156" i="1"/>
  <c r="F8156" i="1"/>
  <c r="B8157" i="1"/>
  <c r="A8157" i="1"/>
  <c r="F8157" i="1"/>
  <c r="B8158" i="1"/>
  <c r="A8158" i="1"/>
  <c r="F8158" i="1"/>
  <c r="B8159" i="1"/>
  <c r="A8159" i="1"/>
  <c r="F8159" i="1"/>
  <c r="B8160" i="1"/>
  <c r="A8160" i="1"/>
  <c r="F8160" i="1"/>
  <c r="B8161" i="1"/>
  <c r="A8161" i="1"/>
  <c r="F8161" i="1"/>
  <c r="B8162" i="1"/>
  <c r="A8162" i="1"/>
  <c r="F8162" i="1"/>
  <c r="B8163" i="1"/>
  <c r="A8163" i="1"/>
  <c r="F8163" i="1"/>
  <c r="B8164" i="1"/>
  <c r="A8164" i="1"/>
  <c r="F8164" i="1"/>
  <c r="B8165" i="1"/>
  <c r="A8165" i="1"/>
  <c r="F8165" i="1"/>
  <c r="B8166" i="1"/>
  <c r="A8166" i="1"/>
  <c r="F8166" i="1"/>
  <c r="B8167" i="1"/>
  <c r="A8167" i="1"/>
  <c r="F8167" i="1"/>
  <c r="B8168" i="1"/>
  <c r="A8168" i="1"/>
  <c r="F8168" i="1"/>
  <c r="B8169" i="1"/>
  <c r="A8169" i="1"/>
  <c r="F8169" i="1"/>
  <c r="B8170" i="1"/>
  <c r="A8170" i="1"/>
  <c r="F8170" i="1"/>
  <c r="B8171" i="1"/>
  <c r="A8171" i="1"/>
  <c r="F8171" i="1"/>
  <c r="B8172" i="1"/>
  <c r="A8172" i="1"/>
  <c r="F8172" i="1"/>
  <c r="B8173" i="1"/>
  <c r="A8173" i="1"/>
  <c r="F8173" i="1"/>
  <c r="B8174" i="1"/>
  <c r="A8174" i="1"/>
  <c r="F8174" i="1"/>
  <c r="B8175" i="1"/>
  <c r="A8175" i="1"/>
  <c r="F8175" i="1"/>
  <c r="B8176" i="1"/>
  <c r="A8176" i="1"/>
  <c r="F8176" i="1"/>
  <c r="B8177" i="1"/>
  <c r="A8177" i="1"/>
  <c r="F8177" i="1"/>
  <c r="B8178" i="1"/>
  <c r="A8178" i="1"/>
  <c r="F8178" i="1"/>
  <c r="B8179" i="1"/>
  <c r="A8179" i="1"/>
  <c r="F8179" i="1"/>
  <c r="B8180" i="1"/>
  <c r="A8180" i="1"/>
  <c r="F8180" i="1"/>
  <c r="B8181" i="1"/>
  <c r="A8181" i="1"/>
  <c r="F8181" i="1"/>
  <c r="B8182" i="1"/>
  <c r="A8182" i="1"/>
  <c r="F8182" i="1"/>
  <c r="B8183" i="1"/>
  <c r="A8183" i="1"/>
  <c r="F8183" i="1"/>
  <c r="B8184" i="1"/>
  <c r="A8184" i="1"/>
  <c r="F8184" i="1"/>
  <c r="B8185" i="1"/>
  <c r="A8185" i="1"/>
  <c r="F8185" i="1"/>
  <c r="B8186" i="1"/>
  <c r="A8186" i="1"/>
  <c r="F8186" i="1"/>
  <c r="B8187" i="1"/>
  <c r="A8187" i="1"/>
  <c r="F8187" i="1"/>
  <c r="B8188" i="1"/>
  <c r="A8188" i="1"/>
  <c r="F8188" i="1"/>
  <c r="B8189" i="1"/>
  <c r="A8189" i="1"/>
  <c r="F8189" i="1"/>
  <c r="B8190" i="1"/>
  <c r="A8190" i="1"/>
  <c r="F8190" i="1"/>
  <c r="B8191" i="1"/>
  <c r="A8191" i="1"/>
  <c r="F8191" i="1"/>
  <c r="B8192" i="1"/>
  <c r="A8192" i="1"/>
  <c r="F8192" i="1"/>
  <c r="B8193" i="1"/>
  <c r="A8193" i="1"/>
  <c r="F8193" i="1"/>
  <c r="B8194" i="1"/>
  <c r="A8194" i="1"/>
  <c r="F8194" i="1"/>
  <c r="B8195" i="1"/>
  <c r="A8195" i="1"/>
  <c r="F8195" i="1"/>
  <c r="B8196" i="1"/>
  <c r="A8196" i="1"/>
  <c r="F8196" i="1"/>
  <c r="B8197" i="1"/>
  <c r="A8197" i="1"/>
  <c r="F8197" i="1"/>
  <c r="B8198" i="1"/>
  <c r="A8198" i="1"/>
  <c r="F8198" i="1"/>
  <c r="B8199" i="1"/>
  <c r="A8199" i="1"/>
  <c r="F8199" i="1"/>
  <c r="B8200" i="1"/>
  <c r="A8200" i="1"/>
  <c r="F8200" i="1"/>
  <c r="B8201" i="1"/>
  <c r="A8201" i="1"/>
  <c r="F8201" i="1"/>
  <c r="B8202" i="1"/>
  <c r="A8202" i="1"/>
  <c r="F8202" i="1"/>
  <c r="B8203" i="1"/>
  <c r="A8203" i="1"/>
  <c r="F8203" i="1"/>
  <c r="B8204" i="1"/>
  <c r="A8204" i="1"/>
  <c r="F8204" i="1"/>
  <c r="B8205" i="1"/>
  <c r="A8205" i="1"/>
  <c r="F8205" i="1"/>
  <c r="B8206" i="1"/>
  <c r="A8206" i="1"/>
  <c r="F8206" i="1"/>
  <c r="B8207" i="1"/>
  <c r="A8207" i="1"/>
  <c r="F8207" i="1"/>
  <c r="B8208" i="1"/>
  <c r="A8208" i="1"/>
  <c r="F8208" i="1"/>
  <c r="B8209" i="1"/>
  <c r="A8209" i="1"/>
  <c r="F8209" i="1"/>
  <c r="B8210" i="1"/>
  <c r="A8210" i="1"/>
  <c r="F8210" i="1"/>
  <c r="B8211" i="1"/>
  <c r="A8211" i="1"/>
  <c r="F8211" i="1"/>
  <c r="B8212" i="1"/>
  <c r="A8212" i="1"/>
  <c r="F8212" i="1"/>
  <c r="B8213" i="1"/>
  <c r="A8213" i="1"/>
  <c r="F8213" i="1"/>
  <c r="B8214" i="1"/>
  <c r="A8214" i="1"/>
  <c r="F8214" i="1"/>
  <c r="B8215" i="1"/>
  <c r="A8215" i="1"/>
  <c r="F8215" i="1"/>
  <c r="B8216" i="1"/>
  <c r="A8216" i="1"/>
  <c r="F8216" i="1"/>
  <c r="B8217" i="1"/>
  <c r="A8217" i="1"/>
  <c r="F8217" i="1"/>
  <c r="B8218" i="1"/>
  <c r="A8218" i="1"/>
  <c r="F8218" i="1"/>
  <c r="B8219" i="1"/>
  <c r="A8219" i="1"/>
  <c r="F8219" i="1"/>
  <c r="B8220" i="1"/>
  <c r="A8220" i="1"/>
  <c r="F8220" i="1"/>
  <c r="B8221" i="1"/>
  <c r="A8221" i="1"/>
  <c r="F8221" i="1"/>
  <c r="B8222" i="1"/>
  <c r="A8222" i="1"/>
  <c r="F8222" i="1"/>
  <c r="B8223" i="1"/>
  <c r="A8223" i="1"/>
  <c r="F8223" i="1"/>
  <c r="B8224" i="1"/>
  <c r="A8224" i="1"/>
  <c r="F8224" i="1"/>
  <c r="B8225" i="1"/>
  <c r="A8225" i="1"/>
  <c r="F8225" i="1"/>
  <c r="B8226" i="1"/>
  <c r="A8226" i="1"/>
  <c r="F8226" i="1"/>
  <c r="B8227" i="1"/>
  <c r="A8227" i="1"/>
  <c r="F8227" i="1"/>
  <c r="B8228" i="1"/>
  <c r="A8228" i="1"/>
  <c r="F8228" i="1"/>
  <c r="B8229" i="1"/>
  <c r="A8229" i="1"/>
  <c r="F8229" i="1"/>
  <c r="B8230" i="1"/>
  <c r="A8230" i="1"/>
  <c r="F8230" i="1"/>
  <c r="B8231" i="1"/>
  <c r="A8231" i="1"/>
  <c r="F8231" i="1"/>
  <c r="B8232" i="1"/>
  <c r="A8232" i="1"/>
  <c r="F8232" i="1"/>
  <c r="B8233" i="1"/>
  <c r="A8233" i="1"/>
  <c r="F8233" i="1"/>
  <c r="B8234" i="1"/>
  <c r="A8234" i="1"/>
  <c r="F8234" i="1"/>
  <c r="B8235" i="1"/>
  <c r="A8235" i="1"/>
  <c r="F8235" i="1"/>
  <c r="B8236" i="1"/>
  <c r="A8236" i="1"/>
  <c r="F8236" i="1"/>
  <c r="B8237" i="1"/>
  <c r="A8237" i="1"/>
  <c r="F8237" i="1"/>
  <c r="B8238" i="1"/>
  <c r="A8238" i="1"/>
  <c r="F8238" i="1"/>
  <c r="B8239" i="1"/>
  <c r="A8239" i="1"/>
  <c r="F8239" i="1"/>
  <c r="B8240" i="1"/>
  <c r="A8240" i="1"/>
  <c r="F8240" i="1"/>
  <c r="B8241" i="1"/>
  <c r="A8241" i="1"/>
  <c r="F8241" i="1"/>
  <c r="B8242" i="1"/>
  <c r="A8242" i="1"/>
  <c r="F8242" i="1"/>
  <c r="B8243" i="1"/>
  <c r="A8243" i="1"/>
  <c r="F8243" i="1"/>
  <c r="B8244" i="1"/>
  <c r="A8244" i="1"/>
  <c r="F8244" i="1"/>
  <c r="B8245" i="1"/>
  <c r="A8245" i="1"/>
  <c r="F8245" i="1"/>
  <c r="B8246" i="1"/>
  <c r="A8246" i="1"/>
  <c r="F8246" i="1"/>
  <c r="B8247" i="1"/>
  <c r="A8247" i="1"/>
  <c r="F8247" i="1"/>
  <c r="B8248" i="1"/>
  <c r="A8248" i="1"/>
  <c r="F8248" i="1"/>
  <c r="B8249" i="1"/>
  <c r="A8249" i="1"/>
  <c r="F8249" i="1"/>
  <c r="B8250" i="1"/>
  <c r="A8250" i="1"/>
  <c r="F8250" i="1"/>
  <c r="B8251" i="1"/>
  <c r="A8251" i="1"/>
  <c r="F8251" i="1"/>
  <c r="B8252" i="1"/>
  <c r="A8252" i="1"/>
  <c r="F8252" i="1"/>
  <c r="B8253" i="1"/>
  <c r="A8253" i="1"/>
  <c r="F8253" i="1"/>
  <c r="B8254" i="1"/>
  <c r="A8254" i="1"/>
  <c r="F8254" i="1"/>
  <c r="B8255" i="1"/>
  <c r="A8255" i="1"/>
  <c r="F8255" i="1"/>
  <c r="B8256" i="1"/>
  <c r="A8256" i="1"/>
  <c r="F8256" i="1"/>
  <c r="B8257" i="1"/>
  <c r="A8257" i="1"/>
  <c r="F8257" i="1"/>
  <c r="B8258" i="1"/>
  <c r="A8258" i="1"/>
  <c r="F8258" i="1"/>
  <c r="B8259" i="1"/>
  <c r="A8259" i="1"/>
  <c r="F8259" i="1"/>
  <c r="B8260" i="1"/>
  <c r="A8260" i="1"/>
  <c r="F8260" i="1"/>
  <c r="B8261" i="1"/>
  <c r="A8261" i="1"/>
  <c r="F8261" i="1"/>
  <c r="B8262" i="1"/>
  <c r="A8262" i="1"/>
  <c r="F8262" i="1"/>
  <c r="B8263" i="1"/>
  <c r="A8263" i="1"/>
  <c r="F8263" i="1"/>
  <c r="B8264" i="1"/>
  <c r="A8264" i="1"/>
  <c r="F8264" i="1"/>
  <c r="B8265" i="1"/>
  <c r="A8265" i="1"/>
  <c r="F8265" i="1"/>
  <c r="B8266" i="1"/>
  <c r="A8266" i="1"/>
  <c r="F8266" i="1"/>
  <c r="B8267" i="1"/>
  <c r="A8267" i="1"/>
  <c r="F8267" i="1"/>
  <c r="B8268" i="1"/>
  <c r="A8268" i="1"/>
  <c r="F8268" i="1"/>
  <c r="B8269" i="1"/>
  <c r="A8269" i="1"/>
  <c r="F8269" i="1"/>
  <c r="B8270" i="1"/>
  <c r="A8270" i="1"/>
  <c r="F8270" i="1"/>
  <c r="B8271" i="1"/>
  <c r="A8271" i="1"/>
  <c r="F8271" i="1"/>
  <c r="B8272" i="1"/>
  <c r="A8272" i="1"/>
  <c r="F8272" i="1"/>
  <c r="B8273" i="1"/>
  <c r="A8273" i="1"/>
  <c r="F8273" i="1"/>
  <c r="B8274" i="1"/>
  <c r="A8274" i="1"/>
  <c r="F8274" i="1"/>
  <c r="B8275" i="1"/>
  <c r="A8275" i="1"/>
  <c r="F8275" i="1"/>
  <c r="B8276" i="1"/>
  <c r="A8276" i="1"/>
  <c r="F8276" i="1"/>
  <c r="B8277" i="1"/>
  <c r="A8277" i="1"/>
  <c r="F8277" i="1"/>
  <c r="B8278" i="1"/>
  <c r="A8278" i="1"/>
  <c r="F8278" i="1"/>
  <c r="B8279" i="1"/>
  <c r="A8279" i="1"/>
  <c r="F8279" i="1"/>
  <c r="B8280" i="1"/>
  <c r="A8280" i="1"/>
  <c r="F8280" i="1"/>
  <c r="B8281" i="1"/>
  <c r="A8281" i="1"/>
  <c r="F8281" i="1"/>
  <c r="B8282" i="1"/>
  <c r="A8282" i="1"/>
  <c r="F8282" i="1"/>
  <c r="B8283" i="1"/>
  <c r="A8283" i="1"/>
  <c r="F8283" i="1"/>
  <c r="B8284" i="1"/>
  <c r="A8284" i="1"/>
  <c r="F8284" i="1"/>
  <c r="B8285" i="1"/>
  <c r="A8285" i="1"/>
  <c r="F8285" i="1"/>
  <c r="B8286" i="1"/>
  <c r="A8286" i="1"/>
  <c r="F8286" i="1"/>
  <c r="B8287" i="1"/>
  <c r="A8287" i="1"/>
  <c r="F8287" i="1"/>
  <c r="B8288" i="1"/>
  <c r="A8288" i="1"/>
  <c r="F8288" i="1"/>
  <c r="B8289" i="1"/>
  <c r="A8289" i="1"/>
  <c r="F8289" i="1"/>
  <c r="B8290" i="1"/>
  <c r="A8290" i="1"/>
  <c r="F8290" i="1"/>
  <c r="B8291" i="1"/>
  <c r="A8291" i="1"/>
  <c r="F8291" i="1"/>
  <c r="B8292" i="1"/>
  <c r="A8292" i="1"/>
  <c r="F8292" i="1"/>
  <c r="B8293" i="1"/>
  <c r="A8293" i="1"/>
  <c r="F8293" i="1"/>
  <c r="B8294" i="1"/>
  <c r="A8294" i="1"/>
  <c r="F8294" i="1"/>
  <c r="B8295" i="1"/>
  <c r="A8295" i="1"/>
  <c r="F8295" i="1"/>
  <c r="B8296" i="1"/>
  <c r="A8296" i="1"/>
  <c r="F8296" i="1"/>
  <c r="B8297" i="1"/>
  <c r="A8297" i="1"/>
  <c r="F8297" i="1"/>
  <c r="B8298" i="1"/>
  <c r="A8298" i="1"/>
  <c r="F8298" i="1"/>
  <c r="B8299" i="1"/>
  <c r="A8299" i="1"/>
  <c r="F8299" i="1"/>
  <c r="B8300" i="1"/>
  <c r="A8300" i="1"/>
  <c r="F8300" i="1"/>
  <c r="B8301" i="1"/>
  <c r="A8301" i="1"/>
  <c r="F8301" i="1"/>
  <c r="B8302" i="1"/>
  <c r="A8302" i="1"/>
  <c r="F8302" i="1"/>
  <c r="B8303" i="1"/>
  <c r="A8303" i="1"/>
  <c r="F8303" i="1"/>
  <c r="B8304" i="1"/>
  <c r="A8304" i="1"/>
  <c r="F8304" i="1"/>
  <c r="B8305" i="1"/>
  <c r="A8305" i="1"/>
  <c r="F8305" i="1"/>
  <c r="B8306" i="1"/>
  <c r="A8306" i="1"/>
  <c r="F8306" i="1"/>
  <c r="B8307" i="1"/>
  <c r="A8307" i="1"/>
  <c r="F8307" i="1"/>
  <c r="B8308" i="1"/>
  <c r="A8308" i="1"/>
  <c r="F8308" i="1"/>
  <c r="B8309" i="1"/>
  <c r="A8309" i="1"/>
  <c r="F8309" i="1"/>
  <c r="B8310" i="1"/>
  <c r="A8310" i="1"/>
  <c r="F8310" i="1"/>
  <c r="B8311" i="1"/>
  <c r="A8311" i="1"/>
  <c r="F8311" i="1"/>
  <c r="B8312" i="1"/>
  <c r="A8312" i="1"/>
  <c r="F8312" i="1"/>
  <c r="B8313" i="1"/>
  <c r="A8313" i="1"/>
  <c r="F8313" i="1"/>
  <c r="B8314" i="1"/>
  <c r="A8314" i="1"/>
  <c r="F8314" i="1"/>
  <c r="B8315" i="1"/>
  <c r="A8315" i="1"/>
  <c r="F8315" i="1"/>
  <c r="B8316" i="1"/>
  <c r="A8316" i="1"/>
  <c r="F8316" i="1"/>
  <c r="B8317" i="1"/>
  <c r="A8317" i="1"/>
  <c r="F8317" i="1"/>
  <c r="B8318" i="1"/>
  <c r="A8318" i="1"/>
  <c r="F8318" i="1"/>
  <c r="B8319" i="1"/>
  <c r="A8319" i="1"/>
  <c r="F8319" i="1"/>
  <c r="B8320" i="1"/>
  <c r="A8320" i="1"/>
  <c r="F8320" i="1"/>
  <c r="B8321" i="1"/>
  <c r="A8321" i="1"/>
  <c r="F8321" i="1"/>
  <c r="B8322" i="1"/>
  <c r="A8322" i="1"/>
  <c r="F8322" i="1"/>
  <c r="B8323" i="1"/>
  <c r="A8323" i="1"/>
  <c r="F8323" i="1"/>
  <c r="B8324" i="1"/>
  <c r="A8324" i="1"/>
  <c r="F8324" i="1"/>
  <c r="B8325" i="1"/>
  <c r="A8325" i="1"/>
  <c r="F8325" i="1"/>
  <c r="B8326" i="1"/>
  <c r="A8326" i="1"/>
  <c r="F8326" i="1"/>
  <c r="B8327" i="1"/>
  <c r="A8327" i="1"/>
  <c r="F8327" i="1"/>
  <c r="B8328" i="1"/>
  <c r="A8328" i="1"/>
  <c r="F8328" i="1"/>
  <c r="B8329" i="1"/>
  <c r="A8329" i="1"/>
  <c r="F8329" i="1"/>
  <c r="B8330" i="1"/>
  <c r="A8330" i="1"/>
  <c r="F8330" i="1"/>
  <c r="B8331" i="1"/>
  <c r="A8331" i="1"/>
  <c r="F8331" i="1"/>
  <c r="B8332" i="1"/>
  <c r="A8332" i="1"/>
  <c r="F8332" i="1"/>
  <c r="B8333" i="1"/>
  <c r="A8333" i="1"/>
  <c r="F8333" i="1"/>
  <c r="B8334" i="1"/>
  <c r="A8334" i="1"/>
  <c r="F8334" i="1"/>
  <c r="B8335" i="1"/>
  <c r="A8335" i="1"/>
  <c r="F8335" i="1"/>
  <c r="B8336" i="1"/>
  <c r="A8336" i="1"/>
  <c r="F8336" i="1"/>
  <c r="B8337" i="1"/>
  <c r="A8337" i="1"/>
  <c r="F8337" i="1"/>
  <c r="B8338" i="1"/>
  <c r="A8338" i="1"/>
  <c r="F8338" i="1"/>
  <c r="B8339" i="1"/>
  <c r="A8339" i="1"/>
  <c r="F8339" i="1"/>
  <c r="B8340" i="1"/>
  <c r="A8340" i="1"/>
  <c r="F8340" i="1"/>
  <c r="B8341" i="1"/>
  <c r="A8341" i="1"/>
  <c r="F8341" i="1"/>
  <c r="B8342" i="1"/>
  <c r="A8342" i="1"/>
  <c r="F8342" i="1"/>
  <c r="B8343" i="1"/>
  <c r="A8343" i="1"/>
  <c r="F8343" i="1"/>
  <c r="B8344" i="1"/>
  <c r="A8344" i="1"/>
  <c r="F8344" i="1"/>
  <c r="B8345" i="1"/>
  <c r="A8345" i="1"/>
  <c r="F8345" i="1"/>
  <c r="B8346" i="1"/>
  <c r="A8346" i="1"/>
  <c r="F8346" i="1"/>
  <c r="B8347" i="1"/>
  <c r="A8347" i="1"/>
  <c r="F8347" i="1"/>
  <c r="B8348" i="1"/>
  <c r="A8348" i="1"/>
  <c r="F8348" i="1"/>
  <c r="B8349" i="1"/>
  <c r="A8349" i="1"/>
  <c r="F8349" i="1"/>
  <c r="B8350" i="1"/>
  <c r="A8350" i="1"/>
  <c r="F8350" i="1"/>
  <c r="B8351" i="1"/>
  <c r="A8351" i="1"/>
  <c r="F8351" i="1"/>
  <c r="B8352" i="1"/>
  <c r="A8352" i="1"/>
  <c r="F8352" i="1"/>
  <c r="B8353" i="1"/>
  <c r="A8353" i="1"/>
  <c r="F8353" i="1"/>
  <c r="B8354" i="1"/>
  <c r="A8354" i="1"/>
  <c r="F8354" i="1"/>
  <c r="B8355" i="1"/>
  <c r="A8355" i="1"/>
  <c r="F8355" i="1"/>
  <c r="B8356" i="1"/>
  <c r="A8356" i="1"/>
  <c r="F8356" i="1"/>
  <c r="B8357" i="1"/>
  <c r="A8357" i="1"/>
  <c r="F8357" i="1"/>
  <c r="B8358" i="1"/>
  <c r="A8358" i="1"/>
  <c r="F8358" i="1"/>
  <c r="B8359" i="1"/>
  <c r="A8359" i="1"/>
  <c r="F8359" i="1"/>
  <c r="B8360" i="1"/>
  <c r="A8360" i="1"/>
  <c r="F8360" i="1"/>
  <c r="B8361" i="1"/>
  <c r="A8361" i="1"/>
  <c r="F8361" i="1"/>
  <c r="B8362" i="1"/>
  <c r="A8362" i="1"/>
  <c r="F8362" i="1"/>
  <c r="B8363" i="1"/>
  <c r="A8363" i="1"/>
  <c r="F8363" i="1"/>
  <c r="B8364" i="1"/>
  <c r="A8364" i="1"/>
  <c r="F8364" i="1"/>
  <c r="B8365" i="1"/>
  <c r="A8365" i="1"/>
  <c r="F8365" i="1"/>
  <c r="B8366" i="1"/>
  <c r="A8366" i="1"/>
  <c r="F8366" i="1"/>
  <c r="B8367" i="1"/>
  <c r="A8367" i="1"/>
  <c r="F8367" i="1"/>
  <c r="B8368" i="1"/>
  <c r="A8368" i="1"/>
  <c r="F8368" i="1"/>
  <c r="B8369" i="1"/>
  <c r="A8369" i="1"/>
  <c r="F8369" i="1"/>
  <c r="B8370" i="1"/>
  <c r="A8370" i="1"/>
  <c r="F8370" i="1"/>
  <c r="B8371" i="1"/>
  <c r="A8371" i="1"/>
  <c r="F8371" i="1"/>
  <c r="B8372" i="1"/>
  <c r="A8372" i="1"/>
  <c r="F8372" i="1"/>
  <c r="B8373" i="1"/>
  <c r="A8373" i="1"/>
  <c r="F8373" i="1"/>
  <c r="B8374" i="1"/>
  <c r="A8374" i="1"/>
  <c r="F8374" i="1"/>
  <c r="B8375" i="1"/>
  <c r="A8375" i="1"/>
  <c r="F8375" i="1"/>
  <c r="B8376" i="1"/>
  <c r="A8376" i="1"/>
  <c r="F8376" i="1"/>
  <c r="B8377" i="1"/>
  <c r="A8377" i="1"/>
  <c r="F8377" i="1"/>
  <c r="B8378" i="1"/>
  <c r="A8378" i="1"/>
  <c r="F8378" i="1"/>
  <c r="B8379" i="1"/>
  <c r="A8379" i="1"/>
  <c r="F8379" i="1"/>
  <c r="B8380" i="1"/>
  <c r="A8380" i="1"/>
  <c r="F8380" i="1"/>
  <c r="B8381" i="1"/>
  <c r="A8381" i="1"/>
  <c r="F8381" i="1"/>
  <c r="B8382" i="1"/>
  <c r="A8382" i="1"/>
  <c r="F8382" i="1"/>
  <c r="B8383" i="1"/>
  <c r="A8383" i="1"/>
  <c r="F8383" i="1"/>
  <c r="B8384" i="1"/>
  <c r="A8384" i="1"/>
  <c r="F8384" i="1"/>
  <c r="B8385" i="1"/>
  <c r="A8385" i="1"/>
  <c r="F8385" i="1"/>
  <c r="B8386" i="1"/>
  <c r="A8386" i="1"/>
  <c r="F8386" i="1"/>
  <c r="B8387" i="1"/>
  <c r="A8387" i="1"/>
  <c r="F8387" i="1"/>
  <c r="B8388" i="1"/>
  <c r="A8388" i="1"/>
  <c r="F8388" i="1"/>
  <c r="B8389" i="1"/>
  <c r="A8389" i="1"/>
  <c r="F8389" i="1"/>
  <c r="B8390" i="1"/>
  <c r="A8390" i="1"/>
  <c r="F8390" i="1"/>
  <c r="B8391" i="1"/>
  <c r="A8391" i="1"/>
  <c r="F8391" i="1"/>
  <c r="B8392" i="1"/>
  <c r="A8392" i="1"/>
  <c r="F8392" i="1"/>
  <c r="B8393" i="1"/>
  <c r="A8393" i="1"/>
  <c r="F8393" i="1"/>
  <c r="B8394" i="1"/>
  <c r="A8394" i="1"/>
  <c r="F8394" i="1"/>
  <c r="B8395" i="1"/>
  <c r="A8395" i="1"/>
  <c r="F8395" i="1"/>
  <c r="B8396" i="1"/>
  <c r="A8396" i="1"/>
  <c r="F8396" i="1"/>
  <c r="B8397" i="1"/>
  <c r="A8397" i="1"/>
  <c r="F8397" i="1"/>
  <c r="B8398" i="1"/>
  <c r="A8398" i="1"/>
  <c r="F8398" i="1"/>
  <c r="B8399" i="1"/>
  <c r="A8399" i="1"/>
  <c r="F8399" i="1"/>
  <c r="B8400" i="1"/>
  <c r="A8400" i="1"/>
  <c r="F8400" i="1"/>
  <c r="B8401" i="1"/>
  <c r="A8401" i="1"/>
  <c r="F8401" i="1"/>
  <c r="B8402" i="1"/>
  <c r="A8402" i="1"/>
  <c r="F8402" i="1"/>
  <c r="B8403" i="1"/>
  <c r="A8403" i="1"/>
  <c r="F8403" i="1"/>
  <c r="B8404" i="1"/>
  <c r="A8404" i="1"/>
  <c r="F8404" i="1"/>
  <c r="B8405" i="1"/>
  <c r="A8405" i="1"/>
  <c r="F8405" i="1"/>
  <c r="B8406" i="1"/>
  <c r="A8406" i="1"/>
  <c r="F8406" i="1"/>
  <c r="B8407" i="1"/>
  <c r="A8407" i="1"/>
  <c r="F8407" i="1"/>
  <c r="B8408" i="1"/>
  <c r="A8408" i="1"/>
  <c r="F8408" i="1"/>
  <c r="B8409" i="1"/>
  <c r="A8409" i="1"/>
  <c r="F8409" i="1"/>
  <c r="B8410" i="1"/>
  <c r="A8410" i="1"/>
  <c r="F8410" i="1"/>
  <c r="B8411" i="1"/>
  <c r="A8411" i="1"/>
  <c r="F8411" i="1"/>
  <c r="B8412" i="1"/>
  <c r="A8412" i="1"/>
  <c r="F8412" i="1"/>
  <c r="B8413" i="1"/>
  <c r="A8413" i="1"/>
  <c r="F8413" i="1"/>
  <c r="B8414" i="1"/>
  <c r="A8414" i="1"/>
  <c r="F8414" i="1"/>
  <c r="B8415" i="1"/>
  <c r="A8415" i="1"/>
  <c r="F8415" i="1"/>
  <c r="B8416" i="1"/>
  <c r="A8416" i="1"/>
  <c r="F8416" i="1"/>
  <c r="B8417" i="1"/>
  <c r="A8417" i="1"/>
  <c r="F8417" i="1"/>
  <c r="B8418" i="1"/>
  <c r="A8418" i="1"/>
  <c r="F8418" i="1"/>
  <c r="B8419" i="1"/>
  <c r="A8419" i="1"/>
  <c r="F8419" i="1"/>
  <c r="B8420" i="1"/>
  <c r="A8420" i="1"/>
  <c r="F8420" i="1"/>
  <c r="B8421" i="1"/>
  <c r="A8421" i="1"/>
  <c r="F8421" i="1"/>
  <c r="B8422" i="1"/>
  <c r="A8422" i="1"/>
  <c r="F8422" i="1"/>
  <c r="B8423" i="1"/>
  <c r="A8423" i="1"/>
  <c r="F8423" i="1"/>
  <c r="B8424" i="1"/>
  <c r="A8424" i="1"/>
  <c r="F8424" i="1"/>
  <c r="B8425" i="1"/>
  <c r="A8425" i="1"/>
  <c r="F8425" i="1"/>
  <c r="B8426" i="1"/>
  <c r="A8426" i="1"/>
  <c r="F8426" i="1"/>
  <c r="B8427" i="1"/>
  <c r="A8427" i="1"/>
  <c r="F8427" i="1"/>
  <c r="B8428" i="1"/>
  <c r="A8428" i="1"/>
  <c r="F8428" i="1"/>
  <c r="B8429" i="1"/>
  <c r="A8429" i="1"/>
  <c r="F8429" i="1"/>
  <c r="B8430" i="1"/>
  <c r="A8430" i="1"/>
  <c r="F8430" i="1"/>
  <c r="B8431" i="1"/>
  <c r="A8431" i="1"/>
  <c r="F8431" i="1"/>
  <c r="B8432" i="1"/>
  <c r="A8432" i="1"/>
  <c r="F8432" i="1"/>
  <c r="B8433" i="1"/>
  <c r="A8433" i="1"/>
  <c r="F8433" i="1"/>
  <c r="B8434" i="1"/>
  <c r="A8434" i="1"/>
  <c r="F8434" i="1"/>
  <c r="B8435" i="1"/>
  <c r="A8435" i="1"/>
  <c r="F8435" i="1"/>
  <c r="B8436" i="1"/>
  <c r="A8436" i="1"/>
  <c r="F8436" i="1"/>
  <c r="B8437" i="1"/>
  <c r="A8437" i="1"/>
  <c r="F8437" i="1"/>
  <c r="B8438" i="1"/>
  <c r="A8438" i="1"/>
  <c r="F8438" i="1"/>
  <c r="B8439" i="1"/>
  <c r="A8439" i="1"/>
  <c r="F8439" i="1"/>
  <c r="B8440" i="1"/>
  <c r="A8440" i="1"/>
  <c r="F8440" i="1"/>
  <c r="B8441" i="1"/>
  <c r="A8441" i="1"/>
  <c r="F8441" i="1"/>
  <c r="B8442" i="1"/>
  <c r="A8442" i="1"/>
  <c r="F8442" i="1"/>
  <c r="B8443" i="1"/>
  <c r="A8443" i="1"/>
  <c r="F8443" i="1"/>
  <c r="B8444" i="1"/>
  <c r="A8444" i="1"/>
  <c r="F8444" i="1"/>
  <c r="B8445" i="1"/>
  <c r="A8445" i="1"/>
  <c r="F8445" i="1"/>
  <c r="B8446" i="1"/>
  <c r="A8446" i="1"/>
  <c r="F8446" i="1"/>
  <c r="B8447" i="1"/>
  <c r="A8447" i="1"/>
  <c r="F8447" i="1"/>
  <c r="B8448" i="1"/>
  <c r="A8448" i="1"/>
  <c r="F8448" i="1"/>
  <c r="B8449" i="1"/>
  <c r="A8449" i="1"/>
  <c r="F8449" i="1"/>
  <c r="B8450" i="1"/>
  <c r="A8450" i="1"/>
  <c r="F8450" i="1"/>
  <c r="B8451" i="1"/>
  <c r="A8451" i="1"/>
  <c r="F8451" i="1"/>
  <c r="B8452" i="1"/>
  <c r="A8452" i="1"/>
  <c r="F8452" i="1"/>
  <c r="B8453" i="1"/>
  <c r="A8453" i="1"/>
  <c r="F8453" i="1"/>
  <c r="B8454" i="1"/>
  <c r="A8454" i="1"/>
  <c r="F8454" i="1"/>
  <c r="B8455" i="1"/>
  <c r="A8455" i="1"/>
  <c r="F8455" i="1"/>
  <c r="B8456" i="1"/>
  <c r="A8456" i="1"/>
  <c r="F8456" i="1"/>
  <c r="B8457" i="1"/>
  <c r="A8457" i="1"/>
  <c r="F8457" i="1"/>
  <c r="B8458" i="1"/>
  <c r="A8458" i="1"/>
  <c r="F8458" i="1"/>
  <c r="B8459" i="1"/>
  <c r="A8459" i="1"/>
  <c r="F8459" i="1"/>
  <c r="B8460" i="1"/>
  <c r="A8460" i="1"/>
  <c r="F8460" i="1"/>
  <c r="B8461" i="1"/>
  <c r="A8461" i="1"/>
  <c r="F8461" i="1"/>
  <c r="B8462" i="1"/>
  <c r="A8462" i="1"/>
  <c r="F8462" i="1"/>
  <c r="B8463" i="1"/>
  <c r="A8463" i="1"/>
  <c r="F8463" i="1"/>
  <c r="B8464" i="1"/>
  <c r="A8464" i="1"/>
  <c r="F8464" i="1"/>
  <c r="B8465" i="1"/>
  <c r="A8465" i="1"/>
  <c r="F8465" i="1"/>
  <c r="B8466" i="1"/>
  <c r="A8466" i="1"/>
  <c r="F8466" i="1"/>
  <c r="B8467" i="1"/>
  <c r="A8467" i="1"/>
  <c r="F8467" i="1"/>
  <c r="B8468" i="1"/>
  <c r="A8468" i="1"/>
  <c r="F8468" i="1"/>
  <c r="B8469" i="1"/>
  <c r="A8469" i="1"/>
  <c r="F8469" i="1"/>
  <c r="B8470" i="1"/>
  <c r="A8470" i="1"/>
  <c r="F8470" i="1"/>
  <c r="B8471" i="1"/>
  <c r="A8471" i="1"/>
  <c r="F8471" i="1"/>
  <c r="B8472" i="1"/>
  <c r="A8472" i="1"/>
  <c r="F8472" i="1"/>
  <c r="B8473" i="1"/>
  <c r="A8473" i="1"/>
  <c r="F8473" i="1"/>
  <c r="B8474" i="1"/>
  <c r="A8474" i="1"/>
  <c r="F8474" i="1"/>
  <c r="B8475" i="1"/>
  <c r="A8475" i="1"/>
  <c r="F8475" i="1"/>
  <c r="B8476" i="1"/>
  <c r="A8476" i="1"/>
  <c r="F8476" i="1"/>
  <c r="B8477" i="1"/>
  <c r="A8477" i="1"/>
  <c r="F8477" i="1"/>
  <c r="B8478" i="1"/>
  <c r="A8478" i="1"/>
  <c r="F8478" i="1"/>
  <c r="B8479" i="1"/>
  <c r="A8479" i="1"/>
  <c r="F8479" i="1"/>
  <c r="B8480" i="1"/>
  <c r="A8480" i="1"/>
  <c r="F8480" i="1"/>
  <c r="B8481" i="1"/>
  <c r="A8481" i="1"/>
  <c r="F8481" i="1"/>
  <c r="B8482" i="1"/>
  <c r="A8482" i="1"/>
  <c r="F8482" i="1"/>
  <c r="B8483" i="1"/>
  <c r="A8483" i="1"/>
  <c r="F8483" i="1"/>
  <c r="B8484" i="1"/>
  <c r="A8484" i="1"/>
  <c r="F8484" i="1"/>
  <c r="B8485" i="1"/>
  <c r="A8485" i="1"/>
  <c r="F8485" i="1"/>
  <c r="B8486" i="1"/>
  <c r="A8486" i="1"/>
  <c r="F8486" i="1"/>
  <c r="B8487" i="1"/>
  <c r="A8487" i="1"/>
  <c r="F8487" i="1"/>
  <c r="B8488" i="1"/>
  <c r="A8488" i="1"/>
  <c r="F8488" i="1"/>
  <c r="B8489" i="1"/>
  <c r="A8489" i="1"/>
  <c r="F8489" i="1"/>
  <c r="B8490" i="1"/>
  <c r="A8490" i="1"/>
  <c r="F8490" i="1"/>
  <c r="B8491" i="1"/>
  <c r="A8491" i="1"/>
  <c r="F8491" i="1"/>
  <c r="B8492" i="1"/>
  <c r="A8492" i="1"/>
  <c r="F8492" i="1"/>
  <c r="B8493" i="1"/>
  <c r="A8493" i="1"/>
  <c r="F8493" i="1"/>
  <c r="B8494" i="1"/>
  <c r="A8494" i="1"/>
  <c r="F8494" i="1"/>
  <c r="B8495" i="1"/>
  <c r="A8495" i="1"/>
  <c r="F8495" i="1"/>
  <c r="B8496" i="1"/>
  <c r="A8496" i="1"/>
  <c r="F8496" i="1"/>
  <c r="B8497" i="1"/>
  <c r="A8497" i="1"/>
  <c r="F8497" i="1"/>
  <c r="B8498" i="1"/>
  <c r="A8498" i="1"/>
  <c r="F8498" i="1"/>
  <c r="B8499" i="1"/>
  <c r="A8499" i="1"/>
  <c r="F8499" i="1"/>
  <c r="B8500" i="1"/>
  <c r="A8500" i="1"/>
  <c r="F8500" i="1"/>
  <c r="B8501" i="1"/>
  <c r="A8501" i="1"/>
  <c r="F8501" i="1"/>
  <c r="B8502" i="1"/>
  <c r="A8502" i="1"/>
  <c r="F8502" i="1"/>
  <c r="B8503" i="1"/>
  <c r="A8503" i="1"/>
  <c r="F8503" i="1"/>
  <c r="B8504" i="1"/>
  <c r="A8504" i="1"/>
  <c r="F8504" i="1"/>
  <c r="B8505" i="1"/>
  <c r="A8505" i="1"/>
  <c r="F8505" i="1"/>
  <c r="B8506" i="1"/>
  <c r="A8506" i="1"/>
  <c r="F8506" i="1"/>
  <c r="B8507" i="1"/>
  <c r="A8507" i="1"/>
  <c r="F8507" i="1"/>
  <c r="B8508" i="1"/>
  <c r="A8508" i="1"/>
  <c r="F8508" i="1"/>
  <c r="B8509" i="1"/>
  <c r="A8509" i="1"/>
  <c r="F8509" i="1"/>
  <c r="B8510" i="1"/>
  <c r="A8510" i="1"/>
  <c r="F8510" i="1"/>
  <c r="B8511" i="1"/>
  <c r="A8511" i="1"/>
  <c r="F8511" i="1"/>
  <c r="B8512" i="1"/>
  <c r="A8512" i="1"/>
  <c r="F8512" i="1"/>
  <c r="B8513" i="1"/>
  <c r="A8513" i="1"/>
  <c r="F8513" i="1"/>
  <c r="B8514" i="1"/>
  <c r="A8514" i="1"/>
  <c r="F8514" i="1"/>
  <c r="B8515" i="1"/>
  <c r="A8515" i="1"/>
  <c r="F8515" i="1"/>
  <c r="B8516" i="1"/>
  <c r="A8516" i="1"/>
  <c r="F8516" i="1"/>
  <c r="B8517" i="1"/>
  <c r="A8517" i="1"/>
  <c r="F8517" i="1"/>
  <c r="B8518" i="1"/>
  <c r="A8518" i="1"/>
  <c r="F8518" i="1"/>
  <c r="B8519" i="1"/>
  <c r="A8519" i="1"/>
  <c r="F8519" i="1"/>
  <c r="B8520" i="1"/>
  <c r="A8520" i="1"/>
  <c r="F8520" i="1"/>
  <c r="B8521" i="1"/>
  <c r="A8521" i="1"/>
  <c r="F8521" i="1"/>
  <c r="B8522" i="1"/>
  <c r="A8522" i="1"/>
  <c r="F8522" i="1"/>
  <c r="B8523" i="1"/>
  <c r="A8523" i="1"/>
  <c r="F8523" i="1"/>
  <c r="B8524" i="1"/>
  <c r="A8524" i="1"/>
  <c r="F8524" i="1"/>
  <c r="B8525" i="1"/>
  <c r="A8525" i="1"/>
  <c r="F8525" i="1"/>
  <c r="B8526" i="1"/>
  <c r="A8526" i="1"/>
  <c r="F8526" i="1"/>
  <c r="B8527" i="1"/>
  <c r="A8527" i="1"/>
  <c r="F8527" i="1"/>
  <c r="B8528" i="1"/>
  <c r="A8528" i="1"/>
  <c r="F8528" i="1"/>
  <c r="B8529" i="1"/>
  <c r="A8529" i="1"/>
  <c r="F8529" i="1"/>
  <c r="B8530" i="1"/>
  <c r="A8530" i="1"/>
  <c r="F8530" i="1"/>
  <c r="B8531" i="1"/>
  <c r="A8531" i="1"/>
  <c r="F8531" i="1"/>
  <c r="B8532" i="1"/>
  <c r="A8532" i="1"/>
  <c r="F8532" i="1"/>
  <c r="B8533" i="1"/>
  <c r="A8533" i="1"/>
  <c r="F8533" i="1"/>
  <c r="B8534" i="1"/>
  <c r="A8534" i="1"/>
  <c r="F8534" i="1"/>
  <c r="B8535" i="1"/>
  <c r="A8535" i="1"/>
  <c r="F8535" i="1"/>
  <c r="B8536" i="1"/>
  <c r="A8536" i="1"/>
  <c r="F8536" i="1"/>
  <c r="B8537" i="1"/>
  <c r="A8537" i="1"/>
  <c r="F8537" i="1"/>
  <c r="B8538" i="1"/>
  <c r="A8538" i="1"/>
  <c r="F8538" i="1"/>
  <c r="B8539" i="1"/>
  <c r="A8539" i="1"/>
  <c r="F8539" i="1"/>
  <c r="B8540" i="1"/>
  <c r="A8540" i="1"/>
  <c r="F8540" i="1"/>
  <c r="B8541" i="1"/>
  <c r="A8541" i="1"/>
  <c r="F8541" i="1"/>
  <c r="B8542" i="1"/>
  <c r="A8542" i="1"/>
  <c r="F8542" i="1"/>
  <c r="B8543" i="1"/>
  <c r="A8543" i="1"/>
  <c r="F8543" i="1"/>
  <c r="B8544" i="1"/>
  <c r="A8544" i="1"/>
  <c r="F8544" i="1"/>
  <c r="B8545" i="1"/>
  <c r="A8545" i="1"/>
  <c r="F8545" i="1"/>
  <c r="B8546" i="1"/>
  <c r="A8546" i="1"/>
  <c r="F8546" i="1"/>
  <c r="B8547" i="1"/>
  <c r="A8547" i="1"/>
  <c r="F8547" i="1"/>
  <c r="B8548" i="1"/>
  <c r="A8548" i="1"/>
  <c r="F8548" i="1"/>
  <c r="B8549" i="1"/>
  <c r="A8549" i="1"/>
  <c r="F8549" i="1"/>
  <c r="B8550" i="1"/>
  <c r="A8550" i="1"/>
  <c r="F8550" i="1"/>
  <c r="B8551" i="1"/>
  <c r="A8551" i="1"/>
  <c r="F8551" i="1"/>
  <c r="B8552" i="1"/>
  <c r="A8552" i="1"/>
  <c r="F8552" i="1"/>
  <c r="B8553" i="1"/>
  <c r="A8553" i="1"/>
  <c r="F8553" i="1"/>
  <c r="B8554" i="1"/>
  <c r="A8554" i="1"/>
  <c r="F8554" i="1"/>
  <c r="B8555" i="1"/>
  <c r="A8555" i="1"/>
  <c r="F8555" i="1"/>
  <c r="B8556" i="1"/>
  <c r="A8556" i="1"/>
  <c r="F8556" i="1"/>
  <c r="B8557" i="1"/>
  <c r="A8557" i="1"/>
  <c r="F8557" i="1"/>
  <c r="B8558" i="1"/>
  <c r="A8558" i="1"/>
  <c r="F8558" i="1"/>
  <c r="B8559" i="1"/>
  <c r="A8559" i="1"/>
  <c r="F8559" i="1"/>
  <c r="B8560" i="1"/>
  <c r="A8560" i="1"/>
  <c r="F8560" i="1"/>
  <c r="B8561" i="1"/>
  <c r="A8561" i="1"/>
  <c r="F8561" i="1"/>
  <c r="B8562" i="1"/>
  <c r="A8562" i="1"/>
  <c r="F8562" i="1"/>
  <c r="B8563" i="1"/>
  <c r="A8563" i="1"/>
  <c r="F8563" i="1"/>
  <c r="B8564" i="1"/>
  <c r="A8564" i="1"/>
  <c r="F8564" i="1"/>
  <c r="B8565" i="1"/>
  <c r="A8565" i="1"/>
  <c r="F8565" i="1"/>
  <c r="B8566" i="1"/>
  <c r="A8566" i="1"/>
  <c r="F8566" i="1"/>
  <c r="B8567" i="1"/>
  <c r="A8567" i="1"/>
  <c r="F8567" i="1"/>
  <c r="B8568" i="1"/>
  <c r="A8568" i="1"/>
  <c r="F8568" i="1"/>
  <c r="B8569" i="1"/>
  <c r="A8569" i="1"/>
  <c r="F8569" i="1"/>
  <c r="B8570" i="1"/>
  <c r="A8570" i="1"/>
  <c r="F8570" i="1"/>
  <c r="B8571" i="1"/>
  <c r="A8571" i="1"/>
  <c r="F8571" i="1"/>
  <c r="B8572" i="1"/>
  <c r="A8572" i="1"/>
  <c r="F8572" i="1"/>
  <c r="B8573" i="1"/>
  <c r="A8573" i="1"/>
  <c r="F8573" i="1"/>
  <c r="B8574" i="1"/>
  <c r="A8574" i="1"/>
  <c r="F8574" i="1"/>
  <c r="B8575" i="1"/>
  <c r="A8575" i="1"/>
  <c r="F8575" i="1"/>
  <c r="B8576" i="1"/>
  <c r="A8576" i="1"/>
  <c r="F8576" i="1"/>
  <c r="B8577" i="1"/>
  <c r="A8577" i="1"/>
  <c r="F8577" i="1"/>
  <c r="B8578" i="1"/>
  <c r="A8578" i="1"/>
  <c r="F8578" i="1"/>
  <c r="B8579" i="1"/>
  <c r="A8579" i="1"/>
  <c r="F8579" i="1"/>
  <c r="B8580" i="1"/>
  <c r="A8580" i="1"/>
  <c r="F8580" i="1"/>
  <c r="B8581" i="1"/>
  <c r="A8581" i="1"/>
  <c r="F8581" i="1"/>
  <c r="B8582" i="1"/>
  <c r="A8582" i="1"/>
  <c r="F8582" i="1"/>
  <c r="B8583" i="1"/>
  <c r="A8583" i="1"/>
  <c r="F8583" i="1"/>
  <c r="B8584" i="1"/>
  <c r="A8584" i="1"/>
  <c r="F8584" i="1"/>
  <c r="B8585" i="1"/>
  <c r="A8585" i="1"/>
  <c r="F8585" i="1"/>
  <c r="B8586" i="1"/>
  <c r="A8586" i="1"/>
  <c r="F8586" i="1"/>
  <c r="B8587" i="1"/>
  <c r="A8587" i="1"/>
  <c r="F8587" i="1"/>
  <c r="B8588" i="1"/>
  <c r="A8588" i="1"/>
  <c r="F8588" i="1"/>
  <c r="B8589" i="1"/>
  <c r="A8589" i="1"/>
  <c r="F8589" i="1"/>
  <c r="B8590" i="1"/>
  <c r="A8590" i="1"/>
  <c r="F8590" i="1"/>
  <c r="B8591" i="1"/>
  <c r="A8591" i="1"/>
  <c r="F8591" i="1"/>
  <c r="B8592" i="1"/>
  <c r="A8592" i="1"/>
  <c r="F8592" i="1"/>
  <c r="B8593" i="1"/>
  <c r="A8593" i="1"/>
  <c r="F8593" i="1"/>
  <c r="B8594" i="1"/>
  <c r="A8594" i="1"/>
  <c r="F8594" i="1"/>
  <c r="B8595" i="1"/>
  <c r="A8595" i="1"/>
  <c r="F8595" i="1"/>
  <c r="B8596" i="1"/>
  <c r="A8596" i="1"/>
  <c r="F8596" i="1"/>
  <c r="B8597" i="1"/>
  <c r="A8597" i="1"/>
  <c r="F8597" i="1"/>
  <c r="B8598" i="1"/>
  <c r="A8598" i="1"/>
  <c r="F8598" i="1"/>
  <c r="B8599" i="1"/>
  <c r="A8599" i="1"/>
  <c r="F8599" i="1"/>
  <c r="B8600" i="1"/>
  <c r="A8600" i="1"/>
  <c r="F8600" i="1"/>
  <c r="B8601" i="1"/>
  <c r="A8601" i="1"/>
  <c r="F8601" i="1"/>
  <c r="B8602" i="1"/>
  <c r="A8602" i="1"/>
  <c r="F8602" i="1"/>
  <c r="B8603" i="1"/>
  <c r="A8603" i="1"/>
  <c r="F8603" i="1"/>
  <c r="B8604" i="1"/>
  <c r="A8604" i="1"/>
  <c r="F8604" i="1"/>
  <c r="B8605" i="1"/>
  <c r="A8605" i="1"/>
  <c r="F8605" i="1"/>
  <c r="B8606" i="1"/>
  <c r="A8606" i="1"/>
  <c r="F8606" i="1"/>
  <c r="B8607" i="1"/>
  <c r="A8607" i="1"/>
  <c r="F8607" i="1"/>
  <c r="B8608" i="1"/>
  <c r="A8608" i="1"/>
  <c r="F8608" i="1"/>
  <c r="B8609" i="1"/>
  <c r="A8609" i="1"/>
  <c r="F8609" i="1"/>
  <c r="B8610" i="1"/>
  <c r="A8610" i="1"/>
  <c r="F8610" i="1"/>
  <c r="B8611" i="1"/>
  <c r="A8611" i="1"/>
  <c r="F8611" i="1"/>
  <c r="B8612" i="1"/>
  <c r="A8612" i="1"/>
  <c r="F8612" i="1"/>
  <c r="B8613" i="1"/>
  <c r="A8613" i="1"/>
  <c r="F8613" i="1"/>
  <c r="B8614" i="1"/>
  <c r="A8614" i="1"/>
  <c r="F8614" i="1"/>
  <c r="B8615" i="1"/>
  <c r="A8615" i="1"/>
  <c r="F8615" i="1"/>
  <c r="B8616" i="1"/>
  <c r="A8616" i="1"/>
  <c r="F8616" i="1"/>
  <c r="B8617" i="1"/>
  <c r="A8617" i="1"/>
  <c r="F8617" i="1"/>
  <c r="B8618" i="1"/>
  <c r="A8618" i="1"/>
  <c r="F8618" i="1"/>
  <c r="B8619" i="1"/>
  <c r="A8619" i="1"/>
  <c r="F8619" i="1"/>
  <c r="B8620" i="1"/>
  <c r="A8620" i="1"/>
  <c r="F8620" i="1"/>
  <c r="B8621" i="1"/>
  <c r="A8621" i="1"/>
  <c r="F8621" i="1"/>
  <c r="B8622" i="1"/>
  <c r="A8622" i="1"/>
  <c r="F8622" i="1"/>
  <c r="B8623" i="1"/>
  <c r="A8623" i="1"/>
  <c r="F8623" i="1"/>
  <c r="B8624" i="1"/>
  <c r="A8624" i="1"/>
  <c r="F8624" i="1"/>
  <c r="B8625" i="1"/>
  <c r="A8625" i="1"/>
  <c r="F8625" i="1"/>
  <c r="B8626" i="1"/>
  <c r="A8626" i="1"/>
  <c r="F8626" i="1"/>
  <c r="B8627" i="1"/>
  <c r="A8627" i="1"/>
  <c r="F8627" i="1"/>
  <c r="B8628" i="1"/>
  <c r="A8628" i="1"/>
  <c r="F8628" i="1"/>
  <c r="B8629" i="1"/>
  <c r="A8629" i="1"/>
  <c r="F8629" i="1"/>
  <c r="B8630" i="1"/>
  <c r="A8630" i="1"/>
  <c r="F8630" i="1"/>
  <c r="B8631" i="1"/>
  <c r="A8631" i="1"/>
  <c r="F8631" i="1"/>
  <c r="B8632" i="1"/>
  <c r="A8632" i="1"/>
  <c r="F8632" i="1"/>
  <c r="B8633" i="1"/>
  <c r="A8633" i="1"/>
  <c r="F8633" i="1"/>
  <c r="B8634" i="1"/>
  <c r="A8634" i="1"/>
  <c r="F8634" i="1"/>
  <c r="B8635" i="1"/>
  <c r="A8635" i="1"/>
  <c r="F8635" i="1"/>
  <c r="B8636" i="1"/>
  <c r="A8636" i="1"/>
  <c r="F8636" i="1"/>
  <c r="B8637" i="1"/>
  <c r="A8637" i="1"/>
  <c r="F8637" i="1"/>
  <c r="B8638" i="1"/>
  <c r="A8638" i="1"/>
  <c r="F8638" i="1"/>
  <c r="B8639" i="1"/>
  <c r="A8639" i="1"/>
  <c r="F8639" i="1"/>
  <c r="B8640" i="1"/>
  <c r="A8640" i="1"/>
  <c r="F8640" i="1"/>
  <c r="B8641" i="1"/>
  <c r="A8641" i="1"/>
  <c r="F8641" i="1"/>
  <c r="B8642" i="1"/>
  <c r="A8642" i="1"/>
  <c r="F8642" i="1"/>
  <c r="B8643" i="1"/>
  <c r="A8643" i="1"/>
  <c r="F8643" i="1"/>
  <c r="B8644" i="1"/>
  <c r="A8644" i="1"/>
  <c r="F8644" i="1"/>
  <c r="B8645" i="1"/>
  <c r="A8645" i="1"/>
  <c r="F8645" i="1"/>
  <c r="B8646" i="1"/>
  <c r="A8646" i="1"/>
  <c r="F8646" i="1"/>
  <c r="B8647" i="1"/>
  <c r="A8647" i="1"/>
  <c r="F8647" i="1"/>
  <c r="B8648" i="1"/>
  <c r="A8648" i="1"/>
  <c r="F8648" i="1"/>
  <c r="B8649" i="1"/>
  <c r="A8649" i="1"/>
  <c r="F8649" i="1"/>
  <c r="B8650" i="1"/>
  <c r="A8650" i="1"/>
  <c r="F8650" i="1"/>
  <c r="B8651" i="1"/>
  <c r="A8651" i="1"/>
  <c r="F8651" i="1"/>
  <c r="B8652" i="1"/>
  <c r="A8652" i="1"/>
  <c r="F8652" i="1"/>
  <c r="B8653" i="1"/>
  <c r="A8653" i="1"/>
  <c r="F8653" i="1"/>
  <c r="B8654" i="1"/>
  <c r="A8654" i="1"/>
  <c r="F8654" i="1"/>
  <c r="B8655" i="1"/>
  <c r="A8655" i="1"/>
  <c r="F8655" i="1"/>
  <c r="B8656" i="1"/>
  <c r="A8656" i="1"/>
  <c r="F8656" i="1"/>
  <c r="B8657" i="1"/>
  <c r="A8657" i="1"/>
  <c r="F8657" i="1"/>
  <c r="B8658" i="1"/>
  <c r="A8658" i="1"/>
  <c r="F8658" i="1"/>
  <c r="B8659" i="1"/>
  <c r="A8659" i="1"/>
  <c r="F8659" i="1"/>
  <c r="B8660" i="1"/>
  <c r="A8660" i="1"/>
  <c r="F8660" i="1"/>
  <c r="B8661" i="1"/>
  <c r="A8661" i="1"/>
  <c r="F8661" i="1"/>
  <c r="B8662" i="1"/>
  <c r="A8662" i="1"/>
  <c r="F8662" i="1"/>
  <c r="B8663" i="1"/>
  <c r="A8663" i="1"/>
  <c r="F8663" i="1"/>
  <c r="B8664" i="1"/>
  <c r="A8664" i="1"/>
  <c r="F8664" i="1"/>
  <c r="B8665" i="1"/>
  <c r="A8665" i="1"/>
  <c r="F8665" i="1"/>
  <c r="B8666" i="1"/>
  <c r="A8666" i="1"/>
  <c r="F8666" i="1"/>
  <c r="B8667" i="1"/>
  <c r="A8667" i="1"/>
  <c r="F8667" i="1"/>
  <c r="B8668" i="1"/>
  <c r="A8668" i="1"/>
  <c r="F8668" i="1"/>
  <c r="B8669" i="1"/>
  <c r="A8669" i="1"/>
  <c r="F8669" i="1"/>
  <c r="B8670" i="1"/>
  <c r="A8670" i="1"/>
  <c r="F8670" i="1"/>
  <c r="B8671" i="1"/>
  <c r="A8671" i="1"/>
  <c r="F8671" i="1"/>
  <c r="B8672" i="1"/>
  <c r="A8672" i="1"/>
  <c r="F8672" i="1"/>
  <c r="B8673" i="1"/>
  <c r="A8673" i="1"/>
  <c r="F8673" i="1"/>
  <c r="B8674" i="1"/>
  <c r="A8674" i="1"/>
  <c r="F8674" i="1"/>
  <c r="B8675" i="1"/>
  <c r="A8675" i="1"/>
  <c r="F8675" i="1"/>
  <c r="B8676" i="1"/>
  <c r="A8676" i="1"/>
  <c r="F8676" i="1"/>
  <c r="B8677" i="1"/>
  <c r="A8677" i="1"/>
  <c r="F8677" i="1"/>
  <c r="B8678" i="1"/>
  <c r="A8678" i="1"/>
  <c r="F8678" i="1"/>
  <c r="B8679" i="1"/>
  <c r="A8679" i="1"/>
  <c r="F8679" i="1"/>
  <c r="B8680" i="1"/>
  <c r="A8680" i="1"/>
  <c r="F8680" i="1"/>
  <c r="B8681" i="1"/>
  <c r="A8681" i="1"/>
  <c r="F8681" i="1"/>
  <c r="B8682" i="1"/>
  <c r="A8682" i="1"/>
  <c r="F8682" i="1"/>
  <c r="B8683" i="1"/>
  <c r="A8683" i="1"/>
  <c r="F8683" i="1"/>
  <c r="B8684" i="1"/>
  <c r="A8684" i="1"/>
  <c r="F8684" i="1"/>
  <c r="B8685" i="1"/>
  <c r="A8685" i="1"/>
  <c r="F8685" i="1"/>
  <c r="B8686" i="1"/>
  <c r="A8686" i="1"/>
  <c r="F8686" i="1"/>
  <c r="B8687" i="1"/>
  <c r="A8687" i="1"/>
  <c r="F8687" i="1"/>
  <c r="B8688" i="1"/>
  <c r="A8688" i="1"/>
  <c r="F8688" i="1"/>
  <c r="B8689" i="1"/>
  <c r="A8689" i="1"/>
  <c r="F8689" i="1"/>
  <c r="B8690" i="1"/>
  <c r="A8690" i="1"/>
  <c r="F8690" i="1"/>
  <c r="B8691" i="1"/>
  <c r="A8691" i="1"/>
  <c r="F8691" i="1"/>
  <c r="B8692" i="1"/>
  <c r="A8692" i="1"/>
  <c r="F8692" i="1"/>
  <c r="B8693" i="1"/>
  <c r="A8693" i="1"/>
  <c r="F8693" i="1"/>
  <c r="B8694" i="1"/>
  <c r="A8694" i="1"/>
  <c r="F8694" i="1"/>
  <c r="B8695" i="1"/>
  <c r="A8695" i="1"/>
  <c r="F8695" i="1"/>
  <c r="B8696" i="1"/>
  <c r="A8696" i="1"/>
  <c r="F8696" i="1"/>
  <c r="B8697" i="1"/>
  <c r="A8697" i="1"/>
  <c r="F8697" i="1"/>
  <c r="B8698" i="1"/>
  <c r="A8698" i="1"/>
  <c r="F8698" i="1"/>
  <c r="B8699" i="1"/>
  <c r="A8699" i="1"/>
  <c r="F8699" i="1"/>
  <c r="B8700" i="1"/>
  <c r="A8700" i="1"/>
  <c r="F8700" i="1"/>
  <c r="B8701" i="1"/>
  <c r="A8701" i="1"/>
  <c r="F8701" i="1"/>
  <c r="B8702" i="1"/>
  <c r="A8702" i="1"/>
  <c r="F8702" i="1"/>
  <c r="B8703" i="1"/>
  <c r="A8703" i="1"/>
  <c r="F8703" i="1"/>
  <c r="B8704" i="1"/>
  <c r="A8704" i="1"/>
  <c r="F8704" i="1"/>
  <c r="B8705" i="1"/>
  <c r="A8705" i="1"/>
  <c r="F8705" i="1"/>
  <c r="B8706" i="1"/>
  <c r="A8706" i="1"/>
  <c r="F8706" i="1"/>
  <c r="B8707" i="1"/>
  <c r="A8707" i="1"/>
  <c r="F8707" i="1"/>
  <c r="B8708" i="1"/>
  <c r="A8708" i="1"/>
  <c r="F8708" i="1"/>
  <c r="B8709" i="1"/>
  <c r="A8709" i="1"/>
  <c r="F8709" i="1"/>
  <c r="B8710" i="1"/>
  <c r="A8710" i="1"/>
  <c r="F8710" i="1"/>
  <c r="B8711" i="1"/>
  <c r="A8711" i="1"/>
  <c r="F8711" i="1"/>
  <c r="B8712" i="1"/>
  <c r="A8712" i="1"/>
  <c r="F8712" i="1"/>
  <c r="B8713" i="1"/>
  <c r="A8713" i="1"/>
  <c r="F8713" i="1"/>
  <c r="B8714" i="1"/>
  <c r="A8714" i="1"/>
  <c r="F8714" i="1"/>
  <c r="B8715" i="1"/>
  <c r="A8715" i="1"/>
  <c r="F8715" i="1"/>
  <c r="B8716" i="1"/>
  <c r="A8716" i="1"/>
  <c r="F8716" i="1"/>
  <c r="B8717" i="1"/>
  <c r="A8717" i="1"/>
  <c r="F8717" i="1"/>
  <c r="B8718" i="1"/>
  <c r="A8718" i="1"/>
  <c r="F8718" i="1"/>
  <c r="B8719" i="1"/>
  <c r="A8719" i="1"/>
  <c r="F8719" i="1"/>
  <c r="B8720" i="1"/>
  <c r="A8720" i="1"/>
  <c r="F8720" i="1"/>
  <c r="B8721" i="1"/>
  <c r="A8721" i="1"/>
  <c r="F8721" i="1"/>
  <c r="B8722" i="1"/>
  <c r="A8722" i="1"/>
  <c r="F8722" i="1"/>
  <c r="B8723" i="1"/>
  <c r="A8723" i="1"/>
  <c r="F8723" i="1"/>
  <c r="B8724" i="1"/>
  <c r="A8724" i="1"/>
  <c r="F8724" i="1"/>
  <c r="B8725" i="1"/>
  <c r="A8725" i="1"/>
  <c r="F8725" i="1"/>
  <c r="B8726" i="1"/>
  <c r="A8726" i="1"/>
  <c r="F8726" i="1"/>
  <c r="B8727" i="1"/>
  <c r="A8727" i="1"/>
  <c r="F8727" i="1"/>
  <c r="B8728" i="1"/>
  <c r="A8728" i="1"/>
  <c r="F8728" i="1"/>
  <c r="B8729" i="1"/>
  <c r="A8729" i="1"/>
  <c r="F8729" i="1"/>
  <c r="B8730" i="1"/>
  <c r="A8730" i="1"/>
  <c r="F8730" i="1"/>
  <c r="B8731" i="1"/>
  <c r="A8731" i="1"/>
  <c r="F8731" i="1"/>
  <c r="B8732" i="1"/>
  <c r="A8732" i="1"/>
  <c r="F8732" i="1"/>
  <c r="B8733" i="1"/>
  <c r="A8733" i="1"/>
  <c r="F8733" i="1"/>
  <c r="B8734" i="1"/>
  <c r="A8734" i="1"/>
  <c r="F8734" i="1"/>
  <c r="B8735" i="1"/>
  <c r="A8735" i="1"/>
  <c r="F8735" i="1"/>
  <c r="B8736" i="1"/>
  <c r="A8736" i="1"/>
  <c r="F8736" i="1"/>
  <c r="B8737" i="1"/>
  <c r="A8737" i="1"/>
  <c r="F8737" i="1"/>
  <c r="B8738" i="1"/>
  <c r="A8738" i="1"/>
  <c r="F8738" i="1"/>
  <c r="B8739" i="1"/>
  <c r="A8739" i="1"/>
  <c r="F8739" i="1"/>
  <c r="B8740" i="1"/>
  <c r="A8740" i="1"/>
  <c r="F8740" i="1"/>
  <c r="B8741" i="1"/>
  <c r="A8741" i="1"/>
  <c r="F8741" i="1"/>
  <c r="B8742" i="1"/>
  <c r="A8742" i="1"/>
  <c r="F8742" i="1"/>
  <c r="B8743" i="1"/>
  <c r="A8743" i="1"/>
  <c r="F8743" i="1"/>
  <c r="B8744" i="1"/>
  <c r="A8744" i="1"/>
  <c r="F8744" i="1"/>
  <c r="B8745" i="1"/>
  <c r="A8745" i="1"/>
  <c r="F8745" i="1"/>
  <c r="B8746" i="1"/>
  <c r="A8746" i="1"/>
  <c r="F8746" i="1"/>
  <c r="B8747" i="1"/>
  <c r="A8747" i="1"/>
  <c r="F8747" i="1"/>
  <c r="B8748" i="1"/>
  <c r="A8748" i="1"/>
  <c r="F8748" i="1"/>
  <c r="B8749" i="1"/>
  <c r="A8749" i="1"/>
  <c r="F8749" i="1"/>
  <c r="B8750" i="1"/>
  <c r="A8750" i="1"/>
  <c r="F8750" i="1"/>
  <c r="B8751" i="1"/>
  <c r="A8751" i="1"/>
  <c r="F8751" i="1"/>
  <c r="B8752" i="1"/>
  <c r="A8752" i="1"/>
  <c r="F8752" i="1"/>
  <c r="B8753" i="1"/>
  <c r="A8753" i="1"/>
  <c r="F8753" i="1"/>
  <c r="B8754" i="1"/>
  <c r="A8754" i="1"/>
  <c r="F8754" i="1"/>
  <c r="B8755" i="1"/>
  <c r="A8755" i="1"/>
  <c r="F8755" i="1"/>
  <c r="B8756" i="1"/>
  <c r="A8756" i="1"/>
  <c r="F8756" i="1"/>
  <c r="B8757" i="1"/>
  <c r="A8757" i="1"/>
  <c r="F8757" i="1"/>
  <c r="B8758" i="1"/>
  <c r="A8758" i="1"/>
  <c r="F8758" i="1"/>
  <c r="B8759" i="1"/>
  <c r="A8759" i="1"/>
  <c r="F8759" i="1"/>
  <c r="B8760" i="1"/>
  <c r="A8760" i="1"/>
  <c r="F8760" i="1"/>
  <c r="B8761" i="1"/>
  <c r="A8761" i="1"/>
  <c r="F8761" i="1"/>
  <c r="B8762" i="1"/>
  <c r="A8762" i="1"/>
  <c r="F8762" i="1"/>
  <c r="B8763" i="1"/>
  <c r="A8763" i="1"/>
  <c r="F8763" i="1"/>
  <c r="B8764" i="1"/>
  <c r="A8764" i="1"/>
  <c r="F8764" i="1"/>
  <c r="B8765" i="1"/>
  <c r="A8765" i="1"/>
  <c r="F8765" i="1"/>
  <c r="B8766" i="1"/>
  <c r="A8766" i="1"/>
  <c r="F8766" i="1"/>
  <c r="B8767" i="1"/>
  <c r="A8767" i="1"/>
  <c r="F8767" i="1"/>
  <c r="B8768" i="1"/>
  <c r="A8768" i="1"/>
  <c r="F8768" i="1"/>
  <c r="B8769" i="1"/>
  <c r="A8769" i="1"/>
  <c r="F8769" i="1"/>
  <c r="B8770" i="1"/>
  <c r="A8770" i="1"/>
  <c r="F8770" i="1"/>
  <c r="B8771" i="1"/>
  <c r="A8771" i="1"/>
  <c r="F8771" i="1"/>
  <c r="B8772" i="1"/>
  <c r="A8772" i="1"/>
  <c r="F8772" i="1"/>
  <c r="B8773" i="1"/>
  <c r="A8773" i="1"/>
  <c r="F8773" i="1"/>
  <c r="B8774" i="1"/>
  <c r="A8774" i="1"/>
  <c r="F8774" i="1"/>
  <c r="B8775" i="1"/>
  <c r="A8775" i="1"/>
  <c r="F8775" i="1"/>
  <c r="B8776" i="1"/>
  <c r="A8776" i="1"/>
  <c r="F8776" i="1"/>
  <c r="B8777" i="1"/>
  <c r="A8777" i="1"/>
  <c r="F8777" i="1"/>
  <c r="B8778" i="1"/>
  <c r="A8778" i="1"/>
  <c r="F8778" i="1"/>
  <c r="B8779" i="1"/>
  <c r="A8779" i="1"/>
  <c r="F8779" i="1"/>
  <c r="B8780" i="1"/>
  <c r="A8780" i="1"/>
  <c r="F8780" i="1"/>
  <c r="B8781" i="1"/>
  <c r="A8781" i="1"/>
  <c r="F8781" i="1"/>
  <c r="B8782" i="1"/>
  <c r="A8782" i="1"/>
  <c r="F8782" i="1"/>
  <c r="B8783" i="1"/>
  <c r="A8783" i="1"/>
  <c r="F8783" i="1"/>
  <c r="B8784" i="1"/>
  <c r="A8784" i="1"/>
  <c r="F8784" i="1"/>
  <c r="B8785" i="1"/>
  <c r="A8785" i="1"/>
  <c r="F8785" i="1"/>
  <c r="B8786" i="1"/>
  <c r="A8786" i="1"/>
  <c r="F8786" i="1"/>
  <c r="B8787" i="1"/>
  <c r="A8787" i="1"/>
  <c r="F8787" i="1"/>
  <c r="B8788" i="1"/>
  <c r="A8788" i="1"/>
  <c r="F8788" i="1"/>
  <c r="B8789" i="1"/>
  <c r="A8789" i="1"/>
  <c r="F8789" i="1"/>
  <c r="B8790" i="1"/>
  <c r="A8790" i="1"/>
  <c r="F8790" i="1"/>
  <c r="B8791" i="1"/>
  <c r="A8791" i="1"/>
  <c r="F8791" i="1"/>
  <c r="B8792" i="1"/>
  <c r="A8792" i="1"/>
  <c r="F8792" i="1"/>
  <c r="B8793" i="1"/>
  <c r="A8793" i="1"/>
  <c r="F8793" i="1"/>
  <c r="B8794" i="1"/>
  <c r="A8794" i="1"/>
  <c r="F8794" i="1"/>
  <c r="B8795" i="1"/>
  <c r="A8795" i="1"/>
  <c r="F8795" i="1"/>
  <c r="B8796" i="1"/>
  <c r="A8796" i="1"/>
  <c r="F8796" i="1"/>
  <c r="B8797" i="1"/>
  <c r="A8797" i="1"/>
  <c r="F8797" i="1"/>
  <c r="B8798" i="1"/>
  <c r="A8798" i="1"/>
  <c r="F8798" i="1"/>
  <c r="B8799" i="1"/>
  <c r="A8799" i="1"/>
  <c r="F8799" i="1"/>
  <c r="B8800" i="1"/>
  <c r="A8800" i="1"/>
  <c r="F8800" i="1"/>
  <c r="B8801" i="1"/>
  <c r="A8801" i="1"/>
  <c r="F8801" i="1"/>
  <c r="B8802" i="1"/>
  <c r="A8802" i="1"/>
  <c r="F8802" i="1"/>
  <c r="B8803" i="1"/>
  <c r="A8803" i="1"/>
  <c r="F8803" i="1"/>
  <c r="B8804" i="1"/>
  <c r="A8804" i="1"/>
  <c r="F8804" i="1"/>
  <c r="B8805" i="1"/>
  <c r="A8805" i="1"/>
  <c r="F8805" i="1"/>
  <c r="B8806" i="1"/>
  <c r="A8806" i="1"/>
  <c r="F8806" i="1"/>
  <c r="B8807" i="1"/>
  <c r="A8807" i="1"/>
  <c r="F8807" i="1"/>
  <c r="B8808" i="1"/>
  <c r="A8808" i="1"/>
  <c r="F8808" i="1"/>
  <c r="B8809" i="1"/>
  <c r="A8809" i="1"/>
  <c r="F8809" i="1"/>
  <c r="B8810" i="1"/>
  <c r="A8810" i="1"/>
  <c r="F8810" i="1"/>
  <c r="B8811" i="1"/>
  <c r="A8811" i="1"/>
  <c r="F8811" i="1"/>
  <c r="B8812" i="1"/>
  <c r="A8812" i="1"/>
  <c r="F8812" i="1"/>
  <c r="B8813" i="1"/>
  <c r="A8813" i="1"/>
  <c r="F8813" i="1"/>
  <c r="B8814" i="1"/>
  <c r="A8814" i="1"/>
  <c r="F8814" i="1"/>
  <c r="B8815" i="1"/>
  <c r="A8815" i="1"/>
  <c r="F8815" i="1"/>
  <c r="B8816" i="1"/>
  <c r="A8816" i="1"/>
  <c r="F8816" i="1"/>
  <c r="B8817" i="1"/>
  <c r="A8817" i="1"/>
  <c r="F8817" i="1"/>
  <c r="B8818" i="1"/>
  <c r="A8818" i="1"/>
  <c r="F8818" i="1"/>
  <c r="B8819" i="1"/>
  <c r="A8819" i="1"/>
  <c r="F8819" i="1"/>
  <c r="B8820" i="1"/>
  <c r="A8820" i="1"/>
  <c r="F8820" i="1"/>
  <c r="B8821" i="1"/>
  <c r="A8821" i="1"/>
  <c r="F8821" i="1"/>
  <c r="B8822" i="1"/>
  <c r="A8822" i="1"/>
  <c r="F8822" i="1"/>
  <c r="B8823" i="1"/>
  <c r="A8823" i="1"/>
  <c r="F8823" i="1"/>
  <c r="B8824" i="1"/>
  <c r="A8824" i="1"/>
  <c r="F8824" i="1"/>
  <c r="B8825" i="1"/>
  <c r="A8825" i="1"/>
  <c r="F8825" i="1"/>
  <c r="B8826" i="1"/>
  <c r="A8826" i="1"/>
  <c r="F8826" i="1"/>
  <c r="B8827" i="1"/>
  <c r="A8827" i="1"/>
  <c r="F8827" i="1"/>
  <c r="B8828" i="1"/>
  <c r="A8828" i="1"/>
  <c r="F8828" i="1"/>
  <c r="B8829" i="1"/>
  <c r="A8829" i="1"/>
  <c r="F8829" i="1"/>
  <c r="B8830" i="1"/>
  <c r="A8830" i="1"/>
  <c r="F8830" i="1"/>
  <c r="B8831" i="1"/>
  <c r="A8831" i="1"/>
  <c r="F8831" i="1"/>
  <c r="B8832" i="1"/>
  <c r="A8832" i="1"/>
  <c r="F8832" i="1"/>
  <c r="B8833" i="1"/>
  <c r="A8833" i="1"/>
  <c r="F8833" i="1"/>
  <c r="B8834" i="1"/>
  <c r="A8834" i="1"/>
  <c r="F8834" i="1"/>
  <c r="B8835" i="1"/>
  <c r="A8835" i="1"/>
  <c r="F8835" i="1"/>
  <c r="B8836" i="1"/>
  <c r="A8836" i="1"/>
  <c r="F8836" i="1"/>
  <c r="B8837" i="1"/>
  <c r="A8837" i="1"/>
  <c r="F8837" i="1"/>
  <c r="B8838" i="1"/>
  <c r="A8838" i="1"/>
  <c r="F8838" i="1"/>
  <c r="B8839" i="1"/>
  <c r="A8839" i="1"/>
  <c r="F8839" i="1"/>
  <c r="B8840" i="1"/>
  <c r="A8840" i="1"/>
  <c r="F8840" i="1"/>
  <c r="B8841" i="1"/>
  <c r="A8841" i="1"/>
  <c r="F8841" i="1"/>
  <c r="B8842" i="1"/>
  <c r="A8842" i="1"/>
  <c r="F8842" i="1"/>
  <c r="B8843" i="1"/>
  <c r="A8843" i="1"/>
  <c r="F8843" i="1"/>
  <c r="B8844" i="1"/>
  <c r="A8844" i="1"/>
  <c r="F8844" i="1"/>
  <c r="B8845" i="1"/>
  <c r="A8845" i="1"/>
  <c r="F8845" i="1"/>
  <c r="B8846" i="1"/>
  <c r="A8846" i="1"/>
  <c r="F8846" i="1"/>
  <c r="B8847" i="1"/>
  <c r="A8847" i="1"/>
  <c r="F8847" i="1"/>
  <c r="B8848" i="1"/>
  <c r="A8848" i="1"/>
  <c r="F8848" i="1"/>
  <c r="B8849" i="1"/>
  <c r="A8849" i="1"/>
  <c r="F8849" i="1"/>
  <c r="B8850" i="1"/>
  <c r="A8850" i="1"/>
  <c r="F8850" i="1"/>
  <c r="B8851" i="1"/>
  <c r="A8851" i="1"/>
  <c r="F8851" i="1"/>
  <c r="B8852" i="1"/>
  <c r="A8852" i="1"/>
  <c r="F8852" i="1"/>
  <c r="B8853" i="1"/>
  <c r="A8853" i="1"/>
  <c r="F8853" i="1"/>
  <c r="B8854" i="1"/>
  <c r="A8854" i="1"/>
  <c r="F8854" i="1"/>
  <c r="B8855" i="1"/>
  <c r="A8855" i="1"/>
  <c r="F8855" i="1"/>
  <c r="B8856" i="1"/>
  <c r="A8856" i="1"/>
  <c r="F8856" i="1"/>
  <c r="B8857" i="1"/>
  <c r="A8857" i="1"/>
  <c r="F8857" i="1"/>
  <c r="B8858" i="1"/>
  <c r="A8858" i="1"/>
  <c r="F8858" i="1"/>
  <c r="B8859" i="1"/>
  <c r="A8859" i="1"/>
  <c r="F8859" i="1"/>
  <c r="B8860" i="1"/>
  <c r="A8860" i="1"/>
  <c r="F8860" i="1"/>
  <c r="B8861" i="1"/>
  <c r="A8861" i="1"/>
  <c r="F8861" i="1"/>
  <c r="B8862" i="1"/>
  <c r="A8862" i="1"/>
  <c r="F8862" i="1"/>
  <c r="B8863" i="1"/>
  <c r="A8863" i="1"/>
  <c r="F8863" i="1"/>
  <c r="B8864" i="1"/>
  <c r="A8864" i="1"/>
  <c r="F8864" i="1"/>
  <c r="B8865" i="1"/>
  <c r="A8865" i="1"/>
  <c r="F8865" i="1"/>
  <c r="B8866" i="1"/>
  <c r="A8866" i="1"/>
  <c r="F8866" i="1"/>
  <c r="B8867" i="1"/>
  <c r="A8867" i="1"/>
  <c r="F8867" i="1"/>
  <c r="B8868" i="1"/>
  <c r="A8868" i="1"/>
  <c r="F8868" i="1"/>
  <c r="B8869" i="1"/>
  <c r="A8869" i="1"/>
  <c r="F8869" i="1"/>
  <c r="B8870" i="1"/>
  <c r="A8870" i="1"/>
  <c r="F8870" i="1"/>
  <c r="B8871" i="1"/>
  <c r="A8871" i="1"/>
  <c r="F8871" i="1"/>
  <c r="B8872" i="1"/>
  <c r="A8872" i="1"/>
  <c r="F8872" i="1"/>
  <c r="B8873" i="1"/>
  <c r="A8873" i="1"/>
  <c r="F8873" i="1"/>
  <c r="B8874" i="1"/>
  <c r="A8874" i="1"/>
  <c r="F8874" i="1"/>
  <c r="B8875" i="1"/>
  <c r="A8875" i="1"/>
  <c r="F8875" i="1"/>
  <c r="B8876" i="1"/>
  <c r="A8876" i="1"/>
  <c r="F8876" i="1"/>
  <c r="B8877" i="1"/>
  <c r="A8877" i="1"/>
  <c r="F8877" i="1"/>
  <c r="B8878" i="1"/>
  <c r="A8878" i="1"/>
  <c r="F8878" i="1"/>
  <c r="B8879" i="1"/>
  <c r="A8879" i="1"/>
  <c r="F8879" i="1"/>
  <c r="B8880" i="1"/>
  <c r="A8880" i="1"/>
  <c r="F8880" i="1"/>
  <c r="B8881" i="1"/>
  <c r="A8881" i="1"/>
  <c r="F8881" i="1"/>
  <c r="B8882" i="1"/>
  <c r="A8882" i="1"/>
  <c r="F8882" i="1"/>
  <c r="B8883" i="1"/>
  <c r="A8883" i="1"/>
  <c r="F8883" i="1"/>
  <c r="B8884" i="1"/>
  <c r="A8884" i="1"/>
  <c r="F8884" i="1"/>
  <c r="B8885" i="1"/>
  <c r="A8885" i="1"/>
  <c r="F8885" i="1"/>
  <c r="B8886" i="1"/>
  <c r="A8886" i="1"/>
  <c r="F8886" i="1"/>
  <c r="B8887" i="1"/>
  <c r="A8887" i="1"/>
  <c r="F8887" i="1"/>
  <c r="B8888" i="1"/>
  <c r="A8888" i="1"/>
  <c r="F8888" i="1"/>
  <c r="B8889" i="1"/>
  <c r="A8889" i="1"/>
  <c r="F8889" i="1"/>
  <c r="B8890" i="1"/>
  <c r="A8890" i="1"/>
  <c r="F8890" i="1"/>
  <c r="B8891" i="1"/>
  <c r="A8891" i="1"/>
  <c r="F8891" i="1"/>
  <c r="B8892" i="1"/>
  <c r="A8892" i="1"/>
  <c r="F8892" i="1"/>
  <c r="B8893" i="1"/>
  <c r="A8893" i="1"/>
  <c r="F8893" i="1"/>
  <c r="B8894" i="1"/>
  <c r="A8894" i="1"/>
  <c r="F8894" i="1"/>
  <c r="B8895" i="1"/>
  <c r="A8895" i="1"/>
  <c r="F8895" i="1"/>
  <c r="B8896" i="1"/>
  <c r="A8896" i="1"/>
  <c r="F8896" i="1"/>
  <c r="B8897" i="1"/>
  <c r="A8897" i="1"/>
  <c r="F8897" i="1"/>
  <c r="B8898" i="1"/>
  <c r="A8898" i="1"/>
  <c r="F8898" i="1"/>
  <c r="B8899" i="1"/>
  <c r="A8899" i="1"/>
  <c r="F8899" i="1"/>
  <c r="B8900" i="1"/>
  <c r="A8900" i="1"/>
  <c r="F8900" i="1"/>
  <c r="B8901" i="1"/>
  <c r="A8901" i="1"/>
  <c r="F8901" i="1"/>
  <c r="B8902" i="1"/>
  <c r="A8902" i="1"/>
  <c r="F8902" i="1"/>
  <c r="B8903" i="1"/>
  <c r="A8903" i="1"/>
  <c r="F8903" i="1"/>
  <c r="B8904" i="1"/>
  <c r="A8904" i="1"/>
  <c r="F8904" i="1"/>
  <c r="B8905" i="1"/>
  <c r="A8905" i="1"/>
  <c r="F8905" i="1"/>
  <c r="B8906" i="1"/>
  <c r="A8906" i="1"/>
  <c r="F8906" i="1"/>
  <c r="B8907" i="1"/>
  <c r="A8907" i="1"/>
  <c r="F8907" i="1"/>
  <c r="B8908" i="1"/>
  <c r="A8908" i="1"/>
  <c r="F8908" i="1"/>
  <c r="B8909" i="1"/>
  <c r="A8909" i="1"/>
  <c r="F8909" i="1"/>
  <c r="B8910" i="1"/>
  <c r="A8910" i="1"/>
  <c r="F8910" i="1"/>
  <c r="B8911" i="1"/>
  <c r="A8911" i="1"/>
  <c r="F8911" i="1"/>
  <c r="B8912" i="1"/>
  <c r="A8912" i="1"/>
  <c r="F8912" i="1"/>
  <c r="B8913" i="1"/>
  <c r="A8913" i="1"/>
  <c r="F8913" i="1"/>
  <c r="B8914" i="1"/>
  <c r="A8914" i="1"/>
  <c r="F8914" i="1"/>
  <c r="B8915" i="1"/>
  <c r="A8915" i="1"/>
  <c r="F8915" i="1"/>
  <c r="B8916" i="1"/>
  <c r="A8916" i="1"/>
  <c r="F8916" i="1"/>
  <c r="B8917" i="1"/>
  <c r="A8917" i="1"/>
  <c r="F8917" i="1"/>
  <c r="B8918" i="1"/>
  <c r="A8918" i="1"/>
  <c r="F8918" i="1"/>
  <c r="B8919" i="1"/>
  <c r="A8919" i="1"/>
  <c r="F8919" i="1"/>
  <c r="B8920" i="1"/>
  <c r="A8920" i="1"/>
  <c r="F8920" i="1"/>
  <c r="B8921" i="1"/>
  <c r="A8921" i="1"/>
  <c r="F8921" i="1"/>
  <c r="B8922" i="1"/>
  <c r="A8922" i="1"/>
  <c r="F8922" i="1"/>
  <c r="B8923" i="1"/>
  <c r="A8923" i="1"/>
  <c r="F8923" i="1"/>
  <c r="B8924" i="1"/>
  <c r="A8924" i="1"/>
  <c r="F8924" i="1"/>
  <c r="B8925" i="1"/>
  <c r="A8925" i="1"/>
  <c r="F8925" i="1"/>
  <c r="B8926" i="1"/>
  <c r="A8926" i="1"/>
  <c r="F8926" i="1"/>
  <c r="B8927" i="1"/>
  <c r="A8927" i="1"/>
  <c r="F8927" i="1"/>
  <c r="B8928" i="1"/>
  <c r="A8928" i="1"/>
  <c r="F8928" i="1"/>
  <c r="B8929" i="1"/>
  <c r="A8929" i="1"/>
  <c r="F8929" i="1"/>
  <c r="B8930" i="1"/>
  <c r="A8930" i="1"/>
  <c r="F8930" i="1"/>
  <c r="B8931" i="1"/>
  <c r="A8931" i="1"/>
  <c r="F8931" i="1"/>
  <c r="B8932" i="1"/>
  <c r="A8932" i="1"/>
  <c r="F8932" i="1"/>
  <c r="B8933" i="1"/>
  <c r="A8933" i="1"/>
  <c r="F8933" i="1"/>
  <c r="B8934" i="1"/>
  <c r="A8934" i="1"/>
  <c r="F8934" i="1"/>
  <c r="B8935" i="1"/>
  <c r="A8935" i="1"/>
  <c r="F8935" i="1"/>
  <c r="B8936" i="1"/>
  <c r="A8936" i="1"/>
  <c r="F8936" i="1"/>
  <c r="B8937" i="1"/>
  <c r="A8937" i="1"/>
  <c r="F8937" i="1"/>
  <c r="B8938" i="1"/>
  <c r="A8938" i="1"/>
  <c r="F8938" i="1"/>
  <c r="B8939" i="1"/>
  <c r="A8939" i="1"/>
  <c r="F8939" i="1"/>
  <c r="B8940" i="1"/>
  <c r="A8940" i="1"/>
  <c r="F8940" i="1"/>
  <c r="B8941" i="1"/>
  <c r="A8941" i="1"/>
  <c r="F8941" i="1"/>
  <c r="B8942" i="1"/>
  <c r="A8942" i="1"/>
  <c r="F8942" i="1"/>
  <c r="B8943" i="1"/>
  <c r="A8943" i="1"/>
  <c r="F8943" i="1"/>
  <c r="B8944" i="1"/>
  <c r="A8944" i="1"/>
  <c r="F8944" i="1"/>
  <c r="B8945" i="1"/>
  <c r="A8945" i="1"/>
  <c r="F8945" i="1"/>
  <c r="B8946" i="1"/>
  <c r="A8946" i="1"/>
  <c r="F8946" i="1"/>
  <c r="B8947" i="1"/>
  <c r="A8947" i="1"/>
  <c r="F8947" i="1"/>
  <c r="B8948" i="1"/>
  <c r="A8948" i="1"/>
  <c r="F8948" i="1"/>
  <c r="B8949" i="1"/>
  <c r="A8949" i="1"/>
  <c r="F8949" i="1"/>
  <c r="B8950" i="1"/>
  <c r="A8950" i="1"/>
  <c r="F8950" i="1"/>
  <c r="B8951" i="1"/>
  <c r="A8951" i="1"/>
  <c r="F8951" i="1"/>
  <c r="B8952" i="1"/>
  <c r="A8952" i="1"/>
  <c r="F8952" i="1"/>
  <c r="B8953" i="1"/>
  <c r="A8953" i="1"/>
  <c r="F8953" i="1"/>
  <c r="B8954" i="1"/>
  <c r="A8954" i="1"/>
  <c r="F8954" i="1"/>
  <c r="B8955" i="1"/>
  <c r="A8955" i="1"/>
  <c r="F8955" i="1"/>
  <c r="B8956" i="1"/>
  <c r="A8956" i="1"/>
  <c r="F8956" i="1"/>
  <c r="B8957" i="1"/>
  <c r="A8957" i="1"/>
  <c r="F8957" i="1"/>
  <c r="B8958" i="1"/>
  <c r="A8958" i="1"/>
  <c r="F8958" i="1"/>
  <c r="B8959" i="1"/>
  <c r="A8959" i="1"/>
  <c r="F8959" i="1"/>
  <c r="B8960" i="1"/>
  <c r="A8960" i="1"/>
  <c r="F8960" i="1"/>
  <c r="B8961" i="1"/>
  <c r="A8961" i="1"/>
  <c r="F8961" i="1"/>
  <c r="B8962" i="1"/>
  <c r="A8962" i="1"/>
  <c r="F8962" i="1"/>
  <c r="B8963" i="1"/>
  <c r="A8963" i="1"/>
  <c r="F8963" i="1"/>
  <c r="B8964" i="1"/>
  <c r="A8964" i="1"/>
  <c r="F8964" i="1"/>
  <c r="B8965" i="1"/>
  <c r="A8965" i="1"/>
  <c r="F8965" i="1"/>
  <c r="B8966" i="1"/>
  <c r="A8966" i="1"/>
  <c r="F8966" i="1"/>
  <c r="B8967" i="1"/>
  <c r="A8967" i="1"/>
  <c r="F8967" i="1"/>
  <c r="B8968" i="1"/>
  <c r="A8968" i="1"/>
  <c r="F8968" i="1"/>
  <c r="B8969" i="1"/>
  <c r="A8969" i="1"/>
  <c r="F8969" i="1"/>
  <c r="B8970" i="1"/>
  <c r="A8970" i="1"/>
  <c r="F8970" i="1"/>
  <c r="B8971" i="1"/>
  <c r="A8971" i="1"/>
  <c r="F8971" i="1"/>
  <c r="B8972" i="1"/>
  <c r="A8972" i="1"/>
  <c r="F8972" i="1"/>
  <c r="B8973" i="1"/>
  <c r="A8973" i="1"/>
  <c r="F8973" i="1"/>
  <c r="B8974" i="1"/>
  <c r="A8974" i="1"/>
  <c r="F8974" i="1"/>
  <c r="B8975" i="1"/>
  <c r="A8975" i="1"/>
  <c r="F8975" i="1"/>
  <c r="B8976" i="1"/>
  <c r="A8976" i="1"/>
  <c r="F8976" i="1"/>
  <c r="B8977" i="1"/>
  <c r="A8977" i="1"/>
  <c r="F8977" i="1"/>
  <c r="B8978" i="1"/>
  <c r="A8978" i="1"/>
  <c r="F8978" i="1"/>
  <c r="B8979" i="1"/>
  <c r="A8979" i="1"/>
  <c r="F8979" i="1"/>
  <c r="B8980" i="1"/>
  <c r="A8980" i="1"/>
  <c r="F8980" i="1"/>
  <c r="B8981" i="1"/>
  <c r="A8981" i="1"/>
  <c r="F8981" i="1"/>
  <c r="B8982" i="1"/>
  <c r="A8982" i="1"/>
  <c r="F8982" i="1"/>
  <c r="B8983" i="1"/>
  <c r="A8983" i="1"/>
  <c r="F8983" i="1"/>
  <c r="B8984" i="1"/>
  <c r="A8984" i="1"/>
  <c r="F8984" i="1"/>
  <c r="B8985" i="1"/>
  <c r="A8985" i="1"/>
  <c r="F8985" i="1"/>
  <c r="B8986" i="1"/>
  <c r="A8986" i="1"/>
  <c r="F8986" i="1"/>
  <c r="B8987" i="1"/>
  <c r="A8987" i="1"/>
  <c r="F8987" i="1"/>
  <c r="B8988" i="1"/>
  <c r="A8988" i="1"/>
  <c r="F8988" i="1"/>
  <c r="B8989" i="1"/>
  <c r="A8989" i="1"/>
  <c r="F8989" i="1"/>
  <c r="B8990" i="1"/>
  <c r="A8990" i="1"/>
  <c r="F8990" i="1"/>
  <c r="B8991" i="1"/>
  <c r="A8991" i="1"/>
  <c r="F8991" i="1"/>
  <c r="B8992" i="1"/>
  <c r="A8992" i="1"/>
  <c r="F8992" i="1"/>
  <c r="B8993" i="1"/>
  <c r="A8993" i="1"/>
  <c r="F8993" i="1"/>
  <c r="B8994" i="1"/>
  <c r="A8994" i="1"/>
  <c r="F8994" i="1"/>
  <c r="B8995" i="1"/>
  <c r="A8995" i="1"/>
  <c r="F8995" i="1"/>
  <c r="B8996" i="1"/>
  <c r="A8996" i="1"/>
  <c r="F8996" i="1"/>
  <c r="B8997" i="1"/>
  <c r="A8997" i="1"/>
  <c r="F8997" i="1"/>
  <c r="B8998" i="1"/>
  <c r="A8998" i="1"/>
  <c r="F8998" i="1"/>
  <c r="B8999" i="1"/>
  <c r="A8999" i="1"/>
  <c r="F8999" i="1"/>
  <c r="B9000" i="1"/>
  <c r="A9000" i="1"/>
  <c r="F9000" i="1"/>
  <c r="B9001" i="1"/>
  <c r="A9001" i="1"/>
  <c r="F9001" i="1"/>
  <c r="B9002" i="1"/>
  <c r="A9002" i="1"/>
  <c r="F9002" i="1"/>
  <c r="B9003" i="1"/>
  <c r="A9003" i="1"/>
  <c r="F9003" i="1"/>
  <c r="B9004" i="1"/>
  <c r="A9004" i="1"/>
  <c r="F9004" i="1"/>
  <c r="B9005" i="1"/>
  <c r="A9005" i="1"/>
  <c r="F9005" i="1"/>
  <c r="B9006" i="1"/>
  <c r="A9006" i="1"/>
  <c r="F9006" i="1"/>
  <c r="B9007" i="1"/>
  <c r="A9007" i="1"/>
  <c r="F9007" i="1"/>
  <c r="B9008" i="1"/>
  <c r="A9008" i="1"/>
  <c r="F9008" i="1"/>
  <c r="B9009" i="1"/>
  <c r="A9009" i="1"/>
  <c r="F9009" i="1"/>
  <c r="B9010" i="1"/>
  <c r="A9010" i="1"/>
  <c r="F9010" i="1"/>
  <c r="B9011" i="1"/>
  <c r="A9011" i="1"/>
  <c r="F9011" i="1"/>
  <c r="B9012" i="1"/>
  <c r="A9012" i="1"/>
  <c r="F9012" i="1"/>
  <c r="B9013" i="1"/>
  <c r="A9013" i="1"/>
  <c r="F9013" i="1"/>
  <c r="B9014" i="1"/>
  <c r="A9014" i="1"/>
  <c r="F9014" i="1"/>
  <c r="B9015" i="1"/>
  <c r="A9015" i="1"/>
  <c r="F9015" i="1"/>
  <c r="B9016" i="1"/>
  <c r="A9016" i="1"/>
  <c r="F9016" i="1"/>
  <c r="B9017" i="1"/>
  <c r="A9017" i="1"/>
  <c r="F9017" i="1"/>
  <c r="B9018" i="1"/>
  <c r="A9018" i="1"/>
  <c r="F9018" i="1"/>
  <c r="B9019" i="1"/>
  <c r="A9019" i="1"/>
  <c r="F9019" i="1"/>
  <c r="B9020" i="1"/>
  <c r="A9020" i="1"/>
  <c r="F9020" i="1"/>
  <c r="B9021" i="1"/>
  <c r="A9021" i="1"/>
  <c r="F9021" i="1"/>
  <c r="B9022" i="1"/>
  <c r="A9022" i="1"/>
  <c r="F9022" i="1"/>
  <c r="B9023" i="1"/>
  <c r="A9023" i="1"/>
  <c r="F9023" i="1"/>
  <c r="B9024" i="1"/>
  <c r="A9024" i="1"/>
  <c r="F9024" i="1"/>
  <c r="B9025" i="1"/>
  <c r="A9025" i="1"/>
  <c r="F9025" i="1"/>
  <c r="B9026" i="1"/>
  <c r="A9026" i="1"/>
  <c r="F9026" i="1"/>
  <c r="B9027" i="1"/>
  <c r="A9027" i="1"/>
  <c r="F9027" i="1"/>
  <c r="B9028" i="1"/>
  <c r="A9028" i="1"/>
  <c r="F9028" i="1"/>
  <c r="B9029" i="1"/>
  <c r="A9029" i="1"/>
  <c r="F9029" i="1"/>
  <c r="B9030" i="1"/>
  <c r="A9030" i="1"/>
  <c r="F9030" i="1"/>
  <c r="B9031" i="1"/>
  <c r="A9031" i="1"/>
  <c r="F9031" i="1"/>
  <c r="B9032" i="1"/>
  <c r="A9032" i="1"/>
  <c r="F9032" i="1"/>
  <c r="B9033" i="1"/>
  <c r="A9033" i="1"/>
  <c r="F9033" i="1"/>
  <c r="B9034" i="1"/>
  <c r="A9034" i="1"/>
  <c r="F9034" i="1"/>
  <c r="B9035" i="1"/>
  <c r="A9035" i="1"/>
  <c r="F9035" i="1"/>
  <c r="B9036" i="1"/>
  <c r="A9036" i="1"/>
  <c r="F9036" i="1"/>
  <c r="B9037" i="1"/>
  <c r="A9037" i="1"/>
  <c r="F9037" i="1"/>
  <c r="B9038" i="1"/>
  <c r="A9038" i="1"/>
  <c r="F9038" i="1"/>
  <c r="B9039" i="1"/>
  <c r="A9039" i="1"/>
  <c r="F9039" i="1"/>
  <c r="B9040" i="1"/>
  <c r="A9040" i="1"/>
  <c r="F9040" i="1"/>
  <c r="B9041" i="1"/>
  <c r="A9041" i="1"/>
  <c r="F9041" i="1"/>
  <c r="B9042" i="1"/>
  <c r="A9042" i="1"/>
  <c r="F9042" i="1"/>
  <c r="B9043" i="1"/>
  <c r="A9043" i="1"/>
  <c r="F9043" i="1"/>
  <c r="B9044" i="1"/>
  <c r="A9044" i="1"/>
  <c r="F9044" i="1"/>
  <c r="B9045" i="1"/>
  <c r="A9045" i="1"/>
  <c r="F9045" i="1"/>
  <c r="B9046" i="1"/>
  <c r="A9046" i="1"/>
  <c r="F9046" i="1"/>
  <c r="B9047" i="1"/>
  <c r="A9047" i="1"/>
  <c r="F9047" i="1"/>
  <c r="B9048" i="1"/>
  <c r="A9048" i="1"/>
  <c r="F9048" i="1"/>
  <c r="B9049" i="1"/>
  <c r="A9049" i="1"/>
  <c r="F9049" i="1"/>
  <c r="B9050" i="1"/>
  <c r="A9050" i="1"/>
  <c r="F9050" i="1"/>
  <c r="B9051" i="1"/>
  <c r="A9051" i="1"/>
  <c r="F9051" i="1"/>
  <c r="B9052" i="1"/>
  <c r="A9052" i="1"/>
  <c r="F9052" i="1"/>
  <c r="B9053" i="1"/>
  <c r="A9053" i="1"/>
  <c r="F9053" i="1"/>
  <c r="B9054" i="1"/>
  <c r="A9054" i="1"/>
  <c r="F9054" i="1"/>
  <c r="B9055" i="1"/>
  <c r="A9055" i="1"/>
  <c r="F9055" i="1"/>
  <c r="B9056" i="1"/>
  <c r="A9056" i="1"/>
  <c r="F9056" i="1"/>
  <c r="B9057" i="1"/>
  <c r="A9057" i="1"/>
  <c r="F9057" i="1"/>
  <c r="B9058" i="1"/>
  <c r="A9058" i="1"/>
  <c r="F9058" i="1"/>
  <c r="B9059" i="1"/>
  <c r="A9059" i="1"/>
  <c r="F9059" i="1"/>
  <c r="B9060" i="1"/>
  <c r="A9060" i="1"/>
  <c r="F9060" i="1"/>
  <c r="B9061" i="1"/>
  <c r="A9061" i="1"/>
  <c r="F9061" i="1"/>
  <c r="B9062" i="1"/>
  <c r="A9062" i="1"/>
  <c r="F9062" i="1"/>
  <c r="B9063" i="1"/>
  <c r="A9063" i="1"/>
  <c r="F9063" i="1"/>
  <c r="B9064" i="1"/>
  <c r="A9064" i="1"/>
  <c r="F9064" i="1"/>
  <c r="B9065" i="1"/>
  <c r="A9065" i="1"/>
  <c r="F9065" i="1"/>
  <c r="B9066" i="1"/>
  <c r="A9066" i="1"/>
  <c r="F9066" i="1"/>
  <c r="B9067" i="1"/>
  <c r="A9067" i="1"/>
  <c r="F9067" i="1"/>
  <c r="B9068" i="1"/>
  <c r="A9068" i="1"/>
  <c r="F9068" i="1"/>
  <c r="B9069" i="1"/>
  <c r="A9069" i="1"/>
  <c r="F9069" i="1"/>
  <c r="B9070" i="1"/>
  <c r="A9070" i="1"/>
  <c r="F9070" i="1"/>
  <c r="B9071" i="1"/>
  <c r="A9071" i="1"/>
  <c r="F9071" i="1"/>
  <c r="B9072" i="1"/>
  <c r="A9072" i="1"/>
  <c r="F9072" i="1"/>
  <c r="B9073" i="1"/>
  <c r="A9073" i="1"/>
  <c r="F9073" i="1"/>
  <c r="B9074" i="1"/>
  <c r="A9074" i="1"/>
  <c r="F9074" i="1"/>
  <c r="B9075" i="1"/>
  <c r="A9075" i="1"/>
  <c r="F9075" i="1"/>
  <c r="B9076" i="1"/>
  <c r="A9076" i="1"/>
  <c r="F9076" i="1"/>
  <c r="B9077" i="1"/>
  <c r="A9077" i="1"/>
  <c r="F9077" i="1"/>
  <c r="B9078" i="1"/>
  <c r="A9078" i="1"/>
  <c r="F9078" i="1"/>
  <c r="B9079" i="1"/>
  <c r="A9079" i="1"/>
  <c r="F9079" i="1"/>
  <c r="B9080" i="1"/>
  <c r="A9080" i="1"/>
  <c r="F9080" i="1"/>
  <c r="B9081" i="1"/>
  <c r="A9081" i="1"/>
  <c r="F9081" i="1"/>
  <c r="B9082" i="1"/>
  <c r="A9082" i="1"/>
  <c r="F9082" i="1"/>
  <c r="B9083" i="1"/>
  <c r="A9083" i="1"/>
  <c r="F9083" i="1"/>
  <c r="B9084" i="1"/>
  <c r="A9084" i="1"/>
  <c r="F9084" i="1"/>
  <c r="B9085" i="1"/>
  <c r="A9085" i="1"/>
  <c r="F9085" i="1"/>
  <c r="B9086" i="1"/>
  <c r="A9086" i="1"/>
  <c r="F9086" i="1"/>
  <c r="B9087" i="1"/>
  <c r="A9087" i="1"/>
  <c r="F9087" i="1"/>
  <c r="B9088" i="1"/>
  <c r="A9088" i="1"/>
  <c r="F9088" i="1"/>
  <c r="B9089" i="1"/>
  <c r="A9089" i="1"/>
  <c r="F9089" i="1"/>
  <c r="B9090" i="1"/>
  <c r="A9090" i="1"/>
  <c r="F9090" i="1"/>
  <c r="B9091" i="1"/>
  <c r="A9091" i="1"/>
  <c r="F9091" i="1"/>
  <c r="B9092" i="1"/>
  <c r="A9092" i="1"/>
  <c r="F9092" i="1"/>
  <c r="B9093" i="1"/>
  <c r="A9093" i="1"/>
  <c r="F9093" i="1"/>
  <c r="B9094" i="1"/>
  <c r="A9094" i="1"/>
  <c r="F9094" i="1"/>
  <c r="B9095" i="1"/>
  <c r="A9095" i="1"/>
  <c r="F9095" i="1"/>
  <c r="B9096" i="1"/>
  <c r="A9096" i="1"/>
  <c r="F9096" i="1"/>
  <c r="B9097" i="1"/>
  <c r="A9097" i="1"/>
  <c r="F9097" i="1"/>
  <c r="B9098" i="1"/>
  <c r="A9098" i="1"/>
  <c r="F9098" i="1"/>
  <c r="B9099" i="1"/>
  <c r="A9099" i="1"/>
  <c r="F9099" i="1"/>
  <c r="B9100" i="1"/>
  <c r="A9100" i="1"/>
  <c r="F9100" i="1"/>
  <c r="B9101" i="1"/>
  <c r="A9101" i="1"/>
  <c r="F9101" i="1"/>
  <c r="B9102" i="1"/>
  <c r="A9102" i="1"/>
  <c r="F9102" i="1"/>
  <c r="B9103" i="1"/>
  <c r="A9103" i="1"/>
  <c r="F9103" i="1"/>
  <c r="B9104" i="1"/>
  <c r="A9104" i="1"/>
  <c r="F9104" i="1"/>
  <c r="B9105" i="1"/>
  <c r="A9105" i="1"/>
  <c r="F9105" i="1"/>
  <c r="B9106" i="1"/>
  <c r="A9106" i="1"/>
  <c r="F9106" i="1"/>
  <c r="B9107" i="1"/>
  <c r="A9107" i="1"/>
  <c r="F9107" i="1"/>
  <c r="B9108" i="1"/>
  <c r="A9108" i="1"/>
  <c r="F9108" i="1"/>
  <c r="B9109" i="1"/>
  <c r="A9109" i="1"/>
  <c r="F9109" i="1"/>
  <c r="B9110" i="1"/>
  <c r="A9110" i="1"/>
  <c r="F9110" i="1"/>
  <c r="B9111" i="1"/>
  <c r="A9111" i="1"/>
  <c r="F9111" i="1"/>
  <c r="B9112" i="1"/>
  <c r="A9112" i="1"/>
  <c r="F9112" i="1"/>
  <c r="B9113" i="1"/>
  <c r="A9113" i="1"/>
  <c r="F9113" i="1"/>
  <c r="B9114" i="1"/>
  <c r="A9114" i="1"/>
  <c r="F9114" i="1"/>
  <c r="B9115" i="1"/>
  <c r="A9115" i="1"/>
  <c r="F9115" i="1"/>
  <c r="B9116" i="1"/>
  <c r="A9116" i="1"/>
  <c r="F9116" i="1"/>
  <c r="B9117" i="1"/>
  <c r="A9117" i="1"/>
  <c r="F9117" i="1"/>
  <c r="B9118" i="1"/>
  <c r="A9118" i="1"/>
  <c r="F9118" i="1"/>
  <c r="B9119" i="1"/>
  <c r="A9119" i="1"/>
  <c r="F9119" i="1"/>
  <c r="B9120" i="1"/>
  <c r="A9120" i="1"/>
  <c r="F9120" i="1"/>
  <c r="B9121" i="1"/>
  <c r="A9121" i="1"/>
  <c r="F9121" i="1"/>
  <c r="B9122" i="1"/>
  <c r="A9122" i="1"/>
  <c r="F9122" i="1"/>
  <c r="B9123" i="1"/>
  <c r="A9123" i="1"/>
  <c r="F9123" i="1"/>
  <c r="B9124" i="1"/>
  <c r="A9124" i="1"/>
  <c r="F9124" i="1"/>
  <c r="B9125" i="1"/>
  <c r="A9125" i="1"/>
  <c r="F9125" i="1"/>
  <c r="B9126" i="1"/>
  <c r="A9126" i="1"/>
  <c r="F9126" i="1"/>
  <c r="B9127" i="1"/>
  <c r="A9127" i="1"/>
  <c r="F9127" i="1"/>
  <c r="B9128" i="1"/>
  <c r="A9128" i="1"/>
  <c r="F9128" i="1"/>
  <c r="B9129" i="1"/>
  <c r="A9129" i="1"/>
  <c r="F9129" i="1"/>
  <c r="B9130" i="1"/>
  <c r="A9130" i="1"/>
  <c r="F9130" i="1"/>
  <c r="B9131" i="1"/>
  <c r="A9131" i="1"/>
  <c r="F9131" i="1"/>
  <c r="B9132" i="1"/>
  <c r="A9132" i="1"/>
  <c r="F9132" i="1"/>
  <c r="B9133" i="1"/>
  <c r="A9133" i="1"/>
  <c r="F9133" i="1"/>
  <c r="B9134" i="1"/>
  <c r="A9134" i="1"/>
  <c r="F9134" i="1"/>
  <c r="B9135" i="1"/>
  <c r="A9135" i="1"/>
  <c r="F9135" i="1"/>
  <c r="B9136" i="1"/>
  <c r="A9136" i="1"/>
  <c r="F9136" i="1"/>
  <c r="B9137" i="1"/>
  <c r="A9137" i="1"/>
  <c r="F9137" i="1"/>
  <c r="B9138" i="1"/>
  <c r="A9138" i="1"/>
  <c r="F9138" i="1"/>
  <c r="B9139" i="1"/>
  <c r="A9139" i="1"/>
  <c r="F9139" i="1"/>
  <c r="B9140" i="1"/>
  <c r="A9140" i="1"/>
  <c r="F9140" i="1"/>
  <c r="B9141" i="1"/>
  <c r="A9141" i="1"/>
  <c r="F9141" i="1"/>
  <c r="B9142" i="1"/>
  <c r="A9142" i="1"/>
  <c r="F9142" i="1"/>
  <c r="B9143" i="1"/>
  <c r="A9143" i="1"/>
  <c r="F9143" i="1"/>
  <c r="B9144" i="1"/>
  <c r="A9144" i="1"/>
  <c r="F9144" i="1"/>
  <c r="B9145" i="1"/>
  <c r="A9145" i="1"/>
  <c r="F9145" i="1"/>
  <c r="B9146" i="1"/>
  <c r="A9146" i="1"/>
  <c r="F9146" i="1"/>
  <c r="B9147" i="1"/>
  <c r="A9147" i="1"/>
  <c r="F9147" i="1"/>
  <c r="B9148" i="1"/>
  <c r="A9148" i="1"/>
  <c r="F9148" i="1"/>
  <c r="B9149" i="1"/>
  <c r="A9149" i="1"/>
  <c r="F9149" i="1"/>
  <c r="B9150" i="1"/>
  <c r="A9150" i="1"/>
  <c r="F9150" i="1"/>
  <c r="B9151" i="1"/>
  <c r="A9151" i="1"/>
  <c r="F9151" i="1"/>
  <c r="B9152" i="1"/>
  <c r="A9152" i="1"/>
  <c r="F9152" i="1"/>
  <c r="B9153" i="1"/>
  <c r="A9153" i="1"/>
  <c r="F9153" i="1"/>
  <c r="B9154" i="1"/>
  <c r="A9154" i="1"/>
  <c r="F9154" i="1"/>
  <c r="B9155" i="1"/>
  <c r="A9155" i="1"/>
  <c r="F9155" i="1"/>
  <c r="B9156" i="1"/>
  <c r="A9156" i="1"/>
  <c r="F9156" i="1"/>
  <c r="B9157" i="1"/>
  <c r="A9157" i="1"/>
  <c r="F9157" i="1"/>
  <c r="B9158" i="1"/>
  <c r="A9158" i="1"/>
  <c r="F9158" i="1"/>
  <c r="B9159" i="1"/>
  <c r="A9159" i="1"/>
  <c r="F9159" i="1"/>
  <c r="B9160" i="1"/>
  <c r="A9160" i="1"/>
  <c r="F9160" i="1"/>
  <c r="B9161" i="1"/>
  <c r="A9161" i="1"/>
  <c r="F9161" i="1"/>
  <c r="B9162" i="1"/>
  <c r="A9162" i="1"/>
  <c r="F9162" i="1"/>
  <c r="B9163" i="1"/>
  <c r="A9163" i="1"/>
  <c r="F9163" i="1"/>
  <c r="B9164" i="1"/>
  <c r="A9164" i="1"/>
  <c r="F9164" i="1"/>
  <c r="B9165" i="1"/>
  <c r="A9165" i="1"/>
  <c r="F9165" i="1"/>
  <c r="B9166" i="1"/>
  <c r="A9166" i="1"/>
  <c r="F9166" i="1"/>
  <c r="B9167" i="1"/>
  <c r="A9167" i="1"/>
  <c r="F9167" i="1"/>
  <c r="B9168" i="1"/>
  <c r="A9168" i="1"/>
  <c r="F9168" i="1"/>
  <c r="B9169" i="1"/>
  <c r="A9169" i="1"/>
  <c r="F9169" i="1"/>
  <c r="B9170" i="1"/>
  <c r="A9170" i="1"/>
  <c r="F9170" i="1"/>
  <c r="B9171" i="1"/>
  <c r="A9171" i="1"/>
  <c r="F9171" i="1"/>
  <c r="B9172" i="1"/>
  <c r="A9172" i="1"/>
  <c r="F9172" i="1"/>
  <c r="B9173" i="1"/>
  <c r="A9173" i="1"/>
  <c r="F9173" i="1"/>
  <c r="B9174" i="1"/>
  <c r="A9174" i="1"/>
  <c r="F9174" i="1"/>
  <c r="B9175" i="1"/>
  <c r="A9175" i="1"/>
  <c r="F9175" i="1"/>
  <c r="B9176" i="1"/>
  <c r="A9176" i="1"/>
  <c r="F9176" i="1"/>
  <c r="B9177" i="1"/>
  <c r="A9177" i="1"/>
  <c r="F9177" i="1"/>
  <c r="B9178" i="1"/>
  <c r="A9178" i="1"/>
  <c r="F9178" i="1"/>
  <c r="B9179" i="1"/>
  <c r="A9179" i="1"/>
  <c r="F9179" i="1"/>
  <c r="B9180" i="1"/>
  <c r="A9180" i="1"/>
  <c r="F9180" i="1"/>
  <c r="B9181" i="1"/>
  <c r="A9181" i="1"/>
  <c r="F9181" i="1"/>
  <c r="B9182" i="1"/>
  <c r="A9182" i="1"/>
  <c r="F9182" i="1"/>
  <c r="B9183" i="1"/>
  <c r="A9183" i="1"/>
  <c r="F9183" i="1"/>
  <c r="B9184" i="1"/>
  <c r="A9184" i="1"/>
  <c r="F9184" i="1"/>
  <c r="B9185" i="1"/>
  <c r="A9185" i="1"/>
  <c r="F9185" i="1"/>
  <c r="B9186" i="1"/>
  <c r="A9186" i="1"/>
  <c r="F9186" i="1"/>
  <c r="B9187" i="1"/>
  <c r="A9187" i="1"/>
  <c r="F9187" i="1"/>
  <c r="B9188" i="1"/>
  <c r="A9188" i="1"/>
  <c r="F9188" i="1"/>
  <c r="B9189" i="1"/>
  <c r="A9189" i="1"/>
  <c r="F9189" i="1"/>
  <c r="B9190" i="1"/>
  <c r="A9190" i="1"/>
  <c r="F9190" i="1"/>
  <c r="B9191" i="1"/>
  <c r="A9191" i="1"/>
  <c r="F9191" i="1"/>
  <c r="B9192" i="1"/>
  <c r="A9192" i="1"/>
  <c r="F9192" i="1"/>
  <c r="B9193" i="1"/>
  <c r="A9193" i="1"/>
  <c r="F9193" i="1"/>
  <c r="B9194" i="1"/>
  <c r="A9194" i="1"/>
  <c r="F9194" i="1"/>
  <c r="B9195" i="1"/>
  <c r="A9195" i="1"/>
  <c r="F9195" i="1"/>
  <c r="B9196" i="1"/>
  <c r="A9196" i="1"/>
  <c r="F9196" i="1"/>
  <c r="B9197" i="1"/>
  <c r="A9197" i="1"/>
  <c r="F9197" i="1"/>
  <c r="B9198" i="1"/>
  <c r="A9198" i="1"/>
  <c r="F9198" i="1"/>
  <c r="B9199" i="1"/>
  <c r="A9199" i="1"/>
  <c r="F9199" i="1"/>
  <c r="B9200" i="1"/>
  <c r="A9200" i="1"/>
  <c r="F9200" i="1"/>
  <c r="B9201" i="1"/>
  <c r="A9201" i="1"/>
  <c r="F9201" i="1"/>
  <c r="B9202" i="1"/>
  <c r="A9202" i="1"/>
  <c r="F9202" i="1"/>
  <c r="B9203" i="1"/>
  <c r="A9203" i="1"/>
  <c r="F9203" i="1"/>
  <c r="B9204" i="1"/>
  <c r="A9204" i="1"/>
  <c r="F9204" i="1"/>
  <c r="B9205" i="1"/>
  <c r="A9205" i="1"/>
  <c r="F9205" i="1"/>
  <c r="B9206" i="1"/>
  <c r="A9206" i="1"/>
  <c r="F9206" i="1"/>
  <c r="B9207" i="1"/>
  <c r="A9207" i="1"/>
  <c r="F9207" i="1"/>
  <c r="B9208" i="1"/>
  <c r="A9208" i="1"/>
  <c r="F9208" i="1"/>
  <c r="B9209" i="1"/>
  <c r="A9209" i="1"/>
  <c r="F9209" i="1"/>
  <c r="B9210" i="1"/>
  <c r="A9210" i="1"/>
  <c r="F9210" i="1"/>
  <c r="B9211" i="1"/>
  <c r="A9211" i="1"/>
  <c r="F9211" i="1"/>
  <c r="B9212" i="1"/>
  <c r="A9212" i="1"/>
  <c r="F9212" i="1"/>
  <c r="B9213" i="1"/>
  <c r="A9213" i="1"/>
  <c r="F9213" i="1"/>
  <c r="B9214" i="1"/>
  <c r="A9214" i="1"/>
  <c r="F9214" i="1"/>
  <c r="B9215" i="1"/>
  <c r="A9215" i="1"/>
  <c r="F9215" i="1"/>
  <c r="B9216" i="1"/>
  <c r="A9216" i="1"/>
  <c r="F9216" i="1"/>
  <c r="B9217" i="1"/>
  <c r="A9217" i="1"/>
  <c r="F9217" i="1"/>
  <c r="B9218" i="1"/>
  <c r="A9218" i="1"/>
  <c r="F9218" i="1"/>
  <c r="B9219" i="1"/>
  <c r="A9219" i="1"/>
  <c r="F9219" i="1"/>
  <c r="B9220" i="1"/>
  <c r="A9220" i="1"/>
  <c r="F9220" i="1"/>
  <c r="B9221" i="1"/>
  <c r="A9221" i="1"/>
  <c r="F9221" i="1"/>
  <c r="B9222" i="1"/>
  <c r="A9222" i="1"/>
  <c r="F9222" i="1"/>
  <c r="B9223" i="1"/>
  <c r="A9223" i="1"/>
  <c r="F9223" i="1"/>
  <c r="B9224" i="1"/>
  <c r="A9224" i="1"/>
  <c r="F9224" i="1"/>
  <c r="B9225" i="1"/>
  <c r="A9225" i="1"/>
  <c r="F9225" i="1"/>
  <c r="B9226" i="1"/>
  <c r="A9226" i="1"/>
  <c r="F9226" i="1"/>
  <c r="B9227" i="1"/>
  <c r="A9227" i="1"/>
  <c r="F9227" i="1"/>
  <c r="B9228" i="1"/>
  <c r="A9228" i="1"/>
  <c r="F9228" i="1"/>
  <c r="B9229" i="1"/>
  <c r="A9229" i="1"/>
  <c r="F9229" i="1"/>
  <c r="B9230" i="1"/>
  <c r="A9230" i="1"/>
  <c r="F9230" i="1"/>
  <c r="B9231" i="1"/>
  <c r="A9231" i="1"/>
  <c r="F9231" i="1"/>
  <c r="B9232" i="1"/>
  <c r="A9232" i="1"/>
  <c r="F9232" i="1"/>
  <c r="B9233" i="1"/>
  <c r="A9233" i="1"/>
  <c r="F9233" i="1"/>
  <c r="B9234" i="1"/>
  <c r="A9234" i="1"/>
  <c r="F9234" i="1"/>
  <c r="B9235" i="1"/>
  <c r="A9235" i="1"/>
  <c r="F9235" i="1"/>
  <c r="B9236" i="1"/>
  <c r="A9236" i="1"/>
  <c r="F9236" i="1"/>
  <c r="B9237" i="1"/>
  <c r="A9237" i="1"/>
  <c r="F9237" i="1"/>
  <c r="B9238" i="1"/>
  <c r="A9238" i="1"/>
  <c r="F9238" i="1"/>
  <c r="B9239" i="1"/>
  <c r="A9239" i="1"/>
  <c r="F9239" i="1"/>
  <c r="B9240" i="1"/>
  <c r="A9240" i="1"/>
  <c r="F9240" i="1"/>
  <c r="B9241" i="1"/>
  <c r="A9241" i="1"/>
  <c r="F9241" i="1"/>
  <c r="B9242" i="1"/>
  <c r="A9242" i="1"/>
  <c r="F9242" i="1"/>
  <c r="B9243" i="1"/>
  <c r="A9243" i="1"/>
  <c r="F9243" i="1"/>
  <c r="B9244" i="1"/>
  <c r="A9244" i="1"/>
  <c r="F9244" i="1"/>
  <c r="B9245" i="1"/>
  <c r="A9245" i="1"/>
  <c r="F9245" i="1"/>
  <c r="B9246" i="1"/>
  <c r="A9246" i="1"/>
  <c r="F9246" i="1"/>
  <c r="B9247" i="1"/>
  <c r="A9247" i="1"/>
  <c r="F9247" i="1"/>
  <c r="B9248" i="1"/>
  <c r="A9248" i="1"/>
  <c r="F9248" i="1"/>
  <c r="B9249" i="1"/>
  <c r="A9249" i="1"/>
  <c r="F9249" i="1"/>
  <c r="B9250" i="1"/>
  <c r="A9250" i="1"/>
  <c r="F9250" i="1"/>
  <c r="B9251" i="1"/>
  <c r="A9251" i="1"/>
  <c r="F9251" i="1"/>
  <c r="B9252" i="1"/>
  <c r="A9252" i="1"/>
  <c r="F9252" i="1"/>
  <c r="B9253" i="1"/>
  <c r="A9253" i="1"/>
  <c r="F9253" i="1"/>
  <c r="B9254" i="1"/>
  <c r="A9254" i="1"/>
  <c r="F9254" i="1"/>
  <c r="B9255" i="1"/>
  <c r="A9255" i="1"/>
  <c r="F9255" i="1"/>
  <c r="B9256" i="1"/>
  <c r="A9256" i="1"/>
  <c r="F9256" i="1"/>
  <c r="B9257" i="1"/>
  <c r="A9257" i="1"/>
  <c r="F9257" i="1"/>
  <c r="B9258" i="1"/>
  <c r="A9258" i="1"/>
  <c r="F9258" i="1"/>
  <c r="B9259" i="1"/>
  <c r="A9259" i="1"/>
  <c r="F9259" i="1"/>
  <c r="B9260" i="1"/>
  <c r="A9260" i="1"/>
  <c r="F9260" i="1"/>
  <c r="B9261" i="1"/>
  <c r="A9261" i="1"/>
  <c r="F9261" i="1"/>
  <c r="B9262" i="1"/>
  <c r="A9262" i="1"/>
  <c r="F9262" i="1"/>
  <c r="B9263" i="1"/>
  <c r="A9263" i="1"/>
  <c r="F9263" i="1"/>
  <c r="B9264" i="1"/>
  <c r="A9264" i="1"/>
  <c r="F9264" i="1"/>
  <c r="B9265" i="1"/>
  <c r="A9265" i="1"/>
  <c r="F9265" i="1"/>
  <c r="B9266" i="1"/>
  <c r="A9266" i="1"/>
  <c r="F9266" i="1"/>
  <c r="B9267" i="1"/>
  <c r="A9267" i="1"/>
  <c r="F9267" i="1"/>
  <c r="B9268" i="1"/>
  <c r="A9268" i="1"/>
  <c r="F9268" i="1"/>
  <c r="B9269" i="1"/>
  <c r="A9269" i="1"/>
  <c r="F9269" i="1"/>
  <c r="B9270" i="1"/>
  <c r="A9270" i="1"/>
  <c r="F9270" i="1"/>
  <c r="B9271" i="1"/>
  <c r="A9271" i="1"/>
  <c r="F9271" i="1"/>
  <c r="B9272" i="1"/>
  <c r="A9272" i="1"/>
  <c r="F9272" i="1"/>
  <c r="B9273" i="1"/>
  <c r="A9273" i="1"/>
  <c r="F9273" i="1"/>
  <c r="B9274" i="1"/>
  <c r="A9274" i="1"/>
  <c r="F9274" i="1"/>
  <c r="B9275" i="1"/>
  <c r="A9275" i="1"/>
  <c r="F9275" i="1"/>
  <c r="B9276" i="1"/>
  <c r="A9276" i="1"/>
  <c r="F9276" i="1"/>
  <c r="B9277" i="1"/>
  <c r="A9277" i="1"/>
  <c r="F9277" i="1"/>
  <c r="B9278" i="1"/>
  <c r="A9278" i="1"/>
  <c r="F9278" i="1"/>
  <c r="B9279" i="1"/>
  <c r="A9279" i="1"/>
  <c r="F9279" i="1"/>
  <c r="B9280" i="1"/>
  <c r="A9280" i="1"/>
  <c r="F9280" i="1"/>
  <c r="B9281" i="1"/>
  <c r="A9281" i="1"/>
  <c r="F9281" i="1"/>
  <c r="B9282" i="1"/>
  <c r="A9282" i="1"/>
  <c r="F9282" i="1"/>
  <c r="B9283" i="1"/>
  <c r="A9283" i="1"/>
  <c r="F9283" i="1"/>
  <c r="B9284" i="1"/>
  <c r="A9284" i="1"/>
  <c r="F9284" i="1"/>
  <c r="B9285" i="1"/>
  <c r="A9285" i="1"/>
  <c r="F9285" i="1"/>
  <c r="B9286" i="1"/>
  <c r="A9286" i="1"/>
  <c r="F9286" i="1"/>
  <c r="B9287" i="1"/>
  <c r="A9287" i="1"/>
  <c r="F9287" i="1"/>
  <c r="B9288" i="1"/>
  <c r="A9288" i="1"/>
  <c r="F9288" i="1"/>
  <c r="B9289" i="1"/>
  <c r="A9289" i="1"/>
  <c r="F9289" i="1"/>
  <c r="B9290" i="1"/>
  <c r="A9290" i="1"/>
  <c r="F9290" i="1"/>
  <c r="B9291" i="1"/>
  <c r="A9291" i="1"/>
  <c r="F9291" i="1"/>
  <c r="B9292" i="1"/>
  <c r="A9292" i="1"/>
  <c r="F9292" i="1"/>
  <c r="B9293" i="1"/>
  <c r="A9293" i="1"/>
  <c r="F9293" i="1"/>
  <c r="B9294" i="1"/>
  <c r="A9294" i="1"/>
  <c r="F9294" i="1"/>
  <c r="B9295" i="1"/>
  <c r="A9295" i="1"/>
  <c r="F9295" i="1"/>
  <c r="B9296" i="1"/>
  <c r="A9296" i="1"/>
  <c r="F9296" i="1"/>
  <c r="B9297" i="1"/>
  <c r="A9297" i="1"/>
  <c r="F9297" i="1"/>
  <c r="B9298" i="1"/>
  <c r="A9298" i="1"/>
  <c r="F9298" i="1"/>
  <c r="B9299" i="1"/>
  <c r="A9299" i="1"/>
  <c r="F9299" i="1"/>
  <c r="B9300" i="1"/>
  <c r="A9300" i="1"/>
  <c r="F9300" i="1"/>
  <c r="B9301" i="1"/>
  <c r="A9301" i="1"/>
  <c r="F9301" i="1"/>
  <c r="B9302" i="1"/>
  <c r="A9302" i="1"/>
  <c r="F9302" i="1"/>
  <c r="B9303" i="1"/>
  <c r="A9303" i="1"/>
  <c r="F9303" i="1"/>
  <c r="B9304" i="1"/>
  <c r="A9304" i="1"/>
  <c r="F9304" i="1"/>
  <c r="B9305" i="1"/>
  <c r="A9305" i="1"/>
  <c r="F9305" i="1"/>
  <c r="B9306" i="1"/>
  <c r="A9306" i="1"/>
  <c r="F9306" i="1"/>
  <c r="B9307" i="1"/>
  <c r="A9307" i="1"/>
  <c r="F9307" i="1"/>
  <c r="B9308" i="1"/>
  <c r="A9308" i="1"/>
  <c r="F9308" i="1"/>
  <c r="B9309" i="1"/>
  <c r="A9309" i="1"/>
  <c r="F9309" i="1"/>
  <c r="B9310" i="1"/>
  <c r="A9310" i="1"/>
  <c r="F9310" i="1"/>
  <c r="B9311" i="1"/>
  <c r="A9311" i="1"/>
  <c r="F9311" i="1"/>
  <c r="B9312" i="1"/>
  <c r="A9312" i="1"/>
  <c r="F9312" i="1"/>
  <c r="B9313" i="1"/>
  <c r="A9313" i="1"/>
  <c r="F9313" i="1"/>
  <c r="B9314" i="1"/>
  <c r="A9314" i="1"/>
  <c r="F9314" i="1"/>
  <c r="B9315" i="1"/>
  <c r="A9315" i="1"/>
  <c r="F9315" i="1"/>
  <c r="B9316" i="1"/>
  <c r="A9316" i="1"/>
  <c r="F9316" i="1"/>
  <c r="B9317" i="1"/>
  <c r="A9317" i="1"/>
  <c r="F9317" i="1"/>
  <c r="B9318" i="1"/>
  <c r="A9318" i="1"/>
  <c r="F9318" i="1"/>
  <c r="B9319" i="1"/>
  <c r="A9319" i="1"/>
  <c r="F9319" i="1"/>
  <c r="B9320" i="1"/>
  <c r="A9320" i="1"/>
  <c r="F9320" i="1"/>
  <c r="B9321" i="1"/>
  <c r="A9321" i="1"/>
  <c r="F9321" i="1"/>
  <c r="B9322" i="1"/>
  <c r="A9322" i="1"/>
  <c r="F9322" i="1"/>
  <c r="B9323" i="1"/>
  <c r="A9323" i="1"/>
  <c r="F9323" i="1"/>
  <c r="B9324" i="1"/>
  <c r="A9324" i="1"/>
  <c r="F9324" i="1"/>
  <c r="B9325" i="1"/>
  <c r="A9325" i="1"/>
  <c r="F9325" i="1"/>
  <c r="B9326" i="1"/>
  <c r="A9326" i="1"/>
  <c r="F9326" i="1"/>
  <c r="B9327" i="1"/>
  <c r="A9327" i="1"/>
  <c r="F9327" i="1"/>
  <c r="B9328" i="1"/>
  <c r="A9328" i="1"/>
  <c r="F9328" i="1"/>
  <c r="B9329" i="1"/>
  <c r="A9329" i="1"/>
  <c r="F9329" i="1"/>
  <c r="B9330" i="1"/>
  <c r="A9330" i="1"/>
  <c r="F9330" i="1"/>
  <c r="B9331" i="1"/>
  <c r="A9331" i="1"/>
  <c r="F9331" i="1"/>
  <c r="B9332" i="1"/>
  <c r="A9332" i="1"/>
  <c r="F9332" i="1"/>
  <c r="B9333" i="1"/>
  <c r="A9333" i="1"/>
  <c r="F9333" i="1"/>
  <c r="B9334" i="1"/>
  <c r="A9334" i="1"/>
  <c r="F9334" i="1"/>
  <c r="B9335" i="1"/>
  <c r="A9335" i="1"/>
  <c r="F9335" i="1"/>
  <c r="B9336" i="1"/>
  <c r="A9336" i="1"/>
  <c r="F9336" i="1"/>
  <c r="B9337" i="1"/>
  <c r="A9337" i="1"/>
  <c r="F9337" i="1"/>
  <c r="B9338" i="1"/>
  <c r="A9338" i="1"/>
  <c r="F9338" i="1"/>
  <c r="B9339" i="1"/>
  <c r="A9339" i="1"/>
  <c r="F9339" i="1"/>
  <c r="B9340" i="1"/>
  <c r="A9340" i="1"/>
  <c r="F9340" i="1"/>
  <c r="B9341" i="1"/>
  <c r="A9341" i="1"/>
  <c r="F9341" i="1"/>
  <c r="B9342" i="1"/>
  <c r="A9342" i="1"/>
  <c r="F9342" i="1"/>
  <c r="B9343" i="1"/>
  <c r="A9343" i="1"/>
  <c r="F9343" i="1"/>
  <c r="B9344" i="1"/>
  <c r="A9344" i="1"/>
  <c r="F9344" i="1"/>
  <c r="B9345" i="1"/>
  <c r="A9345" i="1"/>
  <c r="F9345" i="1"/>
  <c r="B9346" i="1"/>
  <c r="A9346" i="1"/>
  <c r="F9346" i="1"/>
  <c r="B9347" i="1"/>
  <c r="A9347" i="1"/>
  <c r="F9347" i="1"/>
  <c r="B9348" i="1"/>
  <c r="A9348" i="1"/>
  <c r="F9348" i="1"/>
  <c r="B9349" i="1"/>
  <c r="A9349" i="1"/>
  <c r="F9349" i="1"/>
  <c r="B9350" i="1"/>
  <c r="A9350" i="1"/>
  <c r="F9350" i="1"/>
  <c r="B9351" i="1"/>
  <c r="A9351" i="1"/>
  <c r="F9351" i="1"/>
  <c r="B9352" i="1"/>
  <c r="A9352" i="1"/>
  <c r="F9352" i="1"/>
  <c r="B9353" i="1"/>
  <c r="A9353" i="1"/>
  <c r="F9353" i="1"/>
  <c r="B9354" i="1"/>
  <c r="A9354" i="1"/>
  <c r="F9354" i="1"/>
  <c r="B9355" i="1"/>
  <c r="A9355" i="1"/>
  <c r="F9355" i="1"/>
  <c r="B9356" i="1"/>
  <c r="A9356" i="1"/>
  <c r="F9356" i="1"/>
  <c r="B9357" i="1"/>
  <c r="A9357" i="1"/>
  <c r="F9357" i="1"/>
  <c r="B9358" i="1"/>
  <c r="A9358" i="1"/>
  <c r="F9358" i="1"/>
  <c r="B9359" i="1"/>
  <c r="A9359" i="1"/>
  <c r="F9359" i="1"/>
  <c r="B9360" i="1"/>
  <c r="A9360" i="1"/>
  <c r="F9360" i="1"/>
  <c r="B9361" i="1"/>
  <c r="A9361" i="1"/>
  <c r="F9361" i="1"/>
  <c r="B9362" i="1"/>
  <c r="A9362" i="1"/>
  <c r="F9362" i="1"/>
  <c r="B9363" i="1"/>
  <c r="A9363" i="1"/>
  <c r="F9363" i="1"/>
  <c r="B9364" i="1"/>
  <c r="A9364" i="1"/>
  <c r="F9364" i="1"/>
  <c r="B9365" i="1"/>
  <c r="A9365" i="1"/>
  <c r="F9365" i="1"/>
  <c r="B9366" i="1"/>
  <c r="A9366" i="1"/>
  <c r="F9366" i="1"/>
  <c r="B9367" i="1"/>
  <c r="A9367" i="1"/>
  <c r="F9367" i="1"/>
  <c r="B9368" i="1"/>
  <c r="A9368" i="1"/>
  <c r="F9368" i="1"/>
  <c r="B9369" i="1"/>
  <c r="A9369" i="1"/>
  <c r="F9369" i="1"/>
  <c r="B9370" i="1"/>
  <c r="A9370" i="1"/>
  <c r="F9370" i="1"/>
  <c r="B9371" i="1"/>
  <c r="A9371" i="1"/>
  <c r="F9371" i="1"/>
  <c r="B9372" i="1"/>
  <c r="A9372" i="1"/>
  <c r="F9372" i="1"/>
  <c r="B9373" i="1"/>
  <c r="A9373" i="1"/>
  <c r="F9373" i="1"/>
  <c r="B9374" i="1"/>
  <c r="A9374" i="1"/>
  <c r="F9374" i="1"/>
  <c r="B9375" i="1"/>
  <c r="A9375" i="1"/>
  <c r="F9375" i="1"/>
  <c r="B9376" i="1"/>
  <c r="A9376" i="1"/>
  <c r="F9376" i="1"/>
  <c r="B9377" i="1"/>
  <c r="A9377" i="1"/>
  <c r="F9377" i="1"/>
  <c r="B9378" i="1"/>
  <c r="A9378" i="1"/>
  <c r="F9378" i="1"/>
  <c r="B9379" i="1"/>
  <c r="A9379" i="1"/>
  <c r="F9379" i="1"/>
  <c r="B9380" i="1"/>
  <c r="A9380" i="1"/>
  <c r="F9380" i="1"/>
  <c r="B9381" i="1"/>
  <c r="A9381" i="1"/>
  <c r="F9381" i="1"/>
  <c r="B9382" i="1"/>
  <c r="A9382" i="1"/>
  <c r="F9382" i="1"/>
  <c r="B9383" i="1"/>
  <c r="A9383" i="1"/>
  <c r="F9383" i="1"/>
  <c r="B9384" i="1"/>
  <c r="A9384" i="1"/>
  <c r="F9384" i="1"/>
  <c r="B9385" i="1"/>
  <c r="A9385" i="1"/>
  <c r="F9385" i="1"/>
  <c r="B9386" i="1"/>
  <c r="A9386" i="1"/>
  <c r="F9386" i="1"/>
  <c r="B9387" i="1"/>
  <c r="A9387" i="1"/>
  <c r="F9387" i="1"/>
  <c r="B9388" i="1"/>
  <c r="A9388" i="1"/>
  <c r="F9388" i="1"/>
  <c r="B9389" i="1"/>
  <c r="A9389" i="1"/>
  <c r="F9389" i="1"/>
  <c r="B9390" i="1"/>
  <c r="A9390" i="1"/>
  <c r="F9390" i="1"/>
  <c r="B9391" i="1"/>
  <c r="A9391" i="1"/>
  <c r="F9391" i="1"/>
  <c r="B9392" i="1"/>
  <c r="A9392" i="1"/>
  <c r="F9392" i="1"/>
  <c r="B9393" i="1"/>
  <c r="A9393" i="1"/>
  <c r="F9393" i="1"/>
  <c r="B9394" i="1"/>
  <c r="A9394" i="1"/>
  <c r="F9394" i="1"/>
  <c r="B9395" i="1"/>
  <c r="A9395" i="1"/>
  <c r="F9395" i="1"/>
  <c r="B9396" i="1"/>
  <c r="A9396" i="1"/>
  <c r="F9396" i="1"/>
  <c r="B9397" i="1"/>
  <c r="A9397" i="1"/>
  <c r="F9397" i="1"/>
  <c r="B9398" i="1"/>
  <c r="A9398" i="1"/>
  <c r="F9398" i="1"/>
  <c r="B9399" i="1"/>
  <c r="A9399" i="1"/>
  <c r="F9399" i="1"/>
  <c r="B9400" i="1"/>
  <c r="A9400" i="1"/>
  <c r="F9400" i="1"/>
  <c r="B9401" i="1"/>
  <c r="A9401" i="1"/>
  <c r="F9401" i="1"/>
  <c r="B9402" i="1"/>
  <c r="A9402" i="1"/>
  <c r="F9402" i="1"/>
  <c r="B9403" i="1"/>
  <c r="A9403" i="1"/>
  <c r="F9403" i="1"/>
  <c r="B9404" i="1"/>
  <c r="A9404" i="1"/>
  <c r="F9404" i="1"/>
  <c r="B9405" i="1"/>
  <c r="A9405" i="1"/>
  <c r="F9405" i="1"/>
  <c r="B9406" i="1"/>
  <c r="A9406" i="1"/>
  <c r="F9406" i="1"/>
  <c r="B9407" i="1"/>
  <c r="A9407" i="1"/>
  <c r="F9407" i="1"/>
  <c r="B9408" i="1"/>
  <c r="A9408" i="1"/>
  <c r="F9408" i="1"/>
  <c r="B9409" i="1"/>
  <c r="A9409" i="1"/>
  <c r="F9409" i="1"/>
  <c r="B9410" i="1"/>
  <c r="A9410" i="1"/>
  <c r="F9410" i="1"/>
  <c r="B9411" i="1"/>
  <c r="A9411" i="1"/>
  <c r="F9411" i="1"/>
  <c r="B9412" i="1"/>
  <c r="A9412" i="1"/>
  <c r="F9412" i="1"/>
  <c r="B9413" i="1"/>
  <c r="A9413" i="1"/>
  <c r="F9413" i="1"/>
  <c r="B9414" i="1"/>
  <c r="A9414" i="1"/>
  <c r="F9414" i="1"/>
  <c r="B9415" i="1"/>
  <c r="A9415" i="1"/>
  <c r="F9415" i="1"/>
  <c r="B9416" i="1"/>
  <c r="A9416" i="1"/>
  <c r="F9416" i="1"/>
  <c r="B9417" i="1"/>
  <c r="A9417" i="1"/>
  <c r="F9417" i="1"/>
  <c r="B9418" i="1"/>
  <c r="A9418" i="1"/>
  <c r="F9418" i="1"/>
  <c r="B9419" i="1"/>
  <c r="A9419" i="1"/>
  <c r="F9419" i="1"/>
  <c r="B9420" i="1"/>
  <c r="A9420" i="1"/>
  <c r="F9420" i="1"/>
  <c r="B9421" i="1"/>
  <c r="A9421" i="1"/>
  <c r="F9421" i="1"/>
  <c r="B9422" i="1"/>
  <c r="A9422" i="1"/>
  <c r="F9422" i="1"/>
  <c r="B9423" i="1"/>
  <c r="A9423" i="1"/>
  <c r="F9423" i="1"/>
  <c r="B9424" i="1"/>
  <c r="A9424" i="1"/>
  <c r="F9424" i="1"/>
  <c r="B9425" i="1"/>
  <c r="A9425" i="1"/>
  <c r="F9425" i="1"/>
  <c r="B9426" i="1"/>
  <c r="A9426" i="1"/>
  <c r="F9426" i="1"/>
  <c r="B9427" i="1"/>
  <c r="A9427" i="1"/>
  <c r="F9427" i="1"/>
  <c r="B9428" i="1"/>
  <c r="A9428" i="1"/>
  <c r="F9428" i="1"/>
  <c r="B9429" i="1"/>
  <c r="A9429" i="1"/>
  <c r="F9429" i="1"/>
  <c r="B9430" i="1"/>
  <c r="A9430" i="1"/>
  <c r="F9430" i="1"/>
  <c r="B9431" i="1"/>
  <c r="A9431" i="1"/>
  <c r="F9431" i="1"/>
  <c r="B9432" i="1"/>
  <c r="A9432" i="1"/>
  <c r="F9432" i="1"/>
  <c r="B9433" i="1"/>
  <c r="A9433" i="1"/>
  <c r="F9433" i="1"/>
  <c r="B9434" i="1"/>
  <c r="A9434" i="1"/>
  <c r="F9434" i="1"/>
  <c r="B9435" i="1"/>
  <c r="A9435" i="1"/>
  <c r="F9435" i="1"/>
  <c r="B9436" i="1"/>
  <c r="A9436" i="1"/>
  <c r="F9436" i="1"/>
  <c r="B9437" i="1"/>
  <c r="A9437" i="1"/>
  <c r="F9437" i="1"/>
  <c r="B9438" i="1"/>
  <c r="A9438" i="1"/>
  <c r="F9438" i="1"/>
  <c r="B9439" i="1"/>
  <c r="A9439" i="1"/>
  <c r="F9439" i="1"/>
  <c r="B9440" i="1"/>
  <c r="A9440" i="1"/>
  <c r="F9440" i="1"/>
  <c r="B9441" i="1"/>
  <c r="A9441" i="1"/>
  <c r="F9441" i="1"/>
  <c r="B9442" i="1"/>
  <c r="A9442" i="1"/>
  <c r="F9442" i="1"/>
  <c r="B9443" i="1"/>
  <c r="A9443" i="1"/>
  <c r="F9443" i="1"/>
  <c r="B9444" i="1"/>
  <c r="A9444" i="1"/>
  <c r="F9444" i="1"/>
  <c r="B9445" i="1"/>
  <c r="A9445" i="1"/>
  <c r="F9445" i="1"/>
  <c r="B9446" i="1"/>
  <c r="A9446" i="1"/>
  <c r="F9446" i="1"/>
  <c r="B9447" i="1"/>
  <c r="A9447" i="1"/>
  <c r="F9447" i="1"/>
  <c r="B9448" i="1"/>
  <c r="A9448" i="1"/>
  <c r="F9448" i="1"/>
  <c r="B9449" i="1"/>
  <c r="A9449" i="1"/>
  <c r="F9449" i="1"/>
  <c r="B9450" i="1"/>
  <c r="A9450" i="1"/>
  <c r="F9450" i="1"/>
  <c r="B9451" i="1"/>
  <c r="A9451" i="1"/>
  <c r="F9451" i="1"/>
  <c r="B9452" i="1"/>
  <c r="A9452" i="1"/>
  <c r="F9452" i="1"/>
  <c r="B9453" i="1"/>
  <c r="A9453" i="1"/>
  <c r="F9453" i="1"/>
  <c r="B9454" i="1"/>
  <c r="A9454" i="1"/>
  <c r="F9454" i="1"/>
  <c r="B9455" i="1"/>
  <c r="A9455" i="1"/>
  <c r="F9455" i="1"/>
  <c r="B9456" i="1"/>
  <c r="A9456" i="1"/>
  <c r="F9456" i="1"/>
  <c r="B9457" i="1"/>
  <c r="A9457" i="1"/>
  <c r="F9457" i="1"/>
  <c r="B9458" i="1"/>
  <c r="A9458" i="1"/>
  <c r="F9458" i="1"/>
  <c r="B9459" i="1"/>
  <c r="A9459" i="1"/>
  <c r="F9459" i="1"/>
  <c r="B9460" i="1"/>
  <c r="A9460" i="1"/>
  <c r="F9460" i="1"/>
  <c r="B9461" i="1"/>
  <c r="A9461" i="1"/>
  <c r="F9461" i="1"/>
  <c r="B9462" i="1"/>
  <c r="A9462" i="1"/>
  <c r="F9462" i="1"/>
  <c r="B9463" i="1"/>
  <c r="A9463" i="1"/>
  <c r="F9463" i="1"/>
  <c r="B9464" i="1"/>
  <c r="A9464" i="1"/>
  <c r="F9464" i="1"/>
  <c r="B9465" i="1"/>
  <c r="A9465" i="1"/>
  <c r="F9465" i="1"/>
  <c r="B9466" i="1"/>
  <c r="A9466" i="1"/>
  <c r="F9466" i="1"/>
  <c r="B9467" i="1"/>
  <c r="A9467" i="1"/>
  <c r="F9467" i="1"/>
  <c r="B9468" i="1"/>
  <c r="A9468" i="1"/>
  <c r="F9468" i="1"/>
  <c r="B9469" i="1"/>
  <c r="A9469" i="1"/>
  <c r="F9469" i="1"/>
  <c r="B9470" i="1"/>
  <c r="A9470" i="1"/>
  <c r="F9470" i="1"/>
  <c r="B9471" i="1"/>
  <c r="A9471" i="1"/>
  <c r="F9471" i="1"/>
  <c r="B9472" i="1"/>
  <c r="A9472" i="1"/>
  <c r="F9472" i="1"/>
  <c r="B9473" i="1"/>
  <c r="A9473" i="1"/>
  <c r="F9473" i="1"/>
  <c r="B9474" i="1"/>
  <c r="A9474" i="1"/>
  <c r="F9474" i="1"/>
  <c r="B9475" i="1"/>
  <c r="A9475" i="1"/>
  <c r="F9475" i="1"/>
  <c r="B9476" i="1"/>
  <c r="A9476" i="1"/>
  <c r="F9476" i="1"/>
  <c r="B9477" i="1"/>
  <c r="A9477" i="1"/>
  <c r="F9477" i="1"/>
  <c r="B9478" i="1"/>
  <c r="A9478" i="1"/>
  <c r="F9478" i="1"/>
  <c r="B9479" i="1"/>
  <c r="A9479" i="1"/>
  <c r="F9479" i="1"/>
  <c r="B9480" i="1"/>
  <c r="A9480" i="1"/>
  <c r="F9480" i="1"/>
  <c r="B9481" i="1"/>
  <c r="A9481" i="1"/>
  <c r="F9481" i="1"/>
  <c r="B9482" i="1"/>
  <c r="A9482" i="1"/>
  <c r="F9482" i="1"/>
  <c r="B9483" i="1"/>
  <c r="A9483" i="1"/>
  <c r="F9483" i="1"/>
  <c r="B9484" i="1"/>
  <c r="A9484" i="1"/>
  <c r="F9484" i="1"/>
  <c r="B9485" i="1"/>
  <c r="A9485" i="1"/>
  <c r="F9485" i="1"/>
  <c r="B9486" i="1"/>
  <c r="A9486" i="1"/>
  <c r="F9486" i="1"/>
  <c r="B9487" i="1"/>
  <c r="A9487" i="1"/>
  <c r="F9487" i="1"/>
  <c r="B9488" i="1"/>
  <c r="A9488" i="1"/>
  <c r="F9488" i="1"/>
  <c r="B9489" i="1"/>
  <c r="A9489" i="1"/>
  <c r="F9489" i="1"/>
  <c r="B9490" i="1"/>
  <c r="A9490" i="1"/>
  <c r="F9490" i="1"/>
  <c r="B9491" i="1"/>
  <c r="A9491" i="1"/>
  <c r="F9491" i="1"/>
  <c r="B9492" i="1"/>
  <c r="A9492" i="1"/>
  <c r="F9492" i="1"/>
  <c r="B9493" i="1"/>
  <c r="A9493" i="1"/>
  <c r="F9493" i="1"/>
  <c r="B9494" i="1"/>
  <c r="A9494" i="1"/>
  <c r="F9494" i="1"/>
  <c r="B9495" i="1"/>
  <c r="A9495" i="1"/>
  <c r="F9495" i="1"/>
  <c r="B9496" i="1"/>
  <c r="A9496" i="1"/>
  <c r="F9496" i="1"/>
  <c r="B9497" i="1"/>
  <c r="A9497" i="1"/>
  <c r="F9497" i="1"/>
  <c r="B9498" i="1"/>
  <c r="A9498" i="1"/>
  <c r="F9498" i="1"/>
  <c r="B9499" i="1"/>
  <c r="A9499" i="1"/>
  <c r="F9499" i="1"/>
  <c r="B9500" i="1"/>
  <c r="A9500" i="1"/>
  <c r="F9500" i="1"/>
  <c r="B9501" i="1"/>
  <c r="A9501" i="1"/>
  <c r="F9501" i="1"/>
  <c r="B9502" i="1"/>
  <c r="A9502" i="1"/>
  <c r="F9502" i="1"/>
  <c r="B9503" i="1"/>
  <c r="A9503" i="1"/>
  <c r="F9503" i="1"/>
  <c r="B9504" i="1"/>
  <c r="A9504" i="1"/>
  <c r="F9504" i="1"/>
  <c r="B9505" i="1"/>
  <c r="A9505" i="1"/>
  <c r="F9505" i="1"/>
  <c r="B9506" i="1"/>
  <c r="A9506" i="1"/>
  <c r="F9506" i="1"/>
  <c r="B9507" i="1"/>
  <c r="A9507" i="1"/>
  <c r="F9507" i="1"/>
  <c r="B9508" i="1"/>
  <c r="A9508" i="1"/>
  <c r="F9508" i="1"/>
  <c r="B9509" i="1"/>
  <c r="A9509" i="1"/>
  <c r="F9509" i="1"/>
  <c r="B9510" i="1"/>
  <c r="A9510" i="1"/>
  <c r="F9510" i="1"/>
  <c r="B9511" i="1"/>
  <c r="A9511" i="1"/>
  <c r="F9511" i="1"/>
  <c r="B9512" i="1"/>
  <c r="A9512" i="1"/>
  <c r="F9512" i="1"/>
  <c r="B9513" i="1"/>
  <c r="A9513" i="1"/>
  <c r="F9513" i="1"/>
  <c r="B9514" i="1"/>
  <c r="A9514" i="1"/>
  <c r="F9514" i="1"/>
  <c r="B9515" i="1"/>
  <c r="A9515" i="1"/>
  <c r="F9515" i="1"/>
  <c r="B9516" i="1"/>
  <c r="A9516" i="1"/>
  <c r="F9516" i="1"/>
  <c r="B9517" i="1"/>
  <c r="A9517" i="1"/>
  <c r="F9517" i="1"/>
  <c r="B9518" i="1"/>
  <c r="A9518" i="1"/>
  <c r="F9518" i="1"/>
  <c r="B9519" i="1"/>
  <c r="A9519" i="1"/>
  <c r="F9519" i="1"/>
  <c r="B9520" i="1"/>
  <c r="A9520" i="1"/>
  <c r="F9520" i="1"/>
  <c r="B9521" i="1"/>
  <c r="A9521" i="1"/>
  <c r="F9521" i="1"/>
  <c r="B9522" i="1"/>
  <c r="A9522" i="1"/>
  <c r="F9522" i="1"/>
  <c r="B9523" i="1"/>
  <c r="A9523" i="1"/>
  <c r="F9523" i="1"/>
  <c r="B9524" i="1"/>
  <c r="A9524" i="1"/>
  <c r="F9524" i="1"/>
  <c r="B9525" i="1"/>
  <c r="A9525" i="1"/>
  <c r="F9525" i="1"/>
  <c r="B9526" i="1"/>
  <c r="A9526" i="1"/>
  <c r="F9526" i="1"/>
  <c r="B9527" i="1"/>
  <c r="A9527" i="1"/>
  <c r="F9527" i="1"/>
  <c r="B9528" i="1"/>
  <c r="A9528" i="1"/>
  <c r="F9528" i="1"/>
  <c r="B9529" i="1"/>
  <c r="A9529" i="1"/>
  <c r="F9529" i="1"/>
  <c r="B9530" i="1"/>
  <c r="A9530" i="1"/>
  <c r="F9530" i="1"/>
  <c r="B9531" i="1"/>
  <c r="A9531" i="1"/>
  <c r="F9531" i="1"/>
  <c r="B9532" i="1"/>
  <c r="A9532" i="1"/>
  <c r="F9532" i="1"/>
  <c r="B9533" i="1"/>
  <c r="A9533" i="1"/>
  <c r="F9533" i="1"/>
  <c r="B9534" i="1"/>
  <c r="A9534" i="1"/>
  <c r="F9534" i="1"/>
  <c r="B9535" i="1"/>
  <c r="A9535" i="1"/>
  <c r="F9535" i="1"/>
  <c r="B9536" i="1"/>
  <c r="A9536" i="1"/>
  <c r="F9536" i="1"/>
  <c r="B9537" i="1"/>
  <c r="A9537" i="1"/>
  <c r="F9537" i="1"/>
  <c r="B9538" i="1"/>
  <c r="A9538" i="1"/>
  <c r="F9538" i="1"/>
  <c r="B9539" i="1"/>
  <c r="A9539" i="1"/>
  <c r="F9539" i="1"/>
  <c r="B9540" i="1"/>
  <c r="A9540" i="1"/>
  <c r="F9540" i="1"/>
  <c r="B9541" i="1"/>
  <c r="A9541" i="1"/>
  <c r="F9541" i="1"/>
  <c r="B9542" i="1"/>
  <c r="A9542" i="1"/>
  <c r="F9542" i="1"/>
  <c r="B9543" i="1"/>
  <c r="A9543" i="1"/>
  <c r="F9543" i="1"/>
  <c r="B9544" i="1"/>
  <c r="A9544" i="1"/>
  <c r="F9544" i="1"/>
  <c r="B9545" i="1"/>
  <c r="A9545" i="1"/>
  <c r="F9545" i="1"/>
  <c r="B9546" i="1"/>
  <c r="A9546" i="1"/>
  <c r="F9546" i="1"/>
  <c r="B9547" i="1"/>
  <c r="A9547" i="1"/>
  <c r="F9547" i="1"/>
  <c r="B9548" i="1"/>
  <c r="A9548" i="1"/>
  <c r="F9548" i="1"/>
  <c r="B9549" i="1"/>
  <c r="A9549" i="1"/>
  <c r="F9549" i="1"/>
  <c r="B9550" i="1"/>
  <c r="A9550" i="1"/>
  <c r="F9550" i="1"/>
  <c r="B9551" i="1"/>
  <c r="A9551" i="1"/>
  <c r="F9551" i="1"/>
  <c r="B9552" i="1"/>
  <c r="A9552" i="1"/>
  <c r="F9552" i="1"/>
  <c r="B9553" i="1"/>
  <c r="A9553" i="1"/>
  <c r="F9553" i="1"/>
  <c r="B9554" i="1"/>
  <c r="A9554" i="1"/>
  <c r="F9554" i="1"/>
  <c r="B9555" i="1"/>
  <c r="A9555" i="1"/>
  <c r="F9555" i="1"/>
  <c r="B9556" i="1"/>
  <c r="A9556" i="1"/>
  <c r="F9556" i="1"/>
  <c r="B9557" i="1"/>
  <c r="A9557" i="1"/>
  <c r="F9557" i="1"/>
  <c r="B9558" i="1"/>
  <c r="A9558" i="1"/>
  <c r="F9558" i="1"/>
  <c r="B9559" i="1"/>
  <c r="A9559" i="1"/>
  <c r="F9559" i="1"/>
  <c r="B9560" i="1"/>
  <c r="A9560" i="1"/>
  <c r="F9560" i="1"/>
  <c r="B9561" i="1"/>
  <c r="A9561" i="1"/>
  <c r="F9561" i="1"/>
  <c r="B9562" i="1"/>
  <c r="A9562" i="1"/>
  <c r="F9562" i="1"/>
  <c r="B9563" i="1"/>
  <c r="A9563" i="1"/>
  <c r="F9563" i="1"/>
  <c r="B9564" i="1"/>
  <c r="A9564" i="1"/>
  <c r="F9564" i="1"/>
  <c r="B9565" i="1"/>
  <c r="A9565" i="1"/>
  <c r="F9565" i="1"/>
  <c r="B9566" i="1"/>
  <c r="A9566" i="1"/>
  <c r="F9566" i="1"/>
  <c r="B9567" i="1"/>
  <c r="A9567" i="1"/>
  <c r="F9567" i="1"/>
  <c r="B9568" i="1"/>
  <c r="A9568" i="1"/>
  <c r="F9568" i="1"/>
  <c r="B9569" i="1"/>
  <c r="A9569" i="1"/>
  <c r="F9569" i="1"/>
  <c r="B9570" i="1"/>
  <c r="A9570" i="1"/>
  <c r="F9570" i="1"/>
  <c r="B9571" i="1"/>
  <c r="A9571" i="1"/>
  <c r="F9571" i="1"/>
  <c r="B9572" i="1"/>
  <c r="A9572" i="1"/>
  <c r="F9572" i="1"/>
  <c r="B9573" i="1"/>
  <c r="A9573" i="1"/>
  <c r="F9573" i="1"/>
  <c r="B9574" i="1"/>
  <c r="A9574" i="1"/>
  <c r="F9574" i="1"/>
  <c r="B9575" i="1"/>
  <c r="A9575" i="1"/>
  <c r="F9575" i="1"/>
  <c r="B9576" i="1"/>
  <c r="A9576" i="1"/>
  <c r="F9576" i="1"/>
  <c r="B9577" i="1"/>
  <c r="A9577" i="1"/>
  <c r="F9577" i="1"/>
  <c r="B9578" i="1"/>
  <c r="A9578" i="1"/>
  <c r="F9578" i="1"/>
  <c r="B9579" i="1"/>
  <c r="A9579" i="1"/>
  <c r="F9579" i="1"/>
  <c r="B9580" i="1"/>
  <c r="A9580" i="1"/>
  <c r="F9580" i="1"/>
  <c r="B9581" i="1"/>
  <c r="A9581" i="1"/>
  <c r="F9581" i="1"/>
  <c r="B9582" i="1"/>
  <c r="A9582" i="1"/>
  <c r="F9582" i="1"/>
  <c r="B9583" i="1"/>
  <c r="A9583" i="1"/>
  <c r="F9583" i="1"/>
  <c r="B9584" i="1"/>
  <c r="A9584" i="1"/>
  <c r="F9584" i="1"/>
  <c r="B9585" i="1"/>
  <c r="A9585" i="1"/>
  <c r="F9585" i="1"/>
  <c r="B9586" i="1"/>
  <c r="A9586" i="1"/>
  <c r="F9586" i="1"/>
  <c r="B9587" i="1"/>
  <c r="A9587" i="1"/>
  <c r="F9587" i="1"/>
  <c r="B9588" i="1"/>
  <c r="A9588" i="1"/>
  <c r="F9588" i="1"/>
  <c r="B9589" i="1"/>
  <c r="A9589" i="1"/>
  <c r="F9589" i="1"/>
  <c r="B9590" i="1"/>
  <c r="A9590" i="1"/>
  <c r="F9590" i="1"/>
  <c r="B9591" i="1"/>
  <c r="A9591" i="1"/>
  <c r="F9591" i="1"/>
  <c r="B9592" i="1"/>
  <c r="A9592" i="1"/>
  <c r="F9592" i="1"/>
  <c r="B9593" i="1"/>
  <c r="A9593" i="1"/>
  <c r="F9593" i="1"/>
  <c r="B9594" i="1"/>
  <c r="A9594" i="1"/>
  <c r="F9594" i="1"/>
  <c r="B9595" i="1"/>
  <c r="A9595" i="1"/>
  <c r="F9595" i="1"/>
  <c r="B9596" i="1"/>
  <c r="A9596" i="1"/>
  <c r="F9596" i="1"/>
  <c r="B9597" i="1"/>
  <c r="A9597" i="1"/>
  <c r="F9597" i="1"/>
  <c r="B9598" i="1"/>
  <c r="A9598" i="1"/>
  <c r="F9598" i="1"/>
  <c r="B9599" i="1"/>
  <c r="A9599" i="1"/>
  <c r="F9599" i="1"/>
  <c r="B9600" i="1"/>
  <c r="A9600" i="1"/>
  <c r="F9600" i="1"/>
  <c r="B9601" i="1"/>
  <c r="A9601" i="1"/>
  <c r="F9601" i="1"/>
  <c r="B9602" i="1"/>
  <c r="A9602" i="1"/>
  <c r="F9602" i="1"/>
  <c r="B9603" i="1"/>
  <c r="A9603" i="1"/>
  <c r="F9603" i="1"/>
  <c r="B9604" i="1"/>
  <c r="A9604" i="1"/>
  <c r="F9604" i="1"/>
  <c r="B9605" i="1"/>
  <c r="A9605" i="1"/>
  <c r="F9605" i="1"/>
  <c r="B9606" i="1"/>
  <c r="A9606" i="1"/>
  <c r="F9606" i="1"/>
  <c r="B9607" i="1"/>
  <c r="A9607" i="1"/>
  <c r="F9607" i="1"/>
  <c r="B9608" i="1"/>
  <c r="A9608" i="1"/>
  <c r="F9608" i="1"/>
  <c r="B9609" i="1"/>
  <c r="A9609" i="1"/>
  <c r="F9609" i="1"/>
  <c r="B9610" i="1"/>
  <c r="A9610" i="1"/>
  <c r="F9610" i="1"/>
  <c r="B9611" i="1"/>
  <c r="A9611" i="1"/>
  <c r="F9611" i="1"/>
  <c r="B9612" i="1"/>
  <c r="A9612" i="1"/>
  <c r="F9612" i="1"/>
  <c r="B9613" i="1"/>
  <c r="A9613" i="1"/>
  <c r="F9613" i="1"/>
  <c r="B9614" i="1"/>
  <c r="A9614" i="1"/>
  <c r="F9614" i="1"/>
  <c r="B9615" i="1"/>
  <c r="A9615" i="1"/>
  <c r="F9615" i="1"/>
  <c r="B9616" i="1"/>
  <c r="A9616" i="1"/>
  <c r="F9616" i="1"/>
  <c r="B9617" i="1"/>
  <c r="A9617" i="1"/>
  <c r="F9617" i="1"/>
  <c r="B9618" i="1"/>
  <c r="A9618" i="1"/>
  <c r="F9618" i="1"/>
  <c r="B9619" i="1"/>
  <c r="A9619" i="1"/>
  <c r="F9619" i="1"/>
  <c r="B9620" i="1"/>
  <c r="A9620" i="1"/>
  <c r="F9620" i="1"/>
  <c r="B9621" i="1"/>
  <c r="A9621" i="1"/>
  <c r="F9621" i="1"/>
  <c r="B9622" i="1"/>
  <c r="A9622" i="1"/>
  <c r="F9622" i="1"/>
  <c r="B9623" i="1"/>
  <c r="A9623" i="1"/>
  <c r="F9623" i="1"/>
  <c r="B9624" i="1"/>
  <c r="A9624" i="1"/>
  <c r="F9624" i="1"/>
  <c r="B9625" i="1"/>
  <c r="A9625" i="1"/>
  <c r="F9625" i="1"/>
  <c r="B9626" i="1"/>
  <c r="A9626" i="1"/>
  <c r="F9626" i="1"/>
  <c r="B9627" i="1"/>
  <c r="A9627" i="1"/>
  <c r="F9627" i="1"/>
  <c r="B9628" i="1"/>
  <c r="A9628" i="1"/>
  <c r="F9628" i="1"/>
  <c r="B9629" i="1"/>
  <c r="A9629" i="1"/>
  <c r="F9629" i="1"/>
  <c r="B9630" i="1"/>
  <c r="A9630" i="1"/>
  <c r="F9630" i="1"/>
  <c r="B9631" i="1"/>
  <c r="A9631" i="1"/>
  <c r="F9631" i="1"/>
  <c r="B9632" i="1"/>
  <c r="A9632" i="1"/>
  <c r="F9632" i="1"/>
  <c r="B9633" i="1"/>
  <c r="A9633" i="1"/>
  <c r="F9633" i="1"/>
  <c r="B9634" i="1"/>
  <c r="A9634" i="1"/>
  <c r="F9634" i="1"/>
  <c r="B9635" i="1"/>
  <c r="A9635" i="1"/>
  <c r="F9635" i="1"/>
  <c r="B9636" i="1"/>
  <c r="A9636" i="1"/>
  <c r="F9636" i="1"/>
  <c r="B9637" i="1"/>
  <c r="A9637" i="1"/>
  <c r="F9637" i="1"/>
  <c r="B9638" i="1"/>
  <c r="A9638" i="1"/>
  <c r="F9638" i="1"/>
  <c r="B9639" i="1"/>
  <c r="A9639" i="1"/>
  <c r="F9639" i="1"/>
  <c r="B9640" i="1"/>
  <c r="A9640" i="1"/>
  <c r="F9640" i="1"/>
  <c r="B9641" i="1"/>
  <c r="A9641" i="1"/>
  <c r="F9641" i="1"/>
  <c r="B9642" i="1"/>
  <c r="A9642" i="1"/>
  <c r="F9642" i="1"/>
  <c r="B9643" i="1"/>
  <c r="A9643" i="1"/>
  <c r="F9643" i="1"/>
  <c r="B9644" i="1"/>
  <c r="A9644" i="1"/>
  <c r="F9644" i="1"/>
  <c r="B9645" i="1"/>
  <c r="A9645" i="1"/>
  <c r="F9645" i="1"/>
  <c r="B9646" i="1"/>
  <c r="A9646" i="1"/>
  <c r="F9646" i="1"/>
  <c r="B9647" i="1"/>
  <c r="A9647" i="1"/>
  <c r="F9647" i="1"/>
  <c r="B9648" i="1"/>
  <c r="A9648" i="1"/>
  <c r="F9648" i="1"/>
  <c r="B9649" i="1"/>
  <c r="A9649" i="1"/>
  <c r="F9649" i="1"/>
  <c r="B9650" i="1"/>
  <c r="A9650" i="1"/>
  <c r="F9650" i="1"/>
  <c r="B9651" i="1"/>
  <c r="A9651" i="1"/>
  <c r="F9651" i="1"/>
  <c r="B9652" i="1"/>
  <c r="A9652" i="1"/>
  <c r="F9652" i="1"/>
  <c r="B9653" i="1"/>
  <c r="A9653" i="1"/>
  <c r="F9653" i="1"/>
  <c r="B9654" i="1"/>
  <c r="A9654" i="1"/>
  <c r="F9654" i="1"/>
  <c r="B9655" i="1"/>
  <c r="A9655" i="1"/>
  <c r="F9655" i="1"/>
  <c r="B9656" i="1"/>
  <c r="A9656" i="1"/>
  <c r="F9656" i="1"/>
  <c r="B9657" i="1"/>
  <c r="A9657" i="1"/>
  <c r="F9657" i="1"/>
  <c r="B9658" i="1"/>
  <c r="A9658" i="1"/>
  <c r="F9658" i="1"/>
  <c r="B9659" i="1"/>
  <c r="A9659" i="1"/>
  <c r="F9659" i="1"/>
  <c r="B9660" i="1"/>
  <c r="A9660" i="1"/>
  <c r="F9660" i="1"/>
  <c r="B9661" i="1"/>
  <c r="A9661" i="1"/>
  <c r="F9661" i="1"/>
  <c r="B9662" i="1"/>
  <c r="A9662" i="1"/>
  <c r="F9662" i="1"/>
  <c r="B9663" i="1"/>
  <c r="A9663" i="1"/>
  <c r="F9663" i="1"/>
  <c r="B9664" i="1"/>
  <c r="A9664" i="1"/>
  <c r="F9664" i="1"/>
  <c r="B9665" i="1"/>
  <c r="A9665" i="1"/>
  <c r="F9665" i="1"/>
  <c r="B9666" i="1"/>
  <c r="A9666" i="1"/>
  <c r="F9666" i="1"/>
  <c r="B9667" i="1"/>
  <c r="A9667" i="1"/>
  <c r="F9667" i="1"/>
  <c r="B9668" i="1"/>
  <c r="A9668" i="1"/>
  <c r="F9668" i="1"/>
  <c r="B9669" i="1"/>
  <c r="A9669" i="1"/>
  <c r="F9669" i="1"/>
  <c r="B9670" i="1"/>
  <c r="A9670" i="1"/>
  <c r="F9670" i="1"/>
  <c r="B9671" i="1"/>
  <c r="A9671" i="1"/>
  <c r="F9671" i="1"/>
  <c r="B9672" i="1"/>
  <c r="A9672" i="1"/>
  <c r="F9672" i="1"/>
  <c r="B9673" i="1"/>
  <c r="A9673" i="1"/>
  <c r="F9673" i="1"/>
  <c r="B9674" i="1"/>
  <c r="A9674" i="1"/>
  <c r="F9674" i="1"/>
  <c r="B9675" i="1"/>
  <c r="A9675" i="1"/>
  <c r="F9675" i="1"/>
  <c r="B9676" i="1"/>
  <c r="A9676" i="1"/>
  <c r="F9676" i="1"/>
  <c r="B9677" i="1"/>
  <c r="A9677" i="1"/>
  <c r="F9677" i="1"/>
  <c r="B9678" i="1"/>
  <c r="A9678" i="1"/>
  <c r="F9678" i="1"/>
  <c r="B9679" i="1"/>
  <c r="A9679" i="1"/>
  <c r="F9679" i="1"/>
  <c r="B9680" i="1"/>
  <c r="A9680" i="1"/>
  <c r="F9680" i="1"/>
  <c r="B9681" i="1"/>
  <c r="A9681" i="1"/>
  <c r="F9681" i="1"/>
  <c r="B9682" i="1"/>
  <c r="A9682" i="1"/>
  <c r="F9682" i="1"/>
  <c r="B9683" i="1"/>
  <c r="A9683" i="1"/>
  <c r="F9683" i="1"/>
  <c r="B9684" i="1"/>
  <c r="A9684" i="1"/>
  <c r="F9684" i="1"/>
  <c r="B9685" i="1"/>
  <c r="A9685" i="1"/>
  <c r="F9685" i="1"/>
  <c r="B9686" i="1"/>
  <c r="A9686" i="1"/>
  <c r="F9686" i="1"/>
  <c r="B9687" i="1"/>
  <c r="A9687" i="1"/>
  <c r="F9687" i="1"/>
  <c r="B9688" i="1"/>
  <c r="A9688" i="1"/>
  <c r="F9688" i="1"/>
  <c r="B9689" i="1"/>
  <c r="A9689" i="1"/>
  <c r="F9689" i="1"/>
  <c r="B9690" i="1"/>
  <c r="A9690" i="1"/>
  <c r="F9690" i="1"/>
  <c r="B9691" i="1"/>
  <c r="A9691" i="1"/>
  <c r="F9691" i="1"/>
  <c r="B9692" i="1"/>
  <c r="A9692" i="1"/>
  <c r="F9692" i="1"/>
  <c r="B9693" i="1"/>
  <c r="A9693" i="1"/>
  <c r="F9693" i="1"/>
  <c r="B9694" i="1"/>
  <c r="A9694" i="1"/>
  <c r="F9694" i="1"/>
  <c r="B9695" i="1"/>
  <c r="A9695" i="1"/>
  <c r="F9695" i="1"/>
  <c r="B9696" i="1"/>
  <c r="A9696" i="1"/>
  <c r="F9696" i="1"/>
  <c r="B9697" i="1"/>
  <c r="A9697" i="1"/>
  <c r="F9697" i="1"/>
  <c r="B9698" i="1"/>
  <c r="A9698" i="1"/>
  <c r="F9698" i="1"/>
  <c r="B9699" i="1"/>
  <c r="A9699" i="1"/>
  <c r="F9699" i="1"/>
  <c r="B9700" i="1"/>
  <c r="A9700" i="1"/>
  <c r="F9700" i="1"/>
  <c r="B9701" i="1"/>
  <c r="A9701" i="1"/>
  <c r="F9701" i="1"/>
  <c r="B9702" i="1"/>
  <c r="A9702" i="1"/>
  <c r="F9702" i="1"/>
  <c r="B9703" i="1"/>
  <c r="A9703" i="1"/>
  <c r="F9703" i="1"/>
  <c r="B9704" i="1"/>
  <c r="A9704" i="1"/>
  <c r="F9704" i="1"/>
  <c r="B9705" i="1"/>
  <c r="A9705" i="1"/>
  <c r="F9705" i="1"/>
  <c r="B9706" i="1"/>
  <c r="A9706" i="1"/>
  <c r="F9706" i="1"/>
  <c r="B9707" i="1"/>
  <c r="A9707" i="1"/>
  <c r="F9707" i="1"/>
  <c r="B9708" i="1"/>
  <c r="A9708" i="1"/>
  <c r="F9708" i="1"/>
  <c r="B9709" i="1"/>
  <c r="A9709" i="1"/>
  <c r="F9709" i="1"/>
  <c r="B9710" i="1"/>
  <c r="A9710" i="1"/>
  <c r="F9710" i="1"/>
  <c r="B9711" i="1"/>
  <c r="A9711" i="1"/>
  <c r="F9711" i="1"/>
  <c r="B9712" i="1"/>
  <c r="A9712" i="1"/>
  <c r="F9712" i="1"/>
  <c r="B9713" i="1"/>
  <c r="A9713" i="1"/>
  <c r="F9713" i="1"/>
  <c r="B9714" i="1"/>
  <c r="A9714" i="1"/>
  <c r="F9714" i="1"/>
  <c r="B9715" i="1"/>
  <c r="A9715" i="1"/>
  <c r="F9715" i="1"/>
  <c r="B9716" i="1"/>
  <c r="A9716" i="1"/>
  <c r="F9716" i="1"/>
  <c r="B9717" i="1"/>
  <c r="A9717" i="1"/>
  <c r="F9717" i="1"/>
  <c r="B9718" i="1"/>
  <c r="A9718" i="1"/>
  <c r="F9718" i="1"/>
  <c r="B9719" i="1"/>
  <c r="A9719" i="1"/>
  <c r="F9719" i="1"/>
  <c r="B9720" i="1"/>
  <c r="A9720" i="1"/>
  <c r="F9720" i="1"/>
  <c r="B9721" i="1"/>
  <c r="A9721" i="1"/>
  <c r="F9721" i="1"/>
  <c r="B9722" i="1"/>
  <c r="A9722" i="1"/>
  <c r="F9722" i="1"/>
  <c r="B9723" i="1"/>
  <c r="A9723" i="1"/>
  <c r="F9723" i="1"/>
  <c r="B9724" i="1"/>
  <c r="A9724" i="1"/>
  <c r="F9724" i="1"/>
  <c r="B9725" i="1"/>
  <c r="A9725" i="1"/>
  <c r="F9725" i="1"/>
  <c r="B9726" i="1"/>
  <c r="A9726" i="1"/>
  <c r="F9726" i="1"/>
  <c r="B9727" i="1"/>
  <c r="A9727" i="1"/>
  <c r="F9727" i="1"/>
  <c r="B9728" i="1"/>
  <c r="A9728" i="1"/>
  <c r="F9728" i="1"/>
  <c r="B9729" i="1"/>
  <c r="A9729" i="1"/>
  <c r="F9729" i="1"/>
  <c r="B9730" i="1"/>
  <c r="A9730" i="1"/>
  <c r="F9730" i="1"/>
  <c r="B9731" i="1"/>
  <c r="A9731" i="1"/>
  <c r="F9731" i="1"/>
  <c r="B9732" i="1"/>
  <c r="A9732" i="1"/>
  <c r="F9732" i="1"/>
  <c r="B9733" i="1"/>
  <c r="A9733" i="1"/>
  <c r="F9733" i="1"/>
  <c r="B9734" i="1"/>
  <c r="A9734" i="1"/>
  <c r="F9734" i="1"/>
  <c r="B9735" i="1"/>
  <c r="A9735" i="1"/>
  <c r="F9735" i="1"/>
  <c r="B9736" i="1"/>
  <c r="A9736" i="1"/>
  <c r="F9736" i="1"/>
  <c r="B9737" i="1"/>
  <c r="A9737" i="1"/>
  <c r="F9737" i="1"/>
  <c r="B9738" i="1"/>
  <c r="A9738" i="1"/>
  <c r="F9738" i="1"/>
  <c r="B9739" i="1"/>
  <c r="A9739" i="1"/>
  <c r="F9739" i="1"/>
  <c r="B9740" i="1"/>
  <c r="A9740" i="1"/>
  <c r="F9740" i="1"/>
  <c r="B9741" i="1"/>
  <c r="A9741" i="1"/>
  <c r="F9741" i="1"/>
  <c r="B9742" i="1"/>
  <c r="A9742" i="1"/>
  <c r="F9742" i="1"/>
  <c r="B9743" i="1"/>
  <c r="A9743" i="1"/>
  <c r="F9743" i="1"/>
  <c r="B9744" i="1"/>
  <c r="A9744" i="1"/>
  <c r="F9744" i="1"/>
  <c r="B9745" i="1"/>
  <c r="A9745" i="1"/>
  <c r="F9745" i="1"/>
  <c r="B9746" i="1"/>
  <c r="A9746" i="1"/>
  <c r="F9746" i="1"/>
  <c r="B9747" i="1"/>
  <c r="A9747" i="1"/>
  <c r="F9747" i="1"/>
  <c r="B9748" i="1"/>
  <c r="A9748" i="1"/>
  <c r="F9748" i="1"/>
  <c r="B9749" i="1"/>
  <c r="A9749" i="1"/>
  <c r="F9749" i="1"/>
  <c r="B9750" i="1"/>
  <c r="A9750" i="1"/>
  <c r="F9750" i="1"/>
  <c r="B9751" i="1"/>
  <c r="A9751" i="1"/>
  <c r="F9751" i="1"/>
  <c r="B9752" i="1"/>
  <c r="A9752" i="1"/>
  <c r="F9752" i="1"/>
  <c r="B9753" i="1"/>
  <c r="A9753" i="1"/>
  <c r="F9753" i="1"/>
  <c r="B9754" i="1"/>
  <c r="A9754" i="1"/>
  <c r="F9754" i="1"/>
  <c r="B9755" i="1"/>
  <c r="A9755" i="1"/>
  <c r="F9755" i="1"/>
  <c r="B9756" i="1"/>
  <c r="A9756" i="1"/>
  <c r="F9756" i="1"/>
  <c r="B9757" i="1"/>
  <c r="A9757" i="1"/>
  <c r="F9757" i="1"/>
  <c r="B9758" i="1"/>
  <c r="A9758" i="1"/>
  <c r="F9758" i="1"/>
  <c r="B9759" i="1"/>
  <c r="A9759" i="1"/>
  <c r="F9759" i="1"/>
  <c r="B9760" i="1"/>
  <c r="A9760" i="1"/>
  <c r="F9760" i="1"/>
  <c r="B9761" i="1"/>
  <c r="A9761" i="1"/>
  <c r="F9761" i="1"/>
  <c r="B9762" i="1"/>
  <c r="A9762" i="1"/>
  <c r="F9762" i="1"/>
  <c r="B9763" i="1"/>
  <c r="A9763" i="1"/>
  <c r="F9763" i="1"/>
  <c r="B9764" i="1"/>
  <c r="A9764" i="1"/>
  <c r="F9764" i="1"/>
  <c r="B9765" i="1"/>
  <c r="A9765" i="1"/>
  <c r="F9765" i="1"/>
  <c r="B9766" i="1"/>
  <c r="A9766" i="1"/>
  <c r="F9766" i="1"/>
  <c r="B9767" i="1"/>
  <c r="A9767" i="1"/>
  <c r="F9767" i="1"/>
  <c r="B9768" i="1"/>
  <c r="A9768" i="1"/>
  <c r="F9768" i="1"/>
  <c r="B9769" i="1"/>
  <c r="A9769" i="1"/>
  <c r="F9769" i="1"/>
  <c r="B9770" i="1"/>
  <c r="A9770" i="1"/>
  <c r="F9770" i="1"/>
  <c r="B9771" i="1"/>
  <c r="A9771" i="1"/>
  <c r="F9771" i="1"/>
  <c r="B9772" i="1"/>
  <c r="A9772" i="1"/>
  <c r="F9772" i="1"/>
  <c r="B9773" i="1"/>
  <c r="A9773" i="1"/>
  <c r="F9773" i="1"/>
  <c r="B9774" i="1"/>
  <c r="A9774" i="1"/>
  <c r="F9774" i="1"/>
  <c r="B9775" i="1"/>
  <c r="A9775" i="1"/>
  <c r="F9775" i="1"/>
  <c r="B9776" i="1"/>
  <c r="A9776" i="1"/>
  <c r="F9776" i="1"/>
  <c r="B9777" i="1"/>
  <c r="A9777" i="1"/>
  <c r="F9777" i="1"/>
  <c r="B9778" i="1"/>
  <c r="A9778" i="1"/>
  <c r="F9778" i="1"/>
  <c r="B9779" i="1"/>
  <c r="A9779" i="1"/>
  <c r="F9779" i="1"/>
  <c r="B9780" i="1"/>
  <c r="A9780" i="1"/>
  <c r="F9780" i="1"/>
  <c r="B9781" i="1"/>
  <c r="A9781" i="1"/>
  <c r="F9781" i="1"/>
  <c r="B9782" i="1"/>
  <c r="A9782" i="1"/>
  <c r="F9782" i="1"/>
  <c r="B9783" i="1"/>
  <c r="A9783" i="1"/>
  <c r="F9783" i="1"/>
  <c r="B9784" i="1"/>
  <c r="A9784" i="1"/>
  <c r="F9784" i="1"/>
  <c r="B9785" i="1"/>
  <c r="A9785" i="1"/>
  <c r="F9785" i="1"/>
  <c r="B9786" i="1"/>
  <c r="A9786" i="1"/>
  <c r="F9786" i="1"/>
  <c r="B9787" i="1"/>
  <c r="A9787" i="1"/>
  <c r="F9787" i="1"/>
  <c r="B9788" i="1"/>
  <c r="A9788" i="1"/>
  <c r="F9788" i="1"/>
  <c r="B9789" i="1"/>
  <c r="A9789" i="1"/>
  <c r="F9789" i="1"/>
  <c r="B9790" i="1"/>
  <c r="A9790" i="1"/>
  <c r="F9790" i="1"/>
  <c r="B9791" i="1"/>
  <c r="A9791" i="1"/>
  <c r="F9791" i="1"/>
  <c r="B9792" i="1"/>
  <c r="A9792" i="1"/>
  <c r="F9792" i="1"/>
  <c r="B9793" i="1"/>
  <c r="A9793" i="1"/>
  <c r="F9793" i="1"/>
  <c r="B9794" i="1"/>
  <c r="A9794" i="1"/>
  <c r="F9794" i="1"/>
  <c r="B9795" i="1"/>
  <c r="A9795" i="1"/>
  <c r="F9795" i="1"/>
  <c r="B9796" i="1"/>
  <c r="A9796" i="1"/>
  <c r="F9796" i="1"/>
  <c r="B9797" i="1"/>
  <c r="A9797" i="1"/>
  <c r="F9797" i="1"/>
  <c r="B9798" i="1"/>
  <c r="A9798" i="1"/>
  <c r="F9798" i="1"/>
  <c r="B9799" i="1"/>
  <c r="A9799" i="1"/>
  <c r="F9799" i="1"/>
  <c r="B9800" i="1"/>
  <c r="A9800" i="1"/>
  <c r="F9800" i="1"/>
  <c r="B9801" i="1"/>
  <c r="A9801" i="1"/>
  <c r="F9801" i="1"/>
  <c r="B9802" i="1"/>
  <c r="A9802" i="1"/>
  <c r="F9802" i="1"/>
  <c r="B9803" i="1"/>
  <c r="A9803" i="1"/>
  <c r="F9803" i="1"/>
  <c r="B9804" i="1"/>
  <c r="A9804" i="1"/>
  <c r="F9804" i="1"/>
  <c r="B9805" i="1"/>
  <c r="A9805" i="1"/>
  <c r="F9805" i="1"/>
  <c r="B9806" i="1"/>
  <c r="A9806" i="1"/>
  <c r="F9806" i="1"/>
  <c r="B9807" i="1"/>
  <c r="A9807" i="1"/>
  <c r="F9807" i="1"/>
  <c r="B9808" i="1"/>
  <c r="A9808" i="1"/>
  <c r="F9808" i="1"/>
  <c r="B9809" i="1"/>
  <c r="A9809" i="1"/>
  <c r="F9809" i="1"/>
  <c r="B9810" i="1"/>
  <c r="A9810" i="1"/>
  <c r="F9810" i="1"/>
  <c r="B9811" i="1"/>
  <c r="A9811" i="1"/>
  <c r="F9811" i="1"/>
  <c r="B9812" i="1"/>
  <c r="A9812" i="1"/>
  <c r="F9812" i="1"/>
  <c r="B9813" i="1"/>
  <c r="A9813" i="1"/>
  <c r="F9813" i="1"/>
  <c r="B9814" i="1"/>
  <c r="A9814" i="1"/>
  <c r="F9814" i="1"/>
  <c r="B9815" i="1"/>
  <c r="A9815" i="1"/>
  <c r="F9815" i="1"/>
  <c r="B9816" i="1"/>
  <c r="A9816" i="1"/>
  <c r="F9816" i="1"/>
  <c r="B9817" i="1"/>
  <c r="A9817" i="1"/>
  <c r="F9817" i="1"/>
  <c r="B9818" i="1"/>
  <c r="A9818" i="1"/>
  <c r="F9818" i="1"/>
  <c r="B9819" i="1"/>
  <c r="A9819" i="1"/>
  <c r="F9819" i="1"/>
  <c r="B9820" i="1"/>
  <c r="A9820" i="1"/>
  <c r="F9820" i="1"/>
  <c r="B9821" i="1"/>
  <c r="A9821" i="1"/>
  <c r="F9821" i="1"/>
  <c r="B9822" i="1"/>
  <c r="A9822" i="1"/>
  <c r="F9822" i="1"/>
  <c r="B9823" i="1"/>
  <c r="A9823" i="1"/>
  <c r="F9823" i="1"/>
  <c r="B9824" i="1"/>
  <c r="A9824" i="1"/>
  <c r="F9824" i="1"/>
  <c r="B9825" i="1"/>
  <c r="A9825" i="1"/>
  <c r="F9825" i="1"/>
  <c r="B9826" i="1"/>
  <c r="A9826" i="1"/>
  <c r="F9826" i="1"/>
  <c r="B9827" i="1"/>
  <c r="A9827" i="1"/>
  <c r="F9827" i="1"/>
  <c r="B9828" i="1"/>
  <c r="A9828" i="1"/>
  <c r="F9828" i="1"/>
  <c r="B9829" i="1"/>
  <c r="A9829" i="1"/>
  <c r="F9829" i="1"/>
  <c r="B9830" i="1"/>
  <c r="A9830" i="1"/>
  <c r="F9830" i="1"/>
  <c r="B9831" i="1"/>
  <c r="A9831" i="1"/>
  <c r="F9831" i="1"/>
  <c r="B9832" i="1"/>
  <c r="A9832" i="1"/>
  <c r="F9832" i="1"/>
  <c r="B9833" i="1"/>
  <c r="A9833" i="1"/>
  <c r="F9833" i="1"/>
  <c r="B9834" i="1"/>
  <c r="A9834" i="1"/>
  <c r="F9834" i="1"/>
  <c r="B9835" i="1"/>
  <c r="A9835" i="1"/>
  <c r="F9835" i="1"/>
  <c r="B9836" i="1"/>
  <c r="A9836" i="1"/>
  <c r="F9836" i="1"/>
  <c r="B9837" i="1"/>
  <c r="A9837" i="1"/>
  <c r="F9837" i="1"/>
  <c r="B9838" i="1"/>
  <c r="A9838" i="1"/>
  <c r="F9838" i="1"/>
  <c r="B9839" i="1"/>
  <c r="A9839" i="1"/>
  <c r="F9839" i="1"/>
  <c r="B9840" i="1"/>
  <c r="A9840" i="1"/>
  <c r="F9840" i="1"/>
  <c r="B9841" i="1"/>
  <c r="A9841" i="1"/>
  <c r="F9841" i="1"/>
  <c r="B9842" i="1"/>
  <c r="A9842" i="1"/>
  <c r="F9842" i="1"/>
  <c r="B9843" i="1"/>
  <c r="A9843" i="1"/>
  <c r="F9843" i="1"/>
  <c r="B9844" i="1"/>
  <c r="A9844" i="1"/>
  <c r="F9844" i="1"/>
  <c r="B9845" i="1"/>
  <c r="A9845" i="1"/>
  <c r="F9845" i="1"/>
  <c r="B9846" i="1"/>
  <c r="A9846" i="1"/>
  <c r="F9846" i="1"/>
  <c r="B9847" i="1"/>
  <c r="A9847" i="1"/>
  <c r="F9847" i="1"/>
  <c r="B9848" i="1"/>
  <c r="A9848" i="1"/>
  <c r="F9848" i="1"/>
  <c r="B9849" i="1"/>
  <c r="A9849" i="1"/>
  <c r="F9849" i="1"/>
  <c r="B9850" i="1"/>
  <c r="A9850" i="1"/>
  <c r="F9850" i="1"/>
  <c r="B9851" i="1"/>
  <c r="A9851" i="1"/>
  <c r="F9851" i="1"/>
  <c r="B9852" i="1"/>
  <c r="A9852" i="1"/>
  <c r="F9852" i="1"/>
  <c r="B9853" i="1"/>
  <c r="A9853" i="1"/>
  <c r="F9853" i="1"/>
  <c r="B9854" i="1"/>
  <c r="A9854" i="1"/>
  <c r="F9854" i="1"/>
  <c r="B9855" i="1"/>
  <c r="A9855" i="1"/>
  <c r="F9855" i="1"/>
  <c r="B9856" i="1"/>
  <c r="A9856" i="1"/>
  <c r="F9856" i="1"/>
  <c r="B9857" i="1"/>
  <c r="A9857" i="1"/>
  <c r="F9857" i="1"/>
  <c r="B9858" i="1"/>
  <c r="A9858" i="1"/>
  <c r="F9858" i="1"/>
  <c r="B9859" i="1"/>
  <c r="A9859" i="1"/>
  <c r="F9859" i="1"/>
  <c r="B9860" i="1"/>
  <c r="A9860" i="1"/>
  <c r="F9860" i="1"/>
  <c r="B9861" i="1"/>
  <c r="A9861" i="1"/>
  <c r="F9861" i="1"/>
  <c r="B9862" i="1"/>
  <c r="A9862" i="1"/>
  <c r="F9862" i="1"/>
  <c r="B9863" i="1"/>
  <c r="A9863" i="1"/>
  <c r="F9863" i="1"/>
  <c r="B9864" i="1"/>
  <c r="A9864" i="1"/>
  <c r="F9864" i="1"/>
  <c r="B9865" i="1"/>
  <c r="A9865" i="1"/>
  <c r="F9865" i="1"/>
  <c r="B9866" i="1"/>
  <c r="A9866" i="1"/>
  <c r="F9866" i="1"/>
  <c r="B9867" i="1"/>
  <c r="A9867" i="1"/>
  <c r="F9867" i="1"/>
  <c r="B9868" i="1"/>
  <c r="A9868" i="1"/>
  <c r="F9868" i="1"/>
  <c r="B9869" i="1"/>
  <c r="A9869" i="1"/>
  <c r="F9869" i="1"/>
  <c r="B9870" i="1"/>
  <c r="A9870" i="1"/>
  <c r="F9870" i="1"/>
  <c r="B9871" i="1"/>
  <c r="A9871" i="1"/>
  <c r="F9871" i="1"/>
  <c r="B9872" i="1"/>
  <c r="A9872" i="1"/>
  <c r="F9872" i="1"/>
  <c r="B9873" i="1"/>
  <c r="A9873" i="1"/>
  <c r="F9873" i="1"/>
  <c r="B9874" i="1"/>
  <c r="A9874" i="1"/>
  <c r="F9874" i="1"/>
  <c r="B9875" i="1"/>
  <c r="A9875" i="1"/>
  <c r="F9875" i="1"/>
  <c r="B9876" i="1"/>
  <c r="A9876" i="1"/>
  <c r="F9876" i="1"/>
  <c r="B9877" i="1"/>
  <c r="A9877" i="1"/>
  <c r="F9877" i="1"/>
  <c r="B9878" i="1"/>
  <c r="A9878" i="1"/>
  <c r="F9878" i="1"/>
  <c r="B9879" i="1"/>
  <c r="A9879" i="1"/>
  <c r="F9879" i="1"/>
  <c r="B9880" i="1"/>
  <c r="A9880" i="1"/>
  <c r="F9880" i="1"/>
  <c r="B9881" i="1"/>
  <c r="A9881" i="1"/>
  <c r="F9881" i="1"/>
  <c r="B9882" i="1"/>
  <c r="A9882" i="1"/>
  <c r="F9882" i="1"/>
  <c r="B9883" i="1"/>
  <c r="A9883" i="1"/>
  <c r="F9883" i="1"/>
  <c r="B9884" i="1"/>
  <c r="A9884" i="1"/>
  <c r="F9884" i="1"/>
  <c r="B9885" i="1"/>
  <c r="A9885" i="1"/>
  <c r="F9885" i="1"/>
  <c r="B9886" i="1"/>
  <c r="A9886" i="1"/>
  <c r="F9886" i="1"/>
  <c r="B9887" i="1"/>
  <c r="A9887" i="1"/>
  <c r="F9887" i="1"/>
  <c r="B9888" i="1"/>
  <c r="A9888" i="1"/>
  <c r="F9888" i="1"/>
  <c r="B9889" i="1"/>
  <c r="A9889" i="1"/>
  <c r="F9889" i="1"/>
  <c r="B9890" i="1"/>
  <c r="A9890" i="1"/>
  <c r="F9890" i="1"/>
  <c r="B9891" i="1"/>
  <c r="A9891" i="1"/>
  <c r="F9891" i="1"/>
  <c r="B9892" i="1"/>
  <c r="A9892" i="1"/>
  <c r="F9892" i="1"/>
  <c r="B9893" i="1"/>
  <c r="A9893" i="1"/>
  <c r="F9893" i="1"/>
  <c r="B9894" i="1"/>
  <c r="A9894" i="1"/>
  <c r="F9894" i="1"/>
  <c r="B9895" i="1"/>
  <c r="A9895" i="1"/>
  <c r="F9895" i="1"/>
  <c r="B9896" i="1"/>
  <c r="A9896" i="1"/>
  <c r="F9896" i="1"/>
  <c r="B9897" i="1"/>
  <c r="A9897" i="1"/>
  <c r="F9897" i="1"/>
  <c r="B9898" i="1"/>
  <c r="A9898" i="1"/>
  <c r="F9898" i="1"/>
  <c r="B9899" i="1"/>
  <c r="A9899" i="1"/>
  <c r="F9899" i="1"/>
  <c r="B9900" i="1"/>
  <c r="A9900" i="1"/>
  <c r="F9900" i="1"/>
  <c r="B9901" i="1"/>
  <c r="A9901" i="1"/>
  <c r="F9901" i="1"/>
  <c r="B9902" i="1"/>
  <c r="A9902" i="1"/>
  <c r="F9902" i="1"/>
  <c r="B9903" i="1"/>
  <c r="A9903" i="1"/>
  <c r="F9903" i="1"/>
  <c r="B9904" i="1"/>
  <c r="A9904" i="1"/>
  <c r="F9904" i="1"/>
  <c r="B9905" i="1"/>
  <c r="A9905" i="1"/>
  <c r="F9905" i="1"/>
  <c r="B9906" i="1"/>
  <c r="A9906" i="1"/>
  <c r="F9906" i="1"/>
  <c r="B9907" i="1"/>
  <c r="A9907" i="1"/>
  <c r="F9907" i="1"/>
  <c r="B9908" i="1"/>
  <c r="A9908" i="1"/>
  <c r="F9908" i="1"/>
  <c r="B9909" i="1"/>
  <c r="A9909" i="1"/>
  <c r="F9909" i="1"/>
  <c r="B9910" i="1"/>
  <c r="A9910" i="1"/>
  <c r="F9910" i="1"/>
  <c r="B9911" i="1"/>
  <c r="A9911" i="1"/>
  <c r="F9911" i="1"/>
  <c r="B9912" i="1"/>
  <c r="A9912" i="1"/>
  <c r="F9912" i="1"/>
  <c r="B9913" i="1"/>
  <c r="A9913" i="1"/>
  <c r="F9913" i="1"/>
  <c r="B9914" i="1"/>
  <c r="A9914" i="1"/>
  <c r="F9914" i="1"/>
  <c r="B9915" i="1"/>
  <c r="A9915" i="1"/>
  <c r="F9915" i="1"/>
  <c r="B9916" i="1"/>
  <c r="A9916" i="1"/>
  <c r="F9916" i="1"/>
  <c r="B9917" i="1"/>
  <c r="A9917" i="1"/>
  <c r="F9917" i="1"/>
  <c r="B9918" i="1"/>
  <c r="A9918" i="1"/>
  <c r="F9918" i="1"/>
  <c r="B9919" i="1"/>
  <c r="A9919" i="1"/>
  <c r="F9919" i="1"/>
  <c r="B9920" i="1"/>
  <c r="A9920" i="1"/>
  <c r="F9920" i="1"/>
  <c r="B9921" i="1"/>
  <c r="A9921" i="1"/>
  <c r="F9921" i="1"/>
  <c r="B9922" i="1"/>
  <c r="A9922" i="1"/>
  <c r="F9922" i="1"/>
  <c r="B9923" i="1"/>
  <c r="A9923" i="1"/>
  <c r="F9923" i="1"/>
  <c r="B9924" i="1"/>
  <c r="A9924" i="1"/>
  <c r="F9924" i="1"/>
  <c r="B9925" i="1"/>
  <c r="A9925" i="1"/>
  <c r="F9925" i="1"/>
  <c r="B9926" i="1"/>
  <c r="A9926" i="1"/>
  <c r="F9926" i="1"/>
  <c r="B9927" i="1"/>
  <c r="A9927" i="1"/>
  <c r="F9927" i="1"/>
  <c r="B9928" i="1"/>
  <c r="A9928" i="1"/>
  <c r="F9928" i="1"/>
  <c r="B9929" i="1"/>
  <c r="A9929" i="1"/>
  <c r="F9929" i="1"/>
  <c r="B9930" i="1"/>
  <c r="A9930" i="1"/>
  <c r="F9930" i="1"/>
  <c r="B9931" i="1"/>
  <c r="A9931" i="1"/>
  <c r="F9931" i="1"/>
  <c r="B9932" i="1"/>
  <c r="A9932" i="1"/>
  <c r="F9932" i="1"/>
  <c r="B9933" i="1"/>
  <c r="A9933" i="1"/>
  <c r="F9933" i="1"/>
  <c r="B9934" i="1"/>
  <c r="A9934" i="1"/>
  <c r="F9934" i="1"/>
  <c r="B9935" i="1"/>
  <c r="A9935" i="1"/>
  <c r="F9935" i="1"/>
  <c r="B9936" i="1"/>
  <c r="A9936" i="1"/>
  <c r="F9936" i="1"/>
  <c r="B9937" i="1"/>
  <c r="A9937" i="1"/>
  <c r="F9937" i="1"/>
  <c r="B9938" i="1"/>
  <c r="A9938" i="1"/>
  <c r="F9938" i="1"/>
  <c r="B9939" i="1"/>
  <c r="A9939" i="1"/>
  <c r="F9939" i="1"/>
  <c r="B9940" i="1"/>
  <c r="A9940" i="1"/>
  <c r="F9940" i="1"/>
  <c r="B9941" i="1"/>
  <c r="A9941" i="1"/>
  <c r="F9941" i="1"/>
  <c r="B9942" i="1"/>
  <c r="A9942" i="1"/>
  <c r="F9942" i="1"/>
  <c r="B9943" i="1"/>
  <c r="A9943" i="1"/>
  <c r="F9943" i="1"/>
  <c r="B9944" i="1"/>
  <c r="A9944" i="1"/>
  <c r="F9944" i="1"/>
  <c r="B9945" i="1"/>
  <c r="A9945" i="1"/>
  <c r="F9945" i="1"/>
  <c r="B9946" i="1"/>
  <c r="A9946" i="1"/>
  <c r="F9946" i="1"/>
  <c r="B9947" i="1"/>
  <c r="A9947" i="1"/>
  <c r="F9947" i="1"/>
  <c r="B9948" i="1"/>
  <c r="A9948" i="1"/>
  <c r="F9948" i="1"/>
  <c r="B9949" i="1"/>
  <c r="A9949" i="1"/>
  <c r="F9949" i="1"/>
  <c r="B9950" i="1"/>
  <c r="A9950" i="1"/>
  <c r="F9950" i="1"/>
  <c r="B9951" i="1"/>
  <c r="A9951" i="1"/>
  <c r="F9951" i="1"/>
  <c r="B9952" i="1"/>
  <c r="A9952" i="1"/>
  <c r="F9952" i="1"/>
  <c r="B9953" i="1"/>
  <c r="A9953" i="1"/>
  <c r="F9953" i="1"/>
  <c r="B9954" i="1"/>
  <c r="A9954" i="1"/>
  <c r="F9954" i="1"/>
  <c r="B9955" i="1"/>
  <c r="A9955" i="1"/>
  <c r="F9955" i="1"/>
  <c r="B9956" i="1"/>
  <c r="A9956" i="1"/>
  <c r="F9956" i="1"/>
  <c r="B9957" i="1"/>
  <c r="A9957" i="1"/>
  <c r="F9957" i="1"/>
  <c r="B9958" i="1"/>
  <c r="A9958" i="1"/>
  <c r="F9958" i="1"/>
  <c r="B9959" i="1"/>
  <c r="A9959" i="1"/>
  <c r="F9959" i="1"/>
  <c r="B9960" i="1"/>
  <c r="A9960" i="1"/>
  <c r="F9960" i="1"/>
  <c r="B9961" i="1"/>
  <c r="A9961" i="1"/>
  <c r="F9961" i="1"/>
  <c r="B9962" i="1"/>
  <c r="A9962" i="1"/>
  <c r="F9962" i="1"/>
  <c r="B9963" i="1"/>
  <c r="A9963" i="1"/>
  <c r="F9963" i="1"/>
  <c r="B9964" i="1"/>
  <c r="A9964" i="1"/>
  <c r="F9964" i="1"/>
  <c r="B9965" i="1"/>
  <c r="A9965" i="1"/>
  <c r="F9965" i="1"/>
  <c r="B9966" i="1"/>
  <c r="A9966" i="1"/>
  <c r="F9966" i="1"/>
  <c r="B9967" i="1"/>
  <c r="A9967" i="1"/>
  <c r="F9967" i="1"/>
  <c r="B9968" i="1"/>
  <c r="A9968" i="1"/>
  <c r="F9968" i="1"/>
  <c r="B9969" i="1"/>
  <c r="A9969" i="1"/>
  <c r="F9969" i="1"/>
  <c r="B9970" i="1"/>
  <c r="A9970" i="1"/>
  <c r="F9970" i="1"/>
  <c r="B9971" i="1"/>
  <c r="A9971" i="1"/>
  <c r="F9971" i="1"/>
  <c r="B9972" i="1"/>
  <c r="A9972" i="1"/>
  <c r="F9972" i="1"/>
  <c r="B9973" i="1"/>
  <c r="A9973" i="1"/>
  <c r="F9973" i="1"/>
  <c r="B9974" i="1"/>
  <c r="A9974" i="1"/>
  <c r="F9974" i="1"/>
  <c r="B9975" i="1"/>
  <c r="A9975" i="1"/>
  <c r="F9975" i="1"/>
  <c r="B9976" i="1"/>
  <c r="A9976" i="1"/>
  <c r="F9976" i="1"/>
  <c r="B9977" i="1"/>
  <c r="A9977" i="1"/>
  <c r="F9977" i="1"/>
  <c r="B9978" i="1"/>
  <c r="A9978" i="1"/>
  <c r="F9978" i="1"/>
  <c r="B9979" i="1"/>
  <c r="A9979" i="1"/>
  <c r="F9979" i="1"/>
  <c r="B9980" i="1"/>
  <c r="A9980" i="1"/>
  <c r="F9980" i="1"/>
  <c r="B9981" i="1"/>
  <c r="A9981" i="1"/>
  <c r="F9981" i="1"/>
  <c r="B9982" i="1"/>
  <c r="A9982" i="1"/>
  <c r="F9982" i="1"/>
  <c r="B9983" i="1"/>
  <c r="A9983" i="1"/>
  <c r="F9983" i="1"/>
  <c r="B9984" i="1"/>
  <c r="A9984" i="1"/>
  <c r="F9984" i="1"/>
  <c r="B9985" i="1"/>
  <c r="A9985" i="1"/>
  <c r="F9985" i="1"/>
  <c r="B9986" i="1"/>
  <c r="A9986" i="1"/>
  <c r="F9986" i="1"/>
  <c r="B9987" i="1"/>
  <c r="A9987" i="1"/>
  <c r="F9987" i="1"/>
  <c r="B9988" i="1"/>
  <c r="A9988" i="1"/>
  <c r="F9988" i="1"/>
  <c r="B9989" i="1"/>
  <c r="A9989" i="1"/>
  <c r="F9989" i="1"/>
  <c r="B9990" i="1"/>
  <c r="A9990" i="1"/>
  <c r="F9990" i="1"/>
  <c r="B9991" i="1"/>
  <c r="A9991" i="1"/>
  <c r="F9991" i="1"/>
  <c r="B9992" i="1"/>
  <c r="A9992" i="1"/>
  <c r="F9992" i="1"/>
  <c r="B9993" i="1"/>
  <c r="A9993" i="1"/>
  <c r="F9993" i="1"/>
  <c r="B9994" i="1"/>
  <c r="A9994" i="1"/>
  <c r="F9994" i="1"/>
  <c r="B9995" i="1"/>
  <c r="A9995" i="1"/>
  <c r="F9995" i="1"/>
  <c r="B9996" i="1"/>
  <c r="A9996" i="1"/>
  <c r="F9996" i="1"/>
  <c r="B9997" i="1"/>
  <c r="A9997" i="1"/>
  <c r="F9997" i="1"/>
  <c r="B9998" i="1"/>
  <c r="A9998" i="1"/>
  <c r="F9998" i="1"/>
  <c r="B9999" i="1"/>
  <c r="A9999" i="1"/>
  <c r="F9999" i="1"/>
  <c r="B10000" i="1"/>
  <c r="A10000" i="1"/>
  <c r="F10000" i="1"/>
  <c r="B10001" i="1"/>
  <c r="A10001" i="1"/>
  <c r="F10001" i="1"/>
  <c r="B10002" i="1"/>
  <c r="A10002" i="1"/>
  <c r="F10002" i="1"/>
  <c r="B10003" i="1"/>
  <c r="A10003" i="1"/>
  <c r="F10003" i="1"/>
  <c r="B10004" i="1"/>
  <c r="A10004" i="1"/>
  <c r="F10004" i="1"/>
  <c r="B10005" i="1"/>
  <c r="A10005" i="1"/>
  <c r="F10005" i="1"/>
  <c r="B10006" i="1"/>
  <c r="A10006" i="1"/>
  <c r="F10006" i="1"/>
  <c r="B10007" i="1"/>
  <c r="A10007" i="1"/>
  <c r="F10007" i="1"/>
  <c r="B10008" i="1"/>
  <c r="A10008" i="1"/>
  <c r="F10008" i="1"/>
  <c r="B10009" i="1"/>
  <c r="A10009" i="1"/>
  <c r="F10009" i="1"/>
  <c r="B10010" i="1"/>
  <c r="A10010" i="1"/>
  <c r="F10010" i="1"/>
  <c r="B10011" i="1"/>
  <c r="A10011" i="1"/>
  <c r="F10011" i="1"/>
  <c r="B10012" i="1"/>
  <c r="A10012" i="1"/>
  <c r="F10012" i="1"/>
  <c r="B10013" i="1"/>
  <c r="A10013" i="1"/>
  <c r="F10013" i="1"/>
  <c r="B10014" i="1"/>
  <c r="A10014" i="1"/>
  <c r="F10014" i="1"/>
  <c r="B10015" i="1"/>
  <c r="A10015" i="1"/>
  <c r="F10015" i="1"/>
  <c r="B10016" i="1"/>
  <c r="A10016" i="1"/>
  <c r="F10016" i="1"/>
  <c r="B10017" i="1"/>
  <c r="A10017" i="1"/>
  <c r="F10017" i="1"/>
  <c r="B10018" i="1"/>
  <c r="A10018" i="1"/>
  <c r="F10018" i="1"/>
  <c r="B10019" i="1"/>
  <c r="A10019" i="1"/>
  <c r="F10019" i="1"/>
  <c r="B10020" i="1"/>
  <c r="A10020" i="1"/>
  <c r="F10020" i="1"/>
  <c r="B10021" i="1"/>
  <c r="A10021" i="1"/>
  <c r="F10021" i="1"/>
  <c r="B10022" i="1"/>
  <c r="A10022" i="1"/>
  <c r="F10022" i="1"/>
  <c r="B10023" i="1"/>
  <c r="A10023" i="1"/>
  <c r="F10023" i="1"/>
  <c r="B10024" i="1"/>
  <c r="A10024" i="1"/>
  <c r="F10024" i="1"/>
  <c r="B10025" i="1"/>
  <c r="A10025" i="1"/>
  <c r="F10025" i="1"/>
  <c r="B10026" i="1"/>
  <c r="A10026" i="1"/>
  <c r="F10026" i="1"/>
  <c r="B10027" i="1"/>
  <c r="A10027" i="1"/>
  <c r="F10027" i="1"/>
  <c r="B10028" i="1"/>
  <c r="A10028" i="1"/>
  <c r="F10028" i="1"/>
  <c r="B10029" i="1"/>
  <c r="A10029" i="1"/>
  <c r="F10029" i="1"/>
  <c r="B10030" i="1"/>
  <c r="A10030" i="1"/>
  <c r="F10030" i="1"/>
  <c r="B10031" i="1"/>
  <c r="A10031" i="1"/>
  <c r="F10031" i="1"/>
  <c r="B10032" i="1"/>
  <c r="A10032" i="1"/>
  <c r="F10032" i="1"/>
  <c r="B10033" i="1"/>
  <c r="A10033" i="1"/>
  <c r="F10033" i="1"/>
  <c r="B10034" i="1"/>
  <c r="A10034" i="1"/>
  <c r="F10034" i="1"/>
  <c r="B10035" i="1"/>
  <c r="A10035" i="1"/>
  <c r="F10035" i="1"/>
  <c r="B10036" i="1"/>
  <c r="A10036" i="1"/>
  <c r="F10036" i="1"/>
  <c r="B10037" i="1"/>
  <c r="A10037" i="1"/>
  <c r="F10037" i="1"/>
  <c r="B10038" i="1"/>
  <c r="A10038" i="1"/>
  <c r="F10038" i="1"/>
  <c r="B10039" i="1"/>
  <c r="A10039" i="1"/>
  <c r="F10039" i="1"/>
  <c r="B10040" i="1"/>
  <c r="A10040" i="1"/>
  <c r="F10040" i="1"/>
  <c r="B10041" i="1"/>
  <c r="A10041" i="1"/>
  <c r="F10041" i="1"/>
  <c r="B10042" i="1"/>
  <c r="A10042" i="1"/>
  <c r="F10042" i="1"/>
  <c r="B10043" i="1"/>
  <c r="A10043" i="1"/>
  <c r="F10043" i="1"/>
  <c r="B10044" i="1"/>
  <c r="A10044" i="1"/>
  <c r="F10044" i="1"/>
  <c r="B10045" i="1"/>
  <c r="A10045" i="1"/>
  <c r="F10045" i="1"/>
  <c r="B10046" i="1"/>
  <c r="A10046" i="1"/>
  <c r="F10046" i="1"/>
  <c r="B10047" i="1"/>
  <c r="A10047" i="1"/>
  <c r="F10047" i="1"/>
  <c r="B10048" i="1"/>
  <c r="A10048" i="1"/>
  <c r="F10048" i="1"/>
  <c r="B10049" i="1"/>
  <c r="A10049" i="1"/>
  <c r="F10049" i="1"/>
  <c r="B10050" i="1"/>
  <c r="A10050" i="1"/>
  <c r="F10050" i="1"/>
  <c r="B10051" i="1"/>
  <c r="A10051" i="1"/>
  <c r="F10051" i="1"/>
  <c r="B10052" i="1"/>
  <c r="A10052" i="1"/>
  <c r="F10052" i="1"/>
  <c r="B10053" i="1"/>
  <c r="A10053" i="1"/>
  <c r="F10053" i="1"/>
  <c r="B10054" i="1"/>
  <c r="A10054" i="1"/>
  <c r="F10054" i="1"/>
  <c r="B10055" i="1"/>
  <c r="A10055" i="1"/>
  <c r="F10055" i="1"/>
  <c r="B10056" i="1"/>
  <c r="A10056" i="1"/>
  <c r="F10056" i="1"/>
  <c r="B10057" i="1"/>
  <c r="A10057" i="1"/>
  <c r="F10057" i="1"/>
  <c r="B10058" i="1"/>
  <c r="A10058" i="1"/>
  <c r="F10058" i="1"/>
  <c r="B10059" i="1"/>
  <c r="A10059" i="1"/>
  <c r="F10059" i="1"/>
  <c r="B10060" i="1"/>
  <c r="A10060" i="1"/>
  <c r="F10060" i="1"/>
  <c r="B10061" i="1"/>
  <c r="A10061" i="1"/>
  <c r="F10061" i="1"/>
  <c r="B10062" i="1"/>
  <c r="A10062" i="1"/>
  <c r="F10062" i="1"/>
  <c r="B10063" i="1"/>
  <c r="A10063" i="1"/>
  <c r="F10063" i="1"/>
  <c r="B10064" i="1"/>
  <c r="A10064" i="1"/>
  <c r="F10064" i="1"/>
  <c r="B10065" i="1"/>
  <c r="A10065" i="1"/>
  <c r="F10065" i="1"/>
  <c r="B10066" i="1"/>
  <c r="A10066" i="1"/>
  <c r="F10066" i="1"/>
  <c r="B10067" i="1"/>
  <c r="A10067" i="1"/>
  <c r="F10067" i="1"/>
  <c r="B10068" i="1"/>
  <c r="A10068" i="1"/>
  <c r="F10068" i="1"/>
  <c r="B10069" i="1"/>
  <c r="A10069" i="1"/>
  <c r="F10069" i="1"/>
  <c r="B10070" i="1"/>
  <c r="A10070" i="1"/>
  <c r="F10070" i="1"/>
  <c r="B10071" i="1"/>
  <c r="A10071" i="1"/>
  <c r="F10071" i="1"/>
  <c r="B10072" i="1"/>
  <c r="A10072" i="1"/>
  <c r="F10072" i="1"/>
  <c r="B10073" i="1"/>
  <c r="A10073" i="1"/>
  <c r="F10073" i="1"/>
  <c r="B10074" i="1"/>
  <c r="A10074" i="1"/>
  <c r="F10074" i="1"/>
  <c r="B10075" i="1"/>
  <c r="A10075" i="1"/>
  <c r="F10075" i="1"/>
  <c r="B10076" i="1"/>
  <c r="A10076" i="1"/>
  <c r="F10076" i="1"/>
  <c r="B10077" i="1"/>
  <c r="A10077" i="1"/>
  <c r="F10077" i="1"/>
  <c r="B10078" i="1"/>
  <c r="A10078" i="1"/>
  <c r="F10078" i="1"/>
  <c r="B10079" i="1"/>
  <c r="A10079" i="1"/>
  <c r="F10079" i="1"/>
  <c r="B10080" i="1"/>
  <c r="A10080" i="1"/>
  <c r="F10080" i="1"/>
  <c r="B10081" i="1"/>
  <c r="A10081" i="1"/>
  <c r="F10081" i="1"/>
  <c r="B10082" i="1"/>
  <c r="A10082" i="1"/>
  <c r="F10082" i="1"/>
  <c r="B10083" i="1"/>
  <c r="A10083" i="1"/>
  <c r="F10083" i="1"/>
  <c r="B10084" i="1"/>
  <c r="A10084" i="1"/>
  <c r="F10084" i="1"/>
  <c r="B10085" i="1"/>
  <c r="A10085" i="1"/>
  <c r="F10085" i="1"/>
  <c r="B10086" i="1"/>
  <c r="A10086" i="1"/>
  <c r="F10086" i="1"/>
  <c r="B10087" i="1"/>
  <c r="A10087" i="1"/>
  <c r="F10087" i="1"/>
  <c r="B10088" i="1"/>
  <c r="A10088" i="1"/>
  <c r="F10088" i="1"/>
  <c r="B10089" i="1"/>
  <c r="A10089" i="1"/>
  <c r="F10089" i="1"/>
  <c r="B10090" i="1"/>
  <c r="A10090" i="1"/>
  <c r="F10090" i="1"/>
  <c r="B10091" i="1"/>
  <c r="A10091" i="1"/>
  <c r="F10091" i="1"/>
  <c r="B10092" i="1"/>
  <c r="A10092" i="1"/>
  <c r="F10092" i="1"/>
  <c r="B10093" i="1"/>
  <c r="A10093" i="1"/>
  <c r="F10093" i="1"/>
  <c r="B10094" i="1"/>
  <c r="A10094" i="1"/>
  <c r="F10094" i="1"/>
  <c r="B10095" i="1"/>
  <c r="A10095" i="1"/>
  <c r="F10095" i="1"/>
  <c r="B10096" i="1"/>
  <c r="A10096" i="1"/>
  <c r="F10096" i="1"/>
  <c r="B10097" i="1"/>
  <c r="A10097" i="1"/>
  <c r="F10097" i="1"/>
  <c r="B10098" i="1"/>
  <c r="A10098" i="1"/>
  <c r="F10098" i="1"/>
  <c r="B10099" i="1"/>
  <c r="A10099" i="1"/>
  <c r="F10099" i="1"/>
  <c r="B10100" i="1"/>
  <c r="A10100" i="1"/>
  <c r="F10100" i="1"/>
  <c r="B10101" i="1"/>
  <c r="A10101" i="1"/>
  <c r="F10101" i="1"/>
  <c r="B10102" i="1"/>
  <c r="A10102" i="1"/>
  <c r="F10102" i="1"/>
  <c r="B10103" i="1"/>
  <c r="A10103" i="1"/>
  <c r="F10103" i="1"/>
  <c r="B10104" i="1"/>
  <c r="A10104" i="1"/>
  <c r="F10104" i="1"/>
  <c r="B10105" i="1"/>
  <c r="A10105" i="1"/>
  <c r="F10105" i="1"/>
  <c r="B10106" i="1"/>
  <c r="A10106" i="1"/>
  <c r="F10106" i="1"/>
  <c r="B10107" i="1"/>
  <c r="A10107" i="1"/>
  <c r="F10107" i="1"/>
  <c r="B10108" i="1"/>
  <c r="A10108" i="1"/>
  <c r="F10108" i="1"/>
  <c r="B10109" i="1"/>
  <c r="A10109" i="1"/>
  <c r="F10109" i="1"/>
  <c r="B10110" i="1"/>
  <c r="A10110" i="1"/>
  <c r="F10110" i="1"/>
  <c r="B10111" i="1"/>
  <c r="A10111" i="1"/>
  <c r="F10111" i="1"/>
  <c r="B10112" i="1"/>
  <c r="A10112" i="1"/>
  <c r="F10112" i="1"/>
  <c r="B10113" i="1"/>
  <c r="A10113" i="1"/>
  <c r="F10113" i="1"/>
  <c r="B10114" i="1"/>
  <c r="A10114" i="1"/>
  <c r="F10114" i="1"/>
  <c r="B10115" i="1"/>
  <c r="A10115" i="1"/>
  <c r="F10115" i="1"/>
  <c r="B10116" i="1"/>
  <c r="A10116" i="1"/>
  <c r="F10116" i="1"/>
  <c r="B10117" i="1"/>
  <c r="A10117" i="1"/>
  <c r="F10117" i="1"/>
  <c r="B10118" i="1"/>
  <c r="A10118" i="1"/>
  <c r="F10118" i="1"/>
  <c r="B10119" i="1"/>
  <c r="A10119" i="1"/>
  <c r="F10119" i="1"/>
  <c r="B10120" i="1"/>
  <c r="A10120" i="1"/>
  <c r="F10120" i="1"/>
  <c r="B10121" i="1"/>
  <c r="A10121" i="1"/>
  <c r="F10121" i="1"/>
  <c r="B10122" i="1"/>
  <c r="A10122" i="1"/>
  <c r="F10122" i="1"/>
  <c r="B10123" i="1"/>
  <c r="A10123" i="1"/>
  <c r="F10123" i="1"/>
  <c r="B10124" i="1"/>
  <c r="A10124" i="1"/>
  <c r="F10124" i="1"/>
  <c r="B10125" i="1"/>
  <c r="A10125" i="1"/>
  <c r="F10125" i="1"/>
  <c r="B10126" i="1"/>
  <c r="A10126" i="1"/>
  <c r="F10126" i="1"/>
  <c r="B10127" i="1"/>
  <c r="A10127" i="1"/>
  <c r="F10127" i="1"/>
  <c r="B10128" i="1"/>
  <c r="A10128" i="1"/>
  <c r="F10128" i="1"/>
  <c r="B10129" i="1"/>
  <c r="A10129" i="1"/>
  <c r="F10129" i="1"/>
  <c r="B10130" i="1"/>
  <c r="A10130" i="1"/>
  <c r="F10130" i="1"/>
  <c r="B10131" i="1"/>
  <c r="A10131" i="1"/>
  <c r="F10131" i="1"/>
  <c r="B10132" i="1"/>
  <c r="A10132" i="1"/>
  <c r="F10132" i="1"/>
  <c r="B10133" i="1"/>
  <c r="A10133" i="1"/>
  <c r="F10133" i="1"/>
  <c r="B10134" i="1"/>
  <c r="A10134" i="1"/>
  <c r="F10134" i="1"/>
  <c r="B10135" i="1"/>
  <c r="A10135" i="1"/>
  <c r="F10135" i="1"/>
  <c r="B10136" i="1"/>
  <c r="A10136" i="1"/>
  <c r="F10136" i="1"/>
  <c r="B10137" i="1"/>
  <c r="A10137" i="1"/>
  <c r="F10137" i="1"/>
  <c r="B10138" i="1"/>
  <c r="A10138" i="1"/>
  <c r="F10138" i="1"/>
  <c r="B10139" i="1"/>
  <c r="A10139" i="1"/>
  <c r="F10139" i="1"/>
  <c r="B10140" i="1"/>
  <c r="A10140" i="1"/>
  <c r="F10140" i="1"/>
  <c r="B10141" i="1"/>
  <c r="A10141" i="1"/>
  <c r="F10141" i="1"/>
  <c r="B10142" i="1"/>
  <c r="A10142" i="1"/>
  <c r="F10142" i="1"/>
  <c r="B10143" i="1"/>
  <c r="A10143" i="1"/>
  <c r="F10143" i="1"/>
  <c r="B10144" i="1"/>
  <c r="A10144" i="1"/>
  <c r="F10144" i="1"/>
  <c r="B10145" i="1"/>
  <c r="A10145" i="1"/>
  <c r="F10145" i="1"/>
  <c r="B10146" i="1"/>
  <c r="A10146" i="1"/>
  <c r="F10146" i="1"/>
  <c r="B10147" i="1"/>
  <c r="A10147" i="1"/>
  <c r="F10147" i="1"/>
  <c r="B10148" i="1"/>
  <c r="A10148" i="1"/>
  <c r="F10148" i="1"/>
  <c r="B10149" i="1"/>
  <c r="A10149" i="1"/>
  <c r="F10149" i="1"/>
  <c r="B10150" i="1"/>
  <c r="A10150" i="1"/>
  <c r="F10150" i="1"/>
  <c r="B10151" i="1"/>
  <c r="A10151" i="1"/>
  <c r="F10151" i="1"/>
  <c r="B10152" i="1"/>
  <c r="A10152" i="1"/>
  <c r="F10152" i="1"/>
  <c r="B10153" i="1"/>
  <c r="A10153" i="1"/>
  <c r="F10153" i="1"/>
  <c r="B10154" i="1"/>
  <c r="A10154" i="1"/>
  <c r="F10154" i="1"/>
  <c r="B10155" i="1"/>
  <c r="A10155" i="1"/>
  <c r="F10155" i="1"/>
  <c r="B10156" i="1"/>
  <c r="A10156" i="1"/>
  <c r="F10156" i="1"/>
  <c r="B10157" i="1"/>
  <c r="A10157" i="1"/>
  <c r="F10157" i="1"/>
  <c r="B10158" i="1"/>
  <c r="A10158" i="1"/>
  <c r="F10158" i="1"/>
  <c r="B10159" i="1"/>
  <c r="A10159" i="1"/>
  <c r="F10159" i="1"/>
  <c r="B10160" i="1"/>
  <c r="A10160" i="1"/>
  <c r="F10160" i="1"/>
  <c r="B10161" i="1"/>
  <c r="A10161" i="1"/>
  <c r="F10161" i="1"/>
  <c r="B10162" i="1"/>
  <c r="A10162" i="1"/>
  <c r="F10162" i="1"/>
  <c r="B10163" i="1"/>
  <c r="A10163" i="1"/>
  <c r="F10163" i="1"/>
  <c r="B10164" i="1"/>
  <c r="A10164" i="1"/>
  <c r="F10164" i="1"/>
  <c r="B10165" i="1"/>
  <c r="A10165" i="1"/>
  <c r="F10165" i="1"/>
  <c r="B10166" i="1"/>
  <c r="A10166" i="1"/>
  <c r="F10166" i="1"/>
  <c r="B10167" i="1"/>
  <c r="A10167" i="1"/>
  <c r="F10167" i="1"/>
  <c r="B10168" i="1"/>
  <c r="A10168" i="1"/>
  <c r="F10168" i="1"/>
  <c r="B10169" i="1"/>
  <c r="A10169" i="1"/>
  <c r="F10169" i="1"/>
  <c r="B10170" i="1"/>
  <c r="A10170" i="1"/>
  <c r="F10170" i="1"/>
  <c r="B10171" i="1"/>
  <c r="A10171" i="1"/>
  <c r="F10171" i="1"/>
  <c r="B10172" i="1"/>
  <c r="A10172" i="1"/>
  <c r="F10172" i="1"/>
  <c r="B10173" i="1"/>
  <c r="A10173" i="1"/>
  <c r="F10173" i="1"/>
  <c r="B10174" i="1"/>
  <c r="A10174" i="1"/>
  <c r="F10174" i="1"/>
  <c r="B10175" i="1"/>
  <c r="A10175" i="1"/>
  <c r="F10175" i="1"/>
  <c r="B10176" i="1"/>
  <c r="A10176" i="1"/>
  <c r="F10176" i="1"/>
  <c r="B10177" i="1"/>
  <c r="A10177" i="1"/>
  <c r="F10177" i="1"/>
  <c r="B10178" i="1"/>
  <c r="A10178" i="1"/>
  <c r="F10178" i="1"/>
  <c r="B10179" i="1"/>
  <c r="A10179" i="1"/>
  <c r="F10179" i="1"/>
  <c r="B10180" i="1"/>
  <c r="A10180" i="1"/>
  <c r="F10180" i="1"/>
  <c r="B10181" i="1"/>
  <c r="A10181" i="1"/>
  <c r="F10181" i="1"/>
  <c r="B10182" i="1"/>
  <c r="A10182" i="1"/>
  <c r="F10182" i="1"/>
  <c r="B10183" i="1"/>
  <c r="A10183" i="1"/>
  <c r="F10183" i="1"/>
  <c r="B10184" i="1"/>
  <c r="A10184" i="1"/>
  <c r="F10184" i="1"/>
  <c r="B10185" i="1"/>
  <c r="A10185" i="1"/>
  <c r="F10185" i="1"/>
  <c r="B10186" i="1"/>
  <c r="A10186" i="1"/>
  <c r="F10186" i="1"/>
  <c r="B10187" i="1"/>
  <c r="A10187" i="1"/>
  <c r="F10187" i="1"/>
  <c r="B10188" i="1"/>
  <c r="A10188" i="1"/>
  <c r="F10188" i="1"/>
  <c r="B10189" i="1"/>
  <c r="A10189" i="1"/>
  <c r="F10189" i="1"/>
  <c r="B10190" i="1"/>
  <c r="A10190" i="1"/>
  <c r="F10190" i="1"/>
  <c r="B10191" i="1"/>
  <c r="A10191" i="1"/>
  <c r="F10191" i="1"/>
  <c r="B10192" i="1"/>
  <c r="A10192" i="1"/>
  <c r="F10192" i="1"/>
  <c r="B10193" i="1"/>
  <c r="A10193" i="1"/>
  <c r="F10193" i="1"/>
  <c r="B10194" i="1"/>
  <c r="A10194" i="1"/>
  <c r="F10194" i="1"/>
  <c r="B10195" i="1"/>
  <c r="A10195" i="1"/>
  <c r="F10195" i="1"/>
  <c r="B10196" i="1"/>
  <c r="A10196" i="1"/>
  <c r="F10196" i="1"/>
  <c r="B10197" i="1"/>
  <c r="A10197" i="1"/>
  <c r="F10197" i="1"/>
  <c r="B10198" i="1"/>
  <c r="A10198" i="1"/>
  <c r="F10198" i="1"/>
  <c r="B10199" i="1"/>
  <c r="A10199" i="1"/>
  <c r="F10199" i="1"/>
  <c r="B10200" i="1"/>
  <c r="A10200" i="1"/>
  <c r="F10200" i="1"/>
  <c r="B10201" i="1"/>
  <c r="A10201" i="1"/>
  <c r="F10201" i="1"/>
  <c r="B10202" i="1"/>
  <c r="A10202" i="1"/>
  <c r="F10202" i="1"/>
  <c r="B10203" i="1"/>
  <c r="A10203" i="1"/>
  <c r="F10203" i="1"/>
  <c r="B10204" i="1"/>
  <c r="A10204" i="1"/>
  <c r="F10204" i="1"/>
  <c r="B10205" i="1"/>
  <c r="A10205" i="1"/>
  <c r="F10205" i="1"/>
  <c r="B10206" i="1"/>
  <c r="A10206" i="1"/>
  <c r="F10206" i="1"/>
  <c r="B10207" i="1"/>
  <c r="A10207" i="1"/>
  <c r="F10207" i="1"/>
  <c r="B10208" i="1"/>
  <c r="A10208" i="1"/>
  <c r="F10208" i="1"/>
  <c r="B10209" i="1"/>
  <c r="A10209" i="1"/>
  <c r="F10209" i="1"/>
  <c r="B10210" i="1"/>
  <c r="A10210" i="1"/>
  <c r="F10210" i="1"/>
  <c r="B10211" i="1"/>
  <c r="A10211" i="1"/>
  <c r="F10211" i="1"/>
  <c r="B10212" i="1"/>
  <c r="A10212" i="1"/>
  <c r="F10212" i="1"/>
  <c r="B10213" i="1"/>
  <c r="A10213" i="1"/>
  <c r="F10213" i="1"/>
  <c r="B10214" i="1"/>
  <c r="A10214" i="1"/>
  <c r="F10214" i="1"/>
  <c r="B10215" i="1"/>
  <c r="A10215" i="1"/>
  <c r="F10215" i="1"/>
  <c r="B10216" i="1"/>
  <c r="A10216" i="1"/>
  <c r="F10216" i="1"/>
  <c r="B10217" i="1"/>
  <c r="A10217" i="1"/>
  <c r="F10217" i="1"/>
  <c r="B10218" i="1"/>
  <c r="A10218" i="1"/>
  <c r="F10218" i="1"/>
  <c r="B10219" i="1"/>
  <c r="A10219" i="1"/>
  <c r="F10219" i="1"/>
  <c r="B10220" i="1"/>
  <c r="A10220" i="1"/>
  <c r="F10220" i="1"/>
  <c r="B10221" i="1"/>
  <c r="A10221" i="1"/>
  <c r="F10221" i="1"/>
  <c r="B10222" i="1"/>
  <c r="A10222" i="1"/>
  <c r="F10222" i="1"/>
  <c r="B10223" i="1"/>
  <c r="A10223" i="1"/>
  <c r="F10223" i="1"/>
  <c r="B10224" i="1"/>
  <c r="A10224" i="1"/>
  <c r="F10224" i="1"/>
  <c r="B10225" i="1"/>
  <c r="A10225" i="1"/>
  <c r="F10225" i="1"/>
  <c r="B10226" i="1"/>
  <c r="A10226" i="1"/>
  <c r="F10226" i="1"/>
  <c r="B10227" i="1"/>
  <c r="A10227" i="1"/>
  <c r="F10227" i="1"/>
  <c r="B10228" i="1"/>
  <c r="A10228" i="1"/>
  <c r="F10228" i="1"/>
  <c r="B10229" i="1"/>
  <c r="A10229" i="1"/>
  <c r="F10229" i="1"/>
  <c r="B10230" i="1"/>
  <c r="A10230" i="1"/>
  <c r="F10230" i="1"/>
  <c r="B10231" i="1"/>
  <c r="A10231" i="1"/>
  <c r="F10231" i="1"/>
  <c r="B10232" i="1"/>
  <c r="A10232" i="1"/>
  <c r="F10232" i="1"/>
  <c r="B10233" i="1"/>
  <c r="A10233" i="1"/>
  <c r="F10233" i="1"/>
  <c r="B10234" i="1"/>
  <c r="A10234" i="1"/>
  <c r="F10234" i="1"/>
  <c r="B10235" i="1"/>
  <c r="A10235" i="1"/>
  <c r="F10235" i="1"/>
  <c r="B10236" i="1"/>
  <c r="A10236" i="1"/>
  <c r="F10236" i="1"/>
  <c r="B10237" i="1"/>
  <c r="A10237" i="1"/>
  <c r="F10237" i="1"/>
  <c r="B10238" i="1"/>
  <c r="A10238" i="1"/>
  <c r="F10238" i="1"/>
  <c r="B10239" i="1"/>
  <c r="A10239" i="1"/>
  <c r="F10239" i="1"/>
  <c r="B10240" i="1"/>
  <c r="A10240" i="1"/>
  <c r="F10240" i="1"/>
  <c r="B10241" i="1"/>
  <c r="A10241" i="1"/>
  <c r="F10241" i="1"/>
  <c r="B10242" i="1"/>
  <c r="A10242" i="1"/>
  <c r="F10242" i="1"/>
  <c r="B10243" i="1"/>
  <c r="A10243" i="1"/>
  <c r="F10243" i="1"/>
  <c r="B10244" i="1"/>
  <c r="A10244" i="1"/>
  <c r="F10244" i="1"/>
  <c r="B10245" i="1"/>
  <c r="A10245" i="1"/>
  <c r="F10245" i="1"/>
  <c r="B10246" i="1"/>
  <c r="A10246" i="1"/>
  <c r="F10246" i="1"/>
  <c r="B10247" i="1"/>
  <c r="A10247" i="1"/>
  <c r="F10247" i="1"/>
  <c r="B10248" i="1"/>
  <c r="A10248" i="1"/>
  <c r="F10248" i="1"/>
  <c r="B10249" i="1"/>
  <c r="A10249" i="1"/>
  <c r="F10249" i="1"/>
  <c r="B10250" i="1"/>
  <c r="A10250" i="1"/>
  <c r="F10250" i="1"/>
  <c r="B10251" i="1"/>
  <c r="A10251" i="1"/>
  <c r="F10251" i="1"/>
  <c r="B10252" i="1"/>
  <c r="A10252" i="1"/>
  <c r="F10252" i="1"/>
  <c r="B10253" i="1"/>
  <c r="A10253" i="1"/>
  <c r="F10253" i="1"/>
  <c r="B10254" i="1"/>
  <c r="A10254" i="1"/>
  <c r="F10254" i="1"/>
  <c r="B10255" i="1"/>
  <c r="A10255" i="1"/>
  <c r="F10255" i="1"/>
  <c r="B10256" i="1"/>
  <c r="A10256" i="1"/>
  <c r="F10256" i="1"/>
  <c r="B10257" i="1"/>
  <c r="A10257" i="1"/>
  <c r="F10257" i="1"/>
  <c r="B10258" i="1"/>
  <c r="A10258" i="1"/>
  <c r="F10258" i="1"/>
  <c r="B10259" i="1"/>
  <c r="A10259" i="1"/>
  <c r="F10259" i="1"/>
  <c r="B10260" i="1"/>
  <c r="A10260" i="1"/>
  <c r="F10260" i="1"/>
  <c r="B10261" i="1"/>
  <c r="A10261" i="1"/>
  <c r="F10261" i="1"/>
  <c r="B10262" i="1"/>
  <c r="A10262" i="1"/>
  <c r="F10262" i="1"/>
  <c r="B10263" i="1"/>
  <c r="A10263" i="1"/>
  <c r="F10263" i="1"/>
  <c r="B10264" i="1"/>
  <c r="A10264" i="1"/>
  <c r="F10264" i="1"/>
  <c r="B10265" i="1"/>
  <c r="A10265" i="1"/>
  <c r="F10265" i="1"/>
  <c r="B10266" i="1"/>
  <c r="A10266" i="1"/>
  <c r="F10266" i="1"/>
  <c r="B10267" i="1"/>
  <c r="A10267" i="1"/>
  <c r="F10267" i="1"/>
  <c r="B10268" i="1"/>
  <c r="A10268" i="1"/>
  <c r="F10268" i="1"/>
  <c r="B10269" i="1"/>
  <c r="A10269" i="1"/>
  <c r="F10269" i="1"/>
  <c r="B10270" i="1"/>
  <c r="A10270" i="1"/>
  <c r="F10270" i="1"/>
  <c r="B10271" i="1"/>
  <c r="A10271" i="1"/>
  <c r="F10271" i="1"/>
  <c r="B10272" i="1"/>
  <c r="A10272" i="1"/>
  <c r="F10272" i="1"/>
  <c r="B10273" i="1"/>
  <c r="A10273" i="1"/>
  <c r="F10273" i="1"/>
  <c r="B10274" i="1"/>
  <c r="A10274" i="1"/>
  <c r="F10274" i="1"/>
  <c r="B10275" i="1"/>
  <c r="A10275" i="1"/>
  <c r="F10275" i="1"/>
  <c r="B10276" i="1"/>
  <c r="A10276" i="1"/>
  <c r="F10276" i="1"/>
  <c r="B10277" i="1"/>
  <c r="A10277" i="1"/>
  <c r="F10277" i="1"/>
  <c r="B10278" i="1"/>
  <c r="A10278" i="1"/>
  <c r="F10278" i="1"/>
  <c r="B10279" i="1"/>
  <c r="A10279" i="1"/>
  <c r="F10279" i="1"/>
  <c r="B10280" i="1"/>
  <c r="A10280" i="1"/>
  <c r="F10280" i="1"/>
  <c r="B10281" i="1"/>
  <c r="A10281" i="1"/>
  <c r="F10281" i="1"/>
  <c r="B10282" i="1"/>
  <c r="A10282" i="1"/>
  <c r="F10282" i="1"/>
  <c r="B10283" i="1"/>
  <c r="A10283" i="1"/>
  <c r="F10283" i="1"/>
  <c r="B10284" i="1"/>
  <c r="A10284" i="1"/>
  <c r="F10284" i="1"/>
  <c r="B10285" i="1"/>
  <c r="A10285" i="1"/>
  <c r="F10285" i="1"/>
  <c r="B10286" i="1"/>
  <c r="A10286" i="1"/>
  <c r="F10286" i="1"/>
  <c r="B10287" i="1"/>
  <c r="A10287" i="1"/>
  <c r="F10287" i="1"/>
  <c r="B10288" i="1"/>
  <c r="A10288" i="1"/>
  <c r="F10288" i="1"/>
  <c r="B10289" i="1"/>
  <c r="A10289" i="1"/>
  <c r="F10289" i="1"/>
  <c r="B10290" i="1"/>
  <c r="A10290" i="1"/>
  <c r="F10290" i="1"/>
  <c r="B10291" i="1"/>
  <c r="A10291" i="1"/>
  <c r="F10291" i="1"/>
  <c r="B10292" i="1"/>
  <c r="A10292" i="1"/>
  <c r="F10292" i="1"/>
  <c r="B10293" i="1"/>
  <c r="A10293" i="1"/>
  <c r="F10293" i="1"/>
  <c r="B10294" i="1"/>
  <c r="A10294" i="1"/>
  <c r="F10294" i="1"/>
  <c r="B10295" i="1"/>
  <c r="A10295" i="1"/>
  <c r="F10295" i="1"/>
  <c r="B10296" i="1"/>
  <c r="A10296" i="1"/>
  <c r="F10296" i="1"/>
  <c r="B10297" i="1"/>
  <c r="A10297" i="1"/>
  <c r="F10297" i="1"/>
  <c r="B10298" i="1"/>
  <c r="A10298" i="1"/>
  <c r="F10298" i="1"/>
  <c r="B10299" i="1"/>
  <c r="A10299" i="1"/>
  <c r="F10299" i="1"/>
  <c r="B10300" i="1"/>
  <c r="A10300" i="1"/>
  <c r="F10300" i="1"/>
  <c r="B10301" i="1"/>
  <c r="A10301" i="1"/>
  <c r="F10301" i="1"/>
  <c r="B10302" i="1"/>
  <c r="A10302" i="1"/>
  <c r="F10302" i="1"/>
  <c r="B10303" i="1"/>
  <c r="A10303" i="1"/>
  <c r="F10303" i="1"/>
  <c r="B10304" i="1"/>
  <c r="A10304" i="1"/>
  <c r="F10304" i="1"/>
  <c r="B10305" i="1"/>
  <c r="A10305" i="1"/>
  <c r="F10305" i="1"/>
  <c r="B10306" i="1"/>
  <c r="A10306" i="1"/>
  <c r="F10306" i="1"/>
  <c r="B10307" i="1"/>
  <c r="A10307" i="1"/>
  <c r="F10307" i="1"/>
  <c r="B10308" i="1"/>
  <c r="A10308" i="1"/>
  <c r="F10308" i="1"/>
  <c r="B10309" i="1"/>
  <c r="A10309" i="1"/>
  <c r="F10309" i="1"/>
  <c r="B10310" i="1"/>
  <c r="A10310" i="1"/>
  <c r="F10310" i="1"/>
  <c r="B10311" i="1"/>
  <c r="A10311" i="1"/>
  <c r="F10311" i="1"/>
  <c r="B10312" i="1"/>
  <c r="A10312" i="1"/>
  <c r="F10312" i="1"/>
  <c r="B10313" i="1"/>
  <c r="A10313" i="1"/>
  <c r="F10313" i="1"/>
  <c r="B10314" i="1"/>
  <c r="A10314" i="1"/>
  <c r="F10314" i="1"/>
  <c r="B10315" i="1"/>
  <c r="A10315" i="1"/>
  <c r="F10315" i="1"/>
  <c r="B10316" i="1"/>
  <c r="A10316" i="1"/>
  <c r="F10316" i="1"/>
  <c r="B10317" i="1"/>
  <c r="A10317" i="1"/>
  <c r="F10317" i="1"/>
  <c r="B10318" i="1"/>
  <c r="A10318" i="1"/>
  <c r="F10318" i="1"/>
  <c r="B10319" i="1"/>
  <c r="A10319" i="1"/>
  <c r="F10319" i="1"/>
  <c r="B10320" i="1"/>
  <c r="A10320" i="1"/>
  <c r="F10320" i="1"/>
  <c r="B10321" i="1"/>
  <c r="A10321" i="1"/>
  <c r="F10321" i="1"/>
  <c r="B10322" i="1"/>
  <c r="A10322" i="1"/>
  <c r="F10322" i="1"/>
  <c r="B10323" i="1"/>
  <c r="A10323" i="1"/>
  <c r="F10323" i="1"/>
  <c r="B10324" i="1"/>
  <c r="A10324" i="1"/>
  <c r="F10324" i="1"/>
  <c r="B10325" i="1"/>
  <c r="A10325" i="1"/>
  <c r="F10325" i="1"/>
  <c r="B10326" i="1"/>
  <c r="A10326" i="1"/>
  <c r="F10326" i="1"/>
  <c r="B10327" i="1"/>
  <c r="A10327" i="1"/>
  <c r="F10327" i="1"/>
  <c r="B10328" i="1"/>
  <c r="A10328" i="1"/>
  <c r="F10328" i="1"/>
  <c r="B10329" i="1"/>
  <c r="A10329" i="1"/>
  <c r="F10329" i="1"/>
  <c r="B10330" i="1"/>
  <c r="A10330" i="1"/>
  <c r="F10330" i="1"/>
  <c r="B10331" i="1"/>
  <c r="A10331" i="1"/>
  <c r="F10331" i="1"/>
  <c r="B10332" i="1"/>
  <c r="A10332" i="1"/>
  <c r="F10332" i="1"/>
  <c r="B10333" i="1"/>
  <c r="A10333" i="1"/>
  <c r="F10333" i="1"/>
  <c r="B10334" i="1"/>
  <c r="A10334" i="1"/>
  <c r="F10334" i="1"/>
  <c r="B10335" i="1"/>
  <c r="A10335" i="1"/>
  <c r="F10335" i="1"/>
  <c r="B10336" i="1"/>
  <c r="A10336" i="1"/>
  <c r="F10336" i="1"/>
  <c r="B10337" i="1"/>
  <c r="A10337" i="1"/>
  <c r="F10337" i="1"/>
  <c r="B10338" i="1"/>
  <c r="A10338" i="1"/>
  <c r="F10338" i="1"/>
  <c r="B10339" i="1"/>
  <c r="A10339" i="1"/>
  <c r="F10339" i="1"/>
  <c r="B10340" i="1"/>
  <c r="A10340" i="1"/>
  <c r="F10340" i="1"/>
  <c r="B10341" i="1"/>
  <c r="A10341" i="1"/>
  <c r="F10341" i="1"/>
  <c r="B10342" i="1"/>
  <c r="A10342" i="1"/>
  <c r="F10342" i="1"/>
  <c r="B10343" i="1"/>
  <c r="A10343" i="1"/>
  <c r="F10343" i="1"/>
  <c r="B10344" i="1"/>
  <c r="A10344" i="1"/>
  <c r="F10344" i="1"/>
  <c r="B10345" i="1"/>
  <c r="A10345" i="1"/>
  <c r="F10345" i="1"/>
  <c r="B10346" i="1"/>
  <c r="A10346" i="1"/>
  <c r="F10346" i="1"/>
  <c r="B10347" i="1"/>
  <c r="A10347" i="1"/>
  <c r="F10347" i="1"/>
  <c r="B10348" i="1"/>
  <c r="A10348" i="1"/>
  <c r="F10348" i="1"/>
  <c r="B10349" i="1"/>
  <c r="A10349" i="1"/>
  <c r="F10349" i="1"/>
  <c r="B10350" i="1"/>
  <c r="A10350" i="1"/>
  <c r="F10350" i="1"/>
  <c r="B10351" i="1"/>
  <c r="A10351" i="1"/>
  <c r="F10351" i="1"/>
  <c r="B10352" i="1"/>
  <c r="A10352" i="1"/>
  <c r="F10352" i="1"/>
  <c r="B10353" i="1"/>
  <c r="A10353" i="1"/>
  <c r="F10353" i="1"/>
  <c r="B10354" i="1"/>
  <c r="A10354" i="1"/>
  <c r="F10354" i="1"/>
  <c r="B10355" i="1"/>
  <c r="A10355" i="1"/>
  <c r="F10355" i="1"/>
  <c r="B10356" i="1"/>
  <c r="A10356" i="1"/>
  <c r="F10356" i="1"/>
  <c r="B10357" i="1"/>
  <c r="A10357" i="1"/>
  <c r="F10357" i="1"/>
  <c r="B10358" i="1"/>
  <c r="A10358" i="1"/>
  <c r="F10358" i="1"/>
  <c r="B10359" i="1"/>
  <c r="A10359" i="1"/>
  <c r="F10359" i="1"/>
  <c r="B10360" i="1"/>
  <c r="A10360" i="1"/>
  <c r="F10360" i="1"/>
  <c r="B10361" i="1"/>
  <c r="A10361" i="1"/>
  <c r="F10361" i="1"/>
  <c r="B10362" i="1"/>
  <c r="A10362" i="1"/>
  <c r="F10362" i="1"/>
  <c r="B10363" i="1"/>
  <c r="A10363" i="1"/>
  <c r="F10363" i="1"/>
  <c r="B10364" i="1"/>
  <c r="A10364" i="1"/>
  <c r="F10364" i="1"/>
  <c r="B10365" i="1"/>
  <c r="A10365" i="1"/>
  <c r="F10365" i="1"/>
  <c r="B10366" i="1"/>
  <c r="A10366" i="1"/>
  <c r="F10366" i="1"/>
  <c r="B10367" i="1"/>
  <c r="A10367" i="1"/>
  <c r="F10367" i="1"/>
  <c r="B10368" i="1"/>
  <c r="A10368" i="1"/>
  <c r="F10368" i="1"/>
  <c r="B10369" i="1"/>
  <c r="A10369" i="1"/>
  <c r="F10369" i="1"/>
  <c r="B10370" i="1"/>
  <c r="A10370" i="1"/>
  <c r="F10370" i="1"/>
  <c r="B10371" i="1"/>
  <c r="A10371" i="1"/>
  <c r="F10371" i="1"/>
  <c r="B10372" i="1"/>
  <c r="A10372" i="1"/>
  <c r="F10372" i="1"/>
  <c r="B10373" i="1"/>
  <c r="A10373" i="1"/>
  <c r="F10373" i="1"/>
  <c r="B10374" i="1"/>
  <c r="A10374" i="1"/>
  <c r="F10374" i="1"/>
  <c r="B10375" i="1"/>
  <c r="A10375" i="1"/>
  <c r="F10375" i="1"/>
  <c r="B10376" i="1"/>
  <c r="A10376" i="1"/>
  <c r="F10376" i="1"/>
  <c r="B10377" i="1"/>
  <c r="A10377" i="1"/>
  <c r="F10377" i="1"/>
  <c r="B10378" i="1"/>
  <c r="A10378" i="1"/>
  <c r="F10378" i="1"/>
  <c r="B10379" i="1"/>
  <c r="A10379" i="1"/>
  <c r="F10379" i="1"/>
  <c r="B10380" i="1"/>
  <c r="A10380" i="1"/>
  <c r="F10380" i="1"/>
  <c r="B10381" i="1"/>
  <c r="A10381" i="1"/>
  <c r="F10381" i="1"/>
  <c r="B10382" i="1"/>
  <c r="A10382" i="1"/>
  <c r="F10382" i="1"/>
  <c r="B10383" i="1"/>
  <c r="A10383" i="1"/>
  <c r="F10383" i="1"/>
  <c r="B10384" i="1"/>
  <c r="A10384" i="1"/>
  <c r="F10384" i="1"/>
  <c r="B10385" i="1"/>
  <c r="A10385" i="1"/>
  <c r="F10385" i="1"/>
  <c r="B10386" i="1"/>
  <c r="A10386" i="1"/>
  <c r="F10386" i="1"/>
  <c r="B10387" i="1"/>
  <c r="A10387" i="1"/>
  <c r="F10387" i="1"/>
  <c r="B10388" i="1"/>
  <c r="A10388" i="1"/>
  <c r="F10388" i="1"/>
  <c r="B10389" i="1"/>
  <c r="A10389" i="1"/>
  <c r="F10389" i="1"/>
  <c r="B10390" i="1"/>
  <c r="A10390" i="1"/>
  <c r="F10390" i="1"/>
  <c r="B10391" i="1"/>
  <c r="A10391" i="1"/>
  <c r="F10391" i="1"/>
  <c r="B10392" i="1"/>
  <c r="A10392" i="1"/>
  <c r="F10392" i="1"/>
  <c r="B10393" i="1"/>
  <c r="A10393" i="1"/>
  <c r="F10393" i="1"/>
  <c r="B10394" i="1"/>
  <c r="A10394" i="1"/>
  <c r="F10394" i="1"/>
  <c r="B10395" i="1"/>
  <c r="A10395" i="1"/>
  <c r="F10395" i="1"/>
  <c r="B10396" i="1"/>
  <c r="A10396" i="1"/>
  <c r="F10396" i="1"/>
  <c r="B10397" i="1"/>
  <c r="A10397" i="1"/>
  <c r="F10397" i="1"/>
  <c r="B10398" i="1"/>
  <c r="A10398" i="1"/>
  <c r="F10398" i="1"/>
  <c r="B10399" i="1"/>
  <c r="A10399" i="1"/>
  <c r="F10399" i="1"/>
  <c r="B10400" i="1"/>
  <c r="A10400" i="1"/>
  <c r="F10400" i="1"/>
  <c r="B10401" i="1"/>
  <c r="A10401" i="1"/>
  <c r="F10401" i="1"/>
  <c r="B10402" i="1"/>
  <c r="A10402" i="1"/>
  <c r="F10402" i="1"/>
  <c r="B10403" i="1"/>
  <c r="A10403" i="1"/>
  <c r="F10403" i="1"/>
  <c r="B10404" i="1"/>
  <c r="A10404" i="1"/>
  <c r="F10404" i="1"/>
  <c r="B10405" i="1"/>
  <c r="A10405" i="1"/>
  <c r="F10405" i="1"/>
  <c r="B10406" i="1"/>
  <c r="A10406" i="1"/>
  <c r="F10406" i="1"/>
  <c r="B10407" i="1"/>
  <c r="A10407" i="1"/>
  <c r="F10407" i="1"/>
  <c r="B10408" i="1"/>
  <c r="A10408" i="1"/>
  <c r="F10408" i="1"/>
  <c r="B10409" i="1"/>
  <c r="A10409" i="1"/>
  <c r="F10409" i="1"/>
  <c r="B10410" i="1"/>
  <c r="A10410" i="1"/>
  <c r="F10410" i="1"/>
  <c r="B10411" i="1"/>
  <c r="A10411" i="1"/>
  <c r="F10411" i="1"/>
  <c r="B10412" i="1"/>
  <c r="A10412" i="1"/>
  <c r="F10412" i="1"/>
  <c r="B10413" i="1"/>
  <c r="A10413" i="1"/>
  <c r="F10413" i="1"/>
  <c r="B10414" i="1"/>
  <c r="A10414" i="1"/>
  <c r="F10414" i="1"/>
  <c r="B10415" i="1"/>
  <c r="A10415" i="1"/>
  <c r="F10415" i="1"/>
  <c r="B10416" i="1"/>
  <c r="A10416" i="1"/>
  <c r="F10416" i="1"/>
  <c r="B10417" i="1"/>
  <c r="A10417" i="1"/>
  <c r="F10417" i="1"/>
  <c r="B10418" i="1"/>
  <c r="A10418" i="1"/>
  <c r="F10418" i="1"/>
  <c r="B10419" i="1"/>
  <c r="A10419" i="1"/>
  <c r="F10419" i="1"/>
  <c r="B10420" i="1"/>
  <c r="A10420" i="1"/>
  <c r="F10420" i="1"/>
  <c r="B10421" i="1"/>
  <c r="A10421" i="1"/>
  <c r="F10421" i="1"/>
  <c r="B10422" i="1"/>
  <c r="A10422" i="1"/>
  <c r="F10422" i="1"/>
  <c r="B10423" i="1"/>
  <c r="A10423" i="1"/>
  <c r="F10423" i="1"/>
  <c r="B10424" i="1"/>
  <c r="A10424" i="1"/>
  <c r="F10424" i="1"/>
  <c r="B10425" i="1"/>
  <c r="A10425" i="1"/>
  <c r="F10425" i="1"/>
  <c r="B10426" i="1"/>
  <c r="A10426" i="1"/>
  <c r="F10426" i="1"/>
  <c r="B10427" i="1"/>
  <c r="A10427" i="1"/>
  <c r="F10427" i="1"/>
  <c r="B10428" i="1"/>
  <c r="A10428" i="1"/>
  <c r="F10428" i="1"/>
  <c r="B10429" i="1"/>
  <c r="A10429" i="1"/>
  <c r="F10429" i="1"/>
  <c r="B10430" i="1"/>
  <c r="A10430" i="1"/>
  <c r="F10430" i="1"/>
  <c r="B10431" i="1"/>
  <c r="A10431" i="1"/>
  <c r="F10431" i="1"/>
  <c r="B10432" i="1"/>
  <c r="A10432" i="1"/>
  <c r="F10432" i="1"/>
  <c r="B10433" i="1"/>
  <c r="A10433" i="1"/>
  <c r="F10433" i="1"/>
  <c r="B10434" i="1"/>
  <c r="A10434" i="1"/>
  <c r="F10434" i="1"/>
  <c r="B10435" i="1"/>
  <c r="A10435" i="1"/>
  <c r="F10435" i="1"/>
  <c r="B10436" i="1"/>
  <c r="A10436" i="1"/>
  <c r="F10436" i="1"/>
  <c r="B10437" i="1"/>
  <c r="A10437" i="1"/>
  <c r="F10437" i="1"/>
  <c r="B10438" i="1"/>
  <c r="A10438" i="1"/>
  <c r="F10438" i="1"/>
  <c r="B10439" i="1"/>
  <c r="A10439" i="1"/>
  <c r="F10439" i="1"/>
  <c r="B10440" i="1"/>
  <c r="A10440" i="1"/>
  <c r="F10440" i="1"/>
  <c r="B10441" i="1"/>
  <c r="A10441" i="1"/>
  <c r="F10441" i="1"/>
  <c r="B10442" i="1"/>
  <c r="A10442" i="1"/>
  <c r="F10442" i="1"/>
  <c r="B10443" i="1"/>
  <c r="A10443" i="1"/>
  <c r="F10443" i="1"/>
  <c r="B10444" i="1"/>
  <c r="A10444" i="1"/>
  <c r="F10444" i="1"/>
  <c r="B10445" i="1"/>
  <c r="A10445" i="1"/>
  <c r="F10445" i="1"/>
  <c r="B10446" i="1"/>
  <c r="A10446" i="1"/>
  <c r="F10446" i="1"/>
  <c r="B10447" i="1"/>
  <c r="A10447" i="1"/>
  <c r="F10447" i="1"/>
  <c r="B10448" i="1"/>
  <c r="A10448" i="1"/>
  <c r="F10448" i="1"/>
  <c r="B10449" i="1"/>
  <c r="A10449" i="1"/>
  <c r="F10449" i="1"/>
  <c r="B10450" i="1"/>
  <c r="A10450" i="1"/>
  <c r="F10450" i="1"/>
  <c r="B10451" i="1"/>
  <c r="A10451" i="1"/>
  <c r="F10451" i="1"/>
  <c r="B10452" i="1"/>
  <c r="A10452" i="1"/>
  <c r="F10452" i="1"/>
  <c r="B10453" i="1"/>
  <c r="A10453" i="1"/>
  <c r="F10453" i="1"/>
  <c r="B10454" i="1"/>
  <c r="A10454" i="1"/>
  <c r="F10454" i="1"/>
  <c r="B10455" i="1"/>
  <c r="A10455" i="1"/>
  <c r="F10455" i="1"/>
  <c r="B10456" i="1"/>
  <c r="A10456" i="1"/>
  <c r="F10456" i="1"/>
  <c r="B10457" i="1"/>
  <c r="A10457" i="1"/>
  <c r="F10457" i="1"/>
  <c r="B10458" i="1"/>
  <c r="A10458" i="1"/>
  <c r="F10458" i="1"/>
  <c r="B10459" i="1"/>
  <c r="A10459" i="1"/>
  <c r="F10459" i="1"/>
  <c r="B10460" i="1"/>
  <c r="A10460" i="1"/>
  <c r="F10460" i="1"/>
  <c r="B10461" i="1"/>
  <c r="A10461" i="1"/>
  <c r="F10461" i="1"/>
  <c r="B10462" i="1"/>
  <c r="A10462" i="1"/>
  <c r="F10462" i="1"/>
  <c r="B10463" i="1"/>
  <c r="A10463" i="1"/>
  <c r="F10463" i="1"/>
  <c r="B10464" i="1"/>
  <c r="A10464" i="1"/>
  <c r="F10464" i="1"/>
  <c r="B10465" i="1"/>
  <c r="A10465" i="1"/>
  <c r="F10465" i="1"/>
  <c r="B10466" i="1"/>
  <c r="A10466" i="1"/>
  <c r="F10466" i="1"/>
  <c r="B10467" i="1"/>
  <c r="A10467" i="1"/>
  <c r="F10467" i="1"/>
  <c r="B10468" i="1"/>
  <c r="A10468" i="1"/>
  <c r="F10468" i="1"/>
  <c r="B10469" i="1"/>
  <c r="A10469" i="1"/>
  <c r="F10469" i="1"/>
  <c r="B10470" i="1"/>
  <c r="A10470" i="1"/>
  <c r="F10470" i="1"/>
  <c r="B10471" i="1"/>
  <c r="A10471" i="1"/>
  <c r="F10471" i="1"/>
  <c r="B10472" i="1"/>
  <c r="A10472" i="1"/>
  <c r="F10472" i="1"/>
  <c r="B10473" i="1"/>
  <c r="A10473" i="1"/>
  <c r="F10473" i="1"/>
  <c r="B10474" i="1"/>
  <c r="A10474" i="1"/>
  <c r="F10474" i="1"/>
  <c r="B10475" i="1"/>
  <c r="A10475" i="1"/>
  <c r="F10475" i="1"/>
  <c r="B10476" i="1"/>
  <c r="A10476" i="1"/>
  <c r="F10476" i="1"/>
  <c r="B10477" i="1"/>
  <c r="A10477" i="1"/>
  <c r="F10477" i="1"/>
  <c r="B10478" i="1"/>
  <c r="A10478" i="1"/>
  <c r="F10478" i="1"/>
  <c r="B10479" i="1"/>
  <c r="A10479" i="1"/>
  <c r="F10479" i="1"/>
  <c r="B10480" i="1"/>
  <c r="A10480" i="1"/>
  <c r="F10480" i="1"/>
  <c r="B10481" i="1"/>
  <c r="A10481" i="1"/>
  <c r="F10481" i="1"/>
  <c r="B10482" i="1"/>
  <c r="A10482" i="1"/>
  <c r="F10482" i="1"/>
  <c r="B10483" i="1"/>
  <c r="A10483" i="1"/>
  <c r="F10483" i="1"/>
  <c r="B10484" i="1"/>
  <c r="A10484" i="1"/>
  <c r="F10484" i="1"/>
  <c r="B10485" i="1"/>
  <c r="A10485" i="1"/>
  <c r="F10485" i="1"/>
  <c r="B10486" i="1"/>
  <c r="A10486" i="1"/>
  <c r="F10486" i="1"/>
  <c r="B10487" i="1"/>
  <c r="A10487" i="1"/>
  <c r="F10487" i="1"/>
  <c r="B10488" i="1"/>
  <c r="A10488" i="1"/>
  <c r="F10488" i="1"/>
  <c r="B10489" i="1"/>
  <c r="A10489" i="1"/>
  <c r="F10489" i="1"/>
  <c r="B10490" i="1"/>
  <c r="A10490" i="1"/>
  <c r="F10490" i="1"/>
  <c r="B10491" i="1"/>
  <c r="A10491" i="1"/>
  <c r="F10491" i="1"/>
  <c r="B10492" i="1"/>
  <c r="A10492" i="1"/>
  <c r="F10492" i="1"/>
  <c r="B10493" i="1"/>
  <c r="A10493" i="1"/>
  <c r="F10493" i="1"/>
  <c r="B10494" i="1"/>
  <c r="A10494" i="1"/>
  <c r="F10494" i="1"/>
  <c r="B10495" i="1"/>
  <c r="A10495" i="1"/>
  <c r="F10495" i="1"/>
  <c r="B10496" i="1"/>
  <c r="A10496" i="1"/>
  <c r="F10496" i="1"/>
  <c r="B10497" i="1"/>
  <c r="A10497" i="1"/>
  <c r="F10497" i="1"/>
  <c r="B10498" i="1"/>
  <c r="A10498" i="1"/>
  <c r="F10498" i="1"/>
  <c r="B10499" i="1"/>
  <c r="A10499" i="1"/>
  <c r="F10499" i="1"/>
  <c r="B10500" i="1"/>
  <c r="A10500" i="1"/>
  <c r="F10500" i="1"/>
  <c r="B10501" i="1"/>
  <c r="A10501" i="1"/>
  <c r="F10501" i="1"/>
  <c r="B10502" i="1"/>
  <c r="A10502" i="1"/>
  <c r="F10502" i="1"/>
  <c r="B10503" i="1"/>
  <c r="A10503" i="1"/>
  <c r="F10503" i="1"/>
  <c r="B10504" i="1"/>
  <c r="A10504" i="1"/>
  <c r="F10504" i="1"/>
  <c r="B10505" i="1"/>
  <c r="A10505" i="1"/>
  <c r="F10505" i="1"/>
  <c r="B10506" i="1"/>
  <c r="A10506" i="1"/>
  <c r="F10506" i="1"/>
  <c r="B10507" i="1"/>
  <c r="A10507" i="1"/>
  <c r="F10507" i="1"/>
  <c r="B10508" i="1"/>
  <c r="A10508" i="1"/>
  <c r="F10508" i="1"/>
  <c r="B10509" i="1"/>
  <c r="A10509" i="1"/>
  <c r="F10509" i="1"/>
  <c r="B10510" i="1"/>
  <c r="A10510" i="1"/>
  <c r="F10510" i="1"/>
  <c r="B10511" i="1"/>
  <c r="A10511" i="1"/>
  <c r="F10511" i="1"/>
  <c r="B10512" i="1"/>
  <c r="A10512" i="1"/>
  <c r="F10512" i="1"/>
  <c r="B10513" i="1"/>
  <c r="A10513" i="1"/>
  <c r="F10513" i="1"/>
  <c r="B10514" i="1"/>
  <c r="A10514" i="1"/>
  <c r="F10514" i="1"/>
  <c r="B10515" i="1"/>
  <c r="A10515" i="1"/>
  <c r="F10515" i="1"/>
  <c r="B10516" i="1"/>
  <c r="A10516" i="1"/>
  <c r="F10516" i="1"/>
  <c r="B10517" i="1"/>
  <c r="A10517" i="1"/>
  <c r="F10517" i="1"/>
  <c r="B10518" i="1"/>
  <c r="A10518" i="1"/>
  <c r="F10518" i="1"/>
  <c r="B10519" i="1"/>
  <c r="A10519" i="1"/>
  <c r="F10519" i="1"/>
  <c r="B10520" i="1"/>
  <c r="A10520" i="1"/>
  <c r="F10520" i="1"/>
  <c r="B10521" i="1"/>
  <c r="A10521" i="1"/>
  <c r="F10521" i="1"/>
  <c r="B10522" i="1"/>
  <c r="A10522" i="1"/>
  <c r="F10522" i="1"/>
  <c r="B10523" i="1"/>
  <c r="A10523" i="1"/>
  <c r="F10523" i="1"/>
  <c r="B10524" i="1"/>
  <c r="A10524" i="1"/>
  <c r="F10524" i="1"/>
  <c r="B10525" i="1"/>
  <c r="A10525" i="1"/>
  <c r="F10525" i="1"/>
  <c r="B10526" i="1"/>
  <c r="A10526" i="1"/>
  <c r="F10526" i="1"/>
  <c r="B10527" i="1"/>
  <c r="A10527" i="1"/>
  <c r="F10527" i="1"/>
  <c r="B10528" i="1"/>
  <c r="A10528" i="1"/>
  <c r="F10528" i="1"/>
  <c r="B10529" i="1"/>
  <c r="A10529" i="1"/>
  <c r="F10529" i="1"/>
  <c r="B10530" i="1"/>
  <c r="A10530" i="1"/>
  <c r="F10530" i="1"/>
  <c r="B10531" i="1"/>
  <c r="A10531" i="1"/>
  <c r="F10531" i="1"/>
  <c r="B10532" i="1"/>
  <c r="A10532" i="1"/>
  <c r="F10532" i="1"/>
  <c r="B10533" i="1"/>
  <c r="A10533" i="1"/>
  <c r="F10533" i="1"/>
  <c r="B10534" i="1"/>
  <c r="A10534" i="1"/>
  <c r="F10534" i="1"/>
  <c r="B10535" i="1"/>
  <c r="A10535" i="1"/>
  <c r="F10535" i="1"/>
  <c r="B10536" i="1"/>
  <c r="A10536" i="1"/>
  <c r="F10536" i="1"/>
  <c r="B10537" i="1"/>
  <c r="A10537" i="1"/>
  <c r="F10537" i="1"/>
  <c r="B10538" i="1"/>
  <c r="A10538" i="1"/>
  <c r="F10538" i="1"/>
  <c r="B10539" i="1"/>
  <c r="A10539" i="1"/>
  <c r="F10539" i="1"/>
  <c r="B10540" i="1"/>
  <c r="A10540" i="1"/>
  <c r="F10540" i="1"/>
  <c r="B10541" i="1"/>
  <c r="A10541" i="1"/>
  <c r="F10541" i="1"/>
  <c r="B10542" i="1"/>
  <c r="A10542" i="1"/>
  <c r="F10542" i="1"/>
  <c r="B10543" i="1"/>
  <c r="A10543" i="1"/>
  <c r="F10543" i="1"/>
  <c r="B10544" i="1"/>
  <c r="A10544" i="1"/>
  <c r="F10544" i="1"/>
  <c r="B10545" i="1"/>
  <c r="A10545" i="1"/>
  <c r="F10545" i="1"/>
  <c r="B10546" i="1"/>
  <c r="A10546" i="1"/>
  <c r="F10546" i="1"/>
  <c r="B10547" i="1"/>
  <c r="A10547" i="1"/>
  <c r="F10547" i="1"/>
  <c r="B10548" i="1"/>
  <c r="A10548" i="1"/>
  <c r="F10548" i="1"/>
  <c r="B10549" i="1"/>
  <c r="A10549" i="1"/>
  <c r="F10549" i="1"/>
  <c r="B10550" i="1"/>
  <c r="A10550" i="1"/>
  <c r="F10550" i="1"/>
  <c r="B10551" i="1"/>
  <c r="A10551" i="1"/>
  <c r="F10551" i="1"/>
  <c r="B10552" i="1"/>
  <c r="A10552" i="1"/>
  <c r="F10552" i="1"/>
  <c r="B10553" i="1"/>
  <c r="A10553" i="1"/>
  <c r="F10553" i="1"/>
  <c r="B10554" i="1"/>
  <c r="A10554" i="1"/>
  <c r="F10554" i="1"/>
  <c r="B10555" i="1"/>
  <c r="A10555" i="1"/>
  <c r="F10555" i="1"/>
  <c r="B10556" i="1"/>
  <c r="A10556" i="1"/>
  <c r="F10556" i="1"/>
  <c r="B10557" i="1"/>
  <c r="A10557" i="1"/>
  <c r="F10557" i="1"/>
  <c r="B10558" i="1"/>
  <c r="A10558" i="1"/>
  <c r="F10558" i="1"/>
  <c r="B10559" i="1"/>
  <c r="A10559" i="1"/>
  <c r="F10559" i="1"/>
  <c r="B10560" i="1"/>
  <c r="A10560" i="1"/>
  <c r="F10560" i="1"/>
  <c r="B10561" i="1"/>
  <c r="A10561" i="1"/>
  <c r="F10561" i="1"/>
  <c r="B10562" i="1"/>
  <c r="A10562" i="1"/>
  <c r="F10562" i="1"/>
  <c r="B10563" i="1"/>
  <c r="A10563" i="1"/>
  <c r="F10563" i="1"/>
  <c r="B10564" i="1"/>
  <c r="A10564" i="1"/>
  <c r="F10564" i="1"/>
  <c r="B10565" i="1"/>
  <c r="A10565" i="1"/>
  <c r="F10565" i="1"/>
  <c r="B10566" i="1"/>
  <c r="A10566" i="1"/>
  <c r="F10566" i="1"/>
  <c r="B10567" i="1"/>
  <c r="A10567" i="1"/>
  <c r="F10567" i="1"/>
  <c r="B10568" i="1"/>
  <c r="A10568" i="1"/>
  <c r="F10568" i="1"/>
  <c r="B10569" i="1"/>
  <c r="A10569" i="1"/>
  <c r="F10569" i="1"/>
  <c r="B10570" i="1"/>
  <c r="A10570" i="1"/>
  <c r="F10570" i="1"/>
  <c r="B10571" i="1"/>
  <c r="A10571" i="1"/>
  <c r="F10571" i="1"/>
  <c r="B10572" i="1"/>
  <c r="A10572" i="1"/>
  <c r="F10572" i="1"/>
  <c r="B10573" i="1"/>
  <c r="A10573" i="1"/>
  <c r="F10573" i="1"/>
  <c r="B10574" i="1"/>
  <c r="A10574" i="1"/>
  <c r="F10574" i="1"/>
  <c r="B10575" i="1"/>
  <c r="A10575" i="1"/>
  <c r="F10575" i="1"/>
  <c r="B10576" i="1"/>
  <c r="A10576" i="1"/>
  <c r="F10576" i="1"/>
  <c r="B10577" i="1"/>
  <c r="A10577" i="1"/>
  <c r="F10577" i="1"/>
  <c r="B10578" i="1"/>
  <c r="A10578" i="1"/>
  <c r="F10578" i="1"/>
  <c r="B10579" i="1"/>
  <c r="A10579" i="1"/>
  <c r="F10579" i="1"/>
  <c r="B10580" i="1"/>
  <c r="A10580" i="1"/>
  <c r="F10580" i="1"/>
  <c r="B10581" i="1"/>
  <c r="A10581" i="1"/>
  <c r="F10581" i="1"/>
  <c r="B10582" i="1"/>
  <c r="A10582" i="1"/>
  <c r="F10582" i="1"/>
  <c r="B10583" i="1"/>
  <c r="A10583" i="1"/>
  <c r="F10583" i="1"/>
  <c r="B10584" i="1"/>
  <c r="A10584" i="1"/>
  <c r="F10584" i="1"/>
  <c r="B10585" i="1"/>
  <c r="A10585" i="1"/>
  <c r="F10585" i="1"/>
  <c r="B10586" i="1"/>
  <c r="A10586" i="1"/>
  <c r="F10586" i="1"/>
  <c r="B10587" i="1"/>
  <c r="A10587" i="1"/>
  <c r="F10587" i="1"/>
  <c r="B10588" i="1"/>
  <c r="A10588" i="1"/>
  <c r="F10588" i="1"/>
  <c r="B10589" i="1"/>
  <c r="A10589" i="1"/>
  <c r="F10589" i="1"/>
  <c r="B10590" i="1"/>
  <c r="A10590" i="1"/>
  <c r="F10590" i="1"/>
  <c r="B10591" i="1"/>
  <c r="A10591" i="1"/>
  <c r="F10591" i="1"/>
  <c r="B10592" i="1"/>
  <c r="A10592" i="1"/>
  <c r="F10592" i="1"/>
  <c r="B10593" i="1"/>
  <c r="A10593" i="1"/>
  <c r="F10593" i="1"/>
  <c r="B10594" i="1"/>
  <c r="A10594" i="1"/>
  <c r="F10594" i="1"/>
  <c r="B10595" i="1"/>
  <c r="A10595" i="1"/>
  <c r="F10595" i="1"/>
  <c r="B10596" i="1"/>
  <c r="A10596" i="1"/>
  <c r="F10596" i="1"/>
  <c r="B10597" i="1"/>
  <c r="A10597" i="1"/>
  <c r="F10597" i="1"/>
  <c r="B10598" i="1"/>
  <c r="A10598" i="1"/>
  <c r="F10598" i="1"/>
  <c r="B10599" i="1"/>
  <c r="A10599" i="1"/>
  <c r="F10599" i="1"/>
  <c r="B10600" i="1"/>
  <c r="A10600" i="1"/>
  <c r="F10600" i="1"/>
  <c r="B10601" i="1"/>
  <c r="A10601" i="1"/>
  <c r="F10601" i="1"/>
  <c r="B10602" i="1"/>
  <c r="A10602" i="1"/>
  <c r="F10602" i="1"/>
  <c r="B10603" i="1"/>
  <c r="A10603" i="1"/>
  <c r="F10603" i="1"/>
  <c r="B10604" i="1"/>
  <c r="A10604" i="1"/>
  <c r="F10604" i="1"/>
  <c r="B10605" i="1"/>
  <c r="A10605" i="1"/>
  <c r="F10605" i="1"/>
  <c r="B10606" i="1"/>
  <c r="A10606" i="1"/>
  <c r="F10606" i="1"/>
  <c r="B10607" i="1"/>
  <c r="A10607" i="1"/>
  <c r="F10607" i="1"/>
  <c r="B10608" i="1"/>
  <c r="A10608" i="1"/>
  <c r="F10608" i="1"/>
  <c r="B10609" i="1"/>
  <c r="A10609" i="1"/>
  <c r="F10609" i="1"/>
  <c r="B10610" i="1"/>
  <c r="A10610" i="1"/>
  <c r="F10610" i="1"/>
  <c r="B10611" i="1"/>
  <c r="A10611" i="1"/>
  <c r="F10611" i="1"/>
  <c r="B10612" i="1"/>
  <c r="A10612" i="1"/>
  <c r="F10612" i="1"/>
  <c r="B10613" i="1"/>
  <c r="A10613" i="1"/>
  <c r="F10613" i="1"/>
  <c r="B10614" i="1"/>
  <c r="A10614" i="1"/>
  <c r="F10614" i="1"/>
  <c r="B10615" i="1"/>
  <c r="A10615" i="1"/>
  <c r="F10615" i="1"/>
  <c r="B10616" i="1"/>
  <c r="A10616" i="1"/>
  <c r="F10616" i="1"/>
  <c r="B10617" i="1"/>
  <c r="A10617" i="1"/>
  <c r="F10617" i="1"/>
  <c r="B10618" i="1"/>
  <c r="A10618" i="1"/>
  <c r="F10618" i="1"/>
  <c r="B10619" i="1"/>
  <c r="A10619" i="1"/>
  <c r="F10619" i="1"/>
  <c r="B10620" i="1"/>
  <c r="A10620" i="1"/>
  <c r="F10620" i="1"/>
  <c r="B10621" i="1"/>
  <c r="A10621" i="1"/>
  <c r="F10621" i="1"/>
  <c r="B10622" i="1"/>
  <c r="A10622" i="1"/>
  <c r="F10622" i="1"/>
  <c r="B10623" i="1"/>
  <c r="A10623" i="1"/>
  <c r="F10623" i="1"/>
  <c r="B10624" i="1"/>
  <c r="A10624" i="1"/>
  <c r="F10624" i="1"/>
  <c r="B10625" i="1"/>
  <c r="A10625" i="1"/>
  <c r="F10625" i="1"/>
  <c r="B10626" i="1"/>
  <c r="A10626" i="1"/>
  <c r="F10626" i="1"/>
  <c r="B10627" i="1"/>
  <c r="A10627" i="1"/>
  <c r="F10627" i="1"/>
  <c r="B10628" i="1"/>
  <c r="A10628" i="1"/>
  <c r="F10628" i="1"/>
  <c r="B10629" i="1"/>
  <c r="A10629" i="1"/>
  <c r="F10629" i="1"/>
  <c r="B10630" i="1"/>
  <c r="A10630" i="1"/>
  <c r="F10630" i="1"/>
  <c r="B10631" i="1"/>
  <c r="A10631" i="1"/>
  <c r="F10631" i="1"/>
  <c r="B10632" i="1"/>
  <c r="A10632" i="1"/>
  <c r="F10632" i="1"/>
  <c r="B10633" i="1"/>
  <c r="A10633" i="1"/>
  <c r="F10633" i="1"/>
  <c r="B10634" i="1"/>
  <c r="A10634" i="1"/>
  <c r="F10634" i="1"/>
  <c r="B10635" i="1"/>
  <c r="A10635" i="1"/>
  <c r="F10635" i="1"/>
  <c r="B10636" i="1"/>
  <c r="A10636" i="1"/>
  <c r="F10636" i="1"/>
  <c r="B10637" i="1"/>
  <c r="A10637" i="1"/>
  <c r="F10637" i="1"/>
  <c r="B10638" i="1"/>
  <c r="A10638" i="1"/>
  <c r="F10638" i="1"/>
  <c r="B10639" i="1"/>
  <c r="A10639" i="1"/>
  <c r="F10639" i="1"/>
  <c r="B10640" i="1"/>
  <c r="A10640" i="1"/>
  <c r="F10640" i="1"/>
  <c r="B10641" i="1"/>
  <c r="A10641" i="1"/>
  <c r="F10641" i="1"/>
  <c r="B10642" i="1"/>
  <c r="A10642" i="1"/>
  <c r="F10642" i="1"/>
  <c r="B10643" i="1"/>
  <c r="A10643" i="1"/>
  <c r="F10643" i="1"/>
  <c r="B10644" i="1"/>
  <c r="A10644" i="1"/>
  <c r="F10644" i="1"/>
  <c r="B10645" i="1"/>
  <c r="A10645" i="1"/>
  <c r="F10645" i="1"/>
  <c r="B10646" i="1"/>
  <c r="A10646" i="1"/>
  <c r="F10646" i="1"/>
  <c r="B10647" i="1"/>
  <c r="A10647" i="1"/>
  <c r="F10647" i="1"/>
  <c r="B10648" i="1"/>
  <c r="A10648" i="1"/>
  <c r="F10648" i="1"/>
  <c r="B10649" i="1"/>
  <c r="A10649" i="1"/>
  <c r="F10649" i="1"/>
  <c r="B10650" i="1"/>
  <c r="A10650" i="1"/>
  <c r="F10650" i="1"/>
  <c r="B10651" i="1"/>
  <c r="A10651" i="1"/>
  <c r="F10651" i="1"/>
  <c r="B10652" i="1"/>
  <c r="A10652" i="1"/>
  <c r="F10652" i="1"/>
  <c r="B10653" i="1"/>
  <c r="A10653" i="1"/>
  <c r="F10653" i="1"/>
  <c r="B10654" i="1"/>
  <c r="A10654" i="1"/>
  <c r="F10654" i="1"/>
  <c r="B10655" i="1"/>
  <c r="A10655" i="1"/>
  <c r="F10655" i="1"/>
  <c r="B10656" i="1"/>
  <c r="A10656" i="1"/>
  <c r="F10656" i="1"/>
  <c r="B10657" i="1"/>
  <c r="A10657" i="1"/>
  <c r="F10657" i="1"/>
  <c r="B10658" i="1"/>
  <c r="A10658" i="1"/>
  <c r="F10658" i="1"/>
  <c r="B10659" i="1"/>
  <c r="A10659" i="1"/>
  <c r="F10659" i="1"/>
  <c r="B10660" i="1"/>
  <c r="A10660" i="1"/>
  <c r="F10660" i="1"/>
  <c r="B10661" i="1"/>
  <c r="A10661" i="1"/>
  <c r="F10661" i="1"/>
  <c r="B10662" i="1"/>
  <c r="A10662" i="1"/>
  <c r="F10662" i="1"/>
  <c r="B10663" i="1"/>
  <c r="A10663" i="1"/>
  <c r="F10663" i="1"/>
  <c r="B10664" i="1"/>
  <c r="A10664" i="1"/>
  <c r="F10664" i="1"/>
  <c r="B10665" i="1"/>
  <c r="A10665" i="1"/>
  <c r="F10665" i="1"/>
  <c r="B10666" i="1"/>
  <c r="A10666" i="1"/>
  <c r="F10666" i="1"/>
  <c r="B10667" i="1"/>
  <c r="A10667" i="1"/>
  <c r="F10667" i="1"/>
  <c r="B10668" i="1"/>
  <c r="A10668" i="1"/>
  <c r="F10668" i="1"/>
  <c r="B10669" i="1"/>
  <c r="A10669" i="1"/>
  <c r="F10669" i="1"/>
  <c r="B10670" i="1"/>
  <c r="A10670" i="1"/>
  <c r="F10670" i="1"/>
  <c r="B10671" i="1"/>
  <c r="A10671" i="1"/>
  <c r="F10671" i="1"/>
  <c r="B10672" i="1"/>
  <c r="A10672" i="1"/>
  <c r="F10672" i="1"/>
  <c r="B10673" i="1"/>
  <c r="A10673" i="1"/>
  <c r="F10673" i="1"/>
  <c r="B10674" i="1"/>
  <c r="A10674" i="1"/>
  <c r="F10674" i="1"/>
  <c r="B10675" i="1"/>
  <c r="A10675" i="1"/>
  <c r="F10675" i="1"/>
  <c r="B10676" i="1"/>
  <c r="A10676" i="1"/>
  <c r="F10676" i="1"/>
  <c r="B10677" i="1"/>
  <c r="A10677" i="1"/>
  <c r="F10677" i="1"/>
  <c r="B10678" i="1"/>
  <c r="A10678" i="1"/>
  <c r="F10678" i="1"/>
  <c r="B10679" i="1"/>
  <c r="A10679" i="1"/>
  <c r="F10679" i="1"/>
  <c r="B10680" i="1"/>
  <c r="A10680" i="1"/>
  <c r="F10680" i="1"/>
  <c r="B10681" i="1"/>
  <c r="A10681" i="1"/>
  <c r="F10681" i="1"/>
  <c r="B10682" i="1"/>
  <c r="A10682" i="1"/>
  <c r="F10682" i="1"/>
  <c r="B10683" i="1"/>
  <c r="A10683" i="1"/>
  <c r="F10683" i="1"/>
  <c r="B10684" i="1"/>
  <c r="A10684" i="1"/>
  <c r="F10684" i="1"/>
  <c r="B10685" i="1"/>
  <c r="A10685" i="1"/>
  <c r="F10685" i="1"/>
  <c r="B10686" i="1"/>
  <c r="A10686" i="1"/>
  <c r="F10686" i="1"/>
  <c r="B10687" i="1"/>
  <c r="A10687" i="1"/>
  <c r="F10687" i="1"/>
  <c r="B10688" i="1"/>
  <c r="A10688" i="1"/>
  <c r="F10688" i="1"/>
  <c r="B10689" i="1"/>
  <c r="A10689" i="1"/>
  <c r="F10689" i="1"/>
  <c r="B10690" i="1"/>
  <c r="A10690" i="1"/>
  <c r="F10690" i="1"/>
  <c r="B10691" i="1"/>
  <c r="A10691" i="1"/>
  <c r="F10691" i="1"/>
  <c r="B10692" i="1"/>
  <c r="A10692" i="1"/>
  <c r="F10692" i="1"/>
  <c r="B10693" i="1"/>
  <c r="A10693" i="1"/>
  <c r="F10693" i="1"/>
  <c r="B10694" i="1"/>
  <c r="A10694" i="1"/>
  <c r="F10694" i="1"/>
  <c r="B10695" i="1"/>
  <c r="A10695" i="1"/>
  <c r="F10695" i="1"/>
  <c r="B10696" i="1"/>
  <c r="A10696" i="1"/>
  <c r="F10696" i="1"/>
  <c r="B10697" i="1"/>
  <c r="A10697" i="1"/>
  <c r="F10697" i="1"/>
  <c r="B10698" i="1"/>
  <c r="A10698" i="1"/>
  <c r="F10698" i="1"/>
  <c r="B10699" i="1"/>
  <c r="A10699" i="1"/>
  <c r="F10699" i="1"/>
  <c r="B10700" i="1"/>
  <c r="A10700" i="1"/>
  <c r="F10700" i="1"/>
  <c r="B10701" i="1"/>
  <c r="A10701" i="1"/>
  <c r="F10701" i="1"/>
  <c r="B10702" i="1"/>
  <c r="A10702" i="1"/>
  <c r="F10702" i="1"/>
  <c r="B10703" i="1"/>
  <c r="A10703" i="1"/>
  <c r="F10703" i="1"/>
  <c r="B10704" i="1"/>
  <c r="A10704" i="1"/>
  <c r="F10704" i="1"/>
  <c r="B10705" i="1"/>
  <c r="A10705" i="1"/>
  <c r="F10705" i="1"/>
  <c r="B10706" i="1"/>
  <c r="A10706" i="1"/>
  <c r="F10706" i="1"/>
  <c r="B10707" i="1"/>
  <c r="A10707" i="1"/>
  <c r="F10707" i="1"/>
  <c r="B10708" i="1"/>
  <c r="A10708" i="1"/>
  <c r="F10708" i="1"/>
  <c r="B10709" i="1"/>
  <c r="A10709" i="1"/>
  <c r="F10709" i="1"/>
  <c r="B10710" i="1"/>
  <c r="A10710" i="1"/>
  <c r="F10710" i="1"/>
  <c r="B10711" i="1"/>
  <c r="A10711" i="1"/>
  <c r="F10711" i="1"/>
  <c r="B10712" i="1"/>
  <c r="A10712" i="1"/>
  <c r="F10712" i="1"/>
  <c r="B10713" i="1"/>
  <c r="A10713" i="1"/>
  <c r="F10713" i="1"/>
  <c r="B10714" i="1"/>
  <c r="A10714" i="1"/>
  <c r="F10714" i="1"/>
  <c r="B10715" i="1"/>
  <c r="A10715" i="1"/>
  <c r="F10715" i="1"/>
  <c r="B10716" i="1"/>
  <c r="A10716" i="1"/>
  <c r="F10716" i="1"/>
  <c r="B10717" i="1"/>
  <c r="A10717" i="1"/>
  <c r="F10717" i="1"/>
  <c r="B10718" i="1"/>
  <c r="A10718" i="1"/>
  <c r="F10718" i="1"/>
  <c r="B10719" i="1"/>
  <c r="A10719" i="1"/>
  <c r="F10719" i="1"/>
  <c r="B10720" i="1"/>
  <c r="A10720" i="1"/>
  <c r="F10720" i="1"/>
  <c r="B10721" i="1"/>
  <c r="A10721" i="1"/>
  <c r="F10721" i="1"/>
  <c r="B10722" i="1"/>
  <c r="A10722" i="1"/>
  <c r="F10722" i="1"/>
  <c r="B10723" i="1"/>
  <c r="A10723" i="1"/>
  <c r="F10723" i="1"/>
  <c r="B10724" i="1"/>
  <c r="A10724" i="1"/>
  <c r="F10724" i="1"/>
  <c r="B10725" i="1"/>
  <c r="A10725" i="1"/>
  <c r="F10725" i="1"/>
  <c r="B10726" i="1"/>
  <c r="A10726" i="1"/>
  <c r="F10726" i="1"/>
  <c r="B10727" i="1"/>
  <c r="A10727" i="1"/>
  <c r="F10727" i="1"/>
  <c r="B10728" i="1"/>
  <c r="A10728" i="1"/>
  <c r="F10728" i="1"/>
  <c r="B10729" i="1"/>
  <c r="A10729" i="1"/>
  <c r="F10729" i="1"/>
  <c r="B10730" i="1"/>
  <c r="A10730" i="1"/>
  <c r="F10730" i="1"/>
  <c r="B10731" i="1"/>
  <c r="A10731" i="1"/>
  <c r="F10731" i="1"/>
  <c r="B10732" i="1"/>
  <c r="A10732" i="1"/>
  <c r="F10732" i="1"/>
  <c r="B10733" i="1"/>
  <c r="A10733" i="1"/>
  <c r="F10733" i="1"/>
  <c r="B10734" i="1"/>
  <c r="A10734" i="1"/>
  <c r="F10734" i="1"/>
  <c r="B10735" i="1"/>
  <c r="A10735" i="1"/>
  <c r="F10735" i="1"/>
  <c r="B10736" i="1"/>
  <c r="A10736" i="1"/>
  <c r="F10736" i="1"/>
  <c r="B10737" i="1"/>
  <c r="A10737" i="1"/>
  <c r="F10737" i="1"/>
  <c r="B10738" i="1"/>
  <c r="A10738" i="1"/>
  <c r="F10738" i="1"/>
  <c r="B10739" i="1"/>
  <c r="A10739" i="1"/>
  <c r="F10739" i="1"/>
  <c r="B10740" i="1"/>
  <c r="A10740" i="1"/>
  <c r="F10740" i="1"/>
  <c r="B10741" i="1"/>
  <c r="A10741" i="1"/>
  <c r="F10741" i="1"/>
  <c r="B10742" i="1"/>
  <c r="A10742" i="1"/>
  <c r="F10742" i="1"/>
  <c r="B10743" i="1"/>
  <c r="A10743" i="1"/>
  <c r="F10743" i="1"/>
  <c r="B10744" i="1"/>
  <c r="A10744" i="1"/>
  <c r="F10744" i="1"/>
  <c r="B10745" i="1"/>
  <c r="A10745" i="1"/>
  <c r="F10745" i="1"/>
  <c r="B10746" i="1"/>
  <c r="A10746" i="1"/>
  <c r="F10746" i="1"/>
  <c r="B10747" i="1"/>
  <c r="A10747" i="1"/>
  <c r="F10747" i="1"/>
  <c r="B10748" i="1"/>
  <c r="A10748" i="1"/>
  <c r="F10748" i="1"/>
  <c r="B10749" i="1"/>
  <c r="A10749" i="1"/>
  <c r="F10749" i="1"/>
  <c r="B10750" i="1"/>
  <c r="A10750" i="1"/>
  <c r="F10750" i="1"/>
  <c r="B10751" i="1"/>
  <c r="A10751" i="1"/>
  <c r="F10751" i="1"/>
  <c r="B10752" i="1"/>
  <c r="A10752" i="1"/>
  <c r="F10752" i="1"/>
  <c r="B10753" i="1"/>
  <c r="A10753" i="1"/>
  <c r="F10753" i="1"/>
  <c r="B10754" i="1"/>
  <c r="A10754" i="1"/>
  <c r="F10754" i="1"/>
  <c r="B10755" i="1"/>
  <c r="A10755" i="1"/>
  <c r="F10755" i="1"/>
  <c r="B10756" i="1"/>
  <c r="A10756" i="1"/>
  <c r="F10756" i="1"/>
  <c r="B10757" i="1"/>
  <c r="A10757" i="1"/>
  <c r="F10757" i="1"/>
  <c r="B10758" i="1"/>
  <c r="A10758" i="1"/>
  <c r="F10758" i="1"/>
  <c r="B10759" i="1"/>
  <c r="A10759" i="1"/>
  <c r="F10759" i="1"/>
  <c r="B10760" i="1"/>
  <c r="A10760" i="1"/>
  <c r="F10760" i="1"/>
  <c r="B10761" i="1"/>
  <c r="A10761" i="1"/>
  <c r="F10761" i="1"/>
  <c r="B10762" i="1"/>
  <c r="A10762" i="1"/>
  <c r="F10762" i="1"/>
  <c r="B10763" i="1"/>
  <c r="A10763" i="1"/>
  <c r="F10763" i="1"/>
  <c r="B10764" i="1"/>
  <c r="A10764" i="1"/>
  <c r="F10764" i="1"/>
  <c r="B10765" i="1"/>
  <c r="A10765" i="1"/>
  <c r="F10765" i="1"/>
  <c r="B10766" i="1"/>
  <c r="A10766" i="1"/>
  <c r="F10766" i="1"/>
  <c r="B10767" i="1"/>
  <c r="A10767" i="1"/>
  <c r="F10767" i="1"/>
  <c r="B10768" i="1"/>
  <c r="A10768" i="1"/>
  <c r="F10768" i="1"/>
  <c r="B10769" i="1"/>
  <c r="A10769" i="1"/>
  <c r="F10769" i="1"/>
  <c r="B10770" i="1"/>
  <c r="A10770" i="1"/>
  <c r="F10770" i="1"/>
  <c r="B10771" i="1"/>
  <c r="A10771" i="1"/>
  <c r="F10771" i="1"/>
  <c r="B10772" i="1"/>
  <c r="A10772" i="1"/>
  <c r="F10772" i="1"/>
  <c r="B10773" i="1"/>
  <c r="A10773" i="1"/>
  <c r="F10773" i="1"/>
  <c r="B10774" i="1"/>
  <c r="A10774" i="1"/>
  <c r="F10774" i="1"/>
  <c r="B10775" i="1"/>
  <c r="A10775" i="1"/>
  <c r="F10775" i="1"/>
  <c r="B10776" i="1"/>
  <c r="A10776" i="1"/>
  <c r="F10776" i="1"/>
  <c r="B10777" i="1"/>
  <c r="A10777" i="1"/>
  <c r="F10777" i="1"/>
  <c r="B10778" i="1"/>
  <c r="A10778" i="1"/>
  <c r="F10778" i="1"/>
  <c r="B10779" i="1"/>
  <c r="A10779" i="1"/>
  <c r="F10779" i="1"/>
  <c r="B10780" i="1"/>
  <c r="A10780" i="1"/>
  <c r="F10780" i="1"/>
  <c r="B10781" i="1"/>
  <c r="A10781" i="1"/>
  <c r="F10781" i="1"/>
  <c r="B10782" i="1"/>
  <c r="A10782" i="1"/>
  <c r="F10782" i="1"/>
  <c r="B10783" i="1"/>
  <c r="A10783" i="1"/>
  <c r="F10783" i="1"/>
  <c r="B10784" i="1"/>
  <c r="A10784" i="1"/>
  <c r="F10784" i="1"/>
  <c r="B10785" i="1"/>
  <c r="A10785" i="1"/>
  <c r="F10785" i="1"/>
  <c r="B10786" i="1"/>
  <c r="A10786" i="1"/>
  <c r="F10786" i="1"/>
  <c r="B10787" i="1"/>
  <c r="A10787" i="1"/>
  <c r="F10787" i="1"/>
  <c r="B10788" i="1"/>
  <c r="A10788" i="1"/>
  <c r="F10788" i="1"/>
  <c r="B10789" i="1"/>
  <c r="A10789" i="1"/>
  <c r="F10789" i="1"/>
  <c r="B10790" i="1"/>
  <c r="A10790" i="1"/>
  <c r="F10790" i="1"/>
  <c r="B10791" i="1"/>
  <c r="A10791" i="1"/>
  <c r="F10791" i="1"/>
  <c r="B10792" i="1"/>
  <c r="A10792" i="1"/>
  <c r="F10792" i="1"/>
  <c r="B10793" i="1"/>
  <c r="A10793" i="1"/>
  <c r="F10793" i="1"/>
  <c r="B10794" i="1"/>
  <c r="A10794" i="1"/>
  <c r="F10794" i="1"/>
  <c r="B10795" i="1"/>
  <c r="A10795" i="1"/>
  <c r="F10795" i="1"/>
  <c r="B10796" i="1"/>
  <c r="A10796" i="1"/>
  <c r="F10796" i="1"/>
  <c r="B10797" i="1"/>
  <c r="A10797" i="1"/>
  <c r="F10797" i="1"/>
  <c r="B10798" i="1"/>
  <c r="A10798" i="1"/>
  <c r="F10798" i="1"/>
  <c r="B10799" i="1"/>
  <c r="A10799" i="1"/>
  <c r="F10799" i="1"/>
  <c r="B10800" i="1"/>
  <c r="A10800" i="1"/>
  <c r="F10800" i="1"/>
  <c r="B10801" i="1"/>
  <c r="A10801" i="1"/>
  <c r="F10801" i="1"/>
  <c r="B10802" i="1"/>
  <c r="A10802" i="1"/>
  <c r="F10802" i="1"/>
  <c r="B10803" i="1"/>
  <c r="A10803" i="1"/>
  <c r="F10803" i="1"/>
  <c r="B10804" i="1"/>
  <c r="A10804" i="1"/>
  <c r="F10804" i="1"/>
  <c r="B10805" i="1"/>
  <c r="A10805" i="1"/>
  <c r="F10805" i="1"/>
  <c r="B10806" i="1"/>
  <c r="A10806" i="1"/>
  <c r="F10806" i="1"/>
  <c r="B10807" i="1"/>
  <c r="A10807" i="1"/>
  <c r="F10807" i="1"/>
  <c r="B10808" i="1"/>
  <c r="A10808" i="1"/>
  <c r="F10808" i="1"/>
  <c r="B10809" i="1"/>
  <c r="A10809" i="1"/>
  <c r="F10809" i="1"/>
  <c r="B10810" i="1"/>
  <c r="A10810" i="1"/>
  <c r="F10810" i="1"/>
  <c r="B10811" i="1"/>
  <c r="A10811" i="1"/>
  <c r="F10811" i="1"/>
  <c r="B10812" i="1"/>
  <c r="A10812" i="1"/>
  <c r="F10812" i="1"/>
  <c r="B10813" i="1"/>
  <c r="A10813" i="1"/>
  <c r="F10813" i="1"/>
  <c r="B10814" i="1"/>
  <c r="A10814" i="1"/>
  <c r="F10814" i="1"/>
  <c r="B10815" i="1"/>
  <c r="A10815" i="1"/>
  <c r="F10815" i="1"/>
  <c r="B10816" i="1"/>
  <c r="A10816" i="1"/>
  <c r="F10816" i="1"/>
  <c r="B10817" i="1"/>
  <c r="A10817" i="1"/>
  <c r="F10817" i="1"/>
  <c r="B10818" i="1"/>
  <c r="A10818" i="1"/>
  <c r="F10818" i="1"/>
  <c r="B10819" i="1"/>
  <c r="A10819" i="1"/>
  <c r="F10819" i="1"/>
  <c r="B10820" i="1"/>
  <c r="A10820" i="1"/>
  <c r="F10820" i="1"/>
  <c r="B10821" i="1"/>
  <c r="A10821" i="1"/>
  <c r="F10821" i="1"/>
  <c r="B10822" i="1"/>
  <c r="A10822" i="1"/>
  <c r="F10822" i="1"/>
  <c r="B10823" i="1"/>
  <c r="A10823" i="1"/>
  <c r="F10823" i="1"/>
  <c r="B10824" i="1"/>
  <c r="A10824" i="1"/>
  <c r="F10824" i="1"/>
  <c r="B10825" i="1"/>
  <c r="A10825" i="1"/>
  <c r="F10825" i="1"/>
  <c r="B10826" i="1"/>
  <c r="A10826" i="1"/>
  <c r="F10826" i="1"/>
  <c r="B10827" i="1"/>
  <c r="A10827" i="1"/>
  <c r="F10827" i="1"/>
  <c r="B10828" i="1"/>
  <c r="A10828" i="1"/>
  <c r="F10828" i="1"/>
  <c r="B10829" i="1"/>
  <c r="A10829" i="1"/>
  <c r="F10829" i="1"/>
  <c r="B10830" i="1"/>
  <c r="A10830" i="1"/>
  <c r="F10830" i="1"/>
  <c r="B10831" i="1"/>
  <c r="A10831" i="1"/>
  <c r="F10831" i="1"/>
  <c r="B10832" i="1"/>
  <c r="A10832" i="1"/>
  <c r="F10832" i="1"/>
  <c r="B10833" i="1"/>
  <c r="A10833" i="1"/>
  <c r="F10833" i="1"/>
  <c r="B10834" i="1"/>
  <c r="A10834" i="1"/>
  <c r="F10834" i="1"/>
  <c r="B10835" i="1"/>
  <c r="A10835" i="1"/>
  <c r="F10835" i="1"/>
  <c r="B10836" i="1"/>
  <c r="A10836" i="1"/>
  <c r="F10836" i="1"/>
  <c r="B10837" i="1"/>
  <c r="A10837" i="1"/>
  <c r="F10837" i="1"/>
  <c r="B10838" i="1"/>
  <c r="A10838" i="1"/>
  <c r="F10838" i="1"/>
  <c r="B10839" i="1"/>
  <c r="A10839" i="1"/>
  <c r="F10839" i="1"/>
  <c r="B10840" i="1"/>
  <c r="A10840" i="1"/>
  <c r="F10840" i="1"/>
  <c r="B10841" i="1"/>
  <c r="A10841" i="1"/>
  <c r="F10841" i="1"/>
  <c r="B10842" i="1"/>
  <c r="A10842" i="1"/>
  <c r="F10842" i="1"/>
  <c r="B10843" i="1"/>
  <c r="A10843" i="1"/>
  <c r="F10843" i="1"/>
  <c r="B10844" i="1"/>
  <c r="A10844" i="1"/>
  <c r="F10844" i="1"/>
  <c r="B10845" i="1"/>
  <c r="A10845" i="1"/>
  <c r="F10845" i="1"/>
  <c r="B10846" i="1"/>
  <c r="A10846" i="1"/>
  <c r="F10846" i="1"/>
  <c r="B10847" i="1"/>
  <c r="A10847" i="1"/>
  <c r="F10847" i="1"/>
  <c r="B10848" i="1"/>
  <c r="A10848" i="1"/>
  <c r="F10848" i="1"/>
  <c r="B10849" i="1"/>
  <c r="A10849" i="1"/>
  <c r="F10849" i="1"/>
  <c r="B10850" i="1"/>
  <c r="A10850" i="1"/>
  <c r="F10850" i="1"/>
  <c r="B10851" i="1"/>
  <c r="A10851" i="1"/>
  <c r="F10851" i="1"/>
  <c r="B10852" i="1"/>
  <c r="A10852" i="1"/>
  <c r="F10852" i="1"/>
  <c r="B10853" i="1"/>
  <c r="A10853" i="1"/>
  <c r="F10853" i="1"/>
  <c r="B10854" i="1"/>
  <c r="A10854" i="1"/>
  <c r="F10854" i="1"/>
  <c r="B10855" i="1"/>
  <c r="A10855" i="1"/>
  <c r="F10855" i="1"/>
  <c r="B10856" i="1"/>
  <c r="A10856" i="1"/>
  <c r="F10856" i="1"/>
  <c r="B10857" i="1"/>
  <c r="A10857" i="1"/>
  <c r="F10857" i="1"/>
  <c r="B10858" i="1"/>
  <c r="A10858" i="1"/>
  <c r="F10858" i="1"/>
  <c r="B10859" i="1"/>
  <c r="A10859" i="1"/>
  <c r="F10859" i="1"/>
  <c r="B10860" i="1"/>
  <c r="A10860" i="1"/>
  <c r="F10860" i="1"/>
  <c r="B10861" i="1"/>
  <c r="A10861" i="1"/>
  <c r="F10861" i="1"/>
  <c r="B10862" i="1"/>
  <c r="A10862" i="1"/>
  <c r="F10862" i="1"/>
  <c r="B10863" i="1"/>
  <c r="A10863" i="1"/>
  <c r="F10863" i="1"/>
  <c r="B10864" i="1"/>
  <c r="A10864" i="1"/>
  <c r="F10864" i="1"/>
  <c r="B10865" i="1"/>
  <c r="A10865" i="1"/>
  <c r="F10865" i="1"/>
  <c r="B10866" i="1"/>
  <c r="A10866" i="1"/>
  <c r="F10866" i="1"/>
  <c r="B10867" i="1"/>
  <c r="A10867" i="1"/>
  <c r="F10867" i="1"/>
  <c r="B10868" i="1"/>
  <c r="A10868" i="1"/>
  <c r="F10868" i="1"/>
  <c r="B10869" i="1"/>
  <c r="A10869" i="1"/>
  <c r="F10869" i="1"/>
  <c r="B10870" i="1"/>
  <c r="A10870" i="1"/>
  <c r="F10870" i="1"/>
  <c r="B10871" i="1"/>
  <c r="A10871" i="1"/>
  <c r="F10871" i="1"/>
  <c r="B10872" i="1"/>
  <c r="A10872" i="1"/>
  <c r="F10872" i="1"/>
  <c r="B10873" i="1"/>
  <c r="A10873" i="1"/>
  <c r="F10873" i="1"/>
  <c r="B10874" i="1"/>
  <c r="A10874" i="1"/>
  <c r="F10874" i="1"/>
  <c r="B10875" i="1"/>
  <c r="A10875" i="1"/>
  <c r="F10875" i="1"/>
  <c r="B10876" i="1"/>
  <c r="A10876" i="1"/>
  <c r="F10876" i="1"/>
  <c r="B10877" i="1"/>
  <c r="A10877" i="1"/>
  <c r="F10877" i="1"/>
  <c r="B10878" i="1"/>
  <c r="A10878" i="1"/>
  <c r="F10878" i="1"/>
  <c r="B10879" i="1"/>
  <c r="A10879" i="1"/>
  <c r="F10879" i="1"/>
  <c r="B10880" i="1"/>
  <c r="A10880" i="1"/>
  <c r="F10880" i="1"/>
  <c r="B10881" i="1"/>
  <c r="A10881" i="1"/>
  <c r="F10881" i="1"/>
  <c r="B10882" i="1"/>
  <c r="A10882" i="1"/>
  <c r="F10882" i="1"/>
  <c r="B10883" i="1"/>
  <c r="A10883" i="1"/>
  <c r="F10883" i="1"/>
  <c r="B10884" i="1"/>
  <c r="A10884" i="1"/>
  <c r="F10884" i="1"/>
  <c r="B10885" i="1"/>
  <c r="A10885" i="1"/>
  <c r="F10885" i="1"/>
  <c r="B10886" i="1"/>
  <c r="A10886" i="1"/>
  <c r="F10886" i="1"/>
  <c r="B10887" i="1"/>
  <c r="A10887" i="1"/>
  <c r="F10887" i="1"/>
  <c r="B10888" i="1"/>
  <c r="A10888" i="1"/>
  <c r="F10888" i="1"/>
  <c r="B10889" i="1"/>
  <c r="A10889" i="1"/>
  <c r="F10889" i="1"/>
  <c r="B10890" i="1"/>
  <c r="A10890" i="1"/>
  <c r="F10890" i="1"/>
  <c r="B10891" i="1"/>
  <c r="A10891" i="1"/>
  <c r="F10891" i="1"/>
  <c r="B10892" i="1"/>
  <c r="A10892" i="1"/>
  <c r="F10892" i="1"/>
  <c r="B10893" i="1"/>
  <c r="A10893" i="1"/>
  <c r="F10893" i="1"/>
  <c r="B10894" i="1"/>
  <c r="A10894" i="1"/>
  <c r="F10894" i="1"/>
  <c r="B10895" i="1"/>
  <c r="A10895" i="1"/>
  <c r="F10895" i="1"/>
  <c r="B10896" i="1"/>
  <c r="A10896" i="1"/>
  <c r="F10896" i="1"/>
  <c r="B10897" i="1"/>
  <c r="A10897" i="1"/>
  <c r="F10897" i="1"/>
  <c r="B10898" i="1"/>
  <c r="A10898" i="1"/>
  <c r="F10898" i="1"/>
  <c r="B10899" i="1"/>
  <c r="A10899" i="1"/>
  <c r="F10899" i="1"/>
  <c r="B10900" i="1"/>
  <c r="A10900" i="1"/>
  <c r="F10900" i="1"/>
  <c r="B10901" i="1"/>
  <c r="A10901" i="1"/>
  <c r="F10901" i="1"/>
  <c r="B10902" i="1"/>
  <c r="A10902" i="1"/>
  <c r="F10902" i="1"/>
  <c r="B10903" i="1"/>
  <c r="A10903" i="1"/>
  <c r="F10903" i="1"/>
  <c r="B10904" i="1"/>
  <c r="A10904" i="1"/>
  <c r="F10904" i="1"/>
  <c r="B10905" i="1"/>
  <c r="A10905" i="1"/>
  <c r="F10905" i="1"/>
  <c r="B10906" i="1"/>
  <c r="A10906" i="1"/>
  <c r="F10906" i="1"/>
  <c r="B10907" i="1"/>
  <c r="A10907" i="1"/>
  <c r="F10907" i="1"/>
  <c r="B10908" i="1"/>
  <c r="A10908" i="1"/>
  <c r="F10908" i="1"/>
  <c r="B10909" i="1"/>
  <c r="A10909" i="1"/>
  <c r="F10909" i="1"/>
  <c r="B10910" i="1"/>
  <c r="A10910" i="1"/>
  <c r="F10910" i="1"/>
  <c r="B10911" i="1"/>
  <c r="A10911" i="1"/>
  <c r="F10911" i="1"/>
  <c r="B10912" i="1"/>
  <c r="A10912" i="1"/>
  <c r="F10912" i="1"/>
  <c r="B10913" i="1"/>
  <c r="A10913" i="1"/>
  <c r="F10913" i="1"/>
  <c r="B10914" i="1"/>
  <c r="A10914" i="1"/>
  <c r="F10914" i="1"/>
  <c r="B10915" i="1"/>
  <c r="A10915" i="1"/>
  <c r="F10915" i="1"/>
  <c r="B10916" i="1"/>
  <c r="A10916" i="1"/>
  <c r="F10916" i="1"/>
  <c r="B10917" i="1"/>
  <c r="A10917" i="1"/>
  <c r="F10917" i="1"/>
  <c r="B10918" i="1"/>
  <c r="A10918" i="1"/>
  <c r="F10918" i="1"/>
  <c r="B10919" i="1"/>
  <c r="A10919" i="1"/>
  <c r="F10919" i="1"/>
  <c r="B10920" i="1"/>
  <c r="A10920" i="1"/>
  <c r="F10920" i="1"/>
  <c r="B10921" i="1"/>
  <c r="A10921" i="1"/>
  <c r="F10921" i="1"/>
  <c r="B10922" i="1"/>
  <c r="A10922" i="1"/>
  <c r="F10922" i="1"/>
  <c r="B10923" i="1"/>
  <c r="A10923" i="1"/>
  <c r="F10923" i="1"/>
  <c r="B10924" i="1"/>
  <c r="A10924" i="1"/>
  <c r="F10924" i="1"/>
  <c r="B10925" i="1"/>
  <c r="A10925" i="1"/>
  <c r="F10925" i="1"/>
  <c r="B10926" i="1"/>
  <c r="A10926" i="1"/>
  <c r="F10926" i="1"/>
  <c r="B10927" i="1"/>
  <c r="A10927" i="1"/>
  <c r="F10927" i="1"/>
  <c r="B10928" i="1"/>
  <c r="A10928" i="1"/>
  <c r="F10928" i="1"/>
  <c r="B10929" i="1"/>
  <c r="A10929" i="1"/>
  <c r="F10929" i="1"/>
  <c r="B10930" i="1"/>
  <c r="A10930" i="1"/>
  <c r="F10930" i="1"/>
  <c r="B10931" i="1"/>
  <c r="A10931" i="1"/>
  <c r="F10931" i="1"/>
  <c r="B10932" i="1"/>
  <c r="A10932" i="1"/>
  <c r="F10932" i="1"/>
  <c r="B10933" i="1"/>
  <c r="A10933" i="1"/>
  <c r="F10933" i="1"/>
  <c r="B10934" i="1"/>
  <c r="A10934" i="1"/>
  <c r="F10934" i="1"/>
  <c r="B10935" i="1"/>
  <c r="A10935" i="1"/>
  <c r="F10935" i="1"/>
  <c r="B10936" i="1"/>
  <c r="A10936" i="1"/>
  <c r="F10936" i="1"/>
  <c r="B10937" i="1"/>
  <c r="A10937" i="1"/>
  <c r="F10937" i="1"/>
  <c r="B10938" i="1"/>
  <c r="A10938" i="1"/>
  <c r="F10938" i="1"/>
  <c r="B10939" i="1"/>
  <c r="A10939" i="1"/>
  <c r="F10939" i="1"/>
  <c r="B10940" i="1"/>
  <c r="A10940" i="1"/>
  <c r="F10940" i="1"/>
  <c r="B10941" i="1"/>
  <c r="A10941" i="1"/>
  <c r="F10941" i="1"/>
  <c r="B10942" i="1"/>
  <c r="A10942" i="1"/>
  <c r="F10942" i="1"/>
  <c r="B10943" i="1"/>
  <c r="A10943" i="1"/>
  <c r="F10943" i="1"/>
  <c r="B10944" i="1"/>
  <c r="A10944" i="1"/>
  <c r="F10944" i="1"/>
  <c r="B10945" i="1"/>
  <c r="A10945" i="1"/>
  <c r="F10945" i="1"/>
  <c r="B10946" i="1"/>
  <c r="A10946" i="1"/>
  <c r="F10946" i="1"/>
  <c r="B10947" i="1"/>
  <c r="A10947" i="1"/>
  <c r="F10947" i="1"/>
  <c r="B10948" i="1"/>
  <c r="A10948" i="1"/>
  <c r="F10948" i="1"/>
  <c r="B10949" i="1"/>
  <c r="A10949" i="1"/>
  <c r="F10949" i="1"/>
  <c r="B10950" i="1"/>
  <c r="A10950" i="1"/>
  <c r="F10950" i="1"/>
  <c r="B10951" i="1"/>
  <c r="A10951" i="1"/>
  <c r="F10951" i="1"/>
  <c r="B10952" i="1"/>
  <c r="A10952" i="1"/>
  <c r="F10952" i="1"/>
  <c r="B10953" i="1"/>
  <c r="A10953" i="1"/>
  <c r="F10953" i="1"/>
  <c r="B10954" i="1"/>
  <c r="A10954" i="1"/>
  <c r="F10954" i="1"/>
  <c r="B10955" i="1"/>
  <c r="A10955" i="1"/>
  <c r="F10955" i="1"/>
  <c r="B10956" i="1"/>
  <c r="A10956" i="1"/>
  <c r="F10956" i="1"/>
  <c r="B10957" i="1"/>
  <c r="A10957" i="1"/>
  <c r="F10957" i="1"/>
  <c r="B10958" i="1"/>
  <c r="A10958" i="1"/>
  <c r="F10958" i="1"/>
  <c r="B10959" i="1"/>
  <c r="A10959" i="1"/>
  <c r="F10959" i="1"/>
  <c r="B10960" i="1"/>
  <c r="A10960" i="1"/>
  <c r="F10960" i="1"/>
  <c r="B10961" i="1"/>
  <c r="A10961" i="1"/>
  <c r="F10961" i="1"/>
  <c r="B10962" i="1"/>
  <c r="A10962" i="1"/>
  <c r="F10962" i="1"/>
  <c r="B10963" i="1"/>
  <c r="A10963" i="1"/>
  <c r="F10963" i="1"/>
  <c r="B10964" i="1"/>
  <c r="A10964" i="1"/>
  <c r="F10964" i="1"/>
  <c r="B10965" i="1"/>
  <c r="A10965" i="1"/>
  <c r="F10965" i="1"/>
  <c r="B10966" i="1"/>
  <c r="A10966" i="1"/>
  <c r="F10966" i="1"/>
  <c r="B10967" i="1"/>
  <c r="A10967" i="1"/>
  <c r="F10967" i="1"/>
  <c r="B10968" i="1"/>
  <c r="A10968" i="1"/>
  <c r="F10968" i="1"/>
  <c r="B10969" i="1"/>
  <c r="A10969" i="1"/>
  <c r="F10969" i="1"/>
  <c r="B10970" i="1"/>
  <c r="A10970" i="1"/>
  <c r="F10970" i="1"/>
  <c r="B10971" i="1"/>
  <c r="A10971" i="1"/>
  <c r="F10971" i="1"/>
  <c r="B10972" i="1"/>
  <c r="A10972" i="1"/>
  <c r="F10972" i="1"/>
  <c r="B10973" i="1"/>
  <c r="A10973" i="1"/>
  <c r="F10973" i="1"/>
  <c r="B10974" i="1"/>
  <c r="A10974" i="1"/>
  <c r="F10974" i="1"/>
  <c r="B10975" i="1"/>
  <c r="A10975" i="1"/>
  <c r="F10975" i="1"/>
  <c r="B10976" i="1"/>
  <c r="A10976" i="1"/>
  <c r="F10976" i="1"/>
  <c r="B10977" i="1"/>
  <c r="A10977" i="1"/>
  <c r="F10977" i="1"/>
  <c r="B10978" i="1"/>
  <c r="A10978" i="1"/>
  <c r="F10978" i="1"/>
  <c r="B10979" i="1"/>
  <c r="A10979" i="1"/>
  <c r="F10979" i="1"/>
  <c r="B10980" i="1"/>
  <c r="A10980" i="1"/>
  <c r="F10980" i="1"/>
  <c r="B10981" i="1"/>
  <c r="A10981" i="1"/>
  <c r="F10981" i="1"/>
  <c r="B10982" i="1"/>
  <c r="A10982" i="1"/>
  <c r="F10982" i="1"/>
  <c r="B10983" i="1"/>
  <c r="A10983" i="1"/>
  <c r="F10983" i="1"/>
  <c r="B10984" i="1"/>
  <c r="A10984" i="1"/>
  <c r="F10984" i="1"/>
  <c r="B10985" i="1"/>
  <c r="A10985" i="1"/>
  <c r="F10985" i="1"/>
  <c r="B10986" i="1"/>
  <c r="A10986" i="1"/>
  <c r="F10986" i="1"/>
  <c r="B10987" i="1"/>
  <c r="A10987" i="1"/>
  <c r="F10987" i="1"/>
  <c r="B10988" i="1"/>
  <c r="A10988" i="1"/>
  <c r="F10988" i="1"/>
  <c r="B10989" i="1"/>
  <c r="A10989" i="1"/>
  <c r="F10989" i="1"/>
  <c r="B10990" i="1"/>
  <c r="A10990" i="1"/>
  <c r="F10990" i="1"/>
  <c r="B10991" i="1"/>
  <c r="A10991" i="1"/>
  <c r="F10991" i="1"/>
  <c r="B10992" i="1"/>
  <c r="A10992" i="1"/>
  <c r="F10992" i="1"/>
  <c r="B10993" i="1"/>
  <c r="A10993" i="1"/>
  <c r="F10993" i="1"/>
  <c r="B10994" i="1"/>
  <c r="A10994" i="1"/>
  <c r="F10994" i="1"/>
  <c r="B10995" i="1"/>
  <c r="A10995" i="1"/>
  <c r="F10995" i="1"/>
  <c r="B10996" i="1"/>
  <c r="A10996" i="1"/>
  <c r="F10996" i="1"/>
  <c r="B10997" i="1"/>
  <c r="A10997" i="1"/>
  <c r="F10997" i="1"/>
  <c r="B10998" i="1"/>
  <c r="A10998" i="1"/>
  <c r="F10998" i="1"/>
  <c r="B10999" i="1"/>
  <c r="A10999" i="1"/>
  <c r="F10999" i="1"/>
  <c r="B11000" i="1"/>
  <c r="A11000" i="1"/>
  <c r="F11000" i="1"/>
  <c r="B11001" i="1"/>
  <c r="A11001" i="1"/>
  <c r="F11001" i="1"/>
  <c r="B11002" i="1"/>
  <c r="A11002" i="1"/>
  <c r="F11002" i="1"/>
  <c r="B11003" i="1"/>
  <c r="A11003" i="1"/>
  <c r="F11003" i="1"/>
  <c r="B11004" i="1"/>
  <c r="A11004" i="1"/>
  <c r="F11004" i="1"/>
  <c r="B11005" i="1"/>
  <c r="A11005" i="1"/>
  <c r="F11005" i="1"/>
  <c r="B11006" i="1"/>
  <c r="A11006" i="1"/>
  <c r="F11006" i="1"/>
  <c r="B11007" i="1"/>
  <c r="A11007" i="1"/>
  <c r="F11007" i="1"/>
  <c r="B11008" i="1"/>
  <c r="A11008" i="1"/>
  <c r="F11008" i="1"/>
  <c r="B11009" i="1"/>
  <c r="A11009" i="1"/>
  <c r="F11009" i="1"/>
  <c r="B11010" i="1"/>
  <c r="A11010" i="1"/>
  <c r="F11010" i="1"/>
  <c r="B11011" i="1"/>
  <c r="A11011" i="1"/>
  <c r="F11011" i="1"/>
  <c r="B11012" i="1"/>
  <c r="A11012" i="1"/>
  <c r="F11012" i="1"/>
  <c r="B11013" i="1"/>
  <c r="A11013" i="1"/>
  <c r="F11013" i="1"/>
  <c r="B11014" i="1"/>
  <c r="A11014" i="1"/>
  <c r="F11014" i="1"/>
  <c r="B11015" i="1"/>
  <c r="A11015" i="1"/>
  <c r="F11015" i="1"/>
  <c r="B11016" i="1"/>
  <c r="A11016" i="1"/>
  <c r="F11016" i="1"/>
  <c r="B11017" i="1"/>
  <c r="A11017" i="1"/>
  <c r="F11017" i="1"/>
  <c r="B11018" i="1"/>
  <c r="A11018" i="1"/>
  <c r="F11018" i="1"/>
  <c r="B11019" i="1"/>
  <c r="A11019" i="1"/>
  <c r="F11019" i="1"/>
  <c r="B11020" i="1"/>
  <c r="A11020" i="1"/>
  <c r="F11020" i="1"/>
  <c r="B11021" i="1"/>
  <c r="A11021" i="1"/>
  <c r="F11021" i="1"/>
  <c r="B11022" i="1"/>
  <c r="A11022" i="1"/>
  <c r="F11022" i="1"/>
  <c r="B11023" i="1"/>
  <c r="A11023" i="1"/>
  <c r="F11023" i="1"/>
  <c r="B11024" i="1"/>
  <c r="A11024" i="1"/>
  <c r="F11024" i="1"/>
  <c r="B11025" i="1"/>
  <c r="A11025" i="1"/>
  <c r="F11025" i="1"/>
  <c r="B11026" i="1"/>
  <c r="A11026" i="1"/>
  <c r="F11026" i="1"/>
  <c r="B11027" i="1"/>
  <c r="A11027" i="1"/>
  <c r="F11027" i="1"/>
  <c r="B11028" i="1"/>
  <c r="A11028" i="1"/>
  <c r="F11028" i="1"/>
  <c r="B11029" i="1"/>
  <c r="A11029" i="1"/>
  <c r="F11029" i="1"/>
  <c r="B11030" i="1"/>
  <c r="A11030" i="1"/>
  <c r="F11030" i="1"/>
  <c r="B11031" i="1"/>
  <c r="A11031" i="1"/>
  <c r="F11031" i="1"/>
  <c r="B11032" i="1"/>
  <c r="A11032" i="1"/>
  <c r="F11032" i="1"/>
  <c r="B11033" i="1"/>
  <c r="A11033" i="1"/>
  <c r="F11033" i="1"/>
  <c r="B11034" i="1"/>
  <c r="A11034" i="1"/>
  <c r="F11034" i="1"/>
  <c r="B11035" i="1"/>
  <c r="A11035" i="1"/>
  <c r="F11035" i="1"/>
  <c r="B11036" i="1"/>
  <c r="A11036" i="1"/>
  <c r="F11036" i="1"/>
  <c r="B11037" i="1"/>
  <c r="A11037" i="1"/>
  <c r="F11037" i="1"/>
  <c r="B11038" i="1"/>
  <c r="A11038" i="1"/>
  <c r="F11038" i="1"/>
  <c r="B11039" i="1"/>
  <c r="A11039" i="1"/>
  <c r="F11039" i="1"/>
  <c r="B11040" i="1"/>
  <c r="A11040" i="1"/>
  <c r="F11040" i="1"/>
  <c r="B11041" i="1"/>
  <c r="A11041" i="1"/>
  <c r="F11041" i="1"/>
  <c r="B11042" i="1"/>
  <c r="A11042" i="1"/>
  <c r="F11042" i="1"/>
  <c r="B11043" i="1"/>
  <c r="A11043" i="1"/>
  <c r="F11043" i="1"/>
  <c r="B11044" i="1"/>
  <c r="A11044" i="1"/>
  <c r="F11044" i="1"/>
  <c r="B11045" i="1"/>
  <c r="A11045" i="1"/>
  <c r="F11045" i="1"/>
  <c r="B11046" i="1"/>
  <c r="A11046" i="1"/>
  <c r="F11046" i="1"/>
  <c r="B11047" i="1"/>
  <c r="A11047" i="1"/>
  <c r="F11047" i="1"/>
  <c r="B11048" i="1"/>
  <c r="A11048" i="1"/>
  <c r="F11048" i="1"/>
  <c r="B11049" i="1"/>
  <c r="A11049" i="1"/>
  <c r="F11049" i="1"/>
  <c r="B11050" i="1"/>
  <c r="A11050" i="1"/>
  <c r="F11050" i="1"/>
  <c r="B11051" i="1"/>
  <c r="A11051" i="1"/>
  <c r="F11051" i="1"/>
  <c r="B11052" i="1"/>
  <c r="A11052" i="1"/>
  <c r="F11052" i="1"/>
  <c r="B11053" i="1"/>
  <c r="A11053" i="1"/>
  <c r="F11053" i="1"/>
  <c r="B11054" i="1"/>
  <c r="A11054" i="1"/>
  <c r="F11054" i="1"/>
  <c r="B11055" i="1"/>
  <c r="A11055" i="1"/>
  <c r="F11055" i="1"/>
  <c r="B11056" i="1"/>
  <c r="A11056" i="1"/>
  <c r="F11056" i="1"/>
  <c r="B11057" i="1"/>
  <c r="A11057" i="1"/>
  <c r="F11057" i="1"/>
  <c r="B11058" i="1"/>
  <c r="A11058" i="1"/>
  <c r="F11058" i="1"/>
  <c r="B11059" i="1"/>
  <c r="A11059" i="1"/>
  <c r="F11059" i="1"/>
  <c r="B11060" i="1"/>
  <c r="A11060" i="1"/>
  <c r="F11060" i="1"/>
  <c r="B11061" i="1"/>
  <c r="A11061" i="1"/>
  <c r="F11061" i="1"/>
  <c r="B11062" i="1"/>
  <c r="A11062" i="1"/>
  <c r="F11062" i="1"/>
  <c r="B11063" i="1"/>
  <c r="A11063" i="1"/>
  <c r="F11063" i="1"/>
  <c r="B11064" i="1"/>
  <c r="A11064" i="1"/>
  <c r="F11064" i="1"/>
  <c r="B11065" i="1"/>
  <c r="A11065" i="1"/>
  <c r="F11065" i="1"/>
  <c r="B11066" i="1"/>
  <c r="A11066" i="1"/>
  <c r="F11066" i="1"/>
  <c r="B11067" i="1"/>
  <c r="A11067" i="1"/>
  <c r="F11067" i="1"/>
  <c r="B11068" i="1"/>
  <c r="A11068" i="1"/>
  <c r="F11068" i="1"/>
  <c r="B11069" i="1"/>
  <c r="A11069" i="1"/>
  <c r="F11069" i="1"/>
  <c r="B11070" i="1"/>
  <c r="A11070" i="1"/>
  <c r="F11070" i="1"/>
  <c r="B11071" i="1"/>
  <c r="A11071" i="1"/>
  <c r="F11071" i="1"/>
  <c r="B11072" i="1"/>
  <c r="A11072" i="1"/>
  <c r="F11072" i="1"/>
  <c r="B11073" i="1"/>
  <c r="A11073" i="1"/>
  <c r="F11073" i="1"/>
  <c r="B11074" i="1"/>
  <c r="A11074" i="1"/>
  <c r="F11074" i="1"/>
  <c r="B11075" i="1"/>
  <c r="A11075" i="1"/>
  <c r="F11075" i="1"/>
  <c r="B11076" i="1"/>
  <c r="A11076" i="1"/>
  <c r="F11076" i="1"/>
  <c r="B11077" i="1"/>
  <c r="A11077" i="1"/>
  <c r="F11077" i="1"/>
  <c r="B11078" i="1"/>
  <c r="A11078" i="1"/>
  <c r="F11078" i="1"/>
  <c r="B11079" i="1"/>
  <c r="A11079" i="1"/>
  <c r="F11079" i="1"/>
  <c r="B11080" i="1"/>
  <c r="A11080" i="1"/>
  <c r="F11080" i="1"/>
  <c r="B11081" i="1"/>
  <c r="A11081" i="1"/>
  <c r="F11081" i="1"/>
  <c r="B11082" i="1"/>
  <c r="A11082" i="1"/>
  <c r="F11082" i="1"/>
  <c r="B11083" i="1"/>
  <c r="A11083" i="1"/>
  <c r="F11083" i="1"/>
  <c r="B11084" i="1"/>
  <c r="A11084" i="1"/>
  <c r="F11084" i="1"/>
  <c r="B11085" i="1"/>
  <c r="A11085" i="1"/>
  <c r="F11085" i="1"/>
  <c r="B11086" i="1"/>
  <c r="A11086" i="1"/>
  <c r="F11086" i="1"/>
  <c r="B11087" i="1"/>
  <c r="A11087" i="1"/>
  <c r="F11087" i="1"/>
  <c r="B11088" i="1"/>
  <c r="A11088" i="1"/>
  <c r="F11088" i="1"/>
  <c r="B11089" i="1"/>
  <c r="A11089" i="1"/>
  <c r="F11089" i="1"/>
  <c r="B11090" i="1"/>
  <c r="A11090" i="1"/>
  <c r="F11090" i="1"/>
  <c r="B11091" i="1"/>
  <c r="A11091" i="1"/>
  <c r="F11091" i="1"/>
  <c r="B11092" i="1"/>
  <c r="A11092" i="1"/>
  <c r="F11092" i="1"/>
  <c r="B11093" i="1"/>
  <c r="A11093" i="1"/>
  <c r="F11093" i="1"/>
  <c r="B11094" i="1"/>
  <c r="A11094" i="1"/>
  <c r="F11094" i="1"/>
  <c r="B11095" i="1"/>
  <c r="A11095" i="1"/>
  <c r="F11095" i="1"/>
  <c r="B11096" i="1"/>
  <c r="A11096" i="1"/>
  <c r="F11096" i="1"/>
  <c r="B11097" i="1"/>
  <c r="A11097" i="1"/>
  <c r="F11097" i="1"/>
  <c r="B11098" i="1"/>
  <c r="A11098" i="1"/>
  <c r="F11098" i="1"/>
  <c r="B11099" i="1"/>
  <c r="A11099" i="1"/>
  <c r="F11099" i="1"/>
  <c r="B11100" i="1"/>
  <c r="A11100" i="1"/>
  <c r="F11100" i="1"/>
  <c r="B11101" i="1"/>
  <c r="A11101" i="1"/>
  <c r="F11101" i="1"/>
  <c r="B11102" i="1"/>
  <c r="A11102" i="1"/>
  <c r="F11102" i="1"/>
  <c r="B11103" i="1"/>
  <c r="A11103" i="1"/>
  <c r="F11103" i="1"/>
  <c r="B11104" i="1"/>
  <c r="A11104" i="1"/>
  <c r="F11104" i="1"/>
  <c r="B11105" i="1"/>
  <c r="A11105" i="1"/>
  <c r="F11105" i="1"/>
  <c r="B11106" i="1"/>
  <c r="A11106" i="1"/>
  <c r="F11106" i="1"/>
  <c r="B11107" i="1"/>
  <c r="A11107" i="1"/>
  <c r="F11107" i="1"/>
  <c r="B11108" i="1"/>
  <c r="A11108" i="1"/>
  <c r="F11108" i="1"/>
  <c r="B11109" i="1"/>
  <c r="A11109" i="1"/>
  <c r="F11109" i="1"/>
  <c r="B11110" i="1"/>
  <c r="A11110" i="1"/>
  <c r="F11110" i="1"/>
  <c r="B11111" i="1"/>
  <c r="A11111" i="1"/>
  <c r="F11111" i="1"/>
  <c r="B11112" i="1"/>
  <c r="A11112" i="1"/>
  <c r="F11112" i="1"/>
  <c r="B11113" i="1"/>
  <c r="A11113" i="1"/>
  <c r="F11113" i="1"/>
  <c r="B11114" i="1"/>
  <c r="A11114" i="1"/>
  <c r="F11114" i="1"/>
  <c r="B11115" i="1"/>
  <c r="A11115" i="1"/>
  <c r="F11115" i="1"/>
  <c r="B11116" i="1"/>
  <c r="A11116" i="1"/>
  <c r="F11116" i="1"/>
  <c r="B11117" i="1"/>
  <c r="A11117" i="1"/>
  <c r="F11117" i="1"/>
  <c r="B11118" i="1"/>
  <c r="A11118" i="1"/>
  <c r="F11118" i="1"/>
  <c r="B11119" i="1"/>
  <c r="A11119" i="1"/>
  <c r="F11119" i="1"/>
  <c r="B11120" i="1"/>
  <c r="A11120" i="1"/>
  <c r="F11120" i="1"/>
  <c r="B11121" i="1"/>
  <c r="A11121" i="1"/>
  <c r="F11121" i="1"/>
  <c r="B11122" i="1"/>
  <c r="A11122" i="1"/>
  <c r="F11122" i="1"/>
  <c r="B11123" i="1"/>
  <c r="A11123" i="1"/>
  <c r="F11123" i="1"/>
  <c r="B11124" i="1"/>
  <c r="A11124" i="1"/>
  <c r="F11124" i="1"/>
  <c r="B11125" i="1"/>
  <c r="A11125" i="1"/>
  <c r="F11125" i="1"/>
  <c r="B11126" i="1"/>
  <c r="A11126" i="1"/>
  <c r="F11126" i="1"/>
  <c r="B11127" i="1"/>
  <c r="A11127" i="1"/>
  <c r="F11127" i="1"/>
  <c r="B11128" i="1"/>
  <c r="A11128" i="1"/>
  <c r="F11128" i="1"/>
  <c r="B11129" i="1"/>
  <c r="A11129" i="1"/>
  <c r="F11129" i="1"/>
  <c r="B11130" i="1"/>
  <c r="A11130" i="1"/>
  <c r="F11130" i="1"/>
  <c r="B11131" i="1"/>
  <c r="A11131" i="1"/>
  <c r="F11131" i="1"/>
  <c r="B11132" i="1"/>
  <c r="A11132" i="1"/>
  <c r="F11132" i="1"/>
  <c r="B11133" i="1"/>
  <c r="A11133" i="1"/>
  <c r="F11133" i="1"/>
  <c r="B11134" i="1"/>
  <c r="A11134" i="1"/>
  <c r="F11134" i="1"/>
  <c r="B11135" i="1"/>
  <c r="A11135" i="1"/>
  <c r="F11135" i="1"/>
  <c r="B11136" i="1"/>
  <c r="A11136" i="1"/>
  <c r="F11136" i="1"/>
  <c r="B11137" i="1"/>
  <c r="A11137" i="1"/>
  <c r="F11137" i="1"/>
  <c r="B11138" i="1"/>
  <c r="A11138" i="1"/>
  <c r="F11138" i="1"/>
  <c r="B11139" i="1"/>
  <c r="A11139" i="1"/>
  <c r="F11139" i="1"/>
  <c r="B11140" i="1"/>
  <c r="A11140" i="1"/>
  <c r="F11140" i="1"/>
  <c r="B11141" i="1"/>
  <c r="A11141" i="1"/>
  <c r="F11141" i="1"/>
  <c r="B11142" i="1"/>
  <c r="A11142" i="1"/>
  <c r="F11142" i="1"/>
  <c r="B11143" i="1"/>
  <c r="A11143" i="1"/>
  <c r="F11143" i="1"/>
  <c r="B11144" i="1"/>
  <c r="A11144" i="1"/>
  <c r="F11144" i="1"/>
  <c r="B11145" i="1"/>
  <c r="A11145" i="1"/>
  <c r="F11145" i="1"/>
  <c r="B11146" i="1"/>
  <c r="A11146" i="1"/>
  <c r="F11146" i="1"/>
  <c r="B11147" i="1"/>
  <c r="A11147" i="1"/>
  <c r="F11147" i="1"/>
  <c r="B11148" i="1"/>
  <c r="A11148" i="1"/>
  <c r="F11148" i="1"/>
  <c r="B11149" i="1"/>
  <c r="A11149" i="1"/>
  <c r="F11149" i="1"/>
  <c r="B11150" i="1"/>
  <c r="A11150" i="1"/>
  <c r="F11150" i="1"/>
  <c r="B11151" i="1"/>
  <c r="A11151" i="1"/>
  <c r="F11151" i="1"/>
  <c r="B11152" i="1"/>
  <c r="A11152" i="1"/>
  <c r="F11152" i="1"/>
  <c r="B11153" i="1"/>
  <c r="A11153" i="1"/>
  <c r="F11153" i="1"/>
  <c r="B11154" i="1"/>
  <c r="A11154" i="1"/>
  <c r="F11154" i="1"/>
  <c r="B11155" i="1"/>
  <c r="A11155" i="1"/>
  <c r="F11155" i="1"/>
  <c r="B11156" i="1"/>
  <c r="A11156" i="1"/>
  <c r="F11156" i="1"/>
  <c r="B11157" i="1"/>
  <c r="A11157" i="1"/>
  <c r="F11157" i="1"/>
  <c r="B11158" i="1"/>
  <c r="A11158" i="1"/>
  <c r="F11158" i="1"/>
  <c r="B11159" i="1"/>
  <c r="A11159" i="1"/>
  <c r="F11159" i="1"/>
  <c r="B11160" i="1"/>
  <c r="A11160" i="1"/>
  <c r="F11160" i="1"/>
  <c r="B11161" i="1"/>
  <c r="A11161" i="1"/>
  <c r="F11161" i="1"/>
  <c r="B11162" i="1"/>
  <c r="A11162" i="1"/>
  <c r="F11162" i="1"/>
  <c r="B11163" i="1"/>
  <c r="A11163" i="1"/>
  <c r="F11163" i="1"/>
  <c r="B11164" i="1"/>
  <c r="A11164" i="1"/>
  <c r="F11164" i="1"/>
  <c r="B11165" i="1"/>
  <c r="A11165" i="1"/>
  <c r="F11165" i="1"/>
  <c r="B11166" i="1"/>
  <c r="A11166" i="1"/>
  <c r="F11166" i="1"/>
  <c r="B11167" i="1"/>
  <c r="A11167" i="1"/>
  <c r="F11167" i="1"/>
  <c r="B11168" i="1"/>
  <c r="A11168" i="1"/>
  <c r="F11168" i="1"/>
  <c r="B11169" i="1"/>
  <c r="A11169" i="1"/>
  <c r="F11169" i="1"/>
  <c r="B11170" i="1"/>
  <c r="A11170" i="1"/>
  <c r="F11170" i="1"/>
  <c r="B11171" i="1"/>
  <c r="A11171" i="1"/>
  <c r="F11171" i="1"/>
  <c r="B11172" i="1"/>
  <c r="A11172" i="1"/>
  <c r="F11172" i="1"/>
  <c r="B11173" i="1"/>
  <c r="A11173" i="1"/>
  <c r="F11173" i="1"/>
  <c r="B11174" i="1"/>
  <c r="A11174" i="1"/>
  <c r="F11174" i="1"/>
  <c r="B11175" i="1"/>
  <c r="A11175" i="1"/>
  <c r="F11175" i="1"/>
  <c r="B11176" i="1"/>
  <c r="A11176" i="1"/>
  <c r="F11176" i="1"/>
  <c r="B11177" i="1"/>
  <c r="A11177" i="1"/>
  <c r="F11177" i="1"/>
  <c r="B11178" i="1"/>
  <c r="A11178" i="1"/>
  <c r="F11178" i="1"/>
  <c r="B11179" i="1"/>
  <c r="A11179" i="1"/>
  <c r="F11179" i="1"/>
  <c r="B11180" i="1"/>
  <c r="A11180" i="1"/>
  <c r="F11180" i="1"/>
  <c r="B11181" i="1"/>
  <c r="A11181" i="1"/>
  <c r="F11181" i="1"/>
  <c r="B11182" i="1"/>
  <c r="A11182" i="1"/>
  <c r="F11182" i="1"/>
  <c r="B11183" i="1"/>
  <c r="A11183" i="1"/>
  <c r="F11183" i="1"/>
  <c r="B11184" i="1"/>
  <c r="A11184" i="1"/>
  <c r="F11184" i="1"/>
  <c r="B11185" i="1"/>
  <c r="A11185" i="1"/>
  <c r="F11185" i="1"/>
  <c r="B11186" i="1"/>
  <c r="A11186" i="1"/>
  <c r="F11186" i="1"/>
  <c r="B11187" i="1"/>
  <c r="A11187" i="1"/>
  <c r="F11187" i="1"/>
  <c r="B11188" i="1"/>
  <c r="A11188" i="1"/>
  <c r="F11188" i="1"/>
  <c r="B11189" i="1"/>
  <c r="A11189" i="1"/>
  <c r="F11189" i="1"/>
  <c r="B11190" i="1"/>
  <c r="A11190" i="1"/>
  <c r="F11190" i="1"/>
  <c r="B11191" i="1"/>
  <c r="A11191" i="1"/>
  <c r="F11191" i="1"/>
  <c r="B11192" i="1"/>
  <c r="A11192" i="1"/>
  <c r="F11192" i="1"/>
  <c r="B11193" i="1"/>
  <c r="A11193" i="1"/>
  <c r="F11193" i="1"/>
  <c r="B11194" i="1"/>
  <c r="A11194" i="1"/>
  <c r="F11194" i="1"/>
  <c r="B11195" i="1"/>
  <c r="A11195" i="1"/>
  <c r="F11195" i="1"/>
  <c r="B11196" i="1"/>
  <c r="A11196" i="1"/>
  <c r="F11196" i="1"/>
  <c r="B11197" i="1"/>
  <c r="A11197" i="1"/>
  <c r="F11197" i="1"/>
  <c r="B11198" i="1"/>
  <c r="A11198" i="1"/>
  <c r="F11198" i="1"/>
  <c r="B11199" i="1"/>
  <c r="A11199" i="1"/>
  <c r="F11199" i="1"/>
  <c r="B11200" i="1"/>
  <c r="A11200" i="1"/>
  <c r="F11200" i="1"/>
  <c r="B11201" i="1"/>
  <c r="A11201" i="1"/>
  <c r="F11201" i="1"/>
  <c r="B11202" i="1"/>
  <c r="A11202" i="1"/>
  <c r="F11202" i="1"/>
  <c r="B11203" i="1"/>
  <c r="A11203" i="1"/>
  <c r="F11203" i="1"/>
  <c r="B11204" i="1"/>
  <c r="A11204" i="1"/>
  <c r="F11204" i="1"/>
  <c r="B11205" i="1"/>
  <c r="A11205" i="1"/>
  <c r="F11205" i="1"/>
  <c r="B11206" i="1"/>
  <c r="A11206" i="1"/>
  <c r="F11206" i="1"/>
  <c r="B11207" i="1"/>
  <c r="A11207" i="1"/>
  <c r="F11207" i="1"/>
  <c r="B11208" i="1"/>
  <c r="A11208" i="1"/>
  <c r="F11208" i="1"/>
  <c r="B11209" i="1"/>
  <c r="A11209" i="1"/>
  <c r="F11209" i="1"/>
  <c r="B11210" i="1"/>
  <c r="A11210" i="1"/>
  <c r="F11210" i="1"/>
  <c r="B11211" i="1"/>
  <c r="A11211" i="1"/>
  <c r="F11211" i="1"/>
  <c r="B11212" i="1"/>
  <c r="A11212" i="1"/>
  <c r="F11212" i="1"/>
  <c r="B11213" i="1"/>
  <c r="A11213" i="1"/>
  <c r="F11213" i="1"/>
  <c r="B11214" i="1"/>
  <c r="A11214" i="1"/>
  <c r="F11214" i="1"/>
  <c r="B11215" i="1"/>
  <c r="A11215" i="1"/>
  <c r="F11215" i="1"/>
  <c r="B11216" i="1"/>
  <c r="A11216" i="1"/>
  <c r="F11216" i="1"/>
  <c r="B11217" i="1"/>
  <c r="A11217" i="1"/>
  <c r="F11217" i="1"/>
  <c r="B11218" i="1"/>
  <c r="A11218" i="1"/>
  <c r="F11218" i="1"/>
  <c r="B11219" i="1"/>
  <c r="A11219" i="1"/>
  <c r="F11219" i="1"/>
  <c r="B11220" i="1"/>
  <c r="A11220" i="1"/>
  <c r="F11220" i="1"/>
  <c r="B11221" i="1"/>
  <c r="A11221" i="1"/>
  <c r="F11221" i="1"/>
  <c r="B11222" i="1"/>
  <c r="A11222" i="1"/>
  <c r="F11222" i="1"/>
  <c r="B11223" i="1"/>
  <c r="A11223" i="1"/>
  <c r="F11223" i="1"/>
  <c r="B11224" i="1"/>
  <c r="A11224" i="1"/>
  <c r="F11224" i="1"/>
  <c r="B11225" i="1"/>
  <c r="A11225" i="1"/>
  <c r="F11225" i="1"/>
  <c r="B11226" i="1"/>
  <c r="A11226" i="1"/>
  <c r="F11226" i="1"/>
  <c r="B11227" i="1"/>
  <c r="A11227" i="1"/>
  <c r="F11227" i="1"/>
  <c r="B11228" i="1"/>
  <c r="A11228" i="1"/>
  <c r="F11228" i="1"/>
  <c r="B11229" i="1"/>
  <c r="A11229" i="1"/>
  <c r="F11229" i="1"/>
  <c r="B11230" i="1"/>
  <c r="A11230" i="1"/>
  <c r="F11230" i="1"/>
  <c r="B11231" i="1"/>
  <c r="A11231" i="1"/>
  <c r="F11231" i="1"/>
  <c r="B11232" i="1"/>
  <c r="A11232" i="1"/>
  <c r="F11232" i="1"/>
  <c r="B11233" i="1"/>
  <c r="A11233" i="1"/>
  <c r="F11233" i="1"/>
  <c r="B11234" i="1"/>
  <c r="A11234" i="1"/>
  <c r="F11234" i="1"/>
  <c r="B11235" i="1"/>
  <c r="A11235" i="1"/>
  <c r="F11235" i="1"/>
  <c r="B11236" i="1"/>
  <c r="A11236" i="1"/>
  <c r="F11236" i="1"/>
  <c r="B11237" i="1"/>
  <c r="A11237" i="1"/>
  <c r="F11237" i="1"/>
  <c r="B11238" i="1"/>
  <c r="A11238" i="1"/>
  <c r="F11238" i="1"/>
  <c r="B11239" i="1"/>
  <c r="A11239" i="1"/>
  <c r="F11239" i="1"/>
  <c r="B11240" i="1"/>
  <c r="A11240" i="1"/>
  <c r="F11240" i="1"/>
  <c r="B11241" i="1"/>
  <c r="A11241" i="1"/>
  <c r="F11241" i="1"/>
  <c r="B11242" i="1"/>
  <c r="A11242" i="1"/>
  <c r="F11242" i="1"/>
  <c r="B11243" i="1"/>
  <c r="A11243" i="1"/>
  <c r="F11243" i="1"/>
  <c r="B11244" i="1"/>
  <c r="A11244" i="1"/>
  <c r="F11244" i="1"/>
  <c r="B11245" i="1"/>
  <c r="A11245" i="1"/>
  <c r="F11245" i="1"/>
  <c r="B11246" i="1"/>
  <c r="A11246" i="1"/>
  <c r="F11246" i="1"/>
  <c r="B11247" i="1"/>
  <c r="A11247" i="1"/>
  <c r="F11247" i="1"/>
  <c r="B11248" i="1"/>
  <c r="A11248" i="1"/>
  <c r="F11248" i="1"/>
  <c r="B11249" i="1"/>
  <c r="A11249" i="1"/>
  <c r="F11249" i="1"/>
  <c r="B11250" i="1"/>
  <c r="A11250" i="1"/>
  <c r="F11250" i="1"/>
  <c r="B11251" i="1"/>
  <c r="A11251" i="1"/>
  <c r="F11251" i="1"/>
  <c r="B11252" i="1"/>
  <c r="A11252" i="1"/>
  <c r="F11252" i="1"/>
  <c r="B11253" i="1"/>
  <c r="A11253" i="1"/>
  <c r="F11253" i="1"/>
  <c r="B11254" i="1"/>
  <c r="A11254" i="1"/>
  <c r="F11254" i="1"/>
  <c r="B11255" i="1"/>
  <c r="A11255" i="1"/>
  <c r="F11255" i="1"/>
  <c r="B11256" i="1"/>
  <c r="A11256" i="1"/>
  <c r="F11256" i="1"/>
  <c r="B11257" i="1"/>
  <c r="A11257" i="1"/>
  <c r="F11257" i="1"/>
  <c r="B11258" i="1"/>
  <c r="A11258" i="1"/>
  <c r="F11258" i="1"/>
  <c r="B11259" i="1"/>
  <c r="A11259" i="1"/>
  <c r="F11259" i="1"/>
  <c r="B11260" i="1"/>
  <c r="A11260" i="1"/>
  <c r="F11260" i="1"/>
  <c r="B11261" i="1"/>
  <c r="A11261" i="1"/>
  <c r="F11261" i="1"/>
  <c r="B11262" i="1"/>
  <c r="A11262" i="1"/>
  <c r="F11262" i="1"/>
  <c r="B11263" i="1"/>
  <c r="A11263" i="1"/>
  <c r="F11263" i="1"/>
  <c r="B11264" i="1"/>
  <c r="A11264" i="1"/>
  <c r="F11264" i="1"/>
  <c r="B11265" i="1"/>
  <c r="A11265" i="1"/>
  <c r="F11265" i="1"/>
  <c r="B11266" i="1"/>
  <c r="A11266" i="1"/>
  <c r="F11266" i="1"/>
  <c r="B11267" i="1"/>
  <c r="A11267" i="1"/>
  <c r="F11267" i="1"/>
  <c r="B11268" i="1"/>
  <c r="A11268" i="1"/>
  <c r="F11268" i="1"/>
  <c r="B11269" i="1"/>
  <c r="A11269" i="1"/>
  <c r="F11269" i="1"/>
  <c r="B11270" i="1"/>
  <c r="A11270" i="1"/>
  <c r="F11270" i="1"/>
  <c r="B11271" i="1"/>
  <c r="A11271" i="1"/>
  <c r="F11271" i="1"/>
  <c r="B11272" i="1"/>
  <c r="A11272" i="1"/>
  <c r="F11272" i="1"/>
  <c r="B11273" i="1"/>
  <c r="A11273" i="1"/>
  <c r="F11273" i="1"/>
  <c r="B11274" i="1"/>
  <c r="A11274" i="1"/>
  <c r="F11274" i="1"/>
  <c r="B11275" i="1"/>
  <c r="A11275" i="1"/>
  <c r="F11275" i="1"/>
  <c r="B11276" i="1"/>
  <c r="A11276" i="1"/>
  <c r="F11276" i="1"/>
  <c r="B11277" i="1"/>
  <c r="A11277" i="1"/>
  <c r="F11277" i="1"/>
  <c r="B11278" i="1"/>
  <c r="A11278" i="1"/>
  <c r="F11278" i="1"/>
  <c r="B11279" i="1"/>
  <c r="A11279" i="1"/>
  <c r="F11279" i="1"/>
  <c r="B11280" i="1"/>
  <c r="A11280" i="1"/>
  <c r="F11280" i="1"/>
  <c r="B11281" i="1"/>
  <c r="A11281" i="1"/>
  <c r="F11281" i="1"/>
  <c r="B11282" i="1"/>
  <c r="A11282" i="1"/>
  <c r="F11282" i="1"/>
  <c r="B11283" i="1"/>
  <c r="A11283" i="1"/>
  <c r="F11283" i="1"/>
  <c r="B11284" i="1"/>
  <c r="A11284" i="1"/>
  <c r="F11284" i="1"/>
  <c r="B11285" i="1"/>
  <c r="A11285" i="1"/>
  <c r="F11285" i="1"/>
  <c r="B11286" i="1"/>
  <c r="A11286" i="1"/>
  <c r="F11286" i="1"/>
  <c r="B11287" i="1"/>
  <c r="A11287" i="1"/>
  <c r="F11287" i="1"/>
  <c r="B11288" i="1"/>
  <c r="A11288" i="1"/>
  <c r="F11288" i="1"/>
  <c r="B11289" i="1"/>
  <c r="A11289" i="1"/>
  <c r="F11289" i="1"/>
  <c r="B11290" i="1"/>
  <c r="A11290" i="1"/>
  <c r="F11290" i="1"/>
  <c r="B11291" i="1"/>
  <c r="A11291" i="1"/>
  <c r="F11291" i="1"/>
  <c r="B11292" i="1"/>
  <c r="A11292" i="1"/>
  <c r="F11292" i="1"/>
  <c r="B11293" i="1"/>
  <c r="A11293" i="1"/>
  <c r="F11293" i="1"/>
  <c r="B11294" i="1"/>
  <c r="A11294" i="1"/>
  <c r="F11294" i="1"/>
  <c r="B11295" i="1"/>
  <c r="A11295" i="1"/>
  <c r="F11295" i="1"/>
  <c r="B11296" i="1"/>
  <c r="A11296" i="1"/>
  <c r="F11296" i="1"/>
  <c r="B11297" i="1"/>
  <c r="A11297" i="1"/>
  <c r="F11297" i="1"/>
  <c r="B11298" i="1"/>
  <c r="A11298" i="1"/>
  <c r="F11298" i="1"/>
  <c r="B11299" i="1"/>
  <c r="A11299" i="1"/>
  <c r="F11299" i="1"/>
  <c r="B11300" i="1"/>
  <c r="A11300" i="1"/>
  <c r="F11300" i="1"/>
  <c r="B11301" i="1"/>
  <c r="A11301" i="1"/>
  <c r="F11301" i="1"/>
  <c r="B11302" i="1"/>
  <c r="A11302" i="1"/>
  <c r="F11302" i="1"/>
  <c r="B11303" i="1"/>
  <c r="A11303" i="1"/>
  <c r="F11303" i="1"/>
  <c r="B11304" i="1"/>
  <c r="A11304" i="1"/>
  <c r="F11304" i="1"/>
  <c r="B11305" i="1"/>
  <c r="A11305" i="1"/>
  <c r="F11305" i="1"/>
  <c r="B11306" i="1"/>
  <c r="A11306" i="1"/>
  <c r="F11306" i="1"/>
  <c r="B11307" i="1"/>
  <c r="A11307" i="1"/>
  <c r="F11307" i="1"/>
  <c r="B11308" i="1"/>
  <c r="A11308" i="1"/>
  <c r="F11308" i="1"/>
  <c r="B11309" i="1"/>
  <c r="A11309" i="1"/>
  <c r="F11309" i="1"/>
  <c r="B11310" i="1"/>
  <c r="A11310" i="1"/>
  <c r="F11310" i="1"/>
  <c r="B11311" i="1"/>
  <c r="A11311" i="1"/>
  <c r="F11311" i="1"/>
  <c r="B11312" i="1"/>
  <c r="A11312" i="1"/>
  <c r="F11312" i="1"/>
  <c r="B11313" i="1"/>
  <c r="A11313" i="1"/>
  <c r="F11313" i="1"/>
  <c r="B11314" i="1"/>
  <c r="A11314" i="1"/>
  <c r="F11314" i="1"/>
  <c r="B11315" i="1"/>
  <c r="A11315" i="1"/>
  <c r="F11315" i="1"/>
  <c r="B11316" i="1"/>
  <c r="A11316" i="1"/>
  <c r="F11316" i="1"/>
  <c r="B11317" i="1"/>
  <c r="A11317" i="1"/>
  <c r="F11317" i="1"/>
  <c r="B11318" i="1"/>
  <c r="A11318" i="1"/>
  <c r="F11318" i="1"/>
  <c r="B11319" i="1"/>
  <c r="A11319" i="1"/>
  <c r="F11319" i="1"/>
  <c r="B11320" i="1"/>
  <c r="A11320" i="1"/>
  <c r="F11320" i="1"/>
  <c r="B11321" i="1"/>
  <c r="A11321" i="1"/>
  <c r="F11321" i="1"/>
  <c r="B11322" i="1"/>
  <c r="A11322" i="1"/>
  <c r="F11322" i="1"/>
  <c r="B11323" i="1"/>
  <c r="A11323" i="1"/>
  <c r="F11323" i="1"/>
  <c r="B11324" i="1"/>
  <c r="A11324" i="1"/>
  <c r="F11324" i="1"/>
  <c r="B11325" i="1"/>
  <c r="A11325" i="1"/>
  <c r="F11325" i="1"/>
  <c r="B11326" i="1"/>
  <c r="A11326" i="1"/>
  <c r="F11326" i="1"/>
  <c r="B11327" i="1"/>
  <c r="A11327" i="1"/>
  <c r="F11327" i="1"/>
  <c r="B11328" i="1"/>
  <c r="A11328" i="1"/>
  <c r="F11328" i="1"/>
  <c r="B11329" i="1"/>
  <c r="A11329" i="1"/>
  <c r="F11329" i="1"/>
  <c r="B11330" i="1"/>
  <c r="A11330" i="1"/>
  <c r="F11330" i="1"/>
  <c r="B11331" i="1"/>
  <c r="A11331" i="1"/>
  <c r="F11331" i="1"/>
  <c r="B11332" i="1"/>
  <c r="A11332" i="1"/>
  <c r="F11332" i="1"/>
  <c r="B11333" i="1"/>
  <c r="A11333" i="1"/>
  <c r="F11333" i="1"/>
  <c r="B11334" i="1"/>
  <c r="A11334" i="1"/>
  <c r="F11334" i="1"/>
  <c r="B11335" i="1"/>
  <c r="A11335" i="1"/>
  <c r="F11335" i="1"/>
  <c r="B11336" i="1"/>
  <c r="A11336" i="1"/>
  <c r="F11336" i="1"/>
  <c r="B11337" i="1"/>
  <c r="A11337" i="1"/>
  <c r="F11337" i="1"/>
  <c r="B11338" i="1"/>
  <c r="A11338" i="1"/>
  <c r="F11338" i="1"/>
  <c r="B11339" i="1"/>
  <c r="A11339" i="1"/>
  <c r="F11339" i="1"/>
  <c r="B11340" i="1"/>
  <c r="A11340" i="1"/>
  <c r="F11340" i="1"/>
  <c r="B11341" i="1"/>
  <c r="A11341" i="1"/>
  <c r="F11341" i="1"/>
  <c r="B11342" i="1"/>
  <c r="A11342" i="1"/>
  <c r="F11342" i="1"/>
  <c r="B11343" i="1"/>
  <c r="A11343" i="1"/>
  <c r="F11343" i="1"/>
  <c r="B11344" i="1"/>
  <c r="A11344" i="1"/>
  <c r="F11344" i="1"/>
  <c r="B11345" i="1"/>
  <c r="A11345" i="1"/>
  <c r="F11345" i="1"/>
  <c r="B11346" i="1"/>
  <c r="A11346" i="1"/>
  <c r="F11346" i="1"/>
  <c r="B11347" i="1"/>
  <c r="A11347" i="1"/>
  <c r="F11347" i="1"/>
  <c r="B11348" i="1"/>
  <c r="A11348" i="1"/>
  <c r="F11348" i="1"/>
  <c r="B11349" i="1"/>
  <c r="A11349" i="1"/>
  <c r="F11349" i="1"/>
  <c r="B11350" i="1"/>
  <c r="A11350" i="1"/>
  <c r="F11350" i="1"/>
  <c r="B11351" i="1"/>
  <c r="A11351" i="1"/>
  <c r="F11351" i="1"/>
  <c r="B11352" i="1"/>
  <c r="A11352" i="1"/>
  <c r="F11352" i="1"/>
  <c r="B11353" i="1"/>
  <c r="A11353" i="1"/>
  <c r="F11353" i="1"/>
  <c r="B11354" i="1"/>
  <c r="A11354" i="1"/>
  <c r="F11354" i="1"/>
  <c r="B11355" i="1"/>
  <c r="A11355" i="1"/>
  <c r="F11355" i="1"/>
  <c r="B11356" i="1"/>
  <c r="A11356" i="1"/>
  <c r="F11356" i="1"/>
  <c r="B11357" i="1"/>
  <c r="A11357" i="1"/>
  <c r="F11357" i="1"/>
  <c r="B11358" i="1"/>
  <c r="A11358" i="1"/>
  <c r="F11358" i="1"/>
  <c r="B11359" i="1"/>
  <c r="A11359" i="1"/>
  <c r="F11359" i="1"/>
  <c r="B11360" i="1"/>
  <c r="A11360" i="1"/>
  <c r="F11360" i="1"/>
  <c r="B11361" i="1"/>
  <c r="A11361" i="1"/>
  <c r="F11361" i="1"/>
  <c r="B11362" i="1"/>
  <c r="A11362" i="1"/>
  <c r="F11362" i="1"/>
  <c r="B11363" i="1"/>
  <c r="A11363" i="1"/>
  <c r="F11363" i="1"/>
  <c r="B11364" i="1"/>
  <c r="A11364" i="1"/>
  <c r="F11364" i="1"/>
  <c r="B11365" i="1"/>
  <c r="A11365" i="1"/>
  <c r="F11365" i="1"/>
  <c r="B11366" i="1"/>
  <c r="A11366" i="1"/>
  <c r="F11366" i="1"/>
  <c r="B11367" i="1"/>
  <c r="A11367" i="1"/>
  <c r="F11367" i="1"/>
  <c r="B11368" i="1"/>
  <c r="A11368" i="1"/>
  <c r="F11368" i="1"/>
  <c r="B11369" i="1"/>
  <c r="A11369" i="1"/>
  <c r="F11369" i="1"/>
  <c r="B11370" i="1"/>
  <c r="A11370" i="1"/>
  <c r="F11370" i="1"/>
  <c r="B11371" i="1"/>
  <c r="A11371" i="1"/>
  <c r="F11371" i="1"/>
  <c r="B11372" i="1"/>
  <c r="A11372" i="1"/>
  <c r="F11372" i="1"/>
  <c r="B11373" i="1"/>
  <c r="A11373" i="1"/>
  <c r="F11373" i="1"/>
  <c r="B11374" i="1"/>
  <c r="A11374" i="1"/>
  <c r="F11374" i="1"/>
  <c r="B11375" i="1"/>
  <c r="A11375" i="1"/>
  <c r="F11375" i="1"/>
  <c r="B11376" i="1"/>
  <c r="A11376" i="1"/>
  <c r="F11376" i="1"/>
  <c r="B11377" i="1"/>
  <c r="A11377" i="1"/>
  <c r="F11377" i="1"/>
  <c r="B11378" i="1"/>
  <c r="A11378" i="1"/>
  <c r="F11378" i="1"/>
  <c r="B11379" i="1"/>
  <c r="A11379" i="1"/>
  <c r="F11379" i="1"/>
  <c r="B11380" i="1"/>
  <c r="A11380" i="1"/>
  <c r="F11380" i="1"/>
  <c r="B11381" i="1"/>
  <c r="A11381" i="1"/>
  <c r="F11381" i="1"/>
  <c r="B11382" i="1"/>
  <c r="A11382" i="1"/>
  <c r="F11382" i="1"/>
  <c r="B11383" i="1"/>
  <c r="A11383" i="1"/>
  <c r="F11383" i="1"/>
  <c r="B11384" i="1"/>
  <c r="A11384" i="1"/>
  <c r="F11384" i="1"/>
  <c r="B11385" i="1"/>
  <c r="A11385" i="1"/>
  <c r="F11385" i="1"/>
  <c r="B11386" i="1"/>
  <c r="A11386" i="1"/>
  <c r="F11386" i="1"/>
  <c r="B11387" i="1"/>
  <c r="A11387" i="1"/>
  <c r="F11387" i="1"/>
  <c r="B11388" i="1"/>
  <c r="A11388" i="1"/>
  <c r="F11388" i="1"/>
  <c r="B11389" i="1"/>
  <c r="A11389" i="1"/>
  <c r="F11389" i="1"/>
  <c r="B11390" i="1"/>
  <c r="A11390" i="1"/>
  <c r="F11390" i="1"/>
  <c r="B11391" i="1"/>
  <c r="A11391" i="1"/>
  <c r="F11391" i="1"/>
  <c r="B11392" i="1"/>
  <c r="A11392" i="1"/>
  <c r="F11392" i="1"/>
  <c r="B11393" i="1"/>
  <c r="A11393" i="1"/>
  <c r="F11393" i="1"/>
  <c r="B11394" i="1"/>
  <c r="A11394" i="1"/>
  <c r="F11394" i="1"/>
  <c r="B11395" i="1"/>
  <c r="A11395" i="1"/>
  <c r="F11395" i="1"/>
  <c r="B11396" i="1"/>
  <c r="A11396" i="1"/>
  <c r="F11396" i="1"/>
  <c r="B11397" i="1"/>
  <c r="A11397" i="1"/>
  <c r="F11397" i="1"/>
  <c r="B11398" i="1"/>
  <c r="A11398" i="1"/>
  <c r="F11398" i="1"/>
  <c r="B11399" i="1"/>
  <c r="A11399" i="1"/>
  <c r="F11399" i="1"/>
  <c r="B11400" i="1"/>
  <c r="A11400" i="1"/>
  <c r="F11400" i="1"/>
  <c r="B11401" i="1"/>
  <c r="A11401" i="1"/>
  <c r="F11401" i="1"/>
  <c r="B11402" i="1"/>
  <c r="A11402" i="1"/>
  <c r="F11402" i="1"/>
  <c r="B11403" i="1"/>
  <c r="A11403" i="1"/>
  <c r="F11403" i="1"/>
  <c r="B11404" i="1"/>
  <c r="A11404" i="1"/>
  <c r="F11404" i="1"/>
  <c r="B11405" i="1"/>
  <c r="A11405" i="1"/>
  <c r="F11405" i="1"/>
  <c r="B11406" i="1"/>
  <c r="A11406" i="1"/>
  <c r="F11406" i="1"/>
  <c r="B11407" i="1"/>
  <c r="A11407" i="1"/>
  <c r="F11407" i="1"/>
  <c r="B11408" i="1"/>
  <c r="A11408" i="1"/>
  <c r="F11408" i="1"/>
  <c r="B11409" i="1"/>
  <c r="A11409" i="1"/>
  <c r="F11409" i="1"/>
  <c r="B11410" i="1"/>
  <c r="A11410" i="1"/>
  <c r="F11410" i="1"/>
  <c r="B11411" i="1"/>
  <c r="A11411" i="1"/>
  <c r="F11411" i="1"/>
  <c r="B11412" i="1"/>
  <c r="A11412" i="1"/>
  <c r="F11412" i="1"/>
  <c r="B11413" i="1"/>
  <c r="A11413" i="1"/>
  <c r="F11413" i="1"/>
  <c r="B11414" i="1"/>
  <c r="A11414" i="1"/>
  <c r="F11414" i="1"/>
  <c r="B11415" i="1"/>
  <c r="A11415" i="1"/>
  <c r="F11415" i="1"/>
  <c r="B11416" i="1"/>
  <c r="A11416" i="1"/>
  <c r="F11416" i="1"/>
  <c r="B11417" i="1"/>
  <c r="A11417" i="1"/>
  <c r="F11417" i="1"/>
  <c r="B11418" i="1"/>
  <c r="A11418" i="1"/>
  <c r="F11418" i="1"/>
  <c r="B11419" i="1"/>
  <c r="A11419" i="1"/>
  <c r="F11419" i="1"/>
  <c r="B11420" i="1"/>
  <c r="A11420" i="1"/>
  <c r="F11420" i="1"/>
  <c r="B11421" i="1"/>
  <c r="A11421" i="1"/>
  <c r="F11421" i="1"/>
  <c r="B11422" i="1"/>
  <c r="A11422" i="1"/>
  <c r="F11422" i="1"/>
  <c r="B11423" i="1"/>
  <c r="A11423" i="1"/>
  <c r="F11423" i="1"/>
  <c r="B11424" i="1"/>
  <c r="A11424" i="1"/>
  <c r="F11424" i="1"/>
  <c r="B11425" i="1"/>
  <c r="A11425" i="1"/>
  <c r="F11425" i="1"/>
  <c r="B11426" i="1"/>
  <c r="A11426" i="1"/>
  <c r="F11426" i="1"/>
  <c r="B11427" i="1"/>
  <c r="A11427" i="1"/>
  <c r="F11427" i="1"/>
  <c r="B11428" i="1"/>
  <c r="A11428" i="1"/>
  <c r="F11428" i="1"/>
  <c r="B11429" i="1"/>
  <c r="A11429" i="1"/>
  <c r="F11429" i="1"/>
  <c r="B11430" i="1"/>
  <c r="A11430" i="1"/>
  <c r="F11430" i="1"/>
  <c r="B11431" i="1"/>
  <c r="A11431" i="1"/>
  <c r="F11431" i="1"/>
  <c r="B11432" i="1"/>
  <c r="A11432" i="1"/>
  <c r="F11432" i="1"/>
  <c r="B11433" i="1"/>
  <c r="A11433" i="1"/>
  <c r="F11433" i="1"/>
  <c r="B11434" i="1"/>
  <c r="A11434" i="1"/>
  <c r="F11434" i="1"/>
  <c r="B11435" i="1"/>
  <c r="A11435" i="1"/>
  <c r="F11435" i="1"/>
  <c r="B11436" i="1"/>
  <c r="A11436" i="1"/>
  <c r="F11436" i="1"/>
  <c r="B11437" i="1"/>
  <c r="A11437" i="1"/>
  <c r="F11437" i="1"/>
  <c r="B11438" i="1"/>
  <c r="A11438" i="1"/>
  <c r="F11438" i="1"/>
  <c r="B11439" i="1"/>
  <c r="A11439" i="1"/>
  <c r="F11439" i="1"/>
  <c r="B11440" i="1"/>
  <c r="A11440" i="1"/>
  <c r="F11440" i="1"/>
  <c r="B11441" i="1"/>
  <c r="A11441" i="1"/>
  <c r="F11441" i="1"/>
  <c r="B11442" i="1"/>
  <c r="A11442" i="1"/>
  <c r="F11442" i="1"/>
  <c r="B11443" i="1"/>
  <c r="A11443" i="1"/>
  <c r="F11443" i="1"/>
  <c r="B11444" i="1"/>
  <c r="A11444" i="1"/>
  <c r="F11444" i="1"/>
  <c r="B11445" i="1"/>
  <c r="A11445" i="1"/>
  <c r="F11445" i="1"/>
  <c r="B11446" i="1"/>
  <c r="A11446" i="1"/>
  <c r="F11446" i="1"/>
  <c r="B11447" i="1"/>
  <c r="A11447" i="1"/>
  <c r="F11447" i="1"/>
  <c r="B11448" i="1"/>
  <c r="A11448" i="1"/>
  <c r="F11448" i="1"/>
  <c r="B11449" i="1"/>
  <c r="A11449" i="1"/>
  <c r="F11449" i="1"/>
  <c r="B11450" i="1"/>
  <c r="A11450" i="1"/>
  <c r="F11450" i="1"/>
  <c r="B11451" i="1"/>
  <c r="A11451" i="1"/>
  <c r="F11451" i="1"/>
  <c r="B11452" i="1"/>
  <c r="A11452" i="1"/>
  <c r="F11452" i="1"/>
  <c r="B11453" i="1"/>
  <c r="A11453" i="1"/>
  <c r="F11453" i="1"/>
  <c r="B11454" i="1"/>
  <c r="A11454" i="1"/>
  <c r="F11454" i="1"/>
  <c r="B11455" i="1"/>
  <c r="A11455" i="1"/>
  <c r="F11455" i="1"/>
  <c r="B11456" i="1"/>
  <c r="A11456" i="1"/>
  <c r="F11456" i="1"/>
  <c r="B11457" i="1"/>
  <c r="A11457" i="1"/>
  <c r="F11457" i="1"/>
  <c r="B11458" i="1"/>
  <c r="A11458" i="1"/>
  <c r="F11458" i="1"/>
  <c r="B11459" i="1"/>
  <c r="A11459" i="1"/>
  <c r="F11459" i="1"/>
  <c r="B11460" i="1"/>
  <c r="A11460" i="1"/>
  <c r="F11460" i="1"/>
  <c r="B11461" i="1"/>
  <c r="A11461" i="1"/>
  <c r="F11461" i="1"/>
  <c r="B11462" i="1"/>
  <c r="A11462" i="1"/>
  <c r="F11462" i="1"/>
  <c r="B11463" i="1"/>
  <c r="A11463" i="1"/>
  <c r="F11463" i="1"/>
  <c r="B11464" i="1"/>
  <c r="A11464" i="1"/>
  <c r="F11464" i="1"/>
  <c r="B11465" i="1"/>
  <c r="A11465" i="1"/>
  <c r="F11465" i="1"/>
  <c r="B11466" i="1"/>
  <c r="A11466" i="1"/>
  <c r="F11466" i="1"/>
  <c r="B11467" i="1"/>
  <c r="A11467" i="1"/>
  <c r="F11467" i="1"/>
  <c r="B11468" i="1"/>
  <c r="A11468" i="1"/>
  <c r="F11468" i="1"/>
  <c r="B11469" i="1"/>
  <c r="A11469" i="1"/>
  <c r="F11469" i="1"/>
  <c r="B11470" i="1"/>
  <c r="A11470" i="1"/>
  <c r="F11470" i="1"/>
  <c r="B11471" i="1"/>
  <c r="A11471" i="1"/>
  <c r="F11471" i="1"/>
  <c r="B11472" i="1"/>
  <c r="A11472" i="1"/>
  <c r="F11472" i="1"/>
  <c r="B11473" i="1"/>
  <c r="A11473" i="1"/>
  <c r="F11473" i="1"/>
  <c r="B11474" i="1"/>
  <c r="A11474" i="1"/>
  <c r="F11474" i="1"/>
  <c r="B11475" i="1"/>
  <c r="A11475" i="1"/>
  <c r="F11475" i="1"/>
  <c r="B11476" i="1"/>
  <c r="A11476" i="1"/>
  <c r="F11476" i="1"/>
  <c r="B11477" i="1"/>
  <c r="A11477" i="1"/>
  <c r="F11477" i="1"/>
  <c r="B11478" i="1"/>
  <c r="A11478" i="1"/>
  <c r="F11478" i="1"/>
  <c r="B11479" i="1"/>
  <c r="A11479" i="1"/>
  <c r="F11479" i="1"/>
  <c r="B11480" i="1"/>
  <c r="A11480" i="1"/>
  <c r="F11480" i="1"/>
  <c r="B11481" i="1"/>
  <c r="A11481" i="1"/>
  <c r="F11481" i="1"/>
  <c r="B11482" i="1"/>
  <c r="A11482" i="1"/>
  <c r="F11482" i="1"/>
  <c r="B11483" i="1"/>
  <c r="A11483" i="1"/>
  <c r="F11483" i="1"/>
  <c r="B11484" i="1"/>
  <c r="A11484" i="1"/>
  <c r="F11484" i="1"/>
  <c r="B11485" i="1"/>
  <c r="A11485" i="1"/>
  <c r="F11485" i="1"/>
  <c r="B11486" i="1"/>
  <c r="A11486" i="1"/>
  <c r="F11486" i="1"/>
  <c r="B11487" i="1"/>
  <c r="A11487" i="1"/>
  <c r="F11487" i="1"/>
  <c r="B11488" i="1"/>
  <c r="A11488" i="1"/>
  <c r="F11488" i="1"/>
  <c r="B11489" i="1"/>
  <c r="A11489" i="1"/>
  <c r="F11489" i="1"/>
  <c r="B11490" i="1"/>
  <c r="A11490" i="1"/>
  <c r="F11490" i="1"/>
  <c r="B11491" i="1"/>
  <c r="A11491" i="1"/>
  <c r="F11491" i="1"/>
  <c r="B11492" i="1"/>
  <c r="A11492" i="1"/>
  <c r="F11492" i="1"/>
  <c r="B11493" i="1"/>
  <c r="A11493" i="1"/>
  <c r="F11493" i="1"/>
  <c r="B11494" i="1"/>
  <c r="A11494" i="1"/>
  <c r="F11494" i="1"/>
  <c r="B11495" i="1"/>
  <c r="A11495" i="1"/>
  <c r="F11495" i="1"/>
  <c r="B11496" i="1"/>
  <c r="A11496" i="1"/>
  <c r="F11496" i="1"/>
  <c r="B11497" i="1"/>
  <c r="A11497" i="1"/>
  <c r="F11497" i="1"/>
  <c r="B11498" i="1"/>
  <c r="A11498" i="1"/>
  <c r="F11498" i="1"/>
  <c r="B11499" i="1"/>
  <c r="A11499" i="1"/>
  <c r="F11499" i="1"/>
  <c r="B11500" i="1"/>
  <c r="A11500" i="1"/>
  <c r="F11500" i="1"/>
  <c r="B11501" i="1"/>
  <c r="A11501" i="1"/>
  <c r="F11501" i="1"/>
  <c r="B11502" i="1"/>
  <c r="A11502" i="1"/>
  <c r="F11502" i="1"/>
  <c r="B11503" i="1"/>
  <c r="A11503" i="1"/>
  <c r="F11503" i="1"/>
  <c r="B11504" i="1"/>
  <c r="A11504" i="1"/>
  <c r="F11504" i="1"/>
  <c r="B11505" i="1"/>
  <c r="A11505" i="1"/>
  <c r="F11505" i="1"/>
  <c r="B11506" i="1"/>
  <c r="A11506" i="1"/>
  <c r="F11506" i="1"/>
  <c r="B11507" i="1"/>
  <c r="A11507" i="1"/>
  <c r="F11507" i="1"/>
  <c r="B11508" i="1"/>
  <c r="A11508" i="1"/>
  <c r="F11508" i="1"/>
  <c r="B11509" i="1"/>
  <c r="A11509" i="1"/>
  <c r="F11509" i="1"/>
  <c r="B11510" i="1"/>
  <c r="A11510" i="1"/>
  <c r="F11510" i="1"/>
  <c r="B11511" i="1"/>
  <c r="A11511" i="1"/>
  <c r="F11511" i="1"/>
  <c r="B11512" i="1"/>
  <c r="A11512" i="1"/>
  <c r="F11512" i="1"/>
  <c r="B11513" i="1"/>
  <c r="A11513" i="1"/>
  <c r="F11513" i="1"/>
  <c r="B11514" i="1"/>
  <c r="A11514" i="1"/>
  <c r="F11514" i="1"/>
  <c r="B11515" i="1"/>
  <c r="A11515" i="1"/>
  <c r="F11515" i="1"/>
  <c r="B11516" i="1"/>
  <c r="A11516" i="1"/>
  <c r="F11516" i="1"/>
  <c r="B11517" i="1"/>
  <c r="A11517" i="1"/>
  <c r="F11517" i="1"/>
  <c r="B11518" i="1"/>
  <c r="A11518" i="1"/>
  <c r="F11518" i="1"/>
  <c r="B11519" i="1"/>
  <c r="A11519" i="1"/>
  <c r="F11519" i="1"/>
  <c r="B11520" i="1"/>
  <c r="A11520" i="1"/>
  <c r="F11520" i="1"/>
  <c r="B11521" i="1"/>
  <c r="A11521" i="1"/>
  <c r="F11521" i="1"/>
  <c r="B11522" i="1"/>
  <c r="A11522" i="1"/>
  <c r="F11522" i="1"/>
  <c r="B11523" i="1"/>
  <c r="A11523" i="1"/>
  <c r="F11523" i="1"/>
  <c r="B11524" i="1"/>
  <c r="A11524" i="1"/>
  <c r="F11524" i="1"/>
  <c r="B11525" i="1"/>
  <c r="A11525" i="1"/>
  <c r="F11525" i="1"/>
  <c r="B11526" i="1"/>
  <c r="A11526" i="1"/>
  <c r="F11526" i="1"/>
  <c r="B11527" i="1"/>
  <c r="A11527" i="1"/>
  <c r="F11527" i="1"/>
  <c r="B11528" i="1"/>
  <c r="A11528" i="1"/>
  <c r="F11528" i="1"/>
  <c r="B11529" i="1"/>
  <c r="A11529" i="1"/>
  <c r="F11529" i="1"/>
  <c r="B11530" i="1"/>
  <c r="A11530" i="1"/>
  <c r="F11530" i="1"/>
  <c r="B11531" i="1"/>
  <c r="A11531" i="1"/>
  <c r="F11531" i="1"/>
  <c r="B11532" i="1"/>
  <c r="A11532" i="1"/>
  <c r="F11532" i="1"/>
  <c r="B11533" i="1"/>
  <c r="A11533" i="1"/>
  <c r="F11533" i="1"/>
  <c r="B11534" i="1"/>
  <c r="A11534" i="1"/>
  <c r="F11534" i="1"/>
  <c r="B11535" i="1"/>
  <c r="A11535" i="1"/>
  <c r="F11535" i="1"/>
  <c r="B11536" i="1"/>
  <c r="A11536" i="1"/>
  <c r="F11536" i="1"/>
  <c r="B11537" i="1"/>
  <c r="A11537" i="1"/>
  <c r="F11537" i="1"/>
  <c r="B11538" i="1"/>
  <c r="A11538" i="1"/>
  <c r="F11538" i="1"/>
  <c r="B11539" i="1"/>
  <c r="A11539" i="1"/>
  <c r="F11539" i="1"/>
  <c r="B11540" i="1"/>
  <c r="A11540" i="1"/>
  <c r="F11540" i="1"/>
  <c r="B11541" i="1"/>
  <c r="A11541" i="1"/>
  <c r="F11541" i="1"/>
  <c r="B11542" i="1"/>
  <c r="A11542" i="1"/>
  <c r="F11542" i="1"/>
  <c r="B11543" i="1"/>
  <c r="A11543" i="1"/>
  <c r="F11543" i="1"/>
  <c r="B11544" i="1"/>
  <c r="A11544" i="1"/>
  <c r="F11544" i="1"/>
  <c r="B11545" i="1"/>
  <c r="A11545" i="1"/>
  <c r="F11545" i="1"/>
  <c r="B11546" i="1"/>
  <c r="A11546" i="1"/>
  <c r="F11546" i="1"/>
  <c r="B11547" i="1"/>
  <c r="A11547" i="1"/>
  <c r="F11547" i="1"/>
  <c r="B11548" i="1"/>
  <c r="A11548" i="1"/>
  <c r="F11548" i="1"/>
  <c r="B11549" i="1"/>
  <c r="A11549" i="1"/>
  <c r="F11549" i="1"/>
  <c r="B11550" i="1"/>
  <c r="A11550" i="1"/>
  <c r="F11550" i="1"/>
  <c r="B11551" i="1"/>
  <c r="A11551" i="1"/>
  <c r="F11551" i="1"/>
  <c r="B11552" i="1"/>
  <c r="A11552" i="1"/>
  <c r="F11552" i="1"/>
  <c r="B11553" i="1"/>
  <c r="A11553" i="1"/>
  <c r="F11553" i="1"/>
  <c r="B11554" i="1"/>
  <c r="A11554" i="1"/>
  <c r="F11554" i="1"/>
  <c r="B11555" i="1"/>
  <c r="A11555" i="1"/>
  <c r="F11555" i="1"/>
  <c r="B11556" i="1"/>
  <c r="A11556" i="1"/>
  <c r="F11556" i="1"/>
  <c r="B11557" i="1"/>
  <c r="A11557" i="1"/>
  <c r="F11557" i="1"/>
  <c r="B11558" i="1"/>
  <c r="A11558" i="1"/>
  <c r="F11558" i="1"/>
  <c r="B11559" i="1"/>
  <c r="A11559" i="1"/>
  <c r="F11559" i="1"/>
  <c r="B11560" i="1"/>
  <c r="A11560" i="1"/>
  <c r="F11560" i="1"/>
  <c r="B11561" i="1"/>
  <c r="A11561" i="1"/>
  <c r="F11561" i="1"/>
  <c r="B11562" i="1"/>
  <c r="A11562" i="1"/>
  <c r="F11562" i="1"/>
  <c r="B11563" i="1"/>
  <c r="A11563" i="1"/>
  <c r="F11563" i="1"/>
  <c r="B11564" i="1"/>
  <c r="A11564" i="1"/>
  <c r="F11564" i="1"/>
  <c r="B11565" i="1"/>
  <c r="A11565" i="1"/>
  <c r="F11565" i="1"/>
  <c r="B11566" i="1"/>
  <c r="A11566" i="1"/>
  <c r="F11566" i="1"/>
  <c r="B11567" i="1"/>
  <c r="A11567" i="1"/>
  <c r="F11567" i="1"/>
  <c r="B11568" i="1"/>
  <c r="A11568" i="1"/>
  <c r="F11568" i="1"/>
  <c r="B11569" i="1"/>
  <c r="A11569" i="1"/>
  <c r="F11569" i="1"/>
  <c r="B11570" i="1"/>
  <c r="A11570" i="1"/>
  <c r="F11570" i="1"/>
  <c r="B11571" i="1"/>
  <c r="A11571" i="1"/>
  <c r="F11571" i="1"/>
  <c r="B11572" i="1"/>
  <c r="A11572" i="1"/>
  <c r="F11572" i="1"/>
  <c r="B11573" i="1"/>
  <c r="A11573" i="1"/>
  <c r="F11573" i="1"/>
  <c r="B11574" i="1"/>
  <c r="A11574" i="1"/>
  <c r="F11574" i="1"/>
  <c r="B11575" i="1"/>
  <c r="A11575" i="1"/>
  <c r="F11575" i="1"/>
  <c r="B11576" i="1"/>
  <c r="A11576" i="1"/>
  <c r="F11576" i="1"/>
  <c r="B11577" i="1"/>
  <c r="A11577" i="1"/>
  <c r="F11577" i="1"/>
  <c r="B11578" i="1"/>
  <c r="A11578" i="1"/>
  <c r="F11578" i="1"/>
  <c r="B11579" i="1"/>
  <c r="A11579" i="1"/>
  <c r="F11579" i="1"/>
  <c r="B11580" i="1"/>
  <c r="A11580" i="1"/>
  <c r="F11580" i="1"/>
  <c r="B11581" i="1"/>
  <c r="A11581" i="1"/>
  <c r="F11581" i="1"/>
  <c r="B11582" i="1"/>
  <c r="A11582" i="1"/>
  <c r="F11582" i="1"/>
  <c r="B11583" i="1"/>
  <c r="A11583" i="1"/>
  <c r="F11583" i="1"/>
  <c r="B11584" i="1"/>
  <c r="A11584" i="1"/>
  <c r="F11584" i="1"/>
  <c r="B11585" i="1"/>
  <c r="A11585" i="1"/>
  <c r="F11585" i="1"/>
  <c r="B11586" i="1"/>
  <c r="A11586" i="1"/>
  <c r="F11586" i="1"/>
  <c r="B11587" i="1"/>
  <c r="A11587" i="1"/>
  <c r="F11587" i="1"/>
  <c r="B11588" i="1"/>
  <c r="A11588" i="1"/>
  <c r="F11588" i="1"/>
  <c r="B11589" i="1"/>
  <c r="A11589" i="1"/>
  <c r="F11589" i="1"/>
  <c r="B11590" i="1"/>
  <c r="A11590" i="1"/>
  <c r="F11590" i="1"/>
  <c r="B11591" i="1"/>
  <c r="A11591" i="1"/>
  <c r="F11591" i="1"/>
  <c r="B11592" i="1"/>
  <c r="A11592" i="1"/>
  <c r="F11592" i="1"/>
  <c r="B11593" i="1"/>
  <c r="A11593" i="1"/>
  <c r="F11593" i="1"/>
  <c r="B11594" i="1"/>
  <c r="A11594" i="1"/>
  <c r="F11594" i="1"/>
  <c r="B11595" i="1"/>
  <c r="A11595" i="1"/>
  <c r="F11595" i="1"/>
  <c r="B11596" i="1"/>
  <c r="A11596" i="1"/>
  <c r="F11596" i="1"/>
  <c r="B11597" i="1"/>
  <c r="A11597" i="1"/>
  <c r="F11597" i="1"/>
  <c r="B11598" i="1"/>
  <c r="A11598" i="1"/>
  <c r="F11598" i="1"/>
  <c r="B11599" i="1"/>
  <c r="A11599" i="1"/>
  <c r="F11599" i="1"/>
  <c r="B11600" i="1"/>
  <c r="A11600" i="1"/>
  <c r="F11600" i="1"/>
  <c r="B11601" i="1"/>
  <c r="A11601" i="1"/>
  <c r="F11601" i="1"/>
  <c r="B11602" i="1"/>
  <c r="A11602" i="1"/>
  <c r="F11602" i="1"/>
  <c r="B11603" i="1"/>
  <c r="A11603" i="1"/>
  <c r="F11603" i="1"/>
  <c r="B11604" i="1"/>
  <c r="A11604" i="1"/>
  <c r="F11604" i="1"/>
  <c r="B11605" i="1"/>
  <c r="A11605" i="1"/>
  <c r="F11605" i="1"/>
  <c r="B11606" i="1"/>
  <c r="A11606" i="1"/>
  <c r="F11606" i="1"/>
  <c r="B11607" i="1"/>
  <c r="A11607" i="1"/>
  <c r="F11607" i="1"/>
  <c r="B11608" i="1"/>
  <c r="A11608" i="1"/>
  <c r="F11608" i="1"/>
  <c r="B11609" i="1"/>
  <c r="A11609" i="1"/>
  <c r="F11609" i="1"/>
  <c r="B11610" i="1"/>
  <c r="A11610" i="1"/>
  <c r="F11610" i="1"/>
  <c r="B11611" i="1"/>
  <c r="A11611" i="1"/>
  <c r="F11611" i="1"/>
  <c r="B11612" i="1"/>
  <c r="A11612" i="1"/>
  <c r="F11612" i="1"/>
  <c r="B11613" i="1"/>
  <c r="A11613" i="1"/>
  <c r="F11613" i="1"/>
  <c r="B11614" i="1"/>
  <c r="A11614" i="1"/>
  <c r="F11614" i="1"/>
  <c r="B11615" i="1"/>
  <c r="A11615" i="1"/>
  <c r="F11615" i="1"/>
  <c r="B11616" i="1"/>
  <c r="A11616" i="1"/>
  <c r="F11616" i="1"/>
  <c r="B11617" i="1"/>
  <c r="A11617" i="1"/>
  <c r="F11617" i="1"/>
  <c r="B11618" i="1"/>
  <c r="A11618" i="1"/>
  <c r="F11618" i="1"/>
  <c r="B11619" i="1"/>
  <c r="A11619" i="1"/>
  <c r="F11619" i="1"/>
  <c r="B11620" i="1"/>
  <c r="A11620" i="1"/>
  <c r="F11620" i="1"/>
  <c r="B11621" i="1"/>
  <c r="A11621" i="1"/>
  <c r="F11621" i="1"/>
  <c r="B11622" i="1"/>
  <c r="A11622" i="1"/>
  <c r="F11622" i="1"/>
  <c r="B11623" i="1"/>
  <c r="A11623" i="1"/>
  <c r="F11623" i="1"/>
  <c r="B11624" i="1"/>
  <c r="A11624" i="1"/>
  <c r="F11624" i="1"/>
  <c r="B11625" i="1"/>
  <c r="A11625" i="1"/>
  <c r="F11625" i="1"/>
  <c r="B11626" i="1"/>
  <c r="A11626" i="1"/>
  <c r="F11626" i="1"/>
  <c r="B11627" i="1"/>
  <c r="A11627" i="1"/>
  <c r="F11627" i="1"/>
  <c r="B11628" i="1"/>
  <c r="A11628" i="1"/>
  <c r="F11628" i="1"/>
  <c r="B11629" i="1"/>
  <c r="A11629" i="1"/>
  <c r="F11629" i="1"/>
  <c r="B11630" i="1"/>
  <c r="A11630" i="1"/>
  <c r="F11630" i="1"/>
  <c r="B11631" i="1"/>
  <c r="A11631" i="1"/>
  <c r="F11631" i="1"/>
  <c r="B11632" i="1"/>
  <c r="A11632" i="1"/>
  <c r="F11632" i="1"/>
  <c r="B11633" i="1"/>
  <c r="A11633" i="1"/>
  <c r="F11633" i="1"/>
  <c r="B11634" i="1"/>
  <c r="A11634" i="1"/>
  <c r="F11634" i="1"/>
  <c r="B11635" i="1"/>
  <c r="A11635" i="1"/>
  <c r="F11635" i="1"/>
  <c r="B11636" i="1"/>
  <c r="A11636" i="1"/>
  <c r="F11636" i="1"/>
  <c r="B11637" i="1"/>
  <c r="A11637" i="1"/>
  <c r="F11637" i="1"/>
  <c r="B11638" i="1"/>
  <c r="A11638" i="1"/>
  <c r="F11638" i="1"/>
  <c r="B11639" i="1"/>
  <c r="A11639" i="1"/>
  <c r="F11639" i="1"/>
  <c r="B11640" i="1"/>
  <c r="A11640" i="1"/>
  <c r="F11640" i="1"/>
  <c r="B11641" i="1"/>
  <c r="A11641" i="1"/>
  <c r="F11641" i="1"/>
  <c r="B11642" i="1"/>
  <c r="A11642" i="1"/>
  <c r="F11642" i="1"/>
  <c r="B11643" i="1"/>
  <c r="A11643" i="1"/>
  <c r="F11643" i="1"/>
  <c r="B11644" i="1"/>
  <c r="A11644" i="1"/>
  <c r="F11644" i="1"/>
  <c r="B11645" i="1"/>
  <c r="A11645" i="1"/>
  <c r="F11645" i="1"/>
  <c r="B11646" i="1"/>
  <c r="A11646" i="1"/>
  <c r="F11646" i="1"/>
  <c r="B11647" i="1"/>
  <c r="A11647" i="1"/>
  <c r="F11647" i="1"/>
  <c r="B11648" i="1"/>
  <c r="A11648" i="1"/>
  <c r="F11648" i="1"/>
  <c r="B11649" i="1"/>
  <c r="A11649" i="1"/>
  <c r="F11649" i="1"/>
  <c r="B11650" i="1"/>
  <c r="A11650" i="1"/>
  <c r="F11650" i="1"/>
  <c r="B11651" i="1"/>
  <c r="A11651" i="1"/>
  <c r="F11651" i="1"/>
  <c r="B11652" i="1"/>
  <c r="A11652" i="1"/>
  <c r="F11652" i="1"/>
  <c r="B11653" i="1"/>
  <c r="A11653" i="1"/>
  <c r="F11653" i="1"/>
  <c r="B11654" i="1"/>
  <c r="A11654" i="1"/>
  <c r="F11654" i="1"/>
  <c r="B11655" i="1"/>
  <c r="A11655" i="1"/>
  <c r="F11655" i="1"/>
  <c r="B11656" i="1"/>
  <c r="A11656" i="1"/>
  <c r="F11656" i="1"/>
  <c r="B11657" i="1"/>
  <c r="A11657" i="1"/>
  <c r="F11657" i="1"/>
  <c r="B11658" i="1"/>
  <c r="A11658" i="1"/>
  <c r="F11658" i="1"/>
  <c r="B11659" i="1"/>
  <c r="A11659" i="1"/>
  <c r="F11659" i="1"/>
  <c r="B11660" i="1"/>
  <c r="A11660" i="1"/>
  <c r="F11660" i="1"/>
  <c r="B11661" i="1"/>
  <c r="A11661" i="1"/>
  <c r="F11661" i="1"/>
  <c r="B11662" i="1"/>
  <c r="A11662" i="1"/>
  <c r="F11662" i="1"/>
  <c r="B11663" i="1"/>
  <c r="A11663" i="1"/>
  <c r="F11663" i="1"/>
  <c r="B11664" i="1"/>
  <c r="A11664" i="1"/>
  <c r="F11664" i="1"/>
  <c r="B11665" i="1"/>
  <c r="A11665" i="1"/>
  <c r="F11665" i="1"/>
  <c r="B11666" i="1"/>
  <c r="A11666" i="1"/>
  <c r="F11666" i="1"/>
  <c r="B11667" i="1"/>
  <c r="A11667" i="1"/>
  <c r="F11667" i="1"/>
  <c r="B11668" i="1"/>
  <c r="A11668" i="1"/>
  <c r="F11668" i="1"/>
  <c r="B11669" i="1"/>
  <c r="A11669" i="1"/>
  <c r="F11669" i="1"/>
  <c r="B11670" i="1"/>
  <c r="A11670" i="1"/>
  <c r="F11670" i="1"/>
  <c r="B11671" i="1"/>
  <c r="A11671" i="1"/>
  <c r="F11671" i="1"/>
  <c r="B11672" i="1"/>
  <c r="A11672" i="1"/>
  <c r="F11672" i="1"/>
  <c r="B11673" i="1"/>
  <c r="A11673" i="1"/>
  <c r="F11673" i="1"/>
  <c r="B11674" i="1"/>
  <c r="A11674" i="1"/>
  <c r="F11674" i="1"/>
  <c r="B11675" i="1"/>
  <c r="A11675" i="1"/>
  <c r="F11675" i="1"/>
  <c r="B11676" i="1"/>
  <c r="A11676" i="1"/>
  <c r="F11676" i="1"/>
  <c r="B11677" i="1"/>
  <c r="A11677" i="1"/>
  <c r="F11677" i="1"/>
  <c r="B11678" i="1"/>
  <c r="A11678" i="1"/>
  <c r="F11678" i="1"/>
  <c r="B11679" i="1"/>
  <c r="A11679" i="1"/>
  <c r="F11679" i="1"/>
  <c r="B11680" i="1"/>
  <c r="A11680" i="1"/>
  <c r="F11680" i="1"/>
  <c r="B11681" i="1"/>
  <c r="A11681" i="1"/>
  <c r="F11681" i="1"/>
  <c r="B11682" i="1"/>
  <c r="A11682" i="1"/>
  <c r="F11682" i="1"/>
  <c r="B11683" i="1"/>
  <c r="A11683" i="1"/>
  <c r="F11683" i="1"/>
  <c r="B11684" i="1"/>
  <c r="A11684" i="1"/>
  <c r="F11684" i="1"/>
  <c r="B11685" i="1"/>
  <c r="A11685" i="1"/>
  <c r="F11685" i="1"/>
  <c r="B11686" i="1"/>
  <c r="A11686" i="1"/>
  <c r="F11686" i="1"/>
  <c r="B11687" i="1"/>
  <c r="A11687" i="1"/>
  <c r="F11687" i="1"/>
  <c r="B11688" i="1"/>
  <c r="A11688" i="1"/>
  <c r="F11688" i="1"/>
  <c r="B11689" i="1"/>
  <c r="A11689" i="1"/>
  <c r="F11689" i="1"/>
  <c r="B11690" i="1"/>
  <c r="A11690" i="1"/>
  <c r="F11690" i="1"/>
  <c r="B11691" i="1"/>
  <c r="A11691" i="1"/>
  <c r="F11691" i="1"/>
  <c r="B11692" i="1"/>
  <c r="A11692" i="1"/>
  <c r="F11692" i="1"/>
  <c r="B11693" i="1"/>
  <c r="A11693" i="1"/>
  <c r="F11693" i="1"/>
  <c r="B11694" i="1"/>
  <c r="A11694" i="1"/>
  <c r="F11694" i="1"/>
  <c r="B11695" i="1"/>
  <c r="A11695" i="1"/>
  <c r="F11695" i="1"/>
  <c r="B11696" i="1"/>
  <c r="A11696" i="1"/>
  <c r="F11696" i="1"/>
  <c r="B11697" i="1"/>
  <c r="A11697" i="1"/>
  <c r="F11697" i="1"/>
  <c r="B11698" i="1"/>
  <c r="A11698" i="1"/>
  <c r="F11698" i="1"/>
  <c r="B11699" i="1"/>
  <c r="A11699" i="1"/>
  <c r="F11699" i="1"/>
  <c r="B11700" i="1"/>
  <c r="A11700" i="1"/>
  <c r="F11700" i="1"/>
  <c r="B11701" i="1"/>
  <c r="A11701" i="1"/>
  <c r="F11701" i="1"/>
  <c r="B11702" i="1"/>
  <c r="A11702" i="1"/>
  <c r="F11702" i="1"/>
  <c r="B11703" i="1"/>
  <c r="A11703" i="1"/>
  <c r="F11703" i="1"/>
  <c r="B11704" i="1"/>
  <c r="A11704" i="1"/>
  <c r="F11704" i="1"/>
  <c r="B11705" i="1"/>
  <c r="A11705" i="1"/>
  <c r="F11705" i="1"/>
  <c r="B11706" i="1"/>
  <c r="A11706" i="1"/>
  <c r="F11706" i="1"/>
  <c r="B11707" i="1"/>
  <c r="A11707" i="1"/>
  <c r="F11707" i="1"/>
  <c r="B11708" i="1"/>
  <c r="A11708" i="1"/>
  <c r="F11708" i="1"/>
  <c r="B11709" i="1"/>
  <c r="A11709" i="1"/>
  <c r="F11709" i="1"/>
  <c r="B11710" i="1"/>
  <c r="A11710" i="1"/>
  <c r="F11710" i="1"/>
  <c r="B11711" i="1"/>
  <c r="A11711" i="1"/>
  <c r="F11711" i="1"/>
  <c r="B11712" i="1"/>
  <c r="A11712" i="1"/>
  <c r="F11712" i="1"/>
  <c r="B11713" i="1"/>
  <c r="A11713" i="1"/>
  <c r="F11713" i="1"/>
  <c r="B11714" i="1"/>
  <c r="A11714" i="1"/>
  <c r="F11714" i="1"/>
  <c r="B11715" i="1"/>
  <c r="A11715" i="1"/>
  <c r="F11715" i="1"/>
  <c r="B11716" i="1"/>
  <c r="A11716" i="1"/>
  <c r="F11716" i="1"/>
  <c r="B11717" i="1"/>
  <c r="A11717" i="1"/>
  <c r="F11717" i="1"/>
  <c r="B11718" i="1"/>
  <c r="A11718" i="1"/>
  <c r="F11718" i="1"/>
  <c r="B11719" i="1"/>
  <c r="A11719" i="1"/>
  <c r="F11719" i="1"/>
  <c r="B11720" i="1"/>
  <c r="A11720" i="1"/>
  <c r="F11720" i="1"/>
  <c r="B11721" i="1"/>
  <c r="A11721" i="1"/>
  <c r="F11721" i="1"/>
  <c r="B11722" i="1"/>
  <c r="A11722" i="1"/>
  <c r="F11722" i="1"/>
  <c r="B11723" i="1"/>
  <c r="A11723" i="1"/>
  <c r="F11723" i="1"/>
  <c r="B11724" i="1"/>
  <c r="A11724" i="1"/>
  <c r="F11724" i="1"/>
  <c r="B11725" i="1"/>
  <c r="A11725" i="1"/>
  <c r="F11725" i="1"/>
  <c r="B11726" i="1"/>
  <c r="A11726" i="1"/>
  <c r="F11726" i="1"/>
  <c r="B11727" i="1"/>
  <c r="A11727" i="1"/>
  <c r="F11727" i="1"/>
  <c r="B11728" i="1"/>
  <c r="A11728" i="1"/>
  <c r="F11728" i="1"/>
  <c r="B11729" i="1"/>
  <c r="A11729" i="1"/>
  <c r="F11729" i="1"/>
  <c r="B11730" i="1"/>
  <c r="A11730" i="1"/>
  <c r="F11730" i="1"/>
  <c r="B11731" i="1"/>
  <c r="A11731" i="1"/>
  <c r="F11731" i="1"/>
  <c r="B11732" i="1"/>
  <c r="A11732" i="1"/>
  <c r="F11732" i="1"/>
  <c r="B11733" i="1"/>
  <c r="A11733" i="1"/>
  <c r="F11733" i="1"/>
  <c r="B11734" i="1"/>
  <c r="A11734" i="1"/>
  <c r="F11734" i="1"/>
  <c r="B11735" i="1"/>
  <c r="A11735" i="1"/>
  <c r="F11735" i="1"/>
  <c r="B11736" i="1"/>
  <c r="A11736" i="1"/>
  <c r="F11736" i="1"/>
  <c r="B11737" i="1"/>
  <c r="A11737" i="1"/>
  <c r="F11737" i="1"/>
  <c r="B11738" i="1"/>
  <c r="A11738" i="1"/>
  <c r="F11738" i="1"/>
  <c r="B11739" i="1"/>
  <c r="A11739" i="1"/>
  <c r="F11739" i="1"/>
  <c r="B11740" i="1"/>
  <c r="A11740" i="1"/>
  <c r="F11740" i="1"/>
  <c r="B11741" i="1"/>
  <c r="A11741" i="1"/>
  <c r="F11741" i="1"/>
  <c r="B11742" i="1"/>
  <c r="A11742" i="1"/>
  <c r="F11742" i="1"/>
  <c r="B11743" i="1"/>
  <c r="A11743" i="1"/>
  <c r="F11743" i="1"/>
  <c r="B11744" i="1"/>
  <c r="A11744" i="1"/>
  <c r="F11744" i="1"/>
  <c r="B11745" i="1"/>
  <c r="A11745" i="1"/>
  <c r="F11745" i="1"/>
  <c r="B11746" i="1"/>
  <c r="A11746" i="1"/>
  <c r="F11746" i="1"/>
  <c r="B11747" i="1"/>
  <c r="A11747" i="1"/>
  <c r="F11747" i="1"/>
  <c r="B11748" i="1"/>
  <c r="A11748" i="1"/>
  <c r="F11748" i="1"/>
  <c r="B11749" i="1"/>
  <c r="A11749" i="1"/>
  <c r="F11749" i="1"/>
  <c r="B11750" i="1"/>
  <c r="A11750" i="1"/>
  <c r="F11750" i="1"/>
  <c r="B11751" i="1"/>
  <c r="A11751" i="1"/>
  <c r="F11751" i="1"/>
  <c r="B11752" i="1"/>
  <c r="A11752" i="1"/>
  <c r="F11752" i="1"/>
  <c r="B11753" i="1"/>
  <c r="A11753" i="1"/>
  <c r="F11753" i="1"/>
  <c r="B11754" i="1"/>
  <c r="A11754" i="1"/>
  <c r="F11754" i="1"/>
  <c r="B11755" i="1"/>
  <c r="A11755" i="1"/>
  <c r="F11755" i="1"/>
  <c r="B11756" i="1"/>
  <c r="A11756" i="1"/>
  <c r="F11756" i="1"/>
  <c r="B11757" i="1"/>
  <c r="A11757" i="1"/>
  <c r="F11757" i="1"/>
  <c r="B11758" i="1"/>
  <c r="A11758" i="1"/>
  <c r="F11758" i="1"/>
  <c r="B11759" i="1"/>
  <c r="A11759" i="1"/>
  <c r="F11759" i="1"/>
  <c r="B11760" i="1"/>
  <c r="A11760" i="1"/>
  <c r="F11760" i="1"/>
  <c r="B11761" i="1"/>
  <c r="A11761" i="1"/>
  <c r="F11761" i="1"/>
  <c r="B11762" i="1"/>
  <c r="A11762" i="1"/>
  <c r="F11762" i="1"/>
  <c r="B11763" i="1"/>
  <c r="A11763" i="1"/>
  <c r="F11763" i="1"/>
  <c r="B11764" i="1"/>
  <c r="A11764" i="1"/>
  <c r="F11764" i="1"/>
  <c r="B11765" i="1"/>
  <c r="A11765" i="1"/>
  <c r="F11765" i="1"/>
  <c r="B11766" i="1"/>
  <c r="A11766" i="1"/>
  <c r="F11766" i="1"/>
  <c r="B11767" i="1"/>
  <c r="A11767" i="1"/>
  <c r="F11767" i="1"/>
  <c r="B11768" i="1"/>
  <c r="A11768" i="1"/>
  <c r="F11768" i="1"/>
  <c r="B11769" i="1"/>
  <c r="A11769" i="1"/>
  <c r="F11769" i="1"/>
  <c r="B11770" i="1"/>
  <c r="A11770" i="1"/>
  <c r="F11770" i="1"/>
  <c r="B11771" i="1"/>
  <c r="A11771" i="1"/>
  <c r="F11771" i="1"/>
  <c r="B11772" i="1"/>
  <c r="A11772" i="1"/>
  <c r="F11772" i="1"/>
  <c r="B11773" i="1"/>
  <c r="A11773" i="1"/>
  <c r="F11773" i="1"/>
  <c r="B11774" i="1"/>
  <c r="A11774" i="1"/>
  <c r="F11774" i="1"/>
  <c r="B11775" i="1"/>
  <c r="A11775" i="1"/>
  <c r="F11775" i="1"/>
  <c r="B11776" i="1"/>
  <c r="A11776" i="1"/>
  <c r="F11776" i="1"/>
  <c r="B11777" i="1"/>
  <c r="A11777" i="1"/>
  <c r="F11777" i="1"/>
  <c r="B11778" i="1"/>
  <c r="A11778" i="1"/>
  <c r="F11778" i="1"/>
  <c r="B11779" i="1"/>
  <c r="A11779" i="1"/>
  <c r="F11779" i="1"/>
  <c r="B11780" i="1"/>
  <c r="A11780" i="1"/>
  <c r="F11780" i="1"/>
  <c r="B11781" i="1"/>
  <c r="A11781" i="1"/>
  <c r="F11781" i="1"/>
  <c r="B11782" i="1"/>
  <c r="A11782" i="1"/>
  <c r="F11782" i="1"/>
  <c r="B11783" i="1"/>
  <c r="A11783" i="1"/>
  <c r="F11783" i="1"/>
  <c r="B11784" i="1"/>
  <c r="A11784" i="1"/>
  <c r="F11784" i="1"/>
  <c r="B11785" i="1"/>
  <c r="A11785" i="1"/>
  <c r="F11785" i="1"/>
  <c r="B11786" i="1"/>
  <c r="A11786" i="1"/>
  <c r="F11786" i="1"/>
  <c r="B11787" i="1"/>
  <c r="A11787" i="1"/>
  <c r="F11787" i="1"/>
  <c r="B11788" i="1"/>
  <c r="A11788" i="1"/>
  <c r="F11788" i="1"/>
  <c r="B11789" i="1"/>
  <c r="A11789" i="1"/>
  <c r="F11789" i="1"/>
  <c r="B11790" i="1"/>
  <c r="A11790" i="1"/>
  <c r="F11790" i="1"/>
  <c r="B11791" i="1"/>
  <c r="A11791" i="1"/>
  <c r="F11791" i="1"/>
  <c r="B11792" i="1"/>
  <c r="A11792" i="1"/>
  <c r="F11792" i="1"/>
  <c r="B11793" i="1"/>
  <c r="A11793" i="1"/>
  <c r="F11793" i="1"/>
  <c r="B11794" i="1"/>
  <c r="A11794" i="1"/>
  <c r="F11794" i="1"/>
  <c r="B11795" i="1"/>
  <c r="A11795" i="1"/>
  <c r="F11795" i="1"/>
  <c r="B11796" i="1"/>
  <c r="A11796" i="1"/>
  <c r="F11796" i="1"/>
  <c r="B11797" i="1"/>
  <c r="A11797" i="1"/>
  <c r="F11797" i="1"/>
  <c r="B11798" i="1"/>
  <c r="A11798" i="1"/>
  <c r="F11798" i="1"/>
  <c r="B11799" i="1"/>
  <c r="A11799" i="1"/>
  <c r="F11799" i="1"/>
  <c r="B11800" i="1"/>
  <c r="A11800" i="1"/>
  <c r="F11800" i="1"/>
  <c r="B11801" i="1"/>
  <c r="A11801" i="1"/>
  <c r="F11801" i="1"/>
  <c r="B11802" i="1"/>
  <c r="A11802" i="1"/>
  <c r="F11802" i="1"/>
  <c r="B11803" i="1"/>
  <c r="A11803" i="1"/>
  <c r="F11803" i="1"/>
  <c r="B11804" i="1"/>
  <c r="A11804" i="1"/>
  <c r="F11804" i="1"/>
  <c r="B11805" i="1"/>
  <c r="A11805" i="1"/>
  <c r="F11805" i="1"/>
  <c r="B11806" i="1"/>
  <c r="A11806" i="1"/>
  <c r="F11806" i="1"/>
  <c r="B11807" i="1"/>
  <c r="A11807" i="1"/>
  <c r="F11807" i="1"/>
  <c r="B11808" i="1"/>
  <c r="A11808" i="1"/>
  <c r="F11808" i="1"/>
  <c r="B11809" i="1"/>
  <c r="A11809" i="1"/>
  <c r="F11809" i="1"/>
  <c r="B11810" i="1"/>
  <c r="A11810" i="1"/>
  <c r="F11810" i="1"/>
  <c r="B11811" i="1"/>
  <c r="A11811" i="1"/>
  <c r="F11811" i="1"/>
  <c r="B11812" i="1"/>
  <c r="A11812" i="1"/>
  <c r="F11812" i="1"/>
  <c r="B11813" i="1"/>
  <c r="A11813" i="1"/>
  <c r="F11813" i="1"/>
  <c r="B11814" i="1"/>
  <c r="A11814" i="1"/>
  <c r="F11814" i="1"/>
  <c r="B11815" i="1"/>
  <c r="A11815" i="1"/>
  <c r="F11815" i="1"/>
  <c r="B11816" i="1"/>
  <c r="A11816" i="1"/>
  <c r="F11816" i="1"/>
  <c r="B11817" i="1"/>
  <c r="A11817" i="1"/>
  <c r="F11817" i="1"/>
  <c r="B11818" i="1"/>
  <c r="A11818" i="1"/>
  <c r="F11818" i="1"/>
  <c r="B11819" i="1"/>
  <c r="A11819" i="1"/>
  <c r="F11819" i="1"/>
  <c r="B11820" i="1"/>
  <c r="A11820" i="1"/>
  <c r="F11820" i="1"/>
  <c r="B11821" i="1"/>
  <c r="A11821" i="1"/>
  <c r="F11821" i="1"/>
  <c r="B11822" i="1"/>
  <c r="A11822" i="1"/>
  <c r="F11822" i="1"/>
  <c r="B11823" i="1"/>
  <c r="A11823" i="1"/>
  <c r="F11823" i="1"/>
  <c r="B11824" i="1"/>
  <c r="A11824" i="1"/>
  <c r="F11824" i="1"/>
  <c r="B11825" i="1"/>
  <c r="A11825" i="1"/>
  <c r="F11825" i="1"/>
  <c r="B11826" i="1"/>
  <c r="A11826" i="1"/>
  <c r="F11826" i="1"/>
  <c r="B11827" i="1"/>
  <c r="A11827" i="1"/>
  <c r="F11827" i="1"/>
  <c r="B11828" i="1"/>
  <c r="A11828" i="1"/>
  <c r="F11828" i="1"/>
  <c r="B11829" i="1"/>
  <c r="A11829" i="1"/>
  <c r="F11829" i="1"/>
  <c r="B11830" i="1"/>
  <c r="A11830" i="1"/>
  <c r="F11830" i="1"/>
  <c r="B11831" i="1"/>
  <c r="A11831" i="1"/>
  <c r="F11831" i="1"/>
  <c r="B11832" i="1"/>
  <c r="A11832" i="1"/>
  <c r="F11832" i="1"/>
  <c r="B11833" i="1"/>
  <c r="A11833" i="1"/>
  <c r="F11833" i="1"/>
  <c r="B11834" i="1"/>
  <c r="A11834" i="1"/>
  <c r="F11834" i="1"/>
  <c r="B11835" i="1"/>
  <c r="A11835" i="1"/>
  <c r="F11835" i="1"/>
  <c r="B11836" i="1"/>
  <c r="A11836" i="1"/>
  <c r="F11836" i="1"/>
  <c r="B11837" i="1"/>
  <c r="A11837" i="1"/>
  <c r="F11837" i="1"/>
  <c r="B11838" i="1"/>
  <c r="A11838" i="1"/>
  <c r="F11838" i="1"/>
  <c r="B11839" i="1"/>
  <c r="A11839" i="1"/>
  <c r="F11839" i="1"/>
  <c r="B11840" i="1"/>
  <c r="A11840" i="1"/>
  <c r="F11840" i="1"/>
  <c r="B11841" i="1"/>
  <c r="A11841" i="1"/>
  <c r="F11841" i="1"/>
  <c r="B11842" i="1"/>
  <c r="A11842" i="1"/>
  <c r="F11842" i="1"/>
  <c r="B11843" i="1"/>
  <c r="A11843" i="1"/>
  <c r="F11843" i="1"/>
  <c r="B11844" i="1"/>
  <c r="A11844" i="1"/>
  <c r="F11844" i="1"/>
  <c r="B11845" i="1"/>
  <c r="A11845" i="1"/>
  <c r="F11845" i="1"/>
  <c r="B11846" i="1"/>
  <c r="A11846" i="1"/>
  <c r="F11846" i="1"/>
  <c r="B11847" i="1"/>
  <c r="A11847" i="1"/>
  <c r="F11847" i="1"/>
  <c r="B11848" i="1"/>
  <c r="A11848" i="1"/>
  <c r="F11848" i="1"/>
  <c r="B11849" i="1"/>
  <c r="A11849" i="1"/>
  <c r="F11849" i="1"/>
  <c r="B11850" i="1"/>
  <c r="A11850" i="1"/>
  <c r="F11850" i="1"/>
  <c r="B11851" i="1"/>
  <c r="A11851" i="1"/>
  <c r="F11851" i="1"/>
  <c r="B11852" i="1"/>
  <c r="A11852" i="1"/>
  <c r="F11852" i="1"/>
  <c r="B11853" i="1"/>
  <c r="A11853" i="1"/>
  <c r="F11853" i="1"/>
  <c r="B11854" i="1"/>
  <c r="A11854" i="1"/>
  <c r="F11854" i="1"/>
  <c r="B11855" i="1"/>
  <c r="A11855" i="1"/>
  <c r="F11855" i="1"/>
  <c r="B11856" i="1"/>
  <c r="A11856" i="1"/>
  <c r="F11856" i="1"/>
  <c r="B11857" i="1"/>
  <c r="A11857" i="1"/>
  <c r="F11857" i="1"/>
  <c r="B11858" i="1"/>
  <c r="A11858" i="1"/>
  <c r="F11858" i="1"/>
  <c r="B11859" i="1"/>
  <c r="A11859" i="1"/>
  <c r="F11859" i="1"/>
  <c r="B11860" i="1"/>
  <c r="A11860" i="1"/>
  <c r="F11860" i="1"/>
  <c r="B11861" i="1"/>
  <c r="A11861" i="1"/>
  <c r="F11861" i="1"/>
  <c r="B11862" i="1"/>
  <c r="A11862" i="1"/>
  <c r="F11862" i="1"/>
  <c r="B11863" i="1"/>
  <c r="A11863" i="1"/>
  <c r="F11863" i="1"/>
  <c r="B11864" i="1"/>
  <c r="A11864" i="1"/>
  <c r="F11864" i="1"/>
  <c r="B11865" i="1"/>
  <c r="A11865" i="1"/>
  <c r="F11865" i="1"/>
  <c r="B11866" i="1"/>
  <c r="A11866" i="1"/>
  <c r="F11866" i="1"/>
  <c r="B11867" i="1"/>
  <c r="A11867" i="1"/>
  <c r="F11867" i="1"/>
  <c r="B11868" i="1"/>
  <c r="A11868" i="1"/>
  <c r="F11868" i="1"/>
  <c r="B11869" i="1"/>
  <c r="A11869" i="1"/>
  <c r="F11869" i="1"/>
  <c r="B11870" i="1"/>
  <c r="A11870" i="1"/>
  <c r="F11870" i="1"/>
  <c r="B11871" i="1"/>
  <c r="A11871" i="1"/>
  <c r="F11871" i="1"/>
  <c r="B11872" i="1"/>
  <c r="A11872" i="1"/>
  <c r="F11872" i="1"/>
  <c r="B11873" i="1"/>
  <c r="A11873" i="1"/>
  <c r="F11873" i="1"/>
  <c r="B11874" i="1"/>
  <c r="A11874" i="1"/>
  <c r="F11874" i="1"/>
  <c r="B11875" i="1"/>
  <c r="A11875" i="1"/>
  <c r="F11875" i="1"/>
  <c r="B11876" i="1"/>
  <c r="A11876" i="1"/>
  <c r="F11876" i="1"/>
  <c r="B11877" i="1"/>
  <c r="A11877" i="1"/>
  <c r="F11877" i="1"/>
  <c r="B11878" i="1"/>
  <c r="A11878" i="1"/>
  <c r="F11878" i="1"/>
  <c r="B11879" i="1"/>
  <c r="A11879" i="1"/>
  <c r="F11879" i="1"/>
  <c r="B11880" i="1"/>
  <c r="A11880" i="1"/>
  <c r="F11880" i="1"/>
  <c r="B11881" i="1"/>
  <c r="A11881" i="1"/>
  <c r="F11881" i="1"/>
  <c r="B11882" i="1"/>
  <c r="A11882" i="1"/>
  <c r="F11882" i="1"/>
  <c r="B11883" i="1"/>
  <c r="A11883" i="1"/>
  <c r="F11883" i="1"/>
  <c r="B11884" i="1"/>
  <c r="A11884" i="1"/>
  <c r="F11884" i="1"/>
  <c r="B11885" i="1"/>
  <c r="A11885" i="1"/>
  <c r="F11885" i="1"/>
  <c r="B11886" i="1"/>
  <c r="A11886" i="1"/>
  <c r="F11886" i="1"/>
  <c r="B11887" i="1"/>
  <c r="A11887" i="1"/>
  <c r="F11887" i="1"/>
  <c r="B11888" i="1"/>
  <c r="A11888" i="1"/>
  <c r="F11888" i="1"/>
  <c r="B11889" i="1"/>
  <c r="A11889" i="1"/>
  <c r="F11889" i="1"/>
  <c r="B11890" i="1"/>
  <c r="A11890" i="1"/>
  <c r="F11890" i="1"/>
  <c r="B11891" i="1"/>
  <c r="A11891" i="1"/>
  <c r="F11891" i="1"/>
  <c r="B11892" i="1"/>
  <c r="A11892" i="1"/>
  <c r="F11892" i="1"/>
  <c r="B11893" i="1"/>
  <c r="A11893" i="1"/>
  <c r="F11893" i="1"/>
  <c r="B11894" i="1"/>
  <c r="A11894" i="1"/>
  <c r="F11894" i="1"/>
  <c r="B11895" i="1"/>
  <c r="A11895" i="1"/>
  <c r="F11895" i="1"/>
  <c r="B11896" i="1"/>
  <c r="A11896" i="1"/>
  <c r="F11896" i="1"/>
  <c r="B11897" i="1"/>
  <c r="A11897" i="1"/>
  <c r="F11897" i="1"/>
  <c r="B11898" i="1"/>
  <c r="A11898" i="1"/>
  <c r="F11898" i="1"/>
  <c r="B11899" i="1"/>
  <c r="A11899" i="1"/>
  <c r="F11899" i="1"/>
  <c r="B11900" i="1"/>
  <c r="A11900" i="1"/>
  <c r="F11900" i="1"/>
  <c r="B11901" i="1"/>
  <c r="A11901" i="1"/>
  <c r="F11901" i="1"/>
  <c r="B11902" i="1"/>
  <c r="A11902" i="1"/>
  <c r="F11902" i="1"/>
  <c r="B11903" i="1"/>
  <c r="A11903" i="1"/>
  <c r="F11903" i="1"/>
  <c r="B11904" i="1"/>
  <c r="A11904" i="1"/>
  <c r="F11904" i="1"/>
  <c r="B11905" i="1"/>
  <c r="A11905" i="1"/>
  <c r="F11905" i="1"/>
  <c r="B11906" i="1"/>
  <c r="A11906" i="1"/>
  <c r="F11906" i="1"/>
  <c r="B11907" i="1"/>
  <c r="A11907" i="1"/>
  <c r="F11907" i="1"/>
  <c r="B11908" i="1"/>
  <c r="A11908" i="1"/>
  <c r="F11908" i="1"/>
  <c r="B11909" i="1"/>
  <c r="A11909" i="1"/>
  <c r="F11909" i="1"/>
  <c r="B11910" i="1"/>
  <c r="A11910" i="1"/>
  <c r="F11910" i="1"/>
  <c r="B11911" i="1"/>
  <c r="A11911" i="1"/>
  <c r="F11911" i="1"/>
  <c r="B11912" i="1"/>
  <c r="A11912" i="1"/>
  <c r="F11912" i="1"/>
  <c r="B11913" i="1"/>
  <c r="A11913" i="1"/>
  <c r="F11913" i="1"/>
  <c r="B11914" i="1"/>
  <c r="A11914" i="1"/>
  <c r="F11914" i="1"/>
  <c r="B11915" i="1"/>
  <c r="A11915" i="1"/>
  <c r="F11915" i="1"/>
  <c r="B11916" i="1"/>
  <c r="A11916" i="1"/>
  <c r="F11916" i="1"/>
  <c r="B11917" i="1"/>
  <c r="A11917" i="1"/>
  <c r="F11917" i="1"/>
  <c r="B11918" i="1"/>
  <c r="A11918" i="1"/>
  <c r="F11918" i="1"/>
  <c r="B11919" i="1"/>
  <c r="A11919" i="1"/>
  <c r="F11919" i="1"/>
  <c r="B11920" i="1"/>
  <c r="A11920" i="1"/>
  <c r="F11920" i="1"/>
  <c r="B11921" i="1"/>
  <c r="A11921" i="1"/>
  <c r="F11921" i="1"/>
  <c r="B11922" i="1"/>
  <c r="A11922" i="1"/>
  <c r="F11922" i="1"/>
  <c r="B11923" i="1"/>
  <c r="A11923" i="1"/>
  <c r="F11923" i="1"/>
  <c r="B11924" i="1"/>
  <c r="A11924" i="1"/>
  <c r="F11924" i="1"/>
  <c r="B11925" i="1"/>
  <c r="A11925" i="1"/>
  <c r="F11925" i="1"/>
  <c r="B11926" i="1"/>
  <c r="A11926" i="1"/>
  <c r="F11926" i="1"/>
  <c r="B11927" i="1"/>
  <c r="A11927" i="1"/>
  <c r="F11927" i="1"/>
  <c r="B11928" i="1"/>
  <c r="A11928" i="1"/>
  <c r="F11928" i="1"/>
  <c r="B11929" i="1"/>
  <c r="A11929" i="1"/>
  <c r="F11929" i="1"/>
  <c r="B11930" i="1"/>
  <c r="A11930" i="1"/>
  <c r="F11930" i="1"/>
  <c r="B11931" i="1"/>
  <c r="A11931" i="1"/>
  <c r="F11931" i="1"/>
  <c r="B11932" i="1"/>
  <c r="A11932" i="1"/>
  <c r="F11932" i="1"/>
  <c r="B11933" i="1"/>
  <c r="A11933" i="1"/>
  <c r="F11933" i="1"/>
  <c r="B11934" i="1"/>
  <c r="A11934" i="1"/>
  <c r="F11934" i="1"/>
  <c r="B11935" i="1"/>
  <c r="A11935" i="1"/>
  <c r="F11935" i="1"/>
  <c r="B11936" i="1"/>
  <c r="A11936" i="1"/>
  <c r="F11936" i="1"/>
  <c r="B11937" i="1"/>
  <c r="A11937" i="1"/>
  <c r="F11937" i="1"/>
  <c r="B11938" i="1"/>
  <c r="A11938" i="1"/>
  <c r="F11938" i="1"/>
  <c r="B11939" i="1"/>
  <c r="A11939" i="1"/>
  <c r="F11939" i="1"/>
  <c r="B11940" i="1"/>
  <c r="A11940" i="1"/>
  <c r="F11940" i="1"/>
  <c r="B11941" i="1"/>
  <c r="A11941" i="1"/>
  <c r="F11941" i="1"/>
  <c r="B11942" i="1"/>
  <c r="A11942" i="1"/>
  <c r="F11942" i="1"/>
  <c r="B11943" i="1"/>
  <c r="A11943" i="1"/>
  <c r="F11943" i="1"/>
  <c r="B11944" i="1"/>
  <c r="A11944" i="1"/>
  <c r="F11944" i="1"/>
  <c r="B11945" i="1"/>
  <c r="A11945" i="1"/>
  <c r="F11945" i="1"/>
  <c r="B11946" i="1"/>
  <c r="A11946" i="1"/>
  <c r="F11946" i="1"/>
  <c r="B11947" i="1"/>
  <c r="A11947" i="1"/>
  <c r="F11947" i="1"/>
  <c r="B11948" i="1"/>
  <c r="A11948" i="1"/>
  <c r="F11948" i="1"/>
  <c r="B11949" i="1"/>
  <c r="A11949" i="1"/>
  <c r="F11949" i="1"/>
  <c r="B11950" i="1"/>
  <c r="A11950" i="1"/>
  <c r="F11950" i="1"/>
  <c r="B11951" i="1"/>
  <c r="A11951" i="1"/>
  <c r="F11951" i="1"/>
  <c r="B11952" i="1"/>
  <c r="A11952" i="1"/>
  <c r="F11952" i="1"/>
  <c r="B11953" i="1"/>
  <c r="A11953" i="1"/>
  <c r="F11953" i="1"/>
  <c r="B11954" i="1"/>
  <c r="A11954" i="1"/>
  <c r="F11954" i="1"/>
  <c r="B11955" i="1"/>
  <c r="A11955" i="1"/>
  <c r="F11955" i="1"/>
  <c r="B11956" i="1"/>
  <c r="A11956" i="1"/>
  <c r="F11956" i="1"/>
  <c r="B11957" i="1"/>
  <c r="A11957" i="1"/>
  <c r="F11957" i="1"/>
  <c r="B11958" i="1"/>
  <c r="A11958" i="1"/>
  <c r="F11958" i="1"/>
  <c r="B11959" i="1"/>
  <c r="A11959" i="1"/>
  <c r="F11959" i="1"/>
  <c r="B11960" i="1"/>
  <c r="A11960" i="1"/>
  <c r="F11960" i="1"/>
  <c r="B11961" i="1"/>
  <c r="A11961" i="1"/>
  <c r="F11961" i="1"/>
  <c r="B11962" i="1"/>
  <c r="A11962" i="1"/>
  <c r="F11962" i="1"/>
  <c r="B11963" i="1"/>
  <c r="A11963" i="1"/>
  <c r="F11963" i="1"/>
  <c r="B11964" i="1"/>
  <c r="A11964" i="1"/>
  <c r="F11964" i="1"/>
  <c r="B11965" i="1"/>
  <c r="A11965" i="1"/>
  <c r="F11965" i="1"/>
  <c r="B11966" i="1"/>
  <c r="A11966" i="1"/>
  <c r="F11966" i="1"/>
  <c r="B11967" i="1"/>
  <c r="A11967" i="1"/>
  <c r="F11967" i="1"/>
  <c r="B11968" i="1"/>
  <c r="A11968" i="1"/>
  <c r="F11968" i="1"/>
  <c r="B11969" i="1"/>
  <c r="A11969" i="1"/>
  <c r="F11969" i="1"/>
  <c r="B11970" i="1"/>
  <c r="A11970" i="1"/>
  <c r="F11970" i="1"/>
  <c r="B11971" i="1"/>
  <c r="A11971" i="1"/>
  <c r="F11971" i="1"/>
  <c r="B11972" i="1"/>
  <c r="A11972" i="1"/>
  <c r="F11972" i="1"/>
  <c r="B11973" i="1"/>
  <c r="A11973" i="1"/>
  <c r="F11973" i="1"/>
  <c r="B11974" i="1"/>
  <c r="A11974" i="1"/>
  <c r="F11974" i="1"/>
  <c r="B11975" i="1"/>
  <c r="A11975" i="1"/>
  <c r="F11975" i="1"/>
  <c r="B11976" i="1"/>
  <c r="A11976" i="1"/>
  <c r="F11976" i="1"/>
  <c r="B11977" i="1"/>
  <c r="A11977" i="1"/>
  <c r="F11977" i="1"/>
  <c r="B11978" i="1"/>
  <c r="A11978" i="1"/>
  <c r="F11978" i="1"/>
  <c r="B11979" i="1"/>
  <c r="A11979" i="1"/>
  <c r="F11979" i="1"/>
  <c r="B11980" i="1"/>
  <c r="A11980" i="1"/>
  <c r="F11980" i="1"/>
  <c r="B11981" i="1"/>
  <c r="A11981" i="1"/>
  <c r="F11981" i="1"/>
  <c r="B11982" i="1"/>
  <c r="A11982" i="1"/>
  <c r="F11982" i="1"/>
  <c r="B11983" i="1"/>
  <c r="A11983" i="1"/>
  <c r="F11983" i="1"/>
  <c r="B11984" i="1"/>
  <c r="A11984" i="1"/>
  <c r="F11984" i="1"/>
  <c r="B11985" i="1"/>
  <c r="A11985" i="1"/>
  <c r="F11985" i="1"/>
  <c r="B11986" i="1"/>
  <c r="A11986" i="1"/>
  <c r="F11986" i="1"/>
  <c r="B11987" i="1"/>
  <c r="A11987" i="1"/>
  <c r="F11987" i="1"/>
  <c r="B11988" i="1"/>
  <c r="A11988" i="1"/>
  <c r="F11988" i="1"/>
  <c r="B11989" i="1"/>
  <c r="A11989" i="1"/>
  <c r="F11989" i="1"/>
  <c r="B11990" i="1"/>
  <c r="A11990" i="1"/>
  <c r="F11990" i="1"/>
  <c r="B11991" i="1"/>
  <c r="A11991" i="1"/>
  <c r="F11991" i="1"/>
  <c r="B11992" i="1"/>
  <c r="A11992" i="1"/>
  <c r="F11992" i="1"/>
  <c r="B11993" i="1"/>
  <c r="A11993" i="1"/>
  <c r="F11993" i="1"/>
  <c r="B11994" i="1"/>
  <c r="A11994" i="1"/>
  <c r="F11994" i="1"/>
  <c r="B11995" i="1"/>
  <c r="A11995" i="1"/>
  <c r="F11995" i="1"/>
  <c r="B11996" i="1"/>
  <c r="A11996" i="1"/>
  <c r="F11996" i="1"/>
  <c r="B11997" i="1"/>
  <c r="A11997" i="1"/>
  <c r="F11997" i="1"/>
  <c r="B11998" i="1"/>
  <c r="A11998" i="1"/>
  <c r="F11998" i="1"/>
  <c r="B11999" i="1"/>
  <c r="A11999" i="1"/>
  <c r="F11999" i="1"/>
  <c r="B12000" i="1"/>
  <c r="A12000" i="1"/>
  <c r="F12000" i="1"/>
  <c r="B12001" i="1"/>
  <c r="A12001" i="1"/>
  <c r="F12001" i="1"/>
  <c r="B12002" i="1"/>
  <c r="A12002" i="1"/>
  <c r="F12002" i="1"/>
  <c r="B12003" i="1"/>
  <c r="A12003" i="1"/>
  <c r="F12003" i="1"/>
  <c r="B12004" i="1"/>
  <c r="A12004" i="1"/>
  <c r="F12004" i="1"/>
  <c r="B12005" i="1"/>
  <c r="A12005" i="1"/>
  <c r="F12005" i="1"/>
  <c r="B12006" i="1"/>
  <c r="A12006" i="1"/>
  <c r="F12006" i="1"/>
  <c r="B12007" i="1"/>
  <c r="A12007" i="1"/>
  <c r="F12007" i="1"/>
  <c r="B12008" i="1"/>
  <c r="A12008" i="1"/>
  <c r="F12008" i="1"/>
  <c r="B12009" i="1"/>
  <c r="A12009" i="1"/>
  <c r="F12009" i="1"/>
  <c r="B12010" i="1"/>
  <c r="A12010" i="1"/>
  <c r="F12010" i="1"/>
  <c r="B12011" i="1"/>
  <c r="A12011" i="1"/>
  <c r="F12011" i="1"/>
  <c r="B12012" i="1"/>
  <c r="A12012" i="1"/>
  <c r="F12012" i="1"/>
  <c r="B12013" i="1"/>
  <c r="A12013" i="1"/>
  <c r="F12013" i="1"/>
  <c r="B12014" i="1"/>
  <c r="A12014" i="1"/>
  <c r="F12014" i="1"/>
  <c r="B12015" i="1"/>
  <c r="A12015" i="1"/>
  <c r="F12015" i="1"/>
  <c r="B12016" i="1"/>
  <c r="A12016" i="1"/>
  <c r="F12016" i="1"/>
  <c r="B12017" i="1"/>
  <c r="A12017" i="1"/>
  <c r="F12017" i="1"/>
  <c r="B12018" i="1"/>
  <c r="A12018" i="1"/>
  <c r="F12018" i="1"/>
  <c r="B12019" i="1"/>
  <c r="A12019" i="1"/>
  <c r="F12019" i="1"/>
  <c r="B12020" i="1"/>
  <c r="A12020" i="1"/>
  <c r="F12020" i="1"/>
  <c r="B12021" i="1"/>
  <c r="A12021" i="1"/>
  <c r="F12021" i="1"/>
  <c r="B12022" i="1"/>
  <c r="A12022" i="1"/>
  <c r="F12022" i="1"/>
  <c r="B12023" i="1"/>
  <c r="A12023" i="1"/>
  <c r="F12023" i="1"/>
  <c r="B12024" i="1"/>
  <c r="A12024" i="1"/>
  <c r="F12024" i="1"/>
  <c r="B12025" i="1"/>
  <c r="A12025" i="1"/>
  <c r="F12025" i="1"/>
  <c r="B12026" i="1"/>
  <c r="A12026" i="1"/>
  <c r="F12026" i="1"/>
  <c r="B12027" i="1"/>
  <c r="A12027" i="1"/>
  <c r="F12027" i="1"/>
  <c r="B12028" i="1"/>
  <c r="A12028" i="1"/>
  <c r="F12028" i="1"/>
  <c r="B12029" i="1"/>
  <c r="A12029" i="1"/>
  <c r="F12029" i="1"/>
  <c r="B12030" i="1"/>
  <c r="A12030" i="1"/>
  <c r="F12030" i="1"/>
  <c r="B12031" i="1"/>
  <c r="A12031" i="1"/>
  <c r="F12031" i="1"/>
  <c r="B12032" i="1"/>
  <c r="A12032" i="1"/>
  <c r="F12032" i="1"/>
  <c r="B12033" i="1"/>
  <c r="A12033" i="1"/>
  <c r="F12033" i="1"/>
  <c r="B12034" i="1"/>
  <c r="A12034" i="1"/>
  <c r="F12034" i="1"/>
  <c r="B12035" i="1"/>
  <c r="A12035" i="1"/>
  <c r="F12035" i="1"/>
  <c r="B12036" i="1"/>
  <c r="A12036" i="1"/>
  <c r="F12036" i="1"/>
  <c r="B12037" i="1"/>
  <c r="A12037" i="1"/>
  <c r="F12037" i="1"/>
  <c r="B12038" i="1"/>
  <c r="A12038" i="1"/>
  <c r="F12038" i="1"/>
  <c r="B12039" i="1"/>
  <c r="A12039" i="1"/>
  <c r="F12039" i="1"/>
  <c r="B12040" i="1"/>
  <c r="A12040" i="1"/>
  <c r="F12040" i="1"/>
  <c r="B12041" i="1"/>
  <c r="A12041" i="1"/>
  <c r="F12041" i="1"/>
  <c r="B12042" i="1"/>
  <c r="A12042" i="1"/>
  <c r="F12042" i="1"/>
  <c r="B12043" i="1"/>
  <c r="A12043" i="1"/>
  <c r="F12043" i="1"/>
  <c r="B12044" i="1"/>
  <c r="A12044" i="1"/>
  <c r="F12044" i="1"/>
  <c r="B12045" i="1"/>
  <c r="A12045" i="1"/>
  <c r="F12045" i="1"/>
  <c r="B12046" i="1"/>
  <c r="A12046" i="1"/>
  <c r="F12046" i="1"/>
  <c r="B12047" i="1"/>
  <c r="A12047" i="1"/>
  <c r="F12047" i="1"/>
  <c r="B12048" i="1"/>
  <c r="A12048" i="1"/>
  <c r="F12048" i="1"/>
  <c r="B12049" i="1"/>
  <c r="A12049" i="1"/>
  <c r="F12049" i="1"/>
  <c r="B12050" i="1"/>
  <c r="A12050" i="1"/>
  <c r="F12050" i="1"/>
  <c r="B12051" i="1"/>
  <c r="A12051" i="1"/>
  <c r="F12051" i="1"/>
  <c r="B12052" i="1"/>
  <c r="A12052" i="1"/>
  <c r="F12052" i="1"/>
  <c r="B12053" i="1"/>
  <c r="A12053" i="1"/>
  <c r="F12053" i="1"/>
  <c r="B12054" i="1"/>
  <c r="A12054" i="1"/>
  <c r="F12054" i="1"/>
  <c r="B12055" i="1"/>
  <c r="A12055" i="1"/>
  <c r="F12055" i="1"/>
  <c r="B12056" i="1"/>
  <c r="A12056" i="1"/>
  <c r="F12056" i="1"/>
  <c r="B12057" i="1"/>
  <c r="A12057" i="1"/>
  <c r="F12057" i="1"/>
  <c r="B12058" i="1"/>
  <c r="A12058" i="1"/>
  <c r="F12058" i="1"/>
  <c r="B12059" i="1"/>
  <c r="A12059" i="1"/>
  <c r="F12059" i="1"/>
  <c r="B12060" i="1"/>
  <c r="A12060" i="1"/>
  <c r="F12060" i="1"/>
  <c r="B12061" i="1"/>
  <c r="A12061" i="1"/>
  <c r="F12061" i="1"/>
  <c r="B12062" i="1"/>
  <c r="A12062" i="1"/>
  <c r="F12062" i="1"/>
  <c r="B12063" i="1"/>
  <c r="A12063" i="1"/>
  <c r="F12063" i="1"/>
  <c r="B12064" i="1"/>
  <c r="A12064" i="1"/>
  <c r="F12064" i="1"/>
  <c r="B12065" i="1"/>
  <c r="A12065" i="1"/>
  <c r="F12065" i="1"/>
  <c r="B12066" i="1"/>
  <c r="A12066" i="1"/>
  <c r="F12066" i="1"/>
  <c r="B12067" i="1"/>
  <c r="A12067" i="1"/>
  <c r="F12067" i="1"/>
  <c r="B12068" i="1"/>
  <c r="A12068" i="1"/>
  <c r="F12068" i="1"/>
  <c r="B12069" i="1"/>
  <c r="A12069" i="1"/>
  <c r="F12069" i="1"/>
  <c r="B12070" i="1"/>
  <c r="A12070" i="1"/>
  <c r="F12070" i="1"/>
  <c r="B12071" i="1"/>
  <c r="A12071" i="1"/>
  <c r="F12071" i="1"/>
  <c r="B12072" i="1"/>
  <c r="A12072" i="1"/>
  <c r="F12072" i="1"/>
  <c r="B12073" i="1"/>
  <c r="A12073" i="1"/>
  <c r="F12073" i="1"/>
  <c r="B12074" i="1"/>
  <c r="A12074" i="1"/>
  <c r="F12074" i="1"/>
  <c r="B12075" i="1"/>
  <c r="A12075" i="1"/>
  <c r="F12075" i="1"/>
  <c r="B12076" i="1"/>
  <c r="A12076" i="1"/>
  <c r="F12076" i="1"/>
  <c r="B12077" i="1"/>
  <c r="A12077" i="1"/>
  <c r="F12077" i="1"/>
  <c r="B12078" i="1"/>
  <c r="A12078" i="1"/>
  <c r="F12078" i="1"/>
  <c r="B12079" i="1"/>
  <c r="A12079" i="1"/>
  <c r="F12079" i="1"/>
  <c r="B12080" i="1"/>
  <c r="A12080" i="1"/>
  <c r="F12080" i="1"/>
  <c r="B12081" i="1"/>
  <c r="A12081" i="1"/>
  <c r="F12081" i="1"/>
  <c r="B12082" i="1"/>
  <c r="A12082" i="1"/>
  <c r="F12082" i="1"/>
  <c r="B12083" i="1"/>
  <c r="A12083" i="1"/>
  <c r="F12083" i="1"/>
  <c r="B12084" i="1"/>
  <c r="A12084" i="1"/>
  <c r="F12084" i="1"/>
  <c r="B12085" i="1"/>
  <c r="A12085" i="1"/>
  <c r="F12085" i="1"/>
  <c r="B12086" i="1"/>
  <c r="A12086" i="1"/>
  <c r="F12086" i="1"/>
  <c r="B12087" i="1"/>
  <c r="A12087" i="1"/>
  <c r="F12087" i="1"/>
  <c r="B12088" i="1"/>
  <c r="A12088" i="1"/>
  <c r="F12088" i="1"/>
  <c r="B12089" i="1"/>
  <c r="A12089" i="1"/>
  <c r="F12089" i="1"/>
  <c r="B12090" i="1"/>
  <c r="A12090" i="1"/>
  <c r="F12090" i="1"/>
  <c r="B12091" i="1"/>
  <c r="A12091" i="1"/>
  <c r="F12091" i="1"/>
  <c r="B12092" i="1"/>
  <c r="A12092" i="1"/>
  <c r="F12092" i="1"/>
  <c r="B12093" i="1"/>
  <c r="A12093" i="1"/>
  <c r="F12093" i="1"/>
  <c r="B12094" i="1"/>
  <c r="A12094" i="1"/>
  <c r="F12094" i="1"/>
  <c r="B12095" i="1"/>
  <c r="A12095" i="1"/>
  <c r="F12095" i="1"/>
  <c r="B12096" i="1"/>
  <c r="A12096" i="1"/>
  <c r="F12096" i="1"/>
  <c r="B12097" i="1"/>
  <c r="A12097" i="1"/>
  <c r="F12097" i="1"/>
  <c r="B12098" i="1"/>
  <c r="A12098" i="1"/>
  <c r="F12098" i="1"/>
  <c r="B12099" i="1"/>
  <c r="A12099" i="1"/>
  <c r="F12099" i="1"/>
  <c r="B12100" i="1"/>
  <c r="A12100" i="1"/>
  <c r="F12100" i="1"/>
  <c r="B12101" i="1"/>
  <c r="A12101" i="1"/>
  <c r="F12101" i="1"/>
  <c r="B12102" i="1"/>
  <c r="A12102" i="1"/>
  <c r="F12102" i="1"/>
  <c r="B12103" i="1"/>
  <c r="A12103" i="1"/>
  <c r="F12103" i="1"/>
  <c r="B12104" i="1"/>
  <c r="A12104" i="1"/>
  <c r="F12104" i="1"/>
  <c r="B12105" i="1"/>
  <c r="A12105" i="1"/>
  <c r="F12105" i="1"/>
  <c r="B12106" i="1"/>
  <c r="A12106" i="1"/>
  <c r="F12106" i="1"/>
  <c r="B12107" i="1"/>
  <c r="A12107" i="1"/>
  <c r="F12107" i="1"/>
  <c r="B12108" i="1"/>
  <c r="A12108" i="1"/>
  <c r="F12108" i="1"/>
  <c r="B12109" i="1"/>
  <c r="A12109" i="1"/>
  <c r="F12109" i="1"/>
  <c r="B12110" i="1"/>
  <c r="A12110" i="1"/>
  <c r="F12110" i="1"/>
  <c r="B12111" i="1"/>
  <c r="A12111" i="1"/>
  <c r="F12111" i="1"/>
  <c r="B12112" i="1"/>
  <c r="A12112" i="1"/>
  <c r="F12112" i="1"/>
  <c r="B12113" i="1"/>
  <c r="A12113" i="1"/>
  <c r="F12113" i="1"/>
  <c r="B12114" i="1"/>
  <c r="A12114" i="1"/>
  <c r="F12114" i="1"/>
  <c r="B12115" i="1"/>
  <c r="A12115" i="1"/>
  <c r="F12115" i="1"/>
  <c r="B12116" i="1"/>
  <c r="A12116" i="1"/>
  <c r="F12116" i="1"/>
  <c r="B12117" i="1"/>
  <c r="A12117" i="1"/>
  <c r="F12117" i="1"/>
  <c r="B12118" i="1"/>
  <c r="A12118" i="1"/>
  <c r="F12118" i="1"/>
  <c r="B12119" i="1"/>
  <c r="A12119" i="1"/>
  <c r="F12119" i="1"/>
  <c r="B12120" i="1"/>
  <c r="A12120" i="1"/>
  <c r="F12120" i="1"/>
  <c r="B12121" i="1"/>
  <c r="A12121" i="1"/>
  <c r="F12121" i="1"/>
  <c r="B12122" i="1"/>
  <c r="A12122" i="1"/>
  <c r="F12122" i="1"/>
  <c r="B12123" i="1"/>
  <c r="A12123" i="1"/>
  <c r="F12123" i="1"/>
  <c r="B12124" i="1"/>
  <c r="A12124" i="1"/>
  <c r="F12124" i="1"/>
  <c r="B12125" i="1"/>
  <c r="A12125" i="1"/>
  <c r="F12125" i="1"/>
  <c r="B12126" i="1"/>
  <c r="A12126" i="1"/>
  <c r="F12126" i="1"/>
  <c r="B12127" i="1"/>
  <c r="A12127" i="1"/>
  <c r="F12127" i="1"/>
  <c r="B12128" i="1"/>
  <c r="A12128" i="1"/>
  <c r="F12128" i="1"/>
  <c r="B12129" i="1"/>
  <c r="A12129" i="1"/>
  <c r="F12129" i="1"/>
  <c r="B12130" i="1"/>
  <c r="A12130" i="1"/>
  <c r="F12130" i="1"/>
  <c r="B12131" i="1"/>
  <c r="A12131" i="1"/>
  <c r="F12131" i="1"/>
  <c r="B12132" i="1"/>
  <c r="A12132" i="1"/>
  <c r="F12132" i="1"/>
  <c r="B12133" i="1"/>
  <c r="A12133" i="1"/>
  <c r="F12133" i="1"/>
  <c r="B12134" i="1"/>
  <c r="A12134" i="1"/>
  <c r="F12134" i="1"/>
  <c r="B12135" i="1"/>
  <c r="A12135" i="1"/>
  <c r="F12135" i="1"/>
  <c r="B12136" i="1"/>
  <c r="A12136" i="1"/>
  <c r="F12136" i="1"/>
  <c r="B12137" i="1"/>
  <c r="A12137" i="1"/>
  <c r="F12137" i="1"/>
  <c r="B12138" i="1"/>
  <c r="A12138" i="1"/>
  <c r="F12138" i="1"/>
  <c r="B12139" i="1"/>
  <c r="A12139" i="1"/>
  <c r="F12139" i="1"/>
  <c r="B12140" i="1"/>
  <c r="A12140" i="1"/>
  <c r="F12140" i="1"/>
  <c r="B12141" i="1"/>
  <c r="A12141" i="1"/>
  <c r="F12141" i="1"/>
  <c r="B12142" i="1"/>
  <c r="A12142" i="1"/>
  <c r="F12142" i="1"/>
  <c r="B12143" i="1"/>
  <c r="A12143" i="1"/>
  <c r="F12143" i="1"/>
  <c r="B12144" i="1"/>
  <c r="A12144" i="1"/>
  <c r="F12144" i="1"/>
  <c r="B12145" i="1"/>
  <c r="A12145" i="1"/>
  <c r="F12145" i="1"/>
  <c r="B12146" i="1"/>
  <c r="A12146" i="1"/>
  <c r="F12146" i="1"/>
  <c r="B12147" i="1"/>
  <c r="A12147" i="1"/>
  <c r="F12147" i="1"/>
  <c r="B12148" i="1"/>
  <c r="A12148" i="1"/>
  <c r="F12148" i="1"/>
  <c r="B12149" i="1"/>
  <c r="A12149" i="1"/>
  <c r="F12149" i="1"/>
  <c r="B12150" i="1"/>
  <c r="A12150" i="1"/>
  <c r="F12150" i="1"/>
  <c r="B12151" i="1"/>
  <c r="A12151" i="1"/>
  <c r="F12151" i="1"/>
  <c r="B12152" i="1"/>
  <c r="A12152" i="1"/>
  <c r="F12152" i="1"/>
  <c r="B12153" i="1"/>
  <c r="A12153" i="1"/>
  <c r="F12153" i="1"/>
  <c r="B12154" i="1"/>
  <c r="A12154" i="1"/>
  <c r="F12154" i="1"/>
  <c r="B12155" i="1"/>
  <c r="A12155" i="1"/>
  <c r="F12155" i="1"/>
  <c r="B12156" i="1"/>
  <c r="A12156" i="1"/>
  <c r="F12156" i="1"/>
  <c r="B12157" i="1"/>
  <c r="A12157" i="1"/>
  <c r="F12157" i="1"/>
  <c r="B12158" i="1"/>
  <c r="A12158" i="1"/>
  <c r="F12158" i="1"/>
  <c r="B12159" i="1"/>
  <c r="A12159" i="1"/>
  <c r="F12159" i="1"/>
  <c r="B12160" i="1"/>
  <c r="A12160" i="1"/>
  <c r="F12160" i="1"/>
  <c r="B12161" i="1"/>
  <c r="A12161" i="1"/>
  <c r="F12161" i="1"/>
  <c r="B12162" i="1"/>
  <c r="A12162" i="1"/>
  <c r="F12162" i="1"/>
  <c r="B12163" i="1"/>
  <c r="A12163" i="1"/>
  <c r="F12163" i="1"/>
  <c r="B12164" i="1"/>
  <c r="A12164" i="1"/>
  <c r="F12164" i="1"/>
  <c r="B12165" i="1"/>
  <c r="A12165" i="1"/>
  <c r="F12165" i="1"/>
  <c r="B12166" i="1"/>
  <c r="A12166" i="1"/>
  <c r="F12166" i="1"/>
  <c r="B12167" i="1"/>
  <c r="A12167" i="1"/>
  <c r="F12167" i="1"/>
  <c r="B12168" i="1"/>
  <c r="A12168" i="1"/>
  <c r="F12168" i="1"/>
  <c r="B12169" i="1"/>
  <c r="A12169" i="1"/>
  <c r="F12169" i="1"/>
  <c r="B12170" i="1"/>
  <c r="A12170" i="1"/>
  <c r="F12170" i="1"/>
  <c r="B12171" i="1"/>
  <c r="A12171" i="1"/>
  <c r="F12171" i="1"/>
  <c r="B12172" i="1"/>
  <c r="A12172" i="1"/>
  <c r="F12172" i="1"/>
  <c r="B12173" i="1"/>
  <c r="A12173" i="1"/>
  <c r="F12173" i="1"/>
  <c r="B12174" i="1"/>
  <c r="A12174" i="1"/>
  <c r="F12174" i="1"/>
  <c r="B12175" i="1"/>
  <c r="A12175" i="1"/>
  <c r="F12175" i="1"/>
  <c r="B12176" i="1"/>
  <c r="A12176" i="1"/>
  <c r="F12176" i="1"/>
  <c r="B12177" i="1"/>
  <c r="A12177" i="1"/>
  <c r="F12177" i="1"/>
  <c r="B12178" i="1"/>
  <c r="A12178" i="1"/>
  <c r="F12178" i="1"/>
  <c r="B12179" i="1"/>
  <c r="A12179" i="1"/>
  <c r="F12179" i="1"/>
  <c r="B12180" i="1"/>
  <c r="A12180" i="1"/>
  <c r="F12180" i="1"/>
  <c r="B12181" i="1"/>
  <c r="A12181" i="1"/>
  <c r="F12181" i="1"/>
  <c r="B12182" i="1"/>
  <c r="A12182" i="1"/>
  <c r="F12182" i="1"/>
  <c r="B12183" i="1"/>
  <c r="A12183" i="1"/>
  <c r="F12183" i="1"/>
  <c r="B12184" i="1"/>
  <c r="A12184" i="1"/>
  <c r="F12184" i="1"/>
  <c r="B12185" i="1"/>
  <c r="A12185" i="1"/>
  <c r="F12185" i="1"/>
  <c r="B12186" i="1"/>
  <c r="A12186" i="1"/>
  <c r="F12186" i="1"/>
  <c r="B12187" i="1"/>
  <c r="A12187" i="1"/>
  <c r="F12187" i="1"/>
  <c r="B12188" i="1"/>
  <c r="A12188" i="1"/>
  <c r="F12188" i="1"/>
  <c r="B12189" i="1"/>
  <c r="A12189" i="1"/>
  <c r="F12189" i="1"/>
  <c r="B12190" i="1"/>
  <c r="A12190" i="1"/>
  <c r="F12190" i="1"/>
  <c r="B12191" i="1"/>
  <c r="A12191" i="1"/>
  <c r="F12191" i="1"/>
  <c r="B12192" i="1"/>
  <c r="A12192" i="1"/>
  <c r="F12192" i="1"/>
  <c r="B12193" i="1"/>
  <c r="A12193" i="1"/>
  <c r="F12193" i="1"/>
  <c r="B12194" i="1"/>
  <c r="A12194" i="1"/>
  <c r="F12194" i="1"/>
  <c r="B12195" i="1"/>
  <c r="A12195" i="1"/>
  <c r="F12195" i="1"/>
  <c r="B12196" i="1"/>
  <c r="A12196" i="1"/>
  <c r="F12196" i="1"/>
  <c r="B12197" i="1"/>
  <c r="A12197" i="1"/>
  <c r="F12197" i="1"/>
  <c r="B12198" i="1"/>
  <c r="A12198" i="1"/>
  <c r="F12198" i="1"/>
  <c r="B12199" i="1"/>
  <c r="A12199" i="1"/>
  <c r="F12199" i="1"/>
  <c r="B12200" i="1"/>
  <c r="A12200" i="1"/>
  <c r="F12200" i="1"/>
  <c r="B12201" i="1"/>
  <c r="A12201" i="1"/>
  <c r="F12201" i="1"/>
  <c r="B12202" i="1"/>
  <c r="A12202" i="1"/>
  <c r="F12202" i="1"/>
  <c r="B12203" i="1"/>
  <c r="A12203" i="1"/>
  <c r="F12203" i="1"/>
  <c r="B12204" i="1"/>
  <c r="A12204" i="1"/>
  <c r="F12204" i="1"/>
  <c r="B12205" i="1"/>
  <c r="A12205" i="1"/>
  <c r="F12205" i="1"/>
  <c r="B12206" i="1"/>
  <c r="A12206" i="1"/>
  <c r="F12206" i="1"/>
  <c r="B12207" i="1"/>
  <c r="A12207" i="1"/>
  <c r="F12207" i="1"/>
  <c r="B12208" i="1"/>
  <c r="A12208" i="1"/>
  <c r="F12208" i="1"/>
  <c r="B12209" i="1"/>
  <c r="A12209" i="1"/>
  <c r="F12209" i="1"/>
  <c r="B12210" i="1"/>
  <c r="A12210" i="1"/>
  <c r="F12210" i="1"/>
  <c r="B12211" i="1"/>
  <c r="A12211" i="1"/>
  <c r="F12211" i="1"/>
  <c r="B12212" i="1"/>
  <c r="A12212" i="1"/>
  <c r="F12212" i="1"/>
  <c r="B12213" i="1"/>
  <c r="A12213" i="1"/>
  <c r="F12213" i="1"/>
  <c r="B12214" i="1"/>
  <c r="A12214" i="1"/>
  <c r="F12214" i="1"/>
  <c r="B12215" i="1"/>
  <c r="A12215" i="1"/>
  <c r="F12215" i="1"/>
  <c r="B12216" i="1"/>
  <c r="A12216" i="1"/>
  <c r="F12216" i="1"/>
  <c r="B12217" i="1"/>
  <c r="A12217" i="1"/>
  <c r="F12217" i="1"/>
  <c r="B12218" i="1"/>
  <c r="A12218" i="1"/>
  <c r="F12218" i="1"/>
  <c r="B12219" i="1"/>
  <c r="A12219" i="1"/>
  <c r="F12219" i="1"/>
  <c r="B12220" i="1"/>
  <c r="A12220" i="1"/>
  <c r="F12220" i="1"/>
  <c r="B12221" i="1"/>
  <c r="A12221" i="1"/>
  <c r="F12221" i="1"/>
  <c r="B12222" i="1"/>
  <c r="A12222" i="1"/>
  <c r="F12222" i="1"/>
  <c r="B12223" i="1"/>
  <c r="A12223" i="1"/>
  <c r="F12223" i="1"/>
  <c r="B12224" i="1"/>
  <c r="A12224" i="1"/>
  <c r="F12224" i="1"/>
  <c r="B12225" i="1"/>
  <c r="A12225" i="1"/>
  <c r="F12225" i="1"/>
  <c r="B12226" i="1"/>
  <c r="A12226" i="1"/>
  <c r="F12226" i="1"/>
  <c r="B12227" i="1"/>
  <c r="A12227" i="1"/>
  <c r="F12227" i="1"/>
  <c r="B12228" i="1"/>
  <c r="A12228" i="1"/>
  <c r="F12228" i="1"/>
  <c r="B12229" i="1"/>
  <c r="A12229" i="1"/>
  <c r="F12229" i="1"/>
  <c r="B12230" i="1"/>
  <c r="A12230" i="1"/>
  <c r="F12230" i="1"/>
  <c r="B12231" i="1"/>
  <c r="A12231" i="1"/>
  <c r="F12231" i="1"/>
  <c r="B12232" i="1"/>
  <c r="A12232" i="1"/>
  <c r="F12232" i="1"/>
  <c r="B12233" i="1"/>
  <c r="A12233" i="1"/>
  <c r="F12233" i="1"/>
  <c r="B12234" i="1"/>
  <c r="A12234" i="1"/>
  <c r="F12234" i="1"/>
  <c r="B12235" i="1"/>
  <c r="A12235" i="1"/>
  <c r="F12235" i="1"/>
  <c r="B12236" i="1"/>
  <c r="A12236" i="1"/>
  <c r="F12236" i="1"/>
  <c r="B12237" i="1"/>
  <c r="A12237" i="1"/>
  <c r="F12237" i="1"/>
  <c r="B12238" i="1"/>
  <c r="A12238" i="1"/>
  <c r="F12238" i="1"/>
  <c r="B12239" i="1"/>
  <c r="A12239" i="1"/>
  <c r="F12239" i="1"/>
  <c r="B12240" i="1"/>
  <c r="A12240" i="1"/>
  <c r="F12240" i="1"/>
  <c r="B12241" i="1"/>
  <c r="A12241" i="1"/>
  <c r="F12241" i="1"/>
  <c r="B12242" i="1"/>
  <c r="A12242" i="1"/>
  <c r="F12242" i="1"/>
  <c r="B12243" i="1"/>
  <c r="A12243" i="1"/>
  <c r="F12243" i="1"/>
  <c r="B12244" i="1"/>
  <c r="A12244" i="1"/>
  <c r="F12244" i="1"/>
  <c r="B12245" i="1"/>
  <c r="A12245" i="1"/>
  <c r="F12245" i="1"/>
  <c r="B12246" i="1"/>
  <c r="A12246" i="1"/>
  <c r="F12246" i="1"/>
  <c r="B12247" i="1"/>
  <c r="A12247" i="1"/>
  <c r="F12247" i="1"/>
  <c r="B12248" i="1"/>
  <c r="A12248" i="1"/>
  <c r="F12248" i="1"/>
  <c r="B12249" i="1"/>
  <c r="A12249" i="1"/>
  <c r="F12249" i="1"/>
  <c r="B12250" i="1"/>
  <c r="A12250" i="1"/>
  <c r="F12250" i="1"/>
  <c r="B12251" i="1"/>
  <c r="A12251" i="1"/>
  <c r="F12251" i="1"/>
  <c r="B12252" i="1"/>
  <c r="A12252" i="1"/>
  <c r="F12252" i="1"/>
  <c r="B12253" i="1"/>
  <c r="A12253" i="1"/>
  <c r="F12253" i="1"/>
  <c r="B12254" i="1"/>
  <c r="A12254" i="1"/>
  <c r="F12254" i="1"/>
  <c r="B12255" i="1"/>
  <c r="A12255" i="1"/>
  <c r="F12255" i="1"/>
  <c r="B12256" i="1"/>
  <c r="A12256" i="1"/>
  <c r="F12256" i="1"/>
  <c r="B12257" i="1"/>
  <c r="A12257" i="1"/>
  <c r="F12257" i="1"/>
  <c r="B12258" i="1"/>
  <c r="A12258" i="1"/>
  <c r="F12258" i="1"/>
  <c r="B12259" i="1"/>
  <c r="A12259" i="1"/>
  <c r="F12259" i="1"/>
  <c r="B12260" i="1"/>
  <c r="A12260" i="1"/>
  <c r="F12260" i="1"/>
  <c r="B12261" i="1"/>
  <c r="A12261" i="1"/>
  <c r="F12261" i="1"/>
  <c r="B12262" i="1"/>
  <c r="A12262" i="1"/>
  <c r="F12262" i="1"/>
  <c r="B12263" i="1"/>
  <c r="A12263" i="1"/>
  <c r="F12263" i="1"/>
  <c r="B12264" i="1"/>
  <c r="A12264" i="1"/>
  <c r="F12264" i="1"/>
  <c r="B12265" i="1"/>
  <c r="A12265" i="1"/>
  <c r="F12265" i="1"/>
  <c r="B12266" i="1"/>
  <c r="A12266" i="1"/>
  <c r="F12266" i="1"/>
  <c r="B12267" i="1"/>
  <c r="A12267" i="1"/>
  <c r="F12267" i="1"/>
  <c r="B12268" i="1"/>
  <c r="A12268" i="1"/>
  <c r="F12268" i="1"/>
  <c r="B12269" i="1"/>
  <c r="A12269" i="1"/>
  <c r="F12269" i="1"/>
  <c r="B12270" i="1"/>
  <c r="A12270" i="1"/>
  <c r="F12270" i="1"/>
  <c r="B12271" i="1"/>
  <c r="A12271" i="1"/>
  <c r="F12271" i="1"/>
  <c r="B12272" i="1"/>
  <c r="A12272" i="1"/>
  <c r="F12272" i="1"/>
  <c r="B12273" i="1"/>
  <c r="A12273" i="1"/>
  <c r="F12273" i="1"/>
  <c r="B12274" i="1"/>
  <c r="A12274" i="1"/>
  <c r="F12274" i="1"/>
  <c r="B12275" i="1"/>
  <c r="A12275" i="1"/>
  <c r="F12275" i="1"/>
  <c r="B12276" i="1"/>
  <c r="A12276" i="1"/>
  <c r="F12276" i="1"/>
  <c r="B12277" i="1"/>
  <c r="A12277" i="1"/>
  <c r="F12277" i="1"/>
  <c r="B12278" i="1"/>
  <c r="A12278" i="1"/>
  <c r="F12278" i="1"/>
  <c r="B12279" i="1"/>
  <c r="A12279" i="1"/>
  <c r="F12279" i="1"/>
  <c r="B12280" i="1"/>
  <c r="A12280" i="1"/>
  <c r="F12280" i="1"/>
  <c r="B12281" i="1"/>
  <c r="A12281" i="1"/>
  <c r="F12281" i="1"/>
  <c r="B12282" i="1"/>
  <c r="A12282" i="1"/>
  <c r="F12282" i="1"/>
  <c r="B12283" i="1"/>
  <c r="A12283" i="1"/>
  <c r="F12283" i="1"/>
  <c r="B12284" i="1"/>
  <c r="A12284" i="1"/>
  <c r="F12284" i="1"/>
  <c r="B12285" i="1"/>
  <c r="A12285" i="1"/>
  <c r="F12285" i="1"/>
  <c r="B12286" i="1"/>
  <c r="A12286" i="1"/>
  <c r="F12286" i="1"/>
  <c r="B12287" i="1"/>
  <c r="A12287" i="1"/>
  <c r="F12287" i="1"/>
  <c r="B12288" i="1"/>
  <c r="A12288" i="1"/>
  <c r="F12288" i="1"/>
  <c r="B12289" i="1"/>
  <c r="A12289" i="1"/>
  <c r="F12289" i="1"/>
  <c r="B12290" i="1"/>
  <c r="A12290" i="1"/>
  <c r="F12290" i="1"/>
  <c r="B12291" i="1"/>
  <c r="A12291" i="1"/>
  <c r="F12291" i="1"/>
  <c r="B12292" i="1"/>
  <c r="A12292" i="1"/>
  <c r="F12292" i="1"/>
  <c r="B12293" i="1"/>
  <c r="A12293" i="1"/>
  <c r="F12293" i="1"/>
  <c r="B12294" i="1"/>
  <c r="A12294" i="1"/>
  <c r="F12294" i="1"/>
  <c r="B12295" i="1"/>
  <c r="A12295" i="1"/>
  <c r="F12295" i="1"/>
  <c r="B12296" i="1"/>
  <c r="A12296" i="1"/>
  <c r="F12296" i="1"/>
  <c r="B12297" i="1"/>
  <c r="A12297" i="1"/>
  <c r="F12297" i="1"/>
  <c r="B12298" i="1"/>
  <c r="A12298" i="1"/>
  <c r="F12298" i="1"/>
  <c r="B12299" i="1"/>
  <c r="A12299" i="1"/>
  <c r="F12299" i="1"/>
  <c r="B12300" i="1"/>
  <c r="A12300" i="1"/>
  <c r="F12300" i="1"/>
  <c r="B12301" i="1"/>
  <c r="A12301" i="1"/>
  <c r="F12301" i="1"/>
  <c r="B12302" i="1"/>
  <c r="A12302" i="1"/>
  <c r="F12302" i="1"/>
  <c r="B12303" i="1"/>
  <c r="A12303" i="1"/>
  <c r="F12303" i="1"/>
  <c r="B12304" i="1"/>
  <c r="A12304" i="1"/>
  <c r="F12304" i="1"/>
  <c r="B12305" i="1"/>
  <c r="A12305" i="1"/>
  <c r="F12305" i="1"/>
  <c r="B12306" i="1"/>
  <c r="A12306" i="1"/>
  <c r="F12306" i="1"/>
  <c r="B12307" i="1"/>
  <c r="A12307" i="1"/>
  <c r="F12307" i="1"/>
  <c r="B12308" i="1"/>
  <c r="A12308" i="1"/>
  <c r="F12308" i="1"/>
  <c r="B12309" i="1"/>
  <c r="A12309" i="1"/>
  <c r="F12309" i="1"/>
  <c r="B12310" i="1"/>
  <c r="A12310" i="1"/>
  <c r="F12310" i="1"/>
  <c r="B12311" i="1"/>
  <c r="A12311" i="1"/>
  <c r="F12311" i="1"/>
  <c r="B12312" i="1"/>
  <c r="A12312" i="1"/>
  <c r="F12312" i="1"/>
  <c r="B12313" i="1"/>
  <c r="A12313" i="1"/>
  <c r="F12313" i="1"/>
  <c r="B12314" i="1"/>
  <c r="A12314" i="1"/>
  <c r="F12314" i="1"/>
  <c r="B12315" i="1"/>
  <c r="A12315" i="1"/>
  <c r="F12315" i="1"/>
  <c r="B12316" i="1"/>
  <c r="A12316" i="1"/>
  <c r="F12316" i="1"/>
  <c r="B12317" i="1"/>
  <c r="A12317" i="1"/>
  <c r="F12317" i="1"/>
  <c r="B12318" i="1"/>
  <c r="A12318" i="1"/>
  <c r="F12318" i="1"/>
  <c r="B12319" i="1"/>
  <c r="A12319" i="1"/>
  <c r="F12319" i="1"/>
  <c r="B12320" i="1"/>
  <c r="A12320" i="1"/>
  <c r="F12320" i="1"/>
  <c r="B12321" i="1"/>
  <c r="A12321" i="1"/>
  <c r="F12321" i="1"/>
  <c r="B12322" i="1"/>
  <c r="A12322" i="1"/>
  <c r="F12322" i="1"/>
  <c r="B12323" i="1"/>
  <c r="A12323" i="1"/>
  <c r="F12323" i="1"/>
  <c r="B12324" i="1"/>
  <c r="A12324" i="1"/>
  <c r="F12324" i="1"/>
  <c r="B12325" i="1"/>
  <c r="A12325" i="1"/>
  <c r="F12325" i="1"/>
  <c r="B12326" i="1"/>
  <c r="A12326" i="1"/>
  <c r="F12326" i="1"/>
  <c r="B12327" i="1"/>
  <c r="A12327" i="1"/>
  <c r="F12327" i="1"/>
  <c r="B12328" i="1"/>
  <c r="A12328" i="1"/>
  <c r="F12328" i="1"/>
  <c r="B12329" i="1"/>
  <c r="A12329" i="1"/>
  <c r="F12329" i="1"/>
  <c r="B12330" i="1"/>
  <c r="A12330" i="1"/>
  <c r="F12330" i="1"/>
  <c r="B12331" i="1"/>
  <c r="A12331" i="1"/>
  <c r="F12331" i="1"/>
  <c r="B12332" i="1"/>
  <c r="A12332" i="1"/>
  <c r="F12332" i="1"/>
  <c r="B12333" i="1"/>
  <c r="A12333" i="1"/>
  <c r="F12333" i="1"/>
  <c r="B12334" i="1"/>
  <c r="A12334" i="1"/>
  <c r="F12334" i="1"/>
  <c r="B12335" i="1"/>
  <c r="A12335" i="1"/>
  <c r="F12335" i="1"/>
  <c r="B12336" i="1"/>
  <c r="A12336" i="1"/>
  <c r="F12336" i="1"/>
  <c r="B12337" i="1"/>
  <c r="A12337" i="1"/>
  <c r="F12337" i="1"/>
  <c r="B12338" i="1"/>
  <c r="A12338" i="1"/>
  <c r="F12338" i="1"/>
  <c r="B12339" i="1"/>
  <c r="A12339" i="1"/>
  <c r="F12339" i="1"/>
  <c r="B12340" i="1"/>
  <c r="A12340" i="1"/>
  <c r="F12340" i="1"/>
  <c r="B12341" i="1"/>
  <c r="A12341" i="1"/>
  <c r="F12341" i="1"/>
  <c r="B12342" i="1"/>
  <c r="A12342" i="1"/>
  <c r="F12342" i="1"/>
  <c r="B12343" i="1"/>
  <c r="A12343" i="1"/>
  <c r="F12343" i="1"/>
  <c r="B12344" i="1"/>
  <c r="A12344" i="1"/>
  <c r="F12344" i="1"/>
  <c r="B12345" i="1"/>
  <c r="A12345" i="1"/>
  <c r="F12345" i="1"/>
  <c r="B12346" i="1"/>
  <c r="A12346" i="1"/>
  <c r="F12346" i="1"/>
  <c r="B12347" i="1"/>
  <c r="A12347" i="1"/>
  <c r="F12347" i="1"/>
  <c r="B12348" i="1"/>
  <c r="A12348" i="1"/>
  <c r="F12348" i="1"/>
  <c r="B12349" i="1"/>
  <c r="A12349" i="1"/>
  <c r="F12349" i="1"/>
  <c r="B12350" i="1"/>
  <c r="A12350" i="1"/>
  <c r="F12350" i="1"/>
  <c r="B12351" i="1"/>
  <c r="A12351" i="1"/>
  <c r="F12351" i="1"/>
  <c r="B12352" i="1"/>
  <c r="A12352" i="1"/>
  <c r="F12352" i="1"/>
  <c r="B12353" i="1"/>
  <c r="A12353" i="1"/>
  <c r="F12353" i="1"/>
  <c r="B12354" i="1"/>
  <c r="A12354" i="1"/>
  <c r="F12354" i="1"/>
  <c r="B12355" i="1"/>
  <c r="A12355" i="1"/>
  <c r="F12355" i="1"/>
  <c r="B12356" i="1"/>
  <c r="A12356" i="1"/>
  <c r="F12356" i="1"/>
  <c r="B12357" i="1"/>
  <c r="A12357" i="1"/>
  <c r="F12357" i="1"/>
  <c r="B12358" i="1"/>
  <c r="A12358" i="1"/>
  <c r="F12358" i="1"/>
  <c r="B12359" i="1"/>
  <c r="A12359" i="1"/>
  <c r="F12359" i="1"/>
  <c r="B12360" i="1"/>
  <c r="A12360" i="1"/>
  <c r="F12360" i="1"/>
  <c r="B12361" i="1"/>
  <c r="A12361" i="1"/>
  <c r="F12361" i="1"/>
  <c r="B12362" i="1"/>
  <c r="A12362" i="1"/>
  <c r="F12362" i="1"/>
  <c r="B12363" i="1"/>
  <c r="A12363" i="1"/>
  <c r="F12363" i="1"/>
  <c r="B12364" i="1"/>
  <c r="A12364" i="1"/>
  <c r="F12364" i="1"/>
  <c r="B12365" i="1"/>
  <c r="A12365" i="1"/>
  <c r="F12365" i="1"/>
  <c r="B12366" i="1"/>
  <c r="A12366" i="1"/>
  <c r="F12366" i="1"/>
  <c r="B12367" i="1"/>
  <c r="A12367" i="1"/>
  <c r="F12367" i="1"/>
  <c r="B12368" i="1"/>
  <c r="A12368" i="1"/>
  <c r="F12368" i="1"/>
  <c r="B12369" i="1"/>
  <c r="A12369" i="1"/>
  <c r="F12369" i="1"/>
  <c r="B12370" i="1"/>
  <c r="A12370" i="1"/>
  <c r="F12370" i="1"/>
  <c r="B12371" i="1"/>
  <c r="A12371" i="1"/>
  <c r="F12371" i="1"/>
  <c r="B12372" i="1"/>
  <c r="A12372" i="1"/>
  <c r="F12372" i="1"/>
  <c r="B12373" i="1"/>
  <c r="A12373" i="1"/>
  <c r="F12373" i="1"/>
  <c r="B12374" i="1"/>
  <c r="A12374" i="1"/>
  <c r="F12374" i="1"/>
  <c r="B12375" i="1"/>
  <c r="A12375" i="1"/>
  <c r="F12375" i="1"/>
  <c r="B12376" i="1"/>
  <c r="A12376" i="1"/>
  <c r="F12376" i="1"/>
  <c r="B12377" i="1"/>
  <c r="A12377" i="1"/>
  <c r="F12377" i="1"/>
  <c r="B12378" i="1"/>
  <c r="A12378" i="1"/>
  <c r="F12378" i="1"/>
  <c r="B12379" i="1"/>
  <c r="A12379" i="1"/>
  <c r="F12379" i="1"/>
  <c r="B12380" i="1"/>
  <c r="A12380" i="1"/>
  <c r="F12380" i="1"/>
  <c r="B12381" i="1"/>
  <c r="A12381" i="1"/>
  <c r="F12381" i="1"/>
  <c r="B12382" i="1"/>
  <c r="A12382" i="1"/>
  <c r="F12382" i="1"/>
  <c r="B12383" i="1"/>
  <c r="A12383" i="1"/>
  <c r="F12383" i="1"/>
  <c r="B12384" i="1"/>
  <c r="A12384" i="1"/>
  <c r="F12384" i="1"/>
  <c r="B12385" i="1"/>
  <c r="A12385" i="1"/>
  <c r="F12385" i="1"/>
  <c r="B12386" i="1"/>
  <c r="A12386" i="1"/>
  <c r="F12386" i="1"/>
  <c r="B12387" i="1"/>
  <c r="A12387" i="1"/>
  <c r="F12387" i="1"/>
  <c r="B12388" i="1"/>
  <c r="A12388" i="1"/>
  <c r="F12388" i="1"/>
  <c r="B12389" i="1"/>
  <c r="A12389" i="1"/>
  <c r="F12389" i="1"/>
  <c r="B12390" i="1"/>
  <c r="A12390" i="1"/>
  <c r="F12390" i="1"/>
  <c r="B12391" i="1"/>
  <c r="A12391" i="1"/>
  <c r="F12391" i="1"/>
  <c r="B12392" i="1"/>
  <c r="A12392" i="1"/>
  <c r="F12392" i="1"/>
  <c r="B12393" i="1"/>
  <c r="A12393" i="1"/>
  <c r="F12393" i="1"/>
  <c r="B12394" i="1"/>
  <c r="A12394" i="1"/>
  <c r="F12394" i="1"/>
  <c r="B12395" i="1"/>
  <c r="A12395" i="1"/>
  <c r="F12395" i="1"/>
  <c r="B12396" i="1"/>
  <c r="A12396" i="1"/>
  <c r="F12396" i="1"/>
  <c r="B12397" i="1"/>
  <c r="A12397" i="1"/>
  <c r="F12397" i="1"/>
  <c r="B12398" i="1"/>
  <c r="A12398" i="1"/>
  <c r="F12398" i="1"/>
  <c r="B12399" i="1"/>
  <c r="A12399" i="1"/>
  <c r="F12399" i="1"/>
  <c r="B12400" i="1"/>
  <c r="A12400" i="1"/>
  <c r="F12400" i="1"/>
  <c r="B12401" i="1"/>
  <c r="A12401" i="1"/>
  <c r="F12401" i="1"/>
  <c r="B12402" i="1"/>
  <c r="A12402" i="1"/>
  <c r="F12402" i="1"/>
  <c r="B12403" i="1"/>
  <c r="A12403" i="1"/>
  <c r="F12403" i="1"/>
  <c r="B12404" i="1"/>
  <c r="A12404" i="1"/>
  <c r="F12404" i="1"/>
  <c r="B12405" i="1"/>
  <c r="A12405" i="1"/>
  <c r="F12405" i="1"/>
  <c r="B12406" i="1"/>
  <c r="A12406" i="1"/>
  <c r="F12406" i="1"/>
  <c r="B12407" i="1"/>
  <c r="A12407" i="1"/>
  <c r="F12407" i="1"/>
  <c r="B12408" i="1"/>
  <c r="A12408" i="1"/>
  <c r="F12408" i="1"/>
  <c r="B12409" i="1"/>
  <c r="A12409" i="1"/>
  <c r="F12409" i="1"/>
  <c r="B12410" i="1"/>
  <c r="A12410" i="1"/>
  <c r="F12410" i="1"/>
  <c r="B12411" i="1"/>
  <c r="A12411" i="1"/>
  <c r="F12411" i="1"/>
  <c r="B12412" i="1"/>
  <c r="A12412" i="1"/>
  <c r="F12412" i="1"/>
  <c r="B12413" i="1"/>
  <c r="A12413" i="1"/>
  <c r="F12413" i="1"/>
  <c r="B12414" i="1"/>
  <c r="A12414" i="1"/>
  <c r="F12414" i="1"/>
  <c r="B12415" i="1"/>
  <c r="A12415" i="1"/>
  <c r="F12415" i="1"/>
  <c r="B12416" i="1"/>
  <c r="A12416" i="1"/>
  <c r="F12416" i="1"/>
  <c r="B12417" i="1"/>
  <c r="A12417" i="1"/>
  <c r="F12417" i="1"/>
  <c r="B12418" i="1"/>
  <c r="A12418" i="1"/>
  <c r="F12418" i="1"/>
  <c r="B12419" i="1"/>
  <c r="A12419" i="1"/>
  <c r="F12419" i="1"/>
  <c r="B12420" i="1"/>
  <c r="A12420" i="1"/>
  <c r="F12420" i="1"/>
  <c r="B12421" i="1"/>
  <c r="A12421" i="1"/>
  <c r="F12421" i="1"/>
  <c r="B12422" i="1"/>
  <c r="A12422" i="1"/>
  <c r="F12422" i="1"/>
  <c r="B12423" i="1"/>
  <c r="A12423" i="1"/>
  <c r="F12423" i="1"/>
  <c r="B12424" i="1"/>
  <c r="A12424" i="1"/>
  <c r="F12424" i="1"/>
  <c r="B12425" i="1"/>
  <c r="A12425" i="1"/>
  <c r="F12425" i="1"/>
  <c r="B12426" i="1"/>
  <c r="A12426" i="1"/>
  <c r="F12426" i="1"/>
  <c r="B12427" i="1"/>
  <c r="A12427" i="1"/>
  <c r="F12427" i="1"/>
  <c r="B12428" i="1"/>
  <c r="A12428" i="1"/>
  <c r="F12428" i="1"/>
  <c r="B12429" i="1"/>
  <c r="A12429" i="1"/>
  <c r="F12429" i="1"/>
  <c r="B12430" i="1"/>
  <c r="A12430" i="1"/>
  <c r="F12430" i="1"/>
  <c r="B12431" i="1"/>
  <c r="A12431" i="1"/>
  <c r="F12431" i="1"/>
  <c r="B12432" i="1"/>
  <c r="A12432" i="1"/>
  <c r="F12432" i="1"/>
  <c r="B12433" i="1"/>
  <c r="A12433" i="1"/>
  <c r="F12433" i="1"/>
  <c r="B12434" i="1"/>
  <c r="A12434" i="1"/>
  <c r="F12434" i="1"/>
  <c r="B12435" i="1"/>
  <c r="A12435" i="1"/>
  <c r="F12435" i="1"/>
  <c r="B12436" i="1"/>
  <c r="A12436" i="1"/>
  <c r="F12436" i="1"/>
  <c r="B12437" i="1"/>
  <c r="A12437" i="1"/>
  <c r="F12437" i="1"/>
  <c r="B12438" i="1"/>
  <c r="A12438" i="1"/>
  <c r="F12438" i="1"/>
  <c r="B12439" i="1"/>
  <c r="A12439" i="1"/>
  <c r="F12439" i="1"/>
  <c r="B12440" i="1"/>
  <c r="A12440" i="1"/>
  <c r="F12440" i="1"/>
  <c r="B12441" i="1"/>
  <c r="A12441" i="1"/>
  <c r="F12441" i="1"/>
  <c r="B12442" i="1"/>
  <c r="A12442" i="1"/>
  <c r="F12442" i="1"/>
  <c r="B12443" i="1"/>
  <c r="A12443" i="1"/>
  <c r="F12443" i="1"/>
  <c r="B12444" i="1"/>
  <c r="A12444" i="1"/>
  <c r="F12444" i="1"/>
  <c r="B12445" i="1"/>
  <c r="A12445" i="1"/>
  <c r="F12445" i="1"/>
  <c r="B12446" i="1"/>
  <c r="A12446" i="1"/>
  <c r="F12446" i="1"/>
  <c r="B12447" i="1"/>
  <c r="A12447" i="1"/>
  <c r="F12447" i="1"/>
  <c r="B12448" i="1"/>
  <c r="A12448" i="1"/>
  <c r="F12448" i="1"/>
  <c r="B12449" i="1"/>
  <c r="A12449" i="1"/>
  <c r="F12449" i="1"/>
  <c r="B12450" i="1"/>
  <c r="A12450" i="1"/>
  <c r="F12450" i="1"/>
  <c r="B12451" i="1"/>
  <c r="A12451" i="1"/>
  <c r="F12451" i="1"/>
  <c r="B12452" i="1"/>
  <c r="A12452" i="1"/>
  <c r="F12452" i="1"/>
  <c r="B12453" i="1"/>
  <c r="A12453" i="1"/>
  <c r="F12453" i="1"/>
  <c r="B12454" i="1"/>
  <c r="A12454" i="1"/>
  <c r="F12454" i="1"/>
  <c r="B12455" i="1"/>
  <c r="A12455" i="1"/>
  <c r="F12455" i="1"/>
  <c r="B12456" i="1"/>
  <c r="A12456" i="1"/>
  <c r="F12456" i="1"/>
  <c r="B12457" i="1"/>
  <c r="A12457" i="1"/>
  <c r="F12457" i="1"/>
  <c r="B12458" i="1"/>
  <c r="A12458" i="1"/>
  <c r="F12458" i="1"/>
  <c r="B12459" i="1"/>
  <c r="A12459" i="1"/>
  <c r="F12459" i="1"/>
  <c r="B12460" i="1"/>
  <c r="A12460" i="1"/>
  <c r="F12460" i="1"/>
  <c r="B12461" i="1"/>
  <c r="A12461" i="1"/>
  <c r="F12461" i="1"/>
  <c r="B12462" i="1"/>
  <c r="A12462" i="1"/>
  <c r="F12462" i="1"/>
  <c r="B12463" i="1"/>
  <c r="A12463" i="1"/>
  <c r="F12463" i="1"/>
  <c r="B12464" i="1"/>
  <c r="A12464" i="1"/>
  <c r="F12464" i="1"/>
  <c r="B12465" i="1"/>
  <c r="A12465" i="1"/>
  <c r="F12465" i="1"/>
  <c r="B12466" i="1"/>
  <c r="A12466" i="1"/>
  <c r="F12466" i="1"/>
  <c r="B12467" i="1"/>
  <c r="A12467" i="1"/>
  <c r="F12467" i="1"/>
  <c r="B12468" i="1"/>
  <c r="A12468" i="1"/>
  <c r="F12468" i="1"/>
  <c r="B12469" i="1"/>
  <c r="A12469" i="1"/>
  <c r="F12469" i="1"/>
  <c r="B12470" i="1"/>
  <c r="A12470" i="1"/>
  <c r="F12470" i="1"/>
  <c r="B12471" i="1"/>
  <c r="A12471" i="1"/>
  <c r="F12471" i="1"/>
  <c r="B12472" i="1"/>
  <c r="A12472" i="1"/>
  <c r="F12472" i="1"/>
  <c r="B12473" i="1"/>
  <c r="A12473" i="1"/>
  <c r="F12473" i="1"/>
  <c r="B12474" i="1"/>
  <c r="A12474" i="1"/>
  <c r="F12474" i="1"/>
  <c r="B12475" i="1"/>
  <c r="A12475" i="1"/>
  <c r="F12475" i="1"/>
  <c r="B12476" i="1"/>
  <c r="A12476" i="1"/>
  <c r="F12476" i="1"/>
  <c r="B12477" i="1"/>
  <c r="A12477" i="1"/>
  <c r="F12477" i="1"/>
  <c r="B12478" i="1"/>
  <c r="A12478" i="1"/>
  <c r="F12478" i="1"/>
  <c r="B12479" i="1"/>
  <c r="A12479" i="1"/>
  <c r="F12479" i="1"/>
  <c r="B12480" i="1"/>
  <c r="A12480" i="1"/>
  <c r="F12480" i="1"/>
  <c r="B12481" i="1"/>
  <c r="A12481" i="1"/>
  <c r="F12481" i="1"/>
  <c r="B12482" i="1"/>
  <c r="A12482" i="1"/>
  <c r="F12482" i="1"/>
  <c r="B12483" i="1"/>
  <c r="A12483" i="1"/>
  <c r="F12483" i="1"/>
  <c r="B12484" i="1"/>
  <c r="A12484" i="1"/>
  <c r="F12484" i="1"/>
  <c r="B12485" i="1"/>
  <c r="A12485" i="1"/>
  <c r="F12485" i="1"/>
  <c r="B12486" i="1"/>
  <c r="A12486" i="1"/>
  <c r="F12486" i="1"/>
  <c r="B12487" i="1"/>
  <c r="A12487" i="1"/>
  <c r="F12487" i="1"/>
  <c r="B12488" i="1"/>
  <c r="A12488" i="1"/>
  <c r="F12488" i="1"/>
  <c r="B12489" i="1"/>
  <c r="A12489" i="1"/>
  <c r="F12489" i="1"/>
  <c r="B12490" i="1"/>
  <c r="A12490" i="1"/>
  <c r="F12490" i="1"/>
  <c r="B12491" i="1"/>
  <c r="A12491" i="1"/>
  <c r="F12491" i="1"/>
  <c r="B12492" i="1"/>
  <c r="A12492" i="1"/>
  <c r="F12492" i="1"/>
  <c r="B12493" i="1"/>
  <c r="A12493" i="1"/>
  <c r="F12493" i="1"/>
  <c r="B12494" i="1"/>
  <c r="A12494" i="1"/>
  <c r="F12494" i="1"/>
  <c r="B12495" i="1"/>
  <c r="A12495" i="1"/>
  <c r="F12495" i="1"/>
  <c r="B12496" i="1"/>
  <c r="A12496" i="1"/>
  <c r="F12496" i="1"/>
  <c r="B12497" i="1"/>
  <c r="A12497" i="1"/>
  <c r="F12497" i="1"/>
  <c r="B12498" i="1"/>
  <c r="A12498" i="1"/>
  <c r="F12498" i="1"/>
  <c r="B12499" i="1"/>
  <c r="A12499" i="1"/>
  <c r="F12499" i="1"/>
  <c r="B12500" i="1"/>
  <c r="A12500" i="1"/>
  <c r="F12500" i="1"/>
  <c r="B12501" i="1"/>
  <c r="A12501" i="1"/>
  <c r="F12501" i="1"/>
  <c r="B12502" i="1"/>
  <c r="A12502" i="1"/>
  <c r="F12502" i="1"/>
  <c r="B12503" i="1"/>
  <c r="A12503" i="1"/>
  <c r="F12503" i="1"/>
  <c r="B12504" i="1"/>
  <c r="A12504" i="1"/>
  <c r="F12504" i="1"/>
  <c r="B12505" i="1"/>
  <c r="A12505" i="1"/>
  <c r="F12505" i="1"/>
  <c r="B12506" i="1"/>
  <c r="A12506" i="1"/>
  <c r="F12506" i="1"/>
  <c r="B12507" i="1"/>
  <c r="A12507" i="1"/>
  <c r="F12507" i="1"/>
  <c r="B12508" i="1"/>
  <c r="A12508" i="1"/>
  <c r="F12508" i="1"/>
  <c r="B12509" i="1"/>
  <c r="A12509" i="1"/>
  <c r="F12509" i="1"/>
  <c r="B12510" i="1"/>
  <c r="A12510" i="1"/>
  <c r="F12510" i="1"/>
  <c r="B12511" i="1"/>
  <c r="A12511" i="1"/>
  <c r="F12511" i="1"/>
  <c r="B12512" i="1"/>
  <c r="A12512" i="1"/>
  <c r="F12512" i="1"/>
  <c r="B12513" i="1"/>
  <c r="A12513" i="1"/>
  <c r="F12513" i="1"/>
  <c r="B12514" i="1"/>
  <c r="A12514" i="1"/>
  <c r="F12514" i="1"/>
  <c r="B12515" i="1"/>
  <c r="A12515" i="1"/>
  <c r="F12515" i="1"/>
  <c r="B12516" i="1"/>
  <c r="A12516" i="1"/>
  <c r="F12516" i="1"/>
  <c r="B12517" i="1"/>
  <c r="A12517" i="1"/>
  <c r="F12517" i="1"/>
  <c r="B12518" i="1"/>
  <c r="A12518" i="1"/>
  <c r="F12518" i="1"/>
  <c r="B12519" i="1"/>
  <c r="A12519" i="1"/>
  <c r="F12519" i="1"/>
  <c r="B12520" i="1"/>
  <c r="A12520" i="1"/>
  <c r="F12520" i="1"/>
  <c r="B12521" i="1"/>
  <c r="A12521" i="1"/>
  <c r="F12521" i="1"/>
  <c r="B12522" i="1"/>
  <c r="A12522" i="1"/>
  <c r="F12522" i="1"/>
  <c r="B12523" i="1"/>
  <c r="A12523" i="1"/>
  <c r="F12523" i="1"/>
  <c r="B12524" i="1"/>
  <c r="A12524" i="1"/>
  <c r="F12524" i="1"/>
  <c r="B12525" i="1"/>
  <c r="A12525" i="1"/>
  <c r="F12525" i="1"/>
  <c r="B12526" i="1"/>
  <c r="A12526" i="1"/>
  <c r="F12526" i="1"/>
  <c r="B12527" i="1"/>
  <c r="A12527" i="1"/>
  <c r="F12527" i="1"/>
  <c r="B12528" i="1"/>
  <c r="A12528" i="1"/>
  <c r="F12528" i="1"/>
  <c r="B12529" i="1"/>
  <c r="A12529" i="1"/>
  <c r="F12529" i="1"/>
  <c r="B12530" i="1"/>
  <c r="A12530" i="1"/>
  <c r="F12530" i="1"/>
  <c r="B12531" i="1"/>
  <c r="A12531" i="1"/>
  <c r="F12531" i="1"/>
  <c r="B12532" i="1"/>
  <c r="A12532" i="1"/>
  <c r="F12532" i="1"/>
  <c r="B12533" i="1"/>
  <c r="A12533" i="1"/>
  <c r="F12533" i="1"/>
  <c r="B12534" i="1"/>
  <c r="A12534" i="1"/>
  <c r="F12534" i="1"/>
  <c r="B12535" i="1"/>
  <c r="A12535" i="1"/>
  <c r="F12535" i="1"/>
  <c r="B12536" i="1"/>
  <c r="A12536" i="1"/>
  <c r="F12536" i="1"/>
  <c r="B12537" i="1"/>
  <c r="A12537" i="1"/>
  <c r="F12537" i="1"/>
  <c r="B12538" i="1"/>
  <c r="A12538" i="1"/>
  <c r="F12538" i="1"/>
  <c r="B12539" i="1"/>
  <c r="A12539" i="1"/>
  <c r="F12539" i="1"/>
  <c r="B12540" i="1"/>
  <c r="A12540" i="1"/>
  <c r="F12540" i="1"/>
  <c r="B12541" i="1"/>
  <c r="A12541" i="1"/>
  <c r="F12541" i="1"/>
  <c r="B12542" i="1"/>
  <c r="A12542" i="1"/>
  <c r="F12542" i="1"/>
  <c r="B12543" i="1"/>
  <c r="A12543" i="1"/>
  <c r="F12543" i="1"/>
  <c r="B12544" i="1"/>
  <c r="A12544" i="1"/>
  <c r="F12544" i="1"/>
  <c r="B12545" i="1"/>
  <c r="A12545" i="1"/>
  <c r="F12545" i="1"/>
  <c r="B12546" i="1"/>
  <c r="A12546" i="1"/>
  <c r="F12546" i="1"/>
  <c r="B12547" i="1"/>
  <c r="A12547" i="1"/>
  <c r="F12547" i="1"/>
  <c r="B12548" i="1"/>
  <c r="A12548" i="1"/>
  <c r="F12548" i="1"/>
  <c r="B12549" i="1"/>
  <c r="A12549" i="1"/>
  <c r="F12549" i="1"/>
  <c r="B12550" i="1"/>
  <c r="A12550" i="1"/>
  <c r="F12550" i="1"/>
  <c r="B12551" i="1"/>
  <c r="A12551" i="1"/>
  <c r="F12551" i="1"/>
  <c r="B12552" i="1"/>
  <c r="A12552" i="1"/>
  <c r="F12552" i="1"/>
  <c r="B12553" i="1"/>
  <c r="A12553" i="1"/>
  <c r="F12553" i="1"/>
  <c r="B12554" i="1"/>
  <c r="A12554" i="1"/>
  <c r="F12554" i="1"/>
  <c r="B12555" i="1"/>
  <c r="A12555" i="1"/>
  <c r="F12555" i="1"/>
  <c r="B12556" i="1"/>
  <c r="A12556" i="1"/>
  <c r="F12556" i="1"/>
  <c r="B12557" i="1"/>
  <c r="A12557" i="1"/>
  <c r="F12557" i="1"/>
  <c r="B12558" i="1"/>
  <c r="A12558" i="1"/>
  <c r="F12558" i="1"/>
  <c r="B12559" i="1"/>
  <c r="A12559" i="1"/>
  <c r="F12559" i="1"/>
  <c r="B12560" i="1"/>
  <c r="A12560" i="1"/>
  <c r="F12560" i="1"/>
  <c r="B12561" i="1"/>
  <c r="A12561" i="1"/>
  <c r="F12561" i="1"/>
  <c r="B12562" i="1"/>
  <c r="A12562" i="1"/>
  <c r="F12562" i="1"/>
  <c r="B12563" i="1"/>
  <c r="A12563" i="1"/>
  <c r="F12563" i="1"/>
  <c r="B12564" i="1"/>
  <c r="A12564" i="1"/>
  <c r="F12564" i="1"/>
  <c r="B12565" i="1"/>
  <c r="A12565" i="1"/>
  <c r="F12565" i="1"/>
  <c r="B12566" i="1"/>
  <c r="A12566" i="1"/>
  <c r="F12566" i="1"/>
  <c r="B12567" i="1"/>
  <c r="A12567" i="1"/>
  <c r="F12567" i="1"/>
  <c r="B12568" i="1"/>
  <c r="A12568" i="1"/>
  <c r="F12568" i="1"/>
  <c r="B12569" i="1"/>
  <c r="A12569" i="1"/>
  <c r="F12569" i="1"/>
  <c r="B12570" i="1"/>
  <c r="A12570" i="1"/>
  <c r="F12570" i="1"/>
  <c r="B12571" i="1"/>
  <c r="A12571" i="1"/>
  <c r="F12571" i="1"/>
  <c r="B12572" i="1"/>
  <c r="A12572" i="1"/>
  <c r="F12572" i="1"/>
  <c r="B12573" i="1"/>
  <c r="A12573" i="1"/>
  <c r="F12573" i="1"/>
  <c r="B12574" i="1"/>
  <c r="A12574" i="1"/>
  <c r="F12574" i="1"/>
  <c r="B12575" i="1"/>
  <c r="A12575" i="1"/>
  <c r="F12575" i="1"/>
  <c r="B12576" i="1"/>
  <c r="A12576" i="1"/>
  <c r="F12576" i="1"/>
  <c r="B12577" i="1"/>
  <c r="A12577" i="1"/>
  <c r="F12577" i="1"/>
  <c r="B12578" i="1"/>
  <c r="A12578" i="1"/>
  <c r="F12578" i="1"/>
  <c r="B12579" i="1"/>
  <c r="A12579" i="1"/>
  <c r="F12579" i="1"/>
  <c r="B12580" i="1"/>
  <c r="A12580" i="1"/>
  <c r="F12580" i="1"/>
  <c r="B12581" i="1"/>
  <c r="A12581" i="1"/>
  <c r="F12581" i="1"/>
  <c r="B12582" i="1"/>
  <c r="A12582" i="1"/>
  <c r="F12582" i="1"/>
  <c r="B12583" i="1"/>
  <c r="A12583" i="1"/>
  <c r="F12583" i="1"/>
  <c r="B12584" i="1"/>
  <c r="A12584" i="1"/>
  <c r="F12584" i="1"/>
  <c r="B12585" i="1"/>
  <c r="A12585" i="1"/>
  <c r="F12585" i="1"/>
  <c r="B12586" i="1"/>
  <c r="A12586" i="1"/>
  <c r="F12586" i="1"/>
  <c r="B12587" i="1"/>
  <c r="A12587" i="1"/>
  <c r="F12587" i="1"/>
  <c r="B12588" i="1"/>
  <c r="A12588" i="1"/>
  <c r="F12588" i="1"/>
  <c r="B12589" i="1"/>
  <c r="A12589" i="1"/>
  <c r="F12589" i="1"/>
  <c r="B12590" i="1"/>
  <c r="A12590" i="1"/>
  <c r="F12590" i="1"/>
  <c r="B12591" i="1"/>
  <c r="A12591" i="1"/>
  <c r="F12591" i="1"/>
  <c r="B12592" i="1"/>
  <c r="A12592" i="1"/>
  <c r="F12592" i="1"/>
  <c r="B12593" i="1"/>
  <c r="A12593" i="1"/>
  <c r="F12593" i="1"/>
  <c r="B12594" i="1"/>
  <c r="A12594" i="1"/>
  <c r="F12594" i="1"/>
  <c r="B12595" i="1"/>
  <c r="A12595" i="1"/>
  <c r="F12595" i="1"/>
  <c r="B12596" i="1"/>
  <c r="A12596" i="1"/>
  <c r="F12596" i="1"/>
  <c r="B12597" i="1"/>
  <c r="A12597" i="1"/>
  <c r="F12597" i="1"/>
  <c r="B12598" i="1"/>
  <c r="A12598" i="1"/>
  <c r="F12598" i="1"/>
  <c r="B12599" i="1"/>
  <c r="A12599" i="1"/>
  <c r="F12599" i="1"/>
  <c r="B12600" i="1"/>
  <c r="A12600" i="1"/>
  <c r="F12600" i="1"/>
  <c r="B12601" i="1"/>
  <c r="A12601" i="1"/>
  <c r="F12601" i="1"/>
  <c r="B12602" i="1"/>
  <c r="A12602" i="1"/>
  <c r="F12602" i="1"/>
  <c r="B12603" i="1"/>
  <c r="A12603" i="1"/>
  <c r="F12603" i="1"/>
  <c r="B12604" i="1"/>
  <c r="A12604" i="1"/>
  <c r="F12604" i="1"/>
  <c r="B12605" i="1"/>
  <c r="A12605" i="1"/>
  <c r="F12605" i="1"/>
  <c r="B12606" i="1"/>
  <c r="A12606" i="1"/>
  <c r="F12606" i="1"/>
  <c r="B12607" i="1"/>
  <c r="A12607" i="1"/>
  <c r="F12607" i="1"/>
  <c r="B12608" i="1"/>
  <c r="A12608" i="1"/>
  <c r="F12608" i="1"/>
  <c r="B12609" i="1"/>
  <c r="A12609" i="1"/>
  <c r="F12609" i="1"/>
  <c r="B12610" i="1"/>
  <c r="A12610" i="1"/>
  <c r="F12610" i="1"/>
  <c r="B12611" i="1"/>
  <c r="A12611" i="1"/>
  <c r="F12611" i="1"/>
  <c r="B12612" i="1"/>
  <c r="A12612" i="1"/>
  <c r="F12612" i="1"/>
  <c r="B12613" i="1"/>
  <c r="A12613" i="1"/>
  <c r="F12613" i="1"/>
  <c r="B12614" i="1"/>
  <c r="A12614" i="1"/>
  <c r="F12614" i="1"/>
  <c r="B12615" i="1"/>
  <c r="A12615" i="1"/>
  <c r="F12615" i="1"/>
  <c r="B12616" i="1"/>
  <c r="A12616" i="1"/>
  <c r="F12616" i="1"/>
  <c r="B12617" i="1"/>
  <c r="A12617" i="1"/>
  <c r="F12617" i="1"/>
  <c r="B12618" i="1"/>
  <c r="A12618" i="1"/>
  <c r="F12618" i="1"/>
  <c r="B12619" i="1"/>
  <c r="A12619" i="1"/>
  <c r="F12619" i="1"/>
  <c r="B12620" i="1"/>
  <c r="A12620" i="1"/>
  <c r="F12620" i="1"/>
  <c r="B12621" i="1"/>
  <c r="A12621" i="1"/>
  <c r="F12621" i="1"/>
  <c r="B12622" i="1"/>
  <c r="A12622" i="1"/>
  <c r="F12622" i="1"/>
  <c r="B12623" i="1"/>
  <c r="A12623" i="1"/>
  <c r="F12623" i="1"/>
  <c r="B12624" i="1"/>
  <c r="A12624" i="1"/>
  <c r="F12624" i="1"/>
  <c r="B12625" i="1"/>
  <c r="A12625" i="1"/>
  <c r="F12625" i="1"/>
  <c r="B12626" i="1"/>
  <c r="A12626" i="1"/>
  <c r="F12626" i="1"/>
  <c r="B12627" i="1"/>
  <c r="A12627" i="1"/>
  <c r="F12627" i="1"/>
  <c r="B12628" i="1"/>
  <c r="A12628" i="1"/>
  <c r="F12628" i="1"/>
  <c r="B12629" i="1"/>
  <c r="A12629" i="1"/>
  <c r="F12629" i="1"/>
  <c r="B12630" i="1"/>
  <c r="A12630" i="1"/>
  <c r="F12630" i="1"/>
  <c r="B12631" i="1"/>
  <c r="A12631" i="1"/>
  <c r="F12631" i="1"/>
  <c r="B12632" i="1"/>
  <c r="A12632" i="1"/>
  <c r="F12632" i="1"/>
  <c r="B12633" i="1"/>
  <c r="A12633" i="1"/>
  <c r="F12633" i="1"/>
  <c r="B12634" i="1"/>
  <c r="A12634" i="1"/>
  <c r="F12634" i="1"/>
  <c r="B12635" i="1"/>
  <c r="A12635" i="1"/>
  <c r="F12635" i="1"/>
  <c r="B12636" i="1"/>
  <c r="A12636" i="1"/>
  <c r="F12636" i="1"/>
  <c r="B12637" i="1"/>
  <c r="A12637" i="1"/>
  <c r="F12637" i="1"/>
  <c r="B12638" i="1"/>
  <c r="A12638" i="1"/>
  <c r="F12638" i="1"/>
  <c r="B12639" i="1"/>
  <c r="A12639" i="1"/>
  <c r="F12639" i="1"/>
  <c r="B12640" i="1"/>
  <c r="A12640" i="1"/>
  <c r="F12640" i="1"/>
  <c r="B12641" i="1"/>
  <c r="A12641" i="1"/>
  <c r="F12641" i="1"/>
  <c r="B12642" i="1"/>
  <c r="A12642" i="1"/>
  <c r="F12642" i="1"/>
  <c r="B12643" i="1"/>
  <c r="A12643" i="1"/>
  <c r="F12643" i="1"/>
  <c r="B12644" i="1"/>
  <c r="A12644" i="1"/>
  <c r="F12644" i="1"/>
  <c r="B12645" i="1"/>
  <c r="A12645" i="1"/>
  <c r="F12645" i="1"/>
  <c r="B12646" i="1"/>
  <c r="A12646" i="1"/>
  <c r="F12646" i="1"/>
  <c r="B12647" i="1"/>
  <c r="A12647" i="1"/>
  <c r="F12647" i="1"/>
  <c r="B12648" i="1"/>
  <c r="A12648" i="1"/>
  <c r="F12648" i="1"/>
  <c r="B12649" i="1"/>
  <c r="A12649" i="1"/>
  <c r="F12649" i="1"/>
  <c r="B12650" i="1"/>
  <c r="A12650" i="1"/>
  <c r="F12650" i="1"/>
  <c r="B12651" i="1"/>
  <c r="A12651" i="1"/>
  <c r="F12651" i="1"/>
  <c r="B12652" i="1"/>
  <c r="A12652" i="1"/>
  <c r="F12652" i="1"/>
  <c r="B12653" i="1"/>
  <c r="A12653" i="1"/>
  <c r="F12653" i="1"/>
  <c r="B12654" i="1"/>
  <c r="A12654" i="1"/>
  <c r="F12654" i="1"/>
  <c r="B12655" i="1"/>
  <c r="A12655" i="1"/>
  <c r="F12655" i="1"/>
  <c r="B12656" i="1"/>
  <c r="A12656" i="1"/>
  <c r="F12656" i="1"/>
  <c r="B12657" i="1"/>
  <c r="A12657" i="1"/>
  <c r="F12657" i="1"/>
  <c r="B12658" i="1"/>
  <c r="A12658" i="1"/>
  <c r="F12658" i="1"/>
  <c r="B12659" i="1"/>
  <c r="A12659" i="1"/>
  <c r="F12659" i="1"/>
  <c r="B12660" i="1"/>
  <c r="A12660" i="1"/>
  <c r="F12660" i="1"/>
  <c r="B12661" i="1"/>
  <c r="A12661" i="1"/>
  <c r="F12661" i="1"/>
  <c r="B12662" i="1"/>
  <c r="A12662" i="1"/>
  <c r="F12662" i="1"/>
  <c r="B12663" i="1"/>
  <c r="A12663" i="1"/>
  <c r="F12663" i="1"/>
  <c r="B12664" i="1"/>
  <c r="A12664" i="1"/>
  <c r="F12664" i="1"/>
  <c r="B12665" i="1"/>
  <c r="A12665" i="1"/>
  <c r="F12665" i="1"/>
  <c r="B12666" i="1"/>
  <c r="A12666" i="1"/>
  <c r="F12666" i="1"/>
  <c r="B12667" i="1"/>
  <c r="A12667" i="1"/>
  <c r="F12667" i="1"/>
  <c r="B12668" i="1"/>
  <c r="A12668" i="1"/>
  <c r="F12668" i="1"/>
  <c r="B12669" i="1"/>
  <c r="A12669" i="1"/>
  <c r="F12669" i="1"/>
  <c r="B12670" i="1"/>
  <c r="A12670" i="1"/>
  <c r="F12670" i="1"/>
  <c r="B12671" i="1"/>
  <c r="A12671" i="1"/>
  <c r="F12671" i="1"/>
  <c r="B12672" i="1"/>
  <c r="A12672" i="1"/>
  <c r="F12672" i="1"/>
  <c r="B12673" i="1"/>
  <c r="A12673" i="1"/>
  <c r="F12673" i="1"/>
  <c r="B12674" i="1"/>
  <c r="A12674" i="1"/>
  <c r="F12674" i="1"/>
  <c r="B12675" i="1"/>
  <c r="A12675" i="1"/>
  <c r="F12675" i="1"/>
  <c r="B12676" i="1"/>
  <c r="A12676" i="1"/>
  <c r="F12676" i="1"/>
  <c r="B12677" i="1"/>
  <c r="A12677" i="1"/>
  <c r="F12677" i="1"/>
  <c r="B12678" i="1"/>
  <c r="A12678" i="1"/>
  <c r="F12678" i="1"/>
  <c r="B12679" i="1"/>
  <c r="A12679" i="1"/>
  <c r="F12679" i="1"/>
  <c r="B12680" i="1"/>
  <c r="A12680" i="1"/>
  <c r="F12680" i="1"/>
  <c r="B12681" i="1"/>
  <c r="A12681" i="1"/>
  <c r="F12681" i="1"/>
  <c r="B12682" i="1"/>
  <c r="A12682" i="1"/>
  <c r="F12682" i="1"/>
  <c r="B12683" i="1"/>
  <c r="A12683" i="1"/>
  <c r="F12683" i="1"/>
  <c r="B12684" i="1"/>
  <c r="A12684" i="1"/>
  <c r="F12684" i="1"/>
  <c r="B12685" i="1"/>
  <c r="A12685" i="1"/>
  <c r="F12685" i="1"/>
  <c r="B12686" i="1"/>
  <c r="A12686" i="1"/>
  <c r="F12686" i="1"/>
  <c r="B12687" i="1"/>
  <c r="A12687" i="1"/>
  <c r="F12687" i="1"/>
  <c r="B12688" i="1"/>
  <c r="A12688" i="1"/>
  <c r="F12688" i="1"/>
  <c r="B12689" i="1"/>
  <c r="A12689" i="1"/>
  <c r="F12689" i="1"/>
  <c r="B12690" i="1"/>
  <c r="A12690" i="1"/>
  <c r="F12690" i="1"/>
  <c r="B12691" i="1"/>
  <c r="A12691" i="1"/>
  <c r="F12691" i="1"/>
  <c r="B12692" i="1"/>
  <c r="A12692" i="1"/>
  <c r="F12692" i="1"/>
  <c r="B12693" i="1"/>
  <c r="A12693" i="1"/>
  <c r="F12693" i="1"/>
  <c r="B12694" i="1"/>
  <c r="A12694" i="1"/>
  <c r="F12694" i="1"/>
  <c r="B12695" i="1"/>
  <c r="A12695" i="1"/>
  <c r="F12695" i="1"/>
  <c r="B12696" i="1"/>
  <c r="A12696" i="1"/>
  <c r="F12696" i="1"/>
  <c r="B12697" i="1"/>
  <c r="A12697" i="1"/>
  <c r="F12697" i="1"/>
  <c r="B12698" i="1"/>
  <c r="A12698" i="1"/>
  <c r="F12698" i="1"/>
  <c r="B12699" i="1"/>
  <c r="A12699" i="1"/>
  <c r="F12699" i="1"/>
  <c r="B12700" i="1"/>
  <c r="A12700" i="1"/>
  <c r="F12700" i="1"/>
  <c r="B12701" i="1"/>
  <c r="A12701" i="1"/>
  <c r="F12701" i="1"/>
  <c r="B12702" i="1"/>
  <c r="A12702" i="1"/>
  <c r="F12702" i="1"/>
  <c r="B12703" i="1"/>
  <c r="A12703" i="1"/>
  <c r="F12703" i="1"/>
  <c r="B12704" i="1"/>
  <c r="A12704" i="1"/>
  <c r="F12704" i="1"/>
  <c r="B12705" i="1"/>
  <c r="A12705" i="1"/>
  <c r="F12705" i="1"/>
  <c r="B12706" i="1"/>
  <c r="A12706" i="1"/>
  <c r="F12706" i="1"/>
  <c r="B12707" i="1"/>
  <c r="A12707" i="1"/>
  <c r="F12707" i="1"/>
  <c r="B12708" i="1"/>
  <c r="A12708" i="1"/>
  <c r="F12708" i="1"/>
  <c r="B12709" i="1"/>
  <c r="A12709" i="1"/>
  <c r="F12709" i="1"/>
  <c r="B12710" i="1"/>
  <c r="A12710" i="1"/>
  <c r="F12710" i="1"/>
  <c r="B12711" i="1"/>
  <c r="A12711" i="1"/>
  <c r="F12711" i="1"/>
  <c r="B12712" i="1"/>
  <c r="A12712" i="1"/>
  <c r="F12712" i="1"/>
  <c r="B12713" i="1"/>
  <c r="A12713" i="1"/>
  <c r="F12713" i="1"/>
  <c r="B12714" i="1"/>
  <c r="A12714" i="1"/>
  <c r="F12714" i="1"/>
  <c r="B12715" i="1"/>
  <c r="A12715" i="1"/>
  <c r="F12715" i="1"/>
  <c r="B12716" i="1"/>
  <c r="A12716" i="1"/>
  <c r="F12716" i="1"/>
  <c r="B12717" i="1"/>
  <c r="A12717" i="1"/>
  <c r="F12717" i="1"/>
  <c r="B12718" i="1"/>
  <c r="A12718" i="1"/>
  <c r="F12718" i="1"/>
  <c r="B12719" i="1"/>
  <c r="A12719" i="1"/>
  <c r="F12719" i="1"/>
  <c r="B12720" i="1"/>
  <c r="A12720" i="1"/>
  <c r="F12720" i="1"/>
  <c r="B12721" i="1"/>
  <c r="A12721" i="1"/>
  <c r="F12721" i="1"/>
  <c r="B12722" i="1"/>
  <c r="A12722" i="1"/>
  <c r="F12722" i="1"/>
  <c r="B12723" i="1"/>
  <c r="A12723" i="1"/>
  <c r="F12723" i="1"/>
  <c r="B12724" i="1"/>
  <c r="A12724" i="1"/>
  <c r="F12724" i="1"/>
  <c r="B12725" i="1"/>
  <c r="A12725" i="1"/>
  <c r="F12725" i="1"/>
  <c r="B12726" i="1"/>
  <c r="A12726" i="1"/>
  <c r="F12726" i="1"/>
  <c r="B12727" i="1"/>
  <c r="A12727" i="1"/>
  <c r="F12727" i="1"/>
  <c r="B12728" i="1"/>
  <c r="A12728" i="1"/>
  <c r="F12728" i="1"/>
  <c r="B12729" i="1"/>
  <c r="A12729" i="1"/>
  <c r="F12729" i="1"/>
  <c r="B12730" i="1"/>
  <c r="A12730" i="1"/>
  <c r="F12730" i="1"/>
  <c r="B12731" i="1"/>
  <c r="A12731" i="1"/>
  <c r="F12731" i="1"/>
  <c r="B12732" i="1"/>
  <c r="A12732" i="1"/>
  <c r="F12732" i="1"/>
  <c r="B12733" i="1"/>
  <c r="A12733" i="1"/>
  <c r="F12733" i="1"/>
  <c r="B12734" i="1"/>
  <c r="A12734" i="1"/>
  <c r="F12734" i="1"/>
  <c r="B12735" i="1"/>
  <c r="A12735" i="1"/>
  <c r="F12735" i="1"/>
  <c r="B12736" i="1"/>
  <c r="A12736" i="1"/>
  <c r="F12736" i="1"/>
  <c r="B12737" i="1"/>
  <c r="A12737" i="1"/>
  <c r="F12737" i="1"/>
  <c r="B12738" i="1"/>
  <c r="A12738" i="1"/>
  <c r="F12738" i="1"/>
  <c r="B12739" i="1"/>
  <c r="A12739" i="1"/>
  <c r="F12739" i="1"/>
  <c r="B12740" i="1"/>
  <c r="A12740" i="1"/>
  <c r="F12740" i="1"/>
  <c r="B12741" i="1"/>
  <c r="A12741" i="1"/>
  <c r="F12741" i="1"/>
  <c r="B12742" i="1"/>
  <c r="A12742" i="1"/>
  <c r="F12742" i="1"/>
  <c r="B12743" i="1"/>
  <c r="A12743" i="1"/>
  <c r="F12743" i="1"/>
  <c r="B12744" i="1"/>
  <c r="A12744" i="1"/>
  <c r="F12744" i="1"/>
  <c r="B12745" i="1"/>
  <c r="A12745" i="1"/>
  <c r="F12745" i="1"/>
  <c r="B12746" i="1"/>
  <c r="A12746" i="1"/>
  <c r="F12746" i="1"/>
  <c r="B12747" i="1"/>
  <c r="A12747" i="1"/>
  <c r="F12747" i="1"/>
  <c r="B12748" i="1"/>
  <c r="A12748" i="1"/>
  <c r="F12748" i="1"/>
  <c r="B12749" i="1"/>
  <c r="A12749" i="1"/>
  <c r="F12749" i="1"/>
  <c r="B12750" i="1"/>
  <c r="A12750" i="1"/>
  <c r="F12750" i="1"/>
  <c r="B12751" i="1"/>
  <c r="A12751" i="1"/>
  <c r="F12751" i="1"/>
  <c r="B12752" i="1"/>
  <c r="A12752" i="1"/>
  <c r="F12752" i="1"/>
  <c r="B12753" i="1"/>
  <c r="A12753" i="1"/>
  <c r="F12753" i="1"/>
  <c r="B12754" i="1"/>
  <c r="A12754" i="1"/>
  <c r="F12754" i="1"/>
  <c r="B12755" i="1"/>
  <c r="A12755" i="1"/>
  <c r="F12755" i="1"/>
  <c r="B12756" i="1"/>
  <c r="A12756" i="1"/>
  <c r="F12756" i="1"/>
  <c r="B12757" i="1"/>
  <c r="A12757" i="1"/>
  <c r="F12757" i="1"/>
  <c r="B12758" i="1"/>
  <c r="A12758" i="1"/>
  <c r="F12758" i="1"/>
  <c r="B12759" i="1"/>
  <c r="A12759" i="1"/>
  <c r="F12759" i="1"/>
  <c r="B12760" i="1"/>
  <c r="A12760" i="1"/>
  <c r="F12760" i="1"/>
  <c r="B12761" i="1"/>
  <c r="A12761" i="1"/>
  <c r="F12761" i="1"/>
  <c r="B12762" i="1"/>
  <c r="A12762" i="1"/>
  <c r="F12762" i="1"/>
  <c r="B12763" i="1"/>
  <c r="A12763" i="1"/>
  <c r="F12763" i="1"/>
  <c r="B12764" i="1"/>
  <c r="A12764" i="1"/>
  <c r="F12764" i="1"/>
  <c r="B12765" i="1"/>
  <c r="A12765" i="1"/>
  <c r="F12765" i="1"/>
  <c r="B12766" i="1"/>
  <c r="A12766" i="1"/>
  <c r="F12766" i="1"/>
  <c r="B12767" i="1"/>
  <c r="A12767" i="1"/>
  <c r="F12767" i="1"/>
  <c r="B12768" i="1"/>
  <c r="A12768" i="1"/>
  <c r="F12768" i="1"/>
  <c r="B12769" i="1"/>
  <c r="A12769" i="1"/>
  <c r="F12769" i="1"/>
  <c r="B12770" i="1"/>
  <c r="A12770" i="1"/>
  <c r="F12770" i="1"/>
  <c r="B12771" i="1"/>
  <c r="A12771" i="1"/>
  <c r="F12771" i="1"/>
  <c r="B12772" i="1"/>
  <c r="A12772" i="1"/>
  <c r="F12772" i="1"/>
  <c r="B12773" i="1"/>
  <c r="A12773" i="1"/>
  <c r="F12773" i="1"/>
  <c r="B12774" i="1"/>
  <c r="A12774" i="1"/>
  <c r="F12774" i="1"/>
  <c r="B12775" i="1"/>
  <c r="A12775" i="1"/>
  <c r="F12775" i="1"/>
  <c r="B12776" i="1"/>
  <c r="A12776" i="1"/>
  <c r="F12776" i="1"/>
  <c r="B12777" i="1"/>
  <c r="A12777" i="1"/>
  <c r="F12777" i="1"/>
  <c r="B12778" i="1"/>
  <c r="A12778" i="1"/>
  <c r="F12778" i="1"/>
  <c r="B12779" i="1"/>
  <c r="A12779" i="1"/>
  <c r="F12779" i="1"/>
  <c r="B12780" i="1"/>
  <c r="A12780" i="1"/>
  <c r="F12780" i="1"/>
  <c r="B12781" i="1"/>
  <c r="A12781" i="1"/>
  <c r="F12781" i="1"/>
  <c r="B12782" i="1"/>
  <c r="A12782" i="1"/>
  <c r="F12782" i="1"/>
  <c r="B12783" i="1"/>
  <c r="A12783" i="1"/>
  <c r="F12783" i="1"/>
  <c r="B12784" i="1"/>
  <c r="A12784" i="1"/>
  <c r="F12784" i="1"/>
  <c r="B12785" i="1"/>
  <c r="A12785" i="1"/>
  <c r="F12785" i="1"/>
  <c r="B12786" i="1"/>
  <c r="A12786" i="1"/>
  <c r="F12786" i="1"/>
  <c r="B12787" i="1"/>
  <c r="A12787" i="1"/>
  <c r="F12787" i="1"/>
  <c r="B12788" i="1"/>
  <c r="A12788" i="1"/>
  <c r="F12788" i="1"/>
  <c r="B12789" i="1"/>
  <c r="A12789" i="1"/>
  <c r="F12789" i="1"/>
  <c r="B12790" i="1"/>
  <c r="A12790" i="1"/>
  <c r="F12790" i="1"/>
  <c r="B12791" i="1"/>
  <c r="A12791" i="1"/>
  <c r="F12791" i="1"/>
  <c r="B12792" i="1"/>
  <c r="A12792" i="1"/>
  <c r="F12792" i="1"/>
  <c r="B12793" i="1"/>
  <c r="A12793" i="1"/>
  <c r="F12793" i="1"/>
  <c r="B12794" i="1"/>
  <c r="A12794" i="1"/>
  <c r="F12794" i="1"/>
  <c r="B12795" i="1"/>
  <c r="A12795" i="1"/>
  <c r="F12795" i="1"/>
  <c r="B12796" i="1"/>
  <c r="A12796" i="1"/>
  <c r="F12796" i="1"/>
  <c r="B12797" i="1"/>
  <c r="A12797" i="1"/>
  <c r="F12797" i="1"/>
  <c r="B12798" i="1"/>
  <c r="A12798" i="1"/>
  <c r="F12798" i="1"/>
  <c r="B12799" i="1"/>
  <c r="A12799" i="1"/>
  <c r="F12799" i="1"/>
  <c r="B12800" i="1"/>
  <c r="A12800" i="1"/>
  <c r="F12800" i="1"/>
  <c r="B12801" i="1"/>
  <c r="A12801" i="1"/>
  <c r="F12801" i="1"/>
  <c r="B12802" i="1"/>
  <c r="A12802" i="1"/>
  <c r="F12802" i="1"/>
  <c r="B12803" i="1"/>
  <c r="A12803" i="1"/>
  <c r="F12803" i="1"/>
  <c r="B12804" i="1"/>
  <c r="A12804" i="1"/>
  <c r="F12804" i="1"/>
  <c r="B12805" i="1"/>
  <c r="A12805" i="1"/>
  <c r="F12805" i="1"/>
  <c r="B12806" i="1"/>
  <c r="A12806" i="1"/>
  <c r="F12806" i="1"/>
  <c r="B12807" i="1"/>
  <c r="A12807" i="1"/>
  <c r="F12807" i="1"/>
  <c r="B12808" i="1"/>
  <c r="A12808" i="1"/>
  <c r="F12808" i="1"/>
  <c r="B12809" i="1"/>
  <c r="A12809" i="1"/>
  <c r="F12809" i="1"/>
  <c r="B12810" i="1"/>
  <c r="A12810" i="1"/>
  <c r="F12810" i="1"/>
  <c r="B12811" i="1"/>
  <c r="A12811" i="1"/>
  <c r="F12811" i="1"/>
  <c r="B12812" i="1"/>
  <c r="A12812" i="1"/>
  <c r="F12812" i="1"/>
  <c r="B12813" i="1"/>
  <c r="A12813" i="1"/>
  <c r="F12813" i="1"/>
  <c r="B12814" i="1"/>
  <c r="A12814" i="1"/>
  <c r="F12814" i="1"/>
  <c r="B12815" i="1"/>
  <c r="A12815" i="1"/>
  <c r="F12815" i="1"/>
  <c r="B12816" i="1"/>
  <c r="A12816" i="1"/>
  <c r="F12816" i="1"/>
  <c r="B12817" i="1"/>
  <c r="A12817" i="1"/>
  <c r="F12817" i="1"/>
  <c r="B12818" i="1"/>
  <c r="A12818" i="1"/>
  <c r="F12818" i="1"/>
  <c r="B12819" i="1"/>
  <c r="A12819" i="1"/>
  <c r="F12819" i="1"/>
  <c r="B12820" i="1"/>
  <c r="A12820" i="1"/>
  <c r="F12820" i="1"/>
  <c r="B12821" i="1"/>
  <c r="A12821" i="1"/>
  <c r="F12821" i="1"/>
  <c r="B12822" i="1"/>
  <c r="A12822" i="1"/>
  <c r="F12822" i="1"/>
  <c r="B12823" i="1"/>
  <c r="A12823" i="1"/>
  <c r="F12823" i="1"/>
  <c r="B12824" i="1"/>
  <c r="A12824" i="1"/>
  <c r="F12824" i="1"/>
  <c r="B12825" i="1"/>
  <c r="A12825" i="1"/>
  <c r="F12825" i="1"/>
  <c r="B12826" i="1"/>
  <c r="A12826" i="1"/>
  <c r="F12826" i="1"/>
  <c r="B12827" i="1"/>
  <c r="A12827" i="1"/>
  <c r="F12827" i="1"/>
  <c r="B12828" i="1"/>
  <c r="A12828" i="1"/>
  <c r="F12828" i="1"/>
  <c r="B12829" i="1"/>
  <c r="A12829" i="1"/>
  <c r="F12829" i="1"/>
  <c r="B12830" i="1"/>
  <c r="A12830" i="1"/>
  <c r="F12830" i="1"/>
  <c r="B12831" i="1"/>
  <c r="A12831" i="1"/>
  <c r="F12831" i="1"/>
  <c r="B12832" i="1"/>
  <c r="A12832" i="1"/>
  <c r="F12832" i="1"/>
  <c r="B12833" i="1"/>
  <c r="A12833" i="1"/>
  <c r="F12833" i="1"/>
  <c r="B12834" i="1"/>
  <c r="A12834" i="1"/>
  <c r="F12834" i="1"/>
  <c r="B12835" i="1"/>
  <c r="A12835" i="1"/>
  <c r="F12835" i="1"/>
  <c r="B12836" i="1"/>
  <c r="A12836" i="1"/>
  <c r="F12836" i="1"/>
  <c r="B12837" i="1"/>
  <c r="A12837" i="1"/>
  <c r="F12837" i="1"/>
  <c r="B12838" i="1"/>
  <c r="A12838" i="1"/>
  <c r="F12838" i="1"/>
  <c r="B12839" i="1"/>
  <c r="A12839" i="1"/>
  <c r="F12839" i="1"/>
  <c r="B12840" i="1"/>
  <c r="A12840" i="1"/>
  <c r="F12840" i="1"/>
  <c r="B12841" i="1"/>
  <c r="A12841" i="1"/>
  <c r="F12841" i="1"/>
  <c r="B12842" i="1"/>
  <c r="A12842" i="1"/>
  <c r="F12842" i="1"/>
  <c r="B12843" i="1"/>
  <c r="A12843" i="1"/>
  <c r="F12843" i="1"/>
  <c r="B12844" i="1"/>
  <c r="A12844" i="1"/>
  <c r="F12844" i="1"/>
  <c r="B12845" i="1"/>
  <c r="A12845" i="1"/>
  <c r="F12845" i="1"/>
  <c r="B12846" i="1"/>
  <c r="A12846" i="1"/>
  <c r="F12846" i="1"/>
  <c r="B12847" i="1"/>
  <c r="A12847" i="1"/>
  <c r="F12847" i="1"/>
  <c r="B12848" i="1"/>
  <c r="A12848" i="1"/>
  <c r="F12848" i="1"/>
  <c r="B12849" i="1"/>
  <c r="A12849" i="1"/>
  <c r="F12849" i="1"/>
  <c r="B12850" i="1"/>
  <c r="A12850" i="1"/>
  <c r="F12850" i="1"/>
  <c r="B12851" i="1"/>
  <c r="A12851" i="1"/>
  <c r="F12851" i="1"/>
  <c r="B12852" i="1"/>
  <c r="A12852" i="1"/>
  <c r="F12852" i="1"/>
  <c r="B12853" i="1"/>
  <c r="A12853" i="1"/>
  <c r="F12853" i="1"/>
  <c r="B12854" i="1"/>
  <c r="A12854" i="1"/>
  <c r="F12854" i="1"/>
  <c r="B12855" i="1"/>
  <c r="A12855" i="1"/>
  <c r="F12855" i="1"/>
  <c r="B12856" i="1"/>
  <c r="A12856" i="1"/>
  <c r="F12856" i="1"/>
  <c r="B12857" i="1"/>
  <c r="A12857" i="1"/>
  <c r="F12857" i="1"/>
  <c r="B12858" i="1"/>
  <c r="A12858" i="1"/>
  <c r="F12858" i="1"/>
  <c r="B12859" i="1"/>
  <c r="A12859" i="1"/>
  <c r="F12859" i="1"/>
  <c r="B12860" i="1"/>
  <c r="A12860" i="1"/>
  <c r="F12860" i="1"/>
  <c r="B12861" i="1"/>
  <c r="A12861" i="1"/>
  <c r="F12861" i="1"/>
  <c r="B12862" i="1"/>
  <c r="A12862" i="1"/>
  <c r="F12862" i="1"/>
  <c r="B12863" i="1"/>
  <c r="A12863" i="1"/>
  <c r="F12863" i="1"/>
  <c r="B12864" i="1"/>
  <c r="A12864" i="1"/>
  <c r="F12864" i="1"/>
  <c r="B12865" i="1"/>
  <c r="A12865" i="1"/>
  <c r="F12865" i="1"/>
  <c r="B12866" i="1"/>
  <c r="A12866" i="1"/>
  <c r="F12866" i="1"/>
  <c r="B12867" i="1"/>
  <c r="A12867" i="1"/>
  <c r="F12867" i="1"/>
  <c r="B12868" i="1"/>
  <c r="A12868" i="1"/>
  <c r="F12868" i="1"/>
  <c r="B12869" i="1"/>
  <c r="A12869" i="1"/>
  <c r="F12869" i="1"/>
  <c r="B12870" i="1"/>
  <c r="A12870" i="1"/>
  <c r="F12870" i="1"/>
  <c r="B12871" i="1"/>
  <c r="A12871" i="1"/>
  <c r="F12871" i="1"/>
  <c r="B12872" i="1"/>
  <c r="A12872" i="1"/>
  <c r="F12872" i="1"/>
  <c r="B12873" i="1"/>
  <c r="A12873" i="1"/>
  <c r="F12873" i="1"/>
  <c r="B12874" i="1"/>
  <c r="A12874" i="1"/>
  <c r="F12874" i="1"/>
  <c r="B12875" i="1"/>
  <c r="A12875" i="1"/>
  <c r="F12875" i="1"/>
  <c r="B12876" i="1"/>
  <c r="A12876" i="1"/>
  <c r="F12876" i="1"/>
  <c r="B12877" i="1"/>
  <c r="A12877" i="1"/>
  <c r="F12877" i="1"/>
  <c r="B12878" i="1"/>
  <c r="A12878" i="1"/>
  <c r="F12878" i="1"/>
  <c r="B12879" i="1"/>
  <c r="A12879" i="1"/>
  <c r="F12879" i="1"/>
  <c r="B12880" i="1"/>
  <c r="A12880" i="1"/>
  <c r="F12880" i="1"/>
  <c r="B12881" i="1"/>
  <c r="A12881" i="1"/>
  <c r="F12881" i="1"/>
  <c r="B12882" i="1"/>
  <c r="A12882" i="1"/>
  <c r="F12882" i="1"/>
  <c r="B12883" i="1"/>
  <c r="A12883" i="1"/>
  <c r="F12883" i="1"/>
  <c r="B12884" i="1"/>
  <c r="A12884" i="1"/>
  <c r="F12884" i="1"/>
  <c r="B12885" i="1"/>
  <c r="A12885" i="1"/>
  <c r="F12885" i="1"/>
  <c r="B12886" i="1"/>
  <c r="A12886" i="1"/>
  <c r="F12886" i="1"/>
  <c r="B12887" i="1"/>
  <c r="A12887" i="1"/>
  <c r="F12887" i="1"/>
  <c r="B12888" i="1"/>
  <c r="A12888" i="1"/>
  <c r="F12888" i="1"/>
  <c r="B12889" i="1"/>
  <c r="A12889" i="1"/>
  <c r="F12889" i="1"/>
  <c r="B12890" i="1"/>
  <c r="A12890" i="1"/>
  <c r="F12890" i="1"/>
  <c r="B12891" i="1"/>
  <c r="A12891" i="1"/>
  <c r="F12891" i="1"/>
  <c r="B12892" i="1"/>
  <c r="A12892" i="1"/>
  <c r="F12892" i="1"/>
  <c r="B12893" i="1"/>
  <c r="A12893" i="1"/>
  <c r="F12893" i="1"/>
  <c r="B12894" i="1"/>
  <c r="A12894" i="1"/>
  <c r="F12894" i="1"/>
  <c r="B12895" i="1"/>
  <c r="A12895" i="1"/>
  <c r="F12895" i="1"/>
  <c r="B12896" i="1"/>
  <c r="A12896" i="1"/>
  <c r="F12896" i="1"/>
  <c r="B12897" i="1"/>
  <c r="A12897" i="1"/>
  <c r="F12897" i="1"/>
  <c r="B12898" i="1"/>
  <c r="A12898" i="1"/>
  <c r="F12898" i="1"/>
  <c r="B12899" i="1"/>
  <c r="A12899" i="1"/>
  <c r="F12899" i="1"/>
  <c r="B12900" i="1"/>
  <c r="A12900" i="1"/>
  <c r="F12900" i="1"/>
  <c r="B12901" i="1"/>
  <c r="A12901" i="1"/>
  <c r="F12901" i="1"/>
  <c r="B12902" i="1"/>
  <c r="A12902" i="1"/>
  <c r="F12902" i="1"/>
  <c r="B12903" i="1"/>
  <c r="A12903" i="1"/>
  <c r="F12903" i="1"/>
  <c r="B12904" i="1"/>
  <c r="A12904" i="1"/>
  <c r="F12904" i="1"/>
  <c r="B12905" i="1"/>
  <c r="A12905" i="1"/>
  <c r="F12905" i="1"/>
  <c r="B12906" i="1"/>
  <c r="A12906" i="1"/>
  <c r="F12906" i="1"/>
  <c r="B12907" i="1"/>
  <c r="A12907" i="1"/>
  <c r="F12907" i="1"/>
  <c r="B12908" i="1"/>
  <c r="A12908" i="1"/>
  <c r="F12908" i="1"/>
  <c r="B12909" i="1"/>
  <c r="A12909" i="1"/>
  <c r="F12909" i="1"/>
  <c r="B12910" i="1"/>
  <c r="A12910" i="1"/>
  <c r="F12910" i="1"/>
  <c r="B12911" i="1"/>
  <c r="A12911" i="1"/>
  <c r="F12911" i="1"/>
  <c r="B12912" i="1"/>
  <c r="A12912" i="1"/>
  <c r="F12912" i="1"/>
  <c r="B12913" i="1"/>
  <c r="A12913" i="1"/>
  <c r="F12913" i="1"/>
  <c r="B12914" i="1"/>
  <c r="A12914" i="1"/>
  <c r="F12914" i="1"/>
  <c r="B12915" i="1"/>
  <c r="A12915" i="1"/>
  <c r="F12915" i="1"/>
  <c r="B12916" i="1"/>
  <c r="A12916" i="1"/>
  <c r="F12916" i="1"/>
  <c r="B12917" i="1"/>
  <c r="A12917" i="1"/>
  <c r="F12917" i="1"/>
  <c r="B12918" i="1"/>
  <c r="A12918" i="1"/>
  <c r="F12918" i="1"/>
  <c r="B12919" i="1"/>
  <c r="A12919" i="1"/>
  <c r="F12919" i="1"/>
  <c r="B12920" i="1"/>
  <c r="A12920" i="1"/>
  <c r="F12920" i="1"/>
  <c r="B12921" i="1"/>
  <c r="A12921" i="1"/>
  <c r="F12921" i="1"/>
  <c r="B12922" i="1"/>
  <c r="A12922" i="1"/>
  <c r="F12922" i="1"/>
  <c r="B12923" i="1"/>
  <c r="A12923" i="1"/>
  <c r="F12923" i="1"/>
  <c r="B12924" i="1"/>
  <c r="A12924" i="1"/>
  <c r="F12924" i="1"/>
  <c r="B12925" i="1"/>
  <c r="A12925" i="1"/>
  <c r="F12925" i="1"/>
  <c r="B12926" i="1"/>
  <c r="A12926" i="1"/>
  <c r="F12926" i="1"/>
  <c r="B12927" i="1"/>
  <c r="A12927" i="1"/>
  <c r="F12927" i="1"/>
  <c r="B12928" i="1"/>
  <c r="A12928" i="1"/>
  <c r="F12928" i="1"/>
  <c r="B12929" i="1"/>
  <c r="A12929" i="1"/>
  <c r="F12929" i="1"/>
  <c r="B12930" i="1"/>
  <c r="A12930" i="1"/>
  <c r="F12930" i="1"/>
  <c r="B12931" i="1"/>
  <c r="A12931" i="1"/>
  <c r="F12931" i="1"/>
  <c r="B12932" i="1"/>
  <c r="A12932" i="1"/>
  <c r="F12932" i="1"/>
  <c r="B12933" i="1"/>
  <c r="A12933" i="1"/>
  <c r="F12933" i="1"/>
  <c r="B12934" i="1"/>
  <c r="A12934" i="1"/>
  <c r="F12934" i="1"/>
  <c r="B12935" i="1"/>
  <c r="A12935" i="1"/>
  <c r="F12935" i="1"/>
  <c r="B12936" i="1"/>
  <c r="A12936" i="1"/>
  <c r="F12936" i="1"/>
  <c r="B12937" i="1"/>
  <c r="A12937" i="1"/>
  <c r="F12937" i="1"/>
  <c r="B12938" i="1"/>
  <c r="A12938" i="1"/>
  <c r="F12938" i="1"/>
  <c r="B12939" i="1"/>
  <c r="A12939" i="1"/>
  <c r="F12939" i="1"/>
  <c r="B12940" i="1"/>
  <c r="A12940" i="1"/>
  <c r="F12940" i="1"/>
  <c r="B12941" i="1"/>
  <c r="A12941" i="1"/>
  <c r="F12941" i="1"/>
  <c r="B12942" i="1"/>
  <c r="A12942" i="1"/>
  <c r="F12942" i="1"/>
  <c r="B12943" i="1"/>
  <c r="A12943" i="1"/>
  <c r="F12943" i="1"/>
  <c r="B12944" i="1"/>
  <c r="A12944" i="1"/>
  <c r="F12944" i="1"/>
  <c r="B12945" i="1"/>
  <c r="A12945" i="1"/>
  <c r="F12945" i="1"/>
  <c r="B12946" i="1"/>
  <c r="A12946" i="1"/>
  <c r="F12946" i="1"/>
  <c r="B12947" i="1"/>
  <c r="A12947" i="1"/>
  <c r="F12947" i="1"/>
  <c r="B12948" i="1"/>
  <c r="A12948" i="1"/>
  <c r="F12948" i="1"/>
  <c r="B12949" i="1"/>
  <c r="A12949" i="1"/>
  <c r="F12949" i="1"/>
  <c r="B12950" i="1"/>
  <c r="A12950" i="1"/>
  <c r="F12950" i="1"/>
  <c r="B12951" i="1"/>
  <c r="A12951" i="1"/>
  <c r="F12951" i="1"/>
  <c r="B12952" i="1"/>
  <c r="A12952" i="1"/>
  <c r="F12952" i="1"/>
  <c r="B12953" i="1"/>
  <c r="A12953" i="1"/>
  <c r="F12953" i="1"/>
  <c r="B12954" i="1"/>
  <c r="A12954" i="1"/>
  <c r="F12954" i="1"/>
  <c r="B12955" i="1"/>
  <c r="A12955" i="1"/>
  <c r="F12955" i="1"/>
  <c r="B12956" i="1"/>
  <c r="A12956" i="1"/>
  <c r="F12956" i="1"/>
  <c r="B12957" i="1"/>
  <c r="A12957" i="1"/>
  <c r="F12957" i="1"/>
  <c r="B12958" i="1"/>
  <c r="A12958" i="1"/>
  <c r="F12958" i="1"/>
  <c r="B12959" i="1"/>
  <c r="A12959" i="1"/>
  <c r="F12959" i="1"/>
  <c r="B12960" i="1"/>
  <c r="A12960" i="1"/>
  <c r="F12960" i="1"/>
  <c r="B12961" i="1"/>
  <c r="A12961" i="1"/>
  <c r="F12961" i="1"/>
  <c r="B12962" i="1"/>
  <c r="A12962" i="1"/>
  <c r="F12962" i="1"/>
  <c r="B12963" i="1"/>
  <c r="A12963" i="1"/>
  <c r="F12963" i="1"/>
  <c r="B12964" i="1"/>
  <c r="A12964" i="1"/>
  <c r="F12964" i="1"/>
  <c r="B12965" i="1"/>
  <c r="A12965" i="1"/>
  <c r="F12965" i="1"/>
  <c r="B12966" i="1"/>
  <c r="A12966" i="1"/>
  <c r="F12966" i="1"/>
  <c r="B12967" i="1"/>
  <c r="A12967" i="1"/>
  <c r="F12967" i="1"/>
  <c r="B12968" i="1"/>
  <c r="A12968" i="1"/>
  <c r="F12968" i="1"/>
  <c r="B12969" i="1"/>
  <c r="A12969" i="1"/>
  <c r="F12969" i="1"/>
  <c r="B12970" i="1"/>
  <c r="A12970" i="1"/>
  <c r="F12970" i="1"/>
  <c r="B12971" i="1"/>
  <c r="A12971" i="1"/>
  <c r="F12971" i="1"/>
  <c r="B12972" i="1"/>
  <c r="A12972" i="1"/>
  <c r="F12972" i="1"/>
  <c r="B12973" i="1"/>
  <c r="A12973" i="1"/>
  <c r="F12973" i="1"/>
  <c r="B12974" i="1"/>
  <c r="A12974" i="1"/>
  <c r="F12974" i="1"/>
  <c r="B12975" i="1"/>
  <c r="A12975" i="1"/>
  <c r="F12975" i="1"/>
  <c r="B12976" i="1"/>
  <c r="A12976" i="1"/>
  <c r="F12976" i="1"/>
  <c r="B12977" i="1"/>
  <c r="A12977" i="1"/>
  <c r="F12977" i="1"/>
  <c r="B12978" i="1"/>
  <c r="A12978" i="1"/>
  <c r="F12978" i="1"/>
  <c r="B12979" i="1"/>
  <c r="A12979" i="1"/>
  <c r="F12979" i="1"/>
  <c r="B12980" i="1"/>
  <c r="A12980" i="1"/>
  <c r="F12980" i="1"/>
  <c r="B12981" i="1"/>
  <c r="A12981" i="1"/>
  <c r="F12981" i="1"/>
  <c r="B12982" i="1"/>
  <c r="A12982" i="1"/>
  <c r="F12982" i="1"/>
  <c r="B12983" i="1"/>
  <c r="A12983" i="1"/>
  <c r="F12983" i="1"/>
  <c r="B12984" i="1"/>
  <c r="A12984" i="1"/>
  <c r="F12984" i="1"/>
  <c r="B12985" i="1"/>
  <c r="A12985" i="1"/>
  <c r="F12985" i="1"/>
  <c r="B12986" i="1"/>
  <c r="A12986" i="1"/>
  <c r="F12986" i="1"/>
  <c r="B12987" i="1"/>
  <c r="A12987" i="1"/>
  <c r="F12987" i="1"/>
  <c r="B12988" i="1"/>
  <c r="A12988" i="1"/>
  <c r="F12988" i="1"/>
  <c r="B12989" i="1"/>
  <c r="A12989" i="1"/>
  <c r="F12989" i="1"/>
  <c r="B12990" i="1"/>
  <c r="A12990" i="1"/>
  <c r="F12990" i="1"/>
  <c r="B12991" i="1"/>
  <c r="A12991" i="1"/>
  <c r="F12991" i="1"/>
  <c r="B12992" i="1"/>
  <c r="A12992" i="1"/>
  <c r="F12992" i="1"/>
  <c r="B12993" i="1"/>
  <c r="A12993" i="1"/>
  <c r="F12993" i="1"/>
  <c r="B12994" i="1"/>
  <c r="A12994" i="1"/>
  <c r="F12994" i="1"/>
  <c r="B12995" i="1"/>
  <c r="A12995" i="1"/>
  <c r="F12995" i="1"/>
  <c r="B12996" i="1"/>
  <c r="A12996" i="1"/>
  <c r="F12996" i="1"/>
  <c r="B12997" i="1"/>
  <c r="A12997" i="1"/>
  <c r="F12997" i="1"/>
  <c r="B12998" i="1"/>
  <c r="A12998" i="1"/>
  <c r="F12998" i="1"/>
  <c r="B12999" i="1"/>
  <c r="A12999" i="1"/>
  <c r="F12999" i="1"/>
  <c r="B13000" i="1"/>
  <c r="A13000" i="1"/>
  <c r="F13000" i="1"/>
  <c r="B13001" i="1"/>
  <c r="A13001" i="1"/>
  <c r="F13001" i="1"/>
  <c r="B13002" i="1"/>
  <c r="A13002" i="1"/>
  <c r="F13002" i="1"/>
  <c r="B13003" i="1"/>
  <c r="A13003" i="1"/>
  <c r="F13003" i="1"/>
  <c r="B13004" i="1"/>
  <c r="A13004" i="1"/>
  <c r="F13004" i="1"/>
  <c r="B13005" i="1"/>
  <c r="A13005" i="1"/>
  <c r="F13005" i="1"/>
  <c r="B13006" i="1"/>
  <c r="A13006" i="1"/>
  <c r="F13006" i="1"/>
  <c r="B13007" i="1"/>
  <c r="A13007" i="1"/>
  <c r="F13007" i="1"/>
  <c r="B13008" i="1"/>
  <c r="A13008" i="1"/>
  <c r="F13008" i="1"/>
  <c r="B13009" i="1"/>
  <c r="A13009" i="1"/>
  <c r="F13009" i="1"/>
  <c r="B13010" i="1"/>
  <c r="A13010" i="1"/>
  <c r="F13010" i="1"/>
  <c r="B13011" i="1"/>
  <c r="A13011" i="1"/>
  <c r="F13011" i="1"/>
  <c r="B13012" i="1"/>
  <c r="A13012" i="1"/>
  <c r="F13012" i="1"/>
  <c r="B13013" i="1"/>
  <c r="A13013" i="1"/>
  <c r="F13013" i="1"/>
  <c r="B13014" i="1"/>
  <c r="A13014" i="1"/>
  <c r="F13014" i="1"/>
  <c r="B13015" i="1"/>
  <c r="A13015" i="1"/>
  <c r="F13015" i="1"/>
  <c r="B13016" i="1"/>
  <c r="A13016" i="1"/>
  <c r="F13016" i="1"/>
  <c r="B13017" i="1"/>
  <c r="A13017" i="1"/>
  <c r="F13017" i="1"/>
  <c r="B13018" i="1"/>
  <c r="A13018" i="1"/>
  <c r="F13018" i="1"/>
  <c r="B13019" i="1"/>
  <c r="A13019" i="1"/>
  <c r="F13019" i="1"/>
  <c r="B13020" i="1"/>
  <c r="A13020" i="1"/>
  <c r="F13020" i="1"/>
  <c r="B13021" i="1"/>
  <c r="A13021" i="1"/>
  <c r="F13021" i="1"/>
  <c r="B13022" i="1"/>
  <c r="A13022" i="1"/>
  <c r="F13022" i="1"/>
  <c r="B13023" i="1"/>
  <c r="A13023" i="1"/>
  <c r="F13023" i="1"/>
  <c r="B13024" i="1"/>
  <c r="A13024" i="1"/>
  <c r="F13024" i="1"/>
  <c r="B13025" i="1"/>
  <c r="A13025" i="1"/>
  <c r="F13025" i="1"/>
  <c r="B13026" i="1"/>
  <c r="A13026" i="1"/>
  <c r="F13026" i="1"/>
  <c r="B13027" i="1"/>
  <c r="A13027" i="1"/>
  <c r="F13027" i="1"/>
  <c r="B13028" i="1"/>
  <c r="A13028" i="1"/>
  <c r="F13028" i="1"/>
  <c r="B13029" i="1"/>
  <c r="A13029" i="1"/>
  <c r="F13029" i="1"/>
  <c r="B13030" i="1"/>
  <c r="A13030" i="1"/>
  <c r="F13030" i="1"/>
  <c r="B13031" i="1"/>
  <c r="A13031" i="1"/>
  <c r="F13031" i="1"/>
  <c r="B13032" i="1"/>
  <c r="A13032" i="1"/>
  <c r="F13032" i="1"/>
  <c r="B13033" i="1"/>
  <c r="A13033" i="1"/>
  <c r="F13033" i="1"/>
  <c r="B13034" i="1"/>
  <c r="A13034" i="1"/>
  <c r="F13034" i="1"/>
  <c r="B13035" i="1"/>
  <c r="A13035" i="1"/>
  <c r="F13035" i="1"/>
  <c r="B13036" i="1"/>
  <c r="A13036" i="1"/>
  <c r="F13036" i="1"/>
  <c r="B13037" i="1"/>
  <c r="A13037" i="1"/>
  <c r="F13037" i="1"/>
  <c r="B13038" i="1"/>
  <c r="A13038" i="1"/>
  <c r="F13038" i="1"/>
  <c r="B13039" i="1"/>
  <c r="A13039" i="1"/>
  <c r="F13039" i="1"/>
  <c r="B13040" i="1"/>
  <c r="A13040" i="1"/>
  <c r="F13040" i="1"/>
  <c r="B13041" i="1"/>
  <c r="A13041" i="1"/>
  <c r="F13041" i="1"/>
  <c r="B13042" i="1"/>
  <c r="A13042" i="1"/>
  <c r="F13042" i="1"/>
  <c r="B13043" i="1"/>
  <c r="A13043" i="1"/>
  <c r="F13043" i="1"/>
  <c r="B13044" i="1"/>
  <c r="A13044" i="1"/>
  <c r="F13044" i="1"/>
  <c r="B13045" i="1"/>
  <c r="A13045" i="1"/>
  <c r="F13045" i="1"/>
  <c r="B13046" i="1"/>
  <c r="A13046" i="1"/>
  <c r="F13046" i="1"/>
  <c r="B13047" i="1"/>
  <c r="A13047" i="1"/>
  <c r="F13047" i="1"/>
  <c r="B13048" i="1"/>
  <c r="A13048" i="1"/>
  <c r="F13048" i="1"/>
  <c r="B13049" i="1"/>
  <c r="A13049" i="1"/>
  <c r="F13049" i="1"/>
  <c r="B13050" i="1"/>
  <c r="A13050" i="1"/>
  <c r="F13050" i="1"/>
  <c r="B13051" i="1"/>
  <c r="A13051" i="1"/>
  <c r="F13051" i="1"/>
  <c r="B13052" i="1"/>
  <c r="A13052" i="1"/>
  <c r="F13052" i="1"/>
  <c r="B13053" i="1"/>
  <c r="A13053" i="1"/>
  <c r="F13053" i="1"/>
  <c r="B13054" i="1"/>
  <c r="A13054" i="1"/>
  <c r="F13054" i="1"/>
  <c r="B13055" i="1"/>
  <c r="A13055" i="1"/>
  <c r="F13055" i="1"/>
  <c r="B13056" i="1"/>
  <c r="A13056" i="1"/>
  <c r="F13056" i="1"/>
  <c r="B13057" i="1"/>
  <c r="A13057" i="1"/>
  <c r="F13057" i="1"/>
  <c r="B13058" i="1"/>
  <c r="A13058" i="1"/>
  <c r="F13058" i="1"/>
  <c r="B13059" i="1"/>
  <c r="A13059" i="1"/>
  <c r="F13059" i="1"/>
  <c r="B13060" i="1"/>
  <c r="A13060" i="1"/>
  <c r="F13060" i="1"/>
  <c r="B13061" i="1"/>
  <c r="A13061" i="1"/>
  <c r="F13061" i="1"/>
  <c r="B13062" i="1"/>
  <c r="A13062" i="1"/>
  <c r="F13062" i="1"/>
  <c r="B13063" i="1"/>
  <c r="A13063" i="1"/>
  <c r="F13063" i="1"/>
  <c r="B13064" i="1"/>
  <c r="A13064" i="1"/>
  <c r="F13064" i="1"/>
  <c r="B13065" i="1"/>
  <c r="A13065" i="1"/>
  <c r="F13065" i="1"/>
  <c r="B13066" i="1"/>
  <c r="A13066" i="1"/>
  <c r="F13066" i="1"/>
  <c r="B13067" i="1"/>
  <c r="A13067" i="1"/>
  <c r="F13067" i="1"/>
  <c r="B13068" i="1"/>
  <c r="A13068" i="1"/>
  <c r="F13068" i="1"/>
  <c r="B13069" i="1"/>
  <c r="A13069" i="1"/>
  <c r="F13069" i="1"/>
  <c r="B13070" i="1"/>
  <c r="A13070" i="1"/>
  <c r="F13070" i="1"/>
  <c r="B13071" i="1"/>
  <c r="A13071" i="1"/>
  <c r="F13071" i="1"/>
  <c r="B13072" i="1"/>
  <c r="A13072" i="1"/>
  <c r="F13072" i="1"/>
  <c r="B13073" i="1"/>
  <c r="A13073" i="1"/>
  <c r="F13073" i="1"/>
  <c r="B13074" i="1"/>
  <c r="A13074" i="1"/>
  <c r="F13074" i="1"/>
  <c r="B13075" i="1"/>
  <c r="A13075" i="1"/>
  <c r="F13075" i="1"/>
  <c r="B13076" i="1"/>
  <c r="A13076" i="1"/>
  <c r="F13076" i="1"/>
  <c r="B13077" i="1"/>
  <c r="A13077" i="1"/>
  <c r="F13077" i="1"/>
  <c r="B13078" i="1"/>
  <c r="A13078" i="1"/>
  <c r="F13078" i="1"/>
  <c r="B13079" i="1"/>
  <c r="A13079" i="1"/>
  <c r="F13079" i="1"/>
  <c r="B13080" i="1"/>
  <c r="A13080" i="1"/>
  <c r="F13080" i="1"/>
  <c r="B13081" i="1"/>
  <c r="A13081" i="1"/>
  <c r="F13081" i="1"/>
  <c r="B13082" i="1"/>
  <c r="A13082" i="1"/>
  <c r="F13082" i="1"/>
  <c r="B13083" i="1"/>
  <c r="A13083" i="1"/>
  <c r="F13083" i="1"/>
  <c r="B13084" i="1"/>
  <c r="A13084" i="1"/>
  <c r="F13084" i="1"/>
  <c r="B13085" i="1"/>
  <c r="A13085" i="1"/>
  <c r="F13085" i="1"/>
  <c r="B13086" i="1"/>
  <c r="A13086" i="1"/>
  <c r="F13086" i="1"/>
  <c r="B13087" i="1"/>
  <c r="A13087" i="1"/>
  <c r="F13087" i="1"/>
  <c r="B13088" i="1"/>
  <c r="A13088" i="1"/>
  <c r="F13088" i="1"/>
  <c r="B13089" i="1"/>
  <c r="A13089" i="1"/>
  <c r="F13089" i="1"/>
  <c r="B13090" i="1"/>
  <c r="A13090" i="1"/>
  <c r="F13090" i="1"/>
  <c r="B13091" i="1"/>
  <c r="A13091" i="1"/>
  <c r="F13091" i="1"/>
  <c r="B13092" i="1"/>
  <c r="A13092" i="1"/>
  <c r="F13092" i="1"/>
  <c r="B13093" i="1"/>
  <c r="A13093" i="1"/>
  <c r="F13093" i="1"/>
  <c r="B13094" i="1"/>
  <c r="A13094" i="1"/>
  <c r="F13094" i="1"/>
  <c r="B13095" i="1"/>
  <c r="A13095" i="1"/>
  <c r="F13095" i="1"/>
  <c r="B13096" i="1"/>
  <c r="A13096" i="1"/>
  <c r="F13096" i="1"/>
  <c r="B13097" i="1"/>
  <c r="A13097" i="1"/>
  <c r="F13097" i="1"/>
  <c r="B13098" i="1"/>
  <c r="A13098" i="1"/>
  <c r="F13098" i="1"/>
  <c r="B13099" i="1"/>
  <c r="A13099" i="1"/>
  <c r="F13099" i="1"/>
  <c r="B13100" i="1"/>
  <c r="A13100" i="1"/>
  <c r="F13100" i="1"/>
  <c r="B13101" i="1"/>
  <c r="A13101" i="1"/>
  <c r="F13101" i="1"/>
  <c r="B13102" i="1"/>
  <c r="A13102" i="1"/>
  <c r="F13102" i="1"/>
  <c r="B13103" i="1"/>
  <c r="A13103" i="1"/>
  <c r="F13103" i="1"/>
  <c r="B13104" i="1"/>
  <c r="A13104" i="1"/>
  <c r="F13104" i="1"/>
  <c r="B13105" i="1"/>
  <c r="A13105" i="1"/>
  <c r="F13105" i="1"/>
  <c r="B13106" i="1"/>
  <c r="A13106" i="1"/>
  <c r="F13106" i="1"/>
  <c r="B13107" i="1"/>
  <c r="A13107" i="1"/>
  <c r="F13107" i="1"/>
  <c r="B13108" i="1"/>
  <c r="A13108" i="1"/>
  <c r="F13108" i="1"/>
  <c r="B13109" i="1"/>
  <c r="A13109" i="1"/>
  <c r="F13109" i="1"/>
  <c r="B13110" i="1"/>
  <c r="A13110" i="1"/>
  <c r="F13110" i="1"/>
  <c r="B13111" i="1"/>
  <c r="A13111" i="1"/>
  <c r="F13111" i="1"/>
  <c r="B13112" i="1"/>
  <c r="A13112" i="1"/>
  <c r="F13112" i="1"/>
  <c r="B13113" i="1"/>
  <c r="A13113" i="1"/>
  <c r="F13113" i="1"/>
  <c r="B13114" i="1"/>
  <c r="A13114" i="1"/>
  <c r="F13114" i="1"/>
  <c r="B13115" i="1"/>
  <c r="A13115" i="1"/>
  <c r="F13115" i="1"/>
  <c r="B13116" i="1"/>
  <c r="A13116" i="1"/>
  <c r="F13116" i="1"/>
  <c r="B13117" i="1"/>
  <c r="A13117" i="1"/>
  <c r="F13117" i="1"/>
  <c r="B13118" i="1"/>
  <c r="A13118" i="1"/>
  <c r="F13118" i="1"/>
  <c r="B13119" i="1"/>
  <c r="A13119" i="1"/>
  <c r="F13119" i="1"/>
  <c r="B13120" i="1"/>
  <c r="A13120" i="1"/>
  <c r="F13120" i="1"/>
  <c r="B13121" i="1"/>
  <c r="A13121" i="1"/>
  <c r="F13121" i="1"/>
  <c r="B13122" i="1"/>
  <c r="A13122" i="1"/>
  <c r="F13122" i="1"/>
  <c r="B13123" i="1"/>
  <c r="A13123" i="1"/>
  <c r="F13123" i="1"/>
  <c r="B13124" i="1"/>
  <c r="A13124" i="1"/>
  <c r="F13124" i="1"/>
  <c r="B13125" i="1"/>
  <c r="A13125" i="1"/>
  <c r="F13125" i="1"/>
  <c r="B13126" i="1"/>
  <c r="A13126" i="1"/>
  <c r="F13126" i="1"/>
  <c r="B13127" i="1"/>
  <c r="A13127" i="1"/>
  <c r="F13127" i="1"/>
  <c r="B13128" i="1"/>
  <c r="A13128" i="1"/>
  <c r="F13128" i="1"/>
  <c r="B13129" i="1"/>
  <c r="A13129" i="1"/>
  <c r="F13129" i="1"/>
  <c r="B13130" i="1"/>
  <c r="A13130" i="1"/>
  <c r="F13130" i="1"/>
  <c r="B13131" i="1"/>
  <c r="A13131" i="1"/>
  <c r="F13131" i="1"/>
  <c r="B13132" i="1"/>
  <c r="A13132" i="1"/>
  <c r="F13132" i="1"/>
  <c r="B13133" i="1"/>
  <c r="A13133" i="1"/>
  <c r="F13133" i="1"/>
  <c r="B13134" i="1"/>
  <c r="A13134" i="1"/>
  <c r="F13134" i="1"/>
  <c r="B13135" i="1"/>
  <c r="A13135" i="1"/>
  <c r="F13135" i="1"/>
  <c r="B13136" i="1"/>
  <c r="A13136" i="1"/>
  <c r="F13136" i="1"/>
  <c r="B13137" i="1"/>
  <c r="A13137" i="1"/>
  <c r="F13137" i="1"/>
  <c r="B13138" i="1"/>
  <c r="A13138" i="1"/>
  <c r="F13138" i="1"/>
  <c r="B13139" i="1"/>
  <c r="A13139" i="1"/>
  <c r="F13139" i="1"/>
  <c r="B13140" i="1"/>
  <c r="A13140" i="1"/>
  <c r="F13140" i="1"/>
  <c r="B13141" i="1"/>
  <c r="A13141" i="1"/>
  <c r="F13141" i="1"/>
  <c r="B13142" i="1"/>
  <c r="A13142" i="1"/>
  <c r="F13142" i="1"/>
  <c r="B13143" i="1"/>
  <c r="A13143" i="1"/>
  <c r="F13143" i="1"/>
  <c r="B13144" i="1"/>
  <c r="A13144" i="1"/>
  <c r="F13144" i="1"/>
  <c r="B13145" i="1"/>
  <c r="A13145" i="1"/>
  <c r="F13145" i="1"/>
  <c r="B13146" i="1"/>
  <c r="A13146" i="1"/>
  <c r="F13146" i="1"/>
  <c r="B13147" i="1"/>
  <c r="A13147" i="1"/>
  <c r="F13147" i="1"/>
  <c r="B13148" i="1"/>
  <c r="A13148" i="1"/>
  <c r="F13148" i="1"/>
  <c r="B13149" i="1"/>
  <c r="A13149" i="1"/>
  <c r="F13149" i="1"/>
  <c r="B13150" i="1"/>
  <c r="A13150" i="1"/>
  <c r="F13150" i="1"/>
  <c r="B13151" i="1"/>
  <c r="A13151" i="1"/>
  <c r="F13151" i="1"/>
  <c r="B13152" i="1"/>
  <c r="A13152" i="1"/>
  <c r="F13152" i="1"/>
  <c r="B13153" i="1"/>
  <c r="A13153" i="1"/>
  <c r="F13153" i="1"/>
  <c r="B13154" i="1"/>
  <c r="A13154" i="1"/>
  <c r="F13154" i="1"/>
  <c r="B13155" i="1"/>
  <c r="A13155" i="1"/>
  <c r="F13155" i="1"/>
  <c r="B13156" i="1"/>
  <c r="A13156" i="1"/>
  <c r="F13156" i="1"/>
  <c r="B13157" i="1"/>
  <c r="A13157" i="1"/>
  <c r="F13157" i="1"/>
  <c r="B13158" i="1"/>
  <c r="A13158" i="1"/>
  <c r="F13158" i="1"/>
  <c r="B13159" i="1"/>
  <c r="A13159" i="1"/>
  <c r="F13159" i="1"/>
  <c r="B13160" i="1"/>
  <c r="A13160" i="1"/>
  <c r="F13160" i="1"/>
  <c r="B13161" i="1"/>
  <c r="A13161" i="1"/>
  <c r="F13161" i="1"/>
  <c r="B13162" i="1"/>
  <c r="A13162" i="1"/>
  <c r="F13162" i="1"/>
  <c r="B13163" i="1"/>
  <c r="A13163" i="1"/>
  <c r="F13163" i="1"/>
  <c r="B13164" i="1"/>
  <c r="A13164" i="1"/>
  <c r="F13164" i="1"/>
  <c r="B13165" i="1"/>
  <c r="A13165" i="1"/>
  <c r="F13165" i="1"/>
  <c r="B13166" i="1"/>
  <c r="A13166" i="1"/>
  <c r="F13166" i="1"/>
  <c r="B13167" i="1"/>
  <c r="A13167" i="1"/>
  <c r="F13167" i="1"/>
  <c r="B13168" i="1"/>
  <c r="A13168" i="1"/>
  <c r="F13168" i="1"/>
  <c r="B13169" i="1"/>
  <c r="A13169" i="1"/>
  <c r="F13169" i="1"/>
  <c r="B13170" i="1"/>
  <c r="A13170" i="1"/>
  <c r="F13170" i="1"/>
  <c r="B13171" i="1"/>
  <c r="A13171" i="1"/>
  <c r="F13171" i="1"/>
  <c r="B13172" i="1"/>
  <c r="A13172" i="1"/>
  <c r="F13172" i="1"/>
  <c r="B13173" i="1"/>
  <c r="A13173" i="1"/>
  <c r="F13173" i="1"/>
  <c r="B13174" i="1"/>
  <c r="A13174" i="1"/>
  <c r="F13174" i="1"/>
  <c r="B13175" i="1"/>
  <c r="A13175" i="1"/>
  <c r="F13175" i="1"/>
  <c r="B13176" i="1"/>
  <c r="A13176" i="1"/>
  <c r="F13176" i="1"/>
  <c r="B13177" i="1"/>
  <c r="A13177" i="1"/>
  <c r="F13177" i="1"/>
  <c r="B13178" i="1"/>
  <c r="A13178" i="1"/>
  <c r="F13178" i="1"/>
  <c r="B13179" i="1"/>
  <c r="A13179" i="1"/>
  <c r="F13179" i="1"/>
  <c r="B13180" i="1"/>
  <c r="A13180" i="1"/>
  <c r="F13180" i="1"/>
  <c r="B13181" i="1"/>
  <c r="A13181" i="1"/>
  <c r="F13181" i="1"/>
  <c r="B13182" i="1"/>
  <c r="A13182" i="1"/>
  <c r="F13182" i="1"/>
  <c r="B13183" i="1"/>
  <c r="A13183" i="1"/>
  <c r="F13183" i="1"/>
  <c r="B13184" i="1"/>
  <c r="A13184" i="1"/>
  <c r="F13184" i="1"/>
  <c r="B13185" i="1"/>
  <c r="A13185" i="1"/>
  <c r="F13185" i="1"/>
  <c r="B13186" i="1"/>
  <c r="A13186" i="1"/>
  <c r="F13186" i="1"/>
  <c r="B13187" i="1"/>
  <c r="A13187" i="1"/>
  <c r="F13187" i="1"/>
  <c r="B13188" i="1"/>
  <c r="A13188" i="1"/>
  <c r="F13188" i="1"/>
  <c r="B13189" i="1"/>
  <c r="A13189" i="1"/>
  <c r="F13189" i="1"/>
  <c r="B13190" i="1"/>
  <c r="A13190" i="1"/>
  <c r="F13190" i="1"/>
  <c r="B13191" i="1"/>
  <c r="A13191" i="1"/>
  <c r="F13191" i="1"/>
  <c r="B13192" i="1"/>
  <c r="A13192" i="1"/>
  <c r="F13192" i="1"/>
  <c r="B13193" i="1"/>
  <c r="A13193" i="1"/>
  <c r="F13193" i="1"/>
  <c r="B13194" i="1"/>
  <c r="A13194" i="1"/>
  <c r="F13194" i="1"/>
  <c r="B13195" i="1"/>
  <c r="A13195" i="1"/>
  <c r="F13195" i="1"/>
  <c r="B13196" i="1"/>
  <c r="A13196" i="1"/>
  <c r="F13196" i="1"/>
  <c r="B13197" i="1"/>
  <c r="A13197" i="1"/>
  <c r="F13197" i="1"/>
  <c r="B13198" i="1"/>
  <c r="A13198" i="1"/>
  <c r="F13198" i="1"/>
  <c r="B13199" i="1"/>
  <c r="A13199" i="1"/>
  <c r="F13199" i="1"/>
  <c r="B13200" i="1"/>
  <c r="A13200" i="1"/>
  <c r="F13200" i="1"/>
  <c r="B13201" i="1"/>
  <c r="A13201" i="1"/>
  <c r="F13201" i="1"/>
  <c r="B13202" i="1"/>
  <c r="A13202" i="1"/>
  <c r="F13202" i="1"/>
  <c r="B13203" i="1"/>
  <c r="A13203" i="1"/>
  <c r="F13203" i="1"/>
  <c r="B13204" i="1"/>
  <c r="A13204" i="1"/>
  <c r="F13204" i="1"/>
  <c r="B13205" i="1"/>
  <c r="A13205" i="1"/>
  <c r="F13205" i="1"/>
  <c r="B13206" i="1"/>
  <c r="A13206" i="1"/>
  <c r="F13206" i="1"/>
  <c r="B13207" i="1"/>
  <c r="A13207" i="1"/>
  <c r="F13207" i="1"/>
  <c r="B13208" i="1"/>
  <c r="A13208" i="1"/>
  <c r="F13208" i="1"/>
  <c r="B13209" i="1"/>
  <c r="A13209" i="1"/>
  <c r="F13209" i="1"/>
  <c r="B13210" i="1"/>
  <c r="A13210" i="1"/>
  <c r="F13210" i="1"/>
  <c r="B13211" i="1"/>
  <c r="A13211" i="1"/>
  <c r="F13211" i="1"/>
  <c r="B13212" i="1"/>
  <c r="A13212" i="1"/>
  <c r="F13212" i="1"/>
  <c r="B13213" i="1"/>
  <c r="A13213" i="1"/>
  <c r="F13213" i="1"/>
  <c r="B13214" i="1"/>
  <c r="A13214" i="1"/>
  <c r="F13214" i="1"/>
  <c r="B13215" i="1"/>
  <c r="A13215" i="1"/>
  <c r="F13215" i="1"/>
  <c r="B13216" i="1"/>
  <c r="A13216" i="1"/>
  <c r="F13216" i="1"/>
  <c r="B13217" i="1"/>
  <c r="A13217" i="1"/>
  <c r="F13217" i="1"/>
  <c r="B13218" i="1"/>
  <c r="A13218" i="1"/>
  <c r="F13218" i="1"/>
  <c r="B13219" i="1"/>
  <c r="A13219" i="1"/>
  <c r="F13219" i="1"/>
  <c r="B13220" i="1"/>
  <c r="A13220" i="1"/>
  <c r="F13220" i="1"/>
  <c r="B13221" i="1"/>
  <c r="A13221" i="1"/>
  <c r="F13221" i="1"/>
  <c r="B13222" i="1"/>
  <c r="A13222" i="1"/>
  <c r="F13222" i="1"/>
  <c r="B13223" i="1"/>
  <c r="A13223" i="1"/>
  <c r="F13223" i="1"/>
  <c r="B13224" i="1"/>
  <c r="A13224" i="1"/>
  <c r="F13224" i="1"/>
  <c r="B13225" i="1"/>
  <c r="A13225" i="1"/>
  <c r="F13225" i="1"/>
  <c r="B13226" i="1"/>
  <c r="A13226" i="1"/>
  <c r="F13226" i="1"/>
  <c r="B13227" i="1"/>
  <c r="A13227" i="1"/>
  <c r="F13227" i="1"/>
  <c r="B13228" i="1"/>
  <c r="A13228" i="1"/>
  <c r="F13228" i="1"/>
  <c r="B13229" i="1"/>
  <c r="A13229" i="1"/>
  <c r="F13229" i="1"/>
  <c r="B13230" i="1"/>
  <c r="A13230" i="1"/>
  <c r="F13230" i="1"/>
  <c r="B13231" i="1"/>
  <c r="A13231" i="1"/>
  <c r="F13231" i="1"/>
  <c r="B13232" i="1"/>
  <c r="A13232" i="1"/>
  <c r="F13232" i="1"/>
  <c r="B13233" i="1"/>
  <c r="A13233" i="1"/>
  <c r="F13233" i="1"/>
  <c r="B13234" i="1"/>
  <c r="A13234" i="1"/>
  <c r="F13234" i="1"/>
  <c r="B13235" i="1"/>
  <c r="A13235" i="1"/>
  <c r="F13235" i="1"/>
  <c r="B13236" i="1"/>
  <c r="A13236" i="1"/>
  <c r="F13236" i="1"/>
  <c r="B13237" i="1"/>
  <c r="A13237" i="1"/>
  <c r="F13237" i="1"/>
  <c r="B13238" i="1"/>
  <c r="A13238" i="1"/>
  <c r="F13238" i="1"/>
  <c r="B13239" i="1"/>
  <c r="A13239" i="1"/>
  <c r="F13239" i="1"/>
  <c r="B13240" i="1"/>
  <c r="A13240" i="1"/>
  <c r="F13240" i="1"/>
  <c r="B13241" i="1"/>
  <c r="A13241" i="1"/>
  <c r="F13241" i="1"/>
  <c r="B13242" i="1"/>
  <c r="A13242" i="1"/>
  <c r="F13242" i="1"/>
  <c r="B13243" i="1"/>
  <c r="A13243" i="1"/>
  <c r="F13243" i="1"/>
  <c r="B13244" i="1"/>
  <c r="A13244" i="1"/>
  <c r="F13244" i="1"/>
  <c r="B13245" i="1"/>
  <c r="A13245" i="1"/>
  <c r="F13245" i="1"/>
  <c r="B13246" i="1"/>
  <c r="A13246" i="1"/>
  <c r="F13246" i="1"/>
  <c r="B13247" i="1"/>
  <c r="A13247" i="1"/>
  <c r="F13247" i="1"/>
  <c r="B13248" i="1"/>
  <c r="A13248" i="1"/>
  <c r="F13248" i="1"/>
  <c r="B13249" i="1"/>
  <c r="A13249" i="1"/>
  <c r="F13249" i="1"/>
  <c r="B13250" i="1"/>
  <c r="A13250" i="1"/>
  <c r="F13250" i="1"/>
  <c r="B13251" i="1"/>
  <c r="A13251" i="1"/>
  <c r="F13251" i="1"/>
  <c r="B13252" i="1"/>
  <c r="A13252" i="1"/>
  <c r="F13252" i="1"/>
  <c r="B13253" i="1"/>
  <c r="A13253" i="1"/>
  <c r="F13253" i="1"/>
  <c r="B13254" i="1"/>
  <c r="A13254" i="1"/>
  <c r="F13254" i="1"/>
  <c r="B13255" i="1"/>
  <c r="A13255" i="1"/>
  <c r="F13255" i="1"/>
  <c r="B13256" i="1"/>
  <c r="A13256" i="1"/>
  <c r="F13256" i="1"/>
  <c r="B13257" i="1"/>
  <c r="A13257" i="1"/>
  <c r="F13257" i="1"/>
  <c r="B13258" i="1"/>
  <c r="A13258" i="1"/>
  <c r="F13258" i="1"/>
  <c r="B13259" i="1"/>
  <c r="A13259" i="1"/>
  <c r="F13259" i="1"/>
  <c r="B13260" i="1"/>
  <c r="A13260" i="1"/>
  <c r="F13260" i="1"/>
  <c r="B13261" i="1"/>
  <c r="A13261" i="1"/>
  <c r="F13261" i="1"/>
  <c r="B13262" i="1"/>
  <c r="A13262" i="1"/>
  <c r="F13262" i="1"/>
  <c r="B13263" i="1"/>
  <c r="A13263" i="1"/>
  <c r="F13263" i="1"/>
  <c r="B13264" i="1"/>
  <c r="A13264" i="1"/>
  <c r="F13264" i="1"/>
  <c r="B13265" i="1"/>
  <c r="A13265" i="1"/>
  <c r="F13265" i="1"/>
  <c r="B13266" i="1"/>
  <c r="A13266" i="1"/>
  <c r="F13266" i="1"/>
  <c r="B13267" i="1"/>
  <c r="A13267" i="1"/>
  <c r="F13267" i="1"/>
  <c r="B13268" i="1"/>
  <c r="A13268" i="1"/>
  <c r="F13268" i="1"/>
  <c r="B13269" i="1"/>
  <c r="A13269" i="1"/>
  <c r="F13269" i="1"/>
  <c r="B13270" i="1"/>
  <c r="A13270" i="1"/>
  <c r="F13270" i="1"/>
  <c r="B13271" i="1"/>
  <c r="A13271" i="1"/>
  <c r="F13271" i="1"/>
  <c r="B13272" i="1"/>
  <c r="A13272" i="1"/>
  <c r="F13272" i="1"/>
  <c r="B13273" i="1"/>
  <c r="A13273" i="1"/>
  <c r="F13273" i="1"/>
  <c r="B13274" i="1"/>
  <c r="A13274" i="1"/>
  <c r="F13274" i="1"/>
  <c r="B13275" i="1"/>
  <c r="A13275" i="1"/>
  <c r="F13275" i="1"/>
  <c r="B13276" i="1"/>
  <c r="A13276" i="1"/>
  <c r="F13276" i="1"/>
  <c r="B13277" i="1"/>
  <c r="A13277" i="1"/>
  <c r="F13277" i="1"/>
  <c r="B13278" i="1"/>
  <c r="A13278" i="1"/>
  <c r="F13278" i="1"/>
  <c r="B13279" i="1"/>
  <c r="A13279" i="1"/>
  <c r="F13279" i="1"/>
  <c r="B13280" i="1"/>
  <c r="A13280" i="1"/>
  <c r="F13280" i="1"/>
  <c r="B13281" i="1"/>
  <c r="A13281" i="1"/>
  <c r="F13281" i="1"/>
  <c r="B13282" i="1"/>
  <c r="A13282" i="1"/>
  <c r="F13282" i="1"/>
  <c r="B13283" i="1"/>
  <c r="A13283" i="1"/>
  <c r="F13283" i="1"/>
  <c r="B13284" i="1"/>
  <c r="A13284" i="1"/>
  <c r="F13284" i="1"/>
  <c r="B13285" i="1"/>
  <c r="A13285" i="1"/>
  <c r="F13285" i="1"/>
  <c r="B13286" i="1"/>
  <c r="A13286" i="1"/>
  <c r="F13286" i="1"/>
  <c r="B13287" i="1"/>
  <c r="A13287" i="1"/>
  <c r="F13287" i="1"/>
  <c r="B13288" i="1"/>
  <c r="A13288" i="1"/>
  <c r="F13288" i="1"/>
  <c r="B13289" i="1"/>
  <c r="A13289" i="1"/>
  <c r="F13289" i="1"/>
  <c r="B13290" i="1"/>
  <c r="A13290" i="1"/>
  <c r="F13290" i="1"/>
  <c r="B13291" i="1"/>
  <c r="A13291" i="1"/>
  <c r="F13291" i="1"/>
  <c r="B13292" i="1"/>
  <c r="A13292" i="1"/>
  <c r="F13292" i="1"/>
  <c r="B13293" i="1"/>
  <c r="A13293" i="1"/>
  <c r="F13293" i="1"/>
  <c r="B13294" i="1"/>
  <c r="A13294" i="1"/>
  <c r="F13294" i="1"/>
  <c r="B13295" i="1"/>
  <c r="A13295" i="1"/>
  <c r="F13295" i="1"/>
  <c r="B13296" i="1"/>
  <c r="A13296" i="1"/>
  <c r="F13296" i="1"/>
  <c r="B13297" i="1"/>
  <c r="A13297" i="1"/>
  <c r="F13297" i="1"/>
  <c r="B13298" i="1"/>
  <c r="A13298" i="1"/>
  <c r="F13298" i="1"/>
  <c r="B13299" i="1"/>
  <c r="A13299" i="1"/>
  <c r="F13299" i="1"/>
  <c r="B13300" i="1"/>
  <c r="A13300" i="1"/>
  <c r="F13300" i="1"/>
  <c r="B13301" i="1"/>
  <c r="A13301" i="1"/>
  <c r="F13301" i="1"/>
  <c r="B13302" i="1"/>
  <c r="A13302" i="1"/>
  <c r="F13302" i="1"/>
  <c r="B13303" i="1"/>
  <c r="A13303" i="1"/>
  <c r="F13303" i="1"/>
  <c r="B13304" i="1"/>
  <c r="A13304" i="1"/>
  <c r="F13304" i="1"/>
  <c r="B13305" i="1"/>
  <c r="A13305" i="1"/>
  <c r="F13305" i="1"/>
  <c r="B13306" i="1"/>
  <c r="A13306" i="1"/>
  <c r="F13306" i="1"/>
  <c r="B13307" i="1"/>
  <c r="A13307" i="1"/>
  <c r="F13307" i="1"/>
  <c r="B13308" i="1"/>
  <c r="A13308" i="1"/>
  <c r="F13308" i="1"/>
  <c r="B13309" i="1"/>
  <c r="A13309" i="1"/>
  <c r="F13309" i="1"/>
  <c r="B13310" i="1"/>
  <c r="A13310" i="1"/>
  <c r="F13310" i="1"/>
  <c r="B13311" i="1"/>
  <c r="A13311" i="1"/>
  <c r="F13311" i="1"/>
  <c r="B13312" i="1"/>
  <c r="A13312" i="1"/>
  <c r="F13312" i="1"/>
  <c r="B13313" i="1"/>
  <c r="A13313" i="1"/>
  <c r="F13313" i="1"/>
  <c r="B13314" i="1"/>
  <c r="A13314" i="1"/>
  <c r="F13314" i="1"/>
  <c r="B13315" i="1"/>
  <c r="A13315" i="1"/>
  <c r="F13315" i="1"/>
  <c r="B13316" i="1"/>
  <c r="A13316" i="1"/>
  <c r="F13316" i="1"/>
  <c r="B13317" i="1"/>
  <c r="A13317" i="1"/>
  <c r="F13317" i="1"/>
  <c r="B13318" i="1"/>
  <c r="A13318" i="1"/>
  <c r="F13318" i="1"/>
  <c r="B13319" i="1"/>
  <c r="A13319" i="1"/>
  <c r="F13319" i="1"/>
  <c r="B13320" i="1"/>
  <c r="A13320" i="1"/>
  <c r="F13320" i="1"/>
  <c r="B13321" i="1"/>
  <c r="A13321" i="1"/>
  <c r="F13321" i="1"/>
  <c r="B13322" i="1"/>
  <c r="A13322" i="1"/>
  <c r="F13322" i="1"/>
  <c r="B13323" i="1"/>
  <c r="A13323" i="1"/>
  <c r="F13323" i="1"/>
  <c r="B13324" i="1"/>
  <c r="A13324" i="1"/>
  <c r="F13324" i="1"/>
  <c r="B13325" i="1"/>
  <c r="A13325" i="1"/>
  <c r="F13325" i="1"/>
  <c r="B13326" i="1"/>
  <c r="A13326" i="1"/>
  <c r="F13326" i="1"/>
  <c r="B13327" i="1"/>
  <c r="A13327" i="1"/>
  <c r="F13327" i="1"/>
  <c r="B13328" i="1"/>
  <c r="A13328" i="1"/>
  <c r="F13328" i="1"/>
  <c r="B13329" i="1"/>
  <c r="A13329" i="1"/>
  <c r="F13329" i="1"/>
  <c r="B13330" i="1"/>
  <c r="A13330" i="1"/>
  <c r="F13330" i="1"/>
  <c r="B13331" i="1"/>
  <c r="A13331" i="1"/>
  <c r="F13331" i="1"/>
  <c r="B13332" i="1"/>
  <c r="A13332" i="1"/>
  <c r="F13332" i="1"/>
  <c r="B13333" i="1"/>
  <c r="A13333" i="1"/>
  <c r="F13333" i="1"/>
  <c r="B13334" i="1"/>
  <c r="A13334" i="1"/>
  <c r="F13334" i="1"/>
  <c r="B13335" i="1"/>
  <c r="A13335" i="1"/>
  <c r="F13335" i="1"/>
  <c r="B13336" i="1"/>
  <c r="A13336" i="1"/>
  <c r="F13336" i="1"/>
  <c r="B13337" i="1"/>
  <c r="A13337" i="1"/>
  <c r="F13337" i="1"/>
  <c r="B13338" i="1"/>
  <c r="A13338" i="1"/>
  <c r="F13338" i="1"/>
  <c r="B13339" i="1"/>
  <c r="A13339" i="1"/>
  <c r="F13339" i="1"/>
  <c r="B13340" i="1"/>
  <c r="A13340" i="1"/>
  <c r="F13340" i="1"/>
  <c r="B13341" i="1"/>
  <c r="A13341" i="1"/>
  <c r="F13341" i="1"/>
  <c r="B13342" i="1"/>
  <c r="A13342" i="1"/>
  <c r="F13342" i="1"/>
  <c r="B13343" i="1"/>
  <c r="A13343" i="1"/>
  <c r="F13343" i="1"/>
  <c r="B13344" i="1"/>
  <c r="A13344" i="1"/>
  <c r="F13344" i="1"/>
  <c r="B13345" i="1"/>
  <c r="A13345" i="1"/>
  <c r="F13345" i="1"/>
  <c r="B13346" i="1"/>
  <c r="A13346" i="1"/>
  <c r="F13346" i="1"/>
  <c r="B13347" i="1"/>
  <c r="A13347" i="1"/>
  <c r="F13347" i="1"/>
  <c r="B13348" i="1"/>
  <c r="A13348" i="1"/>
  <c r="F13348" i="1"/>
  <c r="B13349" i="1"/>
  <c r="A13349" i="1"/>
  <c r="F13349" i="1"/>
  <c r="B13350" i="1"/>
  <c r="A13350" i="1"/>
  <c r="F13350" i="1"/>
  <c r="B13351" i="1"/>
  <c r="A13351" i="1"/>
  <c r="F13351" i="1"/>
  <c r="B13352" i="1"/>
  <c r="A13352" i="1"/>
  <c r="F13352" i="1"/>
  <c r="B13353" i="1"/>
  <c r="A13353" i="1"/>
  <c r="F13353" i="1"/>
  <c r="B13354" i="1"/>
  <c r="A13354" i="1"/>
  <c r="F13354" i="1"/>
  <c r="B13355" i="1"/>
  <c r="A13355" i="1"/>
  <c r="F13355" i="1"/>
  <c r="B13356" i="1"/>
  <c r="A13356" i="1"/>
  <c r="F13356" i="1"/>
  <c r="B13357" i="1"/>
  <c r="A13357" i="1"/>
  <c r="F13357" i="1"/>
  <c r="B13358" i="1"/>
  <c r="A13358" i="1"/>
  <c r="F13358" i="1"/>
  <c r="B13359" i="1"/>
  <c r="A13359" i="1"/>
  <c r="F13359" i="1"/>
  <c r="B13360" i="1"/>
  <c r="A13360" i="1"/>
  <c r="F13360" i="1"/>
  <c r="B13361" i="1"/>
  <c r="A13361" i="1"/>
  <c r="F13361" i="1"/>
  <c r="B13362" i="1"/>
  <c r="A13362" i="1"/>
  <c r="F13362" i="1"/>
  <c r="B13363" i="1"/>
  <c r="A13363" i="1"/>
  <c r="F13363" i="1"/>
  <c r="B13364" i="1"/>
  <c r="A13364" i="1"/>
  <c r="F13364" i="1"/>
  <c r="B13365" i="1"/>
  <c r="A13365" i="1"/>
  <c r="F13365" i="1"/>
  <c r="B13366" i="1"/>
  <c r="A13366" i="1"/>
  <c r="F13366" i="1"/>
  <c r="B13367" i="1"/>
  <c r="A13367" i="1"/>
  <c r="F13367" i="1"/>
  <c r="B13368" i="1"/>
  <c r="A13368" i="1"/>
  <c r="F13368" i="1"/>
  <c r="B13369" i="1"/>
  <c r="A13369" i="1"/>
  <c r="F13369" i="1"/>
  <c r="B13370" i="1"/>
  <c r="A13370" i="1"/>
  <c r="F13370" i="1"/>
  <c r="B13371" i="1"/>
  <c r="A13371" i="1"/>
  <c r="F13371" i="1"/>
  <c r="B13372" i="1"/>
  <c r="A13372" i="1"/>
  <c r="F13372" i="1"/>
  <c r="B13373" i="1"/>
  <c r="A13373" i="1"/>
  <c r="F13373" i="1"/>
  <c r="B13374" i="1"/>
  <c r="A13374" i="1"/>
  <c r="F13374" i="1"/>
  <c r="B13375" i="1"/>
  <c r="A13375" i="1"/>
  <c r="F13375" i="1"/>
  <c r="B13376" i="1"/>
  <c r="A13376" i="1"/>
  <c r="F13376" i="1"/>
  <c r="B13377" i="1"/>
  <c r="A13377" i="1"/>
  <c r="F13377" i="1"/>
  <c r="B13378" i="1"/>
  <c r="A13378" i="1"/>
  <c r="F13378" i="1"/>
  <c r="B13379" i="1"/>
  <c r="A13379" i="1"/>
  <c r="F13379" i="1"/>
  <c r="B13380" i="1"/>
  <c r="A13380" i="1"/>
  <c r="F13380" i="1"/>
  <c r="B13381" i="1"/>
  <c r="A13381" i="1"/>
  <c r="F13381" i="1"/>
  <c r="B13382" i="1"/>
  <c r="A13382" i="1"/>
  <c r="F13382" i="1"/>
  <c r="B13383" i="1"/>
  <c r="A13383" i="1"/>
  <c r="F13383" i="1"/>
  <c r="B13384" i="1"/>
  <c r="A13384" i="1"/>
  <c r="F13384" i="1"/>
  <c r="B13385" i="1"/>
  <c r="A13385" i="1"/>
  <c r="F13385" i="1"/>
  <c r="B13386" i="1"/>
  <c r="A13386" i="1"/>
  <c r="F13386" i="1"/>
  <c r="B13387" i="1"/>
  <c r="A13387" i="1"/>
  <c r="F13387" i="1"/>
  <c r="B13388" i="1"/>
  <c r="A13388" i="1"/>
  <c r="F13388" i="1"/>
  <c r="B13389" i="1"/>
  <c r="A13389" i="1"/>
  <c r="F13389" i="1"/>
  <c r="B13390" i="1"/>
  <c r="A13390" i="1"/>
  <c r="F13390" i="1"/>
  <c r="B13391" i="1"/>
  <c r="A13391" i="1"/>
  <c r="F13391" i="1"/>
  <c r="B13392" i="1"/>
  <c r="A13392" i="1"/>
  <c r="F13392" i="1"/>
  <c r="B13393" i="1"/>
  <c r="A13393" i="1"/>
  <c r="F13393" i="1"/>
  <c r="B13394" i="1"/>
  <c r="A13394" i="1"/>
  <c r="F13394" i="1"/>
  <c r="B13395" i="1"/>
  <c r="A13395" i="1"/>
  <c r="F13395" i="1"/>
  <c r="B13396" i="1"/>
  <c r="A13396" i="1"/>
  <c r="F13396" i="1"/>
  <c r="B13397" i="1"/>
  <c r="A13397" i="1"/>
  <c r="F13397" i="1"/>
  <c r="B13398" i="1"/>
  <c r="A13398" i="1"/>
  <c r="F13398" i="1"/>
  <c r="B13399" i="1"/>
  <c r="A13399" i="1"/>
  <c r="F13399" i="1"/>
  <c r="B13400" i="1"/>
  <c r="A13400" i="1"/>
  <c r="F13400" i="1"/>
  <c r="B13401" i="1"/>
  <c r="A13401" i="1"/>
  <c r="F13401" i="1"/>
  <c r="B13402" i="1"/>
  <c r="A13402" i="1"/>
  <c r="F13402" i="1"/>
  <c r="B13403" i="1"/>
  <c r="A13403" i="1"/>
  <c r="F13403" i="1"/>
  <c r="B13404" i="1"/>
  <c r="A13404" i="1"/>
  <c r="F13404" i="1"/>
  <c r="B13405" i="1"/>
  <c r="A13405" i="1"/>
  <c r="F13405" i="1"/>
  <c r="B13406" i="1"/>
  <c r="A13406" i="1"/>
  <c r="F13406" i="1"/>
  <c r="B13407" i="1"/>
  <c r="A13407" i="1"/>
  <c r="F13407" i="1"/>
  <c r="B13408" i="1"/>
  <c r="A13408" i="1"/>
  <c r="F13408" i="1"/>
  <c r="B13409" i="1"/>
  <c r="A13409" i="1"/>
  <c r="F13409" i="1"/>
  <c r="B13410" i="1"/>
  <c r="A13410" i="1"/>
  <c r="F13410" i="1"/>
  <c r="B13411" i="1"/>
  <c r="A13411" i="1"/>
  <c r="F13411" i="1"/>
  <c r="B13412" i="1"/>
  <c r="A13412" i="1"/>
  <c r="F13412" i="1"/>
  <c r="B13413" i="1"/>
  <c r="A13413" i="1"/>
  <c r="F13413" i="1"/>
  <c r="B13414" i="1"/>
  <c r="A13414" i="1"/>
  <c r="F13414" i="1"/>
  <c r="B13415" i="1"/>
  <c r="A13415" i="1"/>
  <c r="F13415" i="1"/>
  <c r="B13416" i="1"/>
  <c r="A13416" i="1"/>
  <c r="F13416" i="1"/>
  <c r="B13417" i="1"/>
  <c r="A13417" i="1"/>
  <c r="F13417" i="1"/>
  <c r="B13418" i="1"/>
  <c r="A13418" i="1"/>
  <c r="F13418" i="1"/>
  <c r="B13419" i="1"/>
  <c r="A13419" i="1"/>
  <c r="F13419" i="1"/>
  <c r="B13420" i="1"/>
  <c r="A13420" i="1"/>
  <c r="F13420" i="1"/>
  <c r="B13421" i="1"/>
  <c r="A13421" i="1"/>
  <c r="F13421" i="1"/>
  <c r="B13422" i="1"/>
  <c r="A13422" i="1"/>
  <c r="F13422" i="1"/>
  <c r="B13423" i="1"/>
  <c r="A13423" i="1"/>
  <c r="F13423" i="1"/>
  <c r="B13424" i="1"/>
  <c r="A13424" i="1"/>
  <c r="F13424" i="1"/>
  <c r="B13425" i="1"/>
  <c r="A13425" i="1"/>
  <c r="F13425" i="1"/>
  <c r="B13426" i="1"/>
  <c r="A13426" i="1"/>
  <c r="F13426" i="1"/>
  <c r="B13427" i="1"/>
  <c r="A13427" i="1"/>
  <c r="F13427" i="1"/>
  <c r="B13428" i="1"/>
  <c r="A13428" i="1"/>
  <c r="F13428" i="1"/>
  <c r="B13429" i="1"/>
  <c r="A13429" i="1"/>
  <c r="F13429" i="1"/>
  <c r="B13430" i="1"/>
  <c r="A13430" i="1"/>
  <c r="F13430" i="1"/>
  <c r="B13431" i="1"/>
  <c r="A13431" i="1"/>
  <c r="F13431" i="1"/>
  <c r="B13432" i="1"/>
  <c r="A13432" i="1"/>
  <c r="F13432" i="1"/>
  <c r="B13433" i="1"/>
  <c r="A13433" i="1"/>
  <c r="F13433" i="1"/>
  <c r="B13434" i="1"/>
  <c r="A13434" i="1"/>
  <c r="F13434" i="1"/>
  <c r="B13435" i="1"/>
  <c r="A13435" i="1"/>
  <c r="F13435" i="1"/>
  <c r="B13436" i="1"/>
  <c r="A13436" i="1"/>
  <c r="F13436" i="1"/>
  <c r="B13437" i="1"/>
  <c r="A13437" i="1"/>
  <c r="F13437" i="1"/>
  <c r="B13438" i="1"/>
  <c r="A13438" i="1"/>
  <c r="F13438" i="1"/>
  <c r="B13439" i="1"/>
  <c r="A13439" i="1"/>
  <c r="F13439" i="1"/>
  <c r="B13440" i="1"/>
  <c r="A13440" i="1"/>
  <c r="F13440" i="1"/>
  <c r="B13441" i="1"/>
  <c r="A13441" i="1"/>
  <c r="F13441" i="1"/>
  <c r="B13442" i="1"/>
  <c r="A13442" i="1"/>
  <c r="F13442" i="1"/>
  <c r="B13443" i="1"/>
  <c r="A13443" i="1"/>
  <c r="F13443" i="1"/>
  <c r="B13444" i="1"/>
  <c r="A13444" i="1"/>
  <c r="F13444" i="1"/>
  <c r="B13445" i="1"/>
  <c r="A13445" i="1"/>
  <c r="F13445" i="1"/>
  <c r="B13446" i="1"/>
  <c r="A13446" i="1"/>
  <c r="F13446" i="1"/>
  <c r="B13447" i="1"/>
  <c r="A13447" i="1"/>
  <c r="F13447" i="1"/>
  <c r="B13448" i="1"/>
  <c r="A13448" i="1"/>
  <c r="F13448" i="1"/>
  <c r="B13449" i="1"/>
  <c r="A13449" i="1"/>
  <c r="F13449" i="1"/>
  <c r="B13450" i="1"/>
  <c r="A13450" i="1"/>
  <c r="F13450" i="1"/>
  <c r="B13451" i="1"/>
  <c r="A13451" i="1"/>
  <c r="F13451" i="1"/>
  <c r="B13452" i="1"/>
  <c r="A13452" i="1"/>
  <c r="F13452" i="1"/>
  <c r="B13453" i="1"/>
  <c r="A13453" i="1"/>
  <c r="F13453" i="1"/>
  <c r="B13454" i="1"/>
  <c r="A13454" i="1"/>
  <c r="F13454" i="1"/>
  <c r="B13455" i="1"/>
  <c r="A13455" i="1"/>
  <c r="F13455" i="1"/>
  <c r="B13456" i="1"/>
  <c r="A13456" i="1"/>
  <c r="F13456" i="1"/>
  <c r="B13457" i="1"/>
  <c r="A13457" i="1"/>
  <c r="F13457" i="1"/>
  <c r="B13458" i="1"/>
  <c r="A13458" i="1"/>
  <c r="F13458" i="1"/>
  <c r="B13459" i="1"/>
  <c r="A13459" i="1"/>
  <c r="F13459" i="1"/>
  <c r="B13460" i="1"/>
  <c r="A13460" i="1"/>
  <c r="F13460" i="1"/>
  <c r="B13461" i="1"/>
  <c r="A13461" i="1"/>
  <c r="F13461" i="1"/>
  <c r="B13462" i="1"/>
  <c r="A13462" i="1"/>
  <c r="F13462" i="1"/>
  <c r="B13463" i="1"/>
  <c r="A13463" i="1"/>
  <c r="F13463" i="1"/>
  <c r="B13464" i="1"/>
  <c r="A13464" i="1"/>
  <c r="F13464" i="1"/>
  <c r="B13465" i="1"/>
  <c r="A13465" i="1"/>
  <c r="F13465" i="1"/>
  <c r="B13466" i="1"/>
  <c r="A13466" i="1"/>
  <c r="F13466" i="1"/>
  <c r="B13467" i="1"/>
  <c r="A13467" i="1"/>
  <c r="F13467" i="1"/>
  <c r="B13468" i="1"/>
  <c r="A13468" i="1"/>
  <c r="F13468" i="1"/>
  <c r="B13469" i="1"/>
  <c r="A13469" i="1"/>
  <c r="F13469" i="1"/>
  <c r="B13470" i="1"/>
  <c r="A13470" i="1"/>
  <c r="F13470" i="1"/>
  <c r="B13471" i="1"/>
  <c r="A13471" i="1"/>
  <c r="F13471" i="1"/>
  <c r="B13472" i="1"/>
  <c r="A13472" i="1"/>
  <c r="F13472" i="1"/>
  <c r="B13473" i="1"/>
  <c r="A13473" i="1"/>
  <c r="F13473" i="1"/>
  <c r="B13474" i="1"/>
  <c r="A13474" i="1"/>
  <c r="F13474" i="1"/>
  <c r="B13475" i="1"/>
  <c r="A13475" i="1"/>
  <c r="F13475" i="1"/>
  <c r="B13476" i="1"/>
  <c r="A13476" i="1"/>
  <c r="F13476" i="1"/>
  <c r="B13477" i="1"/>
  <c r="A13477" i="1"/>
  <c r="F13477" i="1"/>
  <c r="B13478" i="1"/>
  <c r="A13478" i="1"/>
  <c r="F13478" i="1"/>
  <c r="B13479" i="1"/>
  <c r="A13479" i="1"/>
  <c r="F13479" i="1"/>
  <c r="B13480" i="1"/>
  <c r="A13480" i="1"/>
  <c r="F13480" i="1"/>
  <c r="B13481" i="1"/>
  <c r="A13481" i="1"/>
  <c r="F13481" i="1"/>
  <c r="B13482" i="1"/>
  <c r="A13482" i="1"/>
  <c r="F13482" i="1"/>
  <c r="B13483" i="1"/>
  <c r="A13483" i="1"/>
  <c r="F13483" i="1"/>
  <c r="B13484" i="1"/>
  <c r="A13484" i="1"/>
  <c r="F13484" i="1"/>
  <c r="B13485" i="1"/>
  <c r="A13485" i="1"/>
  <c r="F13485" i="1"/>
  <c r="B13486" i="1"/>
  <c r="A13486" i="1"/>
  <c r="F13486" i="1"/>
  <c r="B13487" i="1"/>
  <c r="A13487" i="1"/>
  <c r="F13487" i="1"/>
  <c r="B13488" i="1"/>
  <c r="A13488" i="1"/>
  <c r="F13488" i="1"/>
  <c r="B13489" i="1"/>
  <c r="A13489" i="1"/>
  <c r="F13489" i="1"/>
  <c r="B13490" i="1"/>
  <c r="A13490" i="1"/>
  <c r="F13490" i="1"/>
  <c r="B13491" i="1"/>
  <c r="A13491" i="1"/>
  <c r="F13491" i="1"/>
  <c r="B13492" i="1"/>
  <c r="A13492" i="1"/>
  <c r="F13492" i="1"/>
  <c r="B13493" i="1"/>
  <c r="A13493" i="1"/>
  <c r="F13493" i="1"/>
  <c r="B13494" i="1"/>
  <c r="A13494" i="1"/>
  <c r="F13494" i="1"/>
  <c r="B13495" i="1"/>
  <c r="A13495" i="1"/>
  <c r="F13495" i="1"/>
  <c r="B13496" i="1"/>
  <c r="A13496" i="1"/>
  <c r="F13496" i="1"/>
  <c r="B13497" i="1"/>
  <c r="A13497" i="1"/>
  <c r="F13497" i="1"/>
  <c r="B13498" i="1"/>
  <c r="A13498" i="1"/>
  <c r="F13498" i="1"/>
  <c r="B13499" i="1"/>
  <c r="A13499" i="1"/>
  <c r="F13499" i="1"/>
  <c r="B13500" i="1"/>
  <c r="A13500" i="1"/>
  <c r="F13500" i="1"/>
  <c r="B13501" i="1"/>
  <c r="A13501" i="1"/>
  <c r="F13501" i="1"/>
  <c r="B13502" i="1"/>
  <c r="A13502" i="1"/>
  <c r="F13502" i="1"/>
  <c r="B13503" i="1"/>
  <c r="A13503" i="1"/>
  <c r="F13503" i="1"/>
  <c r="B13504" i="1"/>
  <c r="A13504" i="1"/>
  <c r="F13504" i="1"/>
  <c r="B13505" i="1"/>
  <c r="A13505" i="1"/>
  <c r="F13505" i="1"/>
  <c r="B13506" i="1"/>
  <c r="A13506" i="1"/>
  <c r="F13506" i="1"/>
  <c r="B13507" i="1"/>
  <c r="A13507" i="1"/>
  <c r="F13507" i="1"/>
  <c r="B13508" i="1"/>
  <c r="A13508" i="1"/>
  <c r="F13508" i="1"/>
  <c r="B13509" i="1"/>
  <c r="A13509" i="1"/>
  <c r="F13509" i="1"/>
  <c r="B13510" i="1"/>
  <c r="A13510" i="1"/>
  <c r="F13510" i="1"/>
  <c r="B13511" i="1"/>
  <c r="A13511" i="1"/>
  <c r="F13511" i="1"/>
  <c r="B13512" i="1"/>
  <c r="A13512" i="1"/>
  <c r="F13512" i="1"/>
  <c r="B13513" i="1"/>
  <c r="A13513" i="1"/>
  <c r="F13513" i="1"/>
  <c r="B13514" i="1"/>
  <c r="A13514" i="1"/>
  <c r="F13514" i="1"/>
  <c r="B13515" i="1"/>
  <c r="A13515" i="1"/>
  <c r="F13515" i="1"/>
  <c r="B13516" i="1"/>
  <c r="A13516" i="1"/>
  <c r="F13516" i="1"/>
  <c r="B13517" i="1"/>
  <c r="A13517" i="1"/>
  <c r="F13517" i="1"/>
  <c r="B13518" i="1"/>
  <c r="A13518" i="1"/>
  <c r="F13518" i="1"/>
  <c r="B13519" i="1"/>
  <c r="A13519" i="1"/>
  <c r="F13519" i="1"/>
  <c r="B13520" i="1"/>
  <c r="A13520" i="1"/>
  <c r="F13520" i="1"/>
  <c r="B13521" i="1"/>
  <c r="A13521" i="1"/>
  <c r="F13521" i="1"/>
  <c r="B13522" i="1"/>
  <c r="A13522" i="1"/>
  <c r="F13522" i="1"/>
  <c r="B13523" i="1"/>
  <c r="A13523" i="1"/>
  <c r="F13523" i="1"/>
  <c r="B13524" i="1"/>
  <c r="A13524" i="1"/>
  <c r="F13524" i="1"/>
  <c r="B13525" i="1"/>
  <c r="A13525" i="1"/>
  <c r="F13525" i="1"/>
  <c r="B13526" i="1"/>
  <c r="A13526" i="1"/>
  <c r="F13526" i="1"/>
  <c r="B13527" i="1"/>
  <c r="A13527" i="1"/>
  <c r="F13527" i="1"/>
  <c r="B13528" i="1"/>
  <c r="A13528" i="1"/>
  <c r="F13528" i="1"/>
  <c r="B13529" i="1"/>
  <c r="A13529" i="1"/>
  <c r="F13529" i="1"/>
  <c r="B13530" i="1"/>
  <c r="A13530" i="1"/>
  <c r="F13530" i="1"/>
  <c r="B13531" i="1"/>
  <c r="A13531" i="1"/>
  <c r="F13531" i="1"/>
  <c r="B13532" i="1"/>
  <c r="A13532" i="1"/>
  <c r="F13532" i="1"/>
  <c r="B13533" i="1"/>
  <c r="A13533" i="1"/>
  <c r="F13533" i="1"/>
  <c r="B13534" i="1"/>
  <c r="A13534" i="1"/>
  <c r="F13534" i="1"/>
  <c r="B13535" i="1"/>
  <c r="A13535" i="1"/>
  <c r="F13535" i="1"/>
  <c r="B13536" i="1"/>
  <c r="A13536" i="1"/>
  <c r="F13536" i="1"/>
  <c r="B13537" i="1"/>
  <c r="A13537" i="1"/>
  <c r="F13537" i="1"/>
  <c r="B13538" i="1"/>
  <c r="A13538" i="1"/>
  <c r="F13538" i="1"/>
  <c r="B13539" i="1"/>
  <c r="A13539" i="1"/>
  <c r="F13539" i="1"/>
  <c r="B13540" i="1"/>
  <c r="A13540" i="1"/>
  <c r="F13540" i="1"/>
  <c r="B13541" i="1"/>
  <c r="A13541" i="1"/>
  <c r="F13541" i="1"/>
  <c r="B13542" i="1"/>
  <c r="A13542" i="1"/>
  <c r="F13542" i="1"/>
  <c r="B13543" i="1"/>
  <c r="A13543" i="1"/>
  <c r="F13543" i="1"/>
  <c r="B13544" i="1"/>
  <c r="A13544" i="1"/>
  <c r="F13544" i="1"/>
  <c r="B13545" i="1"/>
  <c r="A13545" i="1"/>
  <c r="F13545" i="1"/>
  <c r="B13546" i="1"/>
  <c r="A13546" i="1"/>
  <c r="F13546" i="1"/>
  <c r="B13547" i="1"/>
  <c r="A13547" i="1"/>
  <c r="F13547" i="1"/>
  <c r="B13548" i="1"/>
  <c r="A13548" i="1"/>
  <c r="F13548" i="1"/>
  <c r="B13549" i="1"/>
  <c r="A13549" i="1"/>
  <c r="F13549" i="1"/>
  <c r="B13550" i="1"/>
  <c r="A13550" i="1"/>
  <c r="F13550" i="1"/>
  <c r="B13551" i="1"/>
  <c r="A13551" i="1"/>
  <c r="F13551" i="1"/>
  <c r="B13552" i="1"/>
  <c r="A13552" i="1"/>
  <c r="F13552" i="1"/>
  <c r="B13553" i="1"/>
  <c r="A13553" i="1"/>
  <c r="F13553" i="1"/>
  <c r="B13554" i="1"/>
  <c r="A13554" i="1"/>
  <c r="F13554" i="1"/>
  <c r="B13555" i="1"/>
  <c r="A13555" i="1"/>
  <c r="F13555" i="1"/>
  <c r="B13556" i="1"/>
  <c r="A13556" i="1"/>
  <c r="F13556" i="1"/>
  <c r="B13557" i="1"/>
  <c r="A13557" i="1"/>
  <c r="F13557" i="1"/>
  <c r="B13558" i="1"/>
  <c r="A13558" i="1"/>
  <c r="F13558" i="1"/>
  <c r="B13559" i="1"/>
  <c r="A13559" i="1"/>
  <c r="F13559" i="1"/>
  <c r="B13560" i="1"/>
  <c r="A13560" i="1"/>
  <c r="F13560" i="1"/>
  <c r="B13561" i="1"/>
  <c r="A13561" i="1"/>
  <c r="F13561" i="1"/>
  <c r="B13562" i="1"/>
  <c r="A13562" i="1"/>
  <c r="F13562" i="1"/>
  <c r="B13563" i="1"/>
  <c r="A13563" i="1"/>
  <c r="F13563" i="1"/>
  <c r="B13564" i="1"/>
  <c r="A13564" i="1"/>
  <c r="F13564" i="1"/>
  <c r="B13565" i="1"/>
  <c r="A13565" i="1"/>
  <c r="F13565" i="1"/>
  <c r="B13566" i="1"/>
  <c r="A13566" i="1"/>
  <c r="F13566" i="1"/>
  <c r="B13567" i="1"/>
  <c r="A13567" i="1"/>
  <c r="F13567" i="1"/>
  <c r="B13568" i="1"/>
  <c r="A13568" i="1"/>
  <c r="F13568" i="1"/>
  <c r="B13569" i="1"/>
  <c r="A13569" i="1"/>
  <c r="F13569" i="1"/>
  <c r="B13570" i="1"/>
  <c r="A13570" i="1"/>
  <c r="F13570" i="1"/>
  <c r="B13571" i="1"/>
  <c r="A13571" i="1"/>
  <c r="F13571" i="1"/>
  <c r="B13572" i="1"/>
  <c r="A13572" i="1"/>
  <c r="F13572" i="1"/>
  <c r="B13573" i="1"/>
  <c r="A13573" i="1"/>
  <c r="F13573" i="1"/>
  <c r="B13574" i="1"/>
  <c r="A13574" i="1"/>
  <c r="F13574" i="1"/>
  <c r="B13575" i="1"/>
  <c r="A13575" i="1"/>
  <c r="F13575" i="1"/>
  <c r="B13576" i="1"/>
  <c r="A13576" i="1"/>
  <c r="F13576" i="1"/>
  <c r="B13577" i="1"/>
  <c r="A13577" i="1"/>
  <c r="F13577" i="1"/>
  <c r="B13578" i="1"/>
  <c r="A13578" i="1"/>
  <c r="F13578" i="1"/>
  <c r="B13579" i="1"/>
  <c r="A13579" i="1"/>
  <c r="F13579" i="1"/>
  <c r="B13580" i="1"/>
  <c r="A13580" i="1"/>
  <c r="F13580" i="1"/>
  <c r="B13581" i="1"/>
  <c r="A13581" i="1"/>
  <c r="F13581" i="1"/>
  <c r="B13582" i="1"/>
  <c r="A13582" i="1"/>
  <c r="F13582" i="1"/>
  <c r="B13583" i="1"/>
  <c r="A13583" i="1"/>
  <c r="F13583" i="1"/>
  <c r="B13584" i="1"/>
  <c r="A13584" i="1"/>
  <c r="F13584" i="1"/>
  <c r="B13585" i="1"/>
  <c r="A13585" i="1"/>
  <c r="F13585" i="1"/>
  <c r="B13586" i="1"/>
  <c r="A13586" i="1"/>
  <c r="F13586" i="1"/>
  <c r="B13587" i="1"/>
  <c r="A13587" i="1"/>
  <c r="F13587" i="1"/>
  <c r="B13588" i="1"/>
  <c r="A13588" i="1"/>
  <c r="F13588" i="1"/>
  <c r="B13589" i="1"/>
  <c r="A13589" i="1"/>
  <c r="F13589" i="1"/>
  <c r="B13590" i="1"/>
  <c r="A13590" i="1"/>
  <c r="F13590" i="1"/>
  <c r="B13591" i="1"/>
  <c r="A13591" i="1"/>
  <c r="F13591" i="1"/>
  <c r="B13592" i="1"/>
  <c r="A13592" i="1"/>
  <c r="F13592" i="1"/>
  <c r="B13593" i="1"/>
  <c r="A13593" i="1"/>
  <c r="F13593" i="1"/>
  <c r="B13594" i="1"/>
  <c r="A13594" i="1"/>
  <c r="F13594" i="1"/>
  <c r="B13595" i="1"/>
  <c r="A13595" i="1"/>
  <c r="F13595" i="1"/>
  <c r="B13596" i="1"/>
  <c r="A13596" i="1"/>
  <c r="F13596" i="1"/>
  <c r="B13597" i="1"/>
  <c r="A13597" i="1"/>
  <c r="F13597" i="1"/>
  <c r="B13598" i="1"/>
  <c r="A13598" i="1"/>
  <c r="F13598" i="1"/>
  <c r="B13599" i="1"/>
  <c r="A13599" i="1"/>
  <c r="F13599" i="1"/>
  <c r="B13600" i="1"/>
  <c r="A13600" i="1"/>
  <c r="F13600" i="1"/>
  <c r="B13601" i="1"/>
  <c r="A13601" i="1"/>
  <c r="F13601" i="1"/>
  <c r="B13602" i="1"/>
  <c r="A13602" i="1"/>
  <c r="F13602" i="1"/>
  <c r="B13603" i="1"/>
  <c r="A13603" i="1"/>
  <c r="F13603" i="1"/>
  <c r="B13604" i="1"/>
  <c r="A13604" i="1"/>
  <c r="F13604" i="1"/>
  <c r="B13605" i="1"/>
  <c r="A13605" i="1"/>
  <c r="F13605" i="1"/>
  <c r="B13606" i="1"/>
  <c r="A13606" i="1"/>
  <c r="F13606" i="1"/>
  <c r="B13607" i="1"/>
  <c r="A13607" i="1"/>
  <c r="F13607" i="1"/>
  <c r="B13608" i="1"/>
  <c r="A13608" i="1"/>
  <c r="F13608" i="1"/>
  <c r="B13609" i="1"/>
  <c r="A13609" i="1"/>
  <c r="F13609" i="1"/>
  <c r="B13610" i="1"/>
  <c r="A13610" i="1"/>
  <c r="F13610" i="1"/>
  <c r="B13611" i="1"/>
  <c r="A13611" i="1"/>
  <c r="F13611" i="1"/>
  <c r="B13612" i="1"/>
  <c r="A13612" i="1"/>
  <c r="F13612" i="1"/>
  <c r="B13613" i="1"/>
  <c r="A13613" i="1"/>
  <c r="F13613" i="1"/>
  <c r="B13614" i="1"/>
  <c r="A13614" i="1"/>
  <c r="F13614" i="1"/>
  <c r="B13615" i="1"/>
  <c r="A13615" i="1"/>
  <c r="F13615" i="1"/>
  <c r="B13616" i="1"/>
  <c r="A13616" i="1"/>
  <c r="F13616" i="1"/>
  <c r="B13617" i="1"/>
  <c r="A13617" i="1"/>
  <c r="F13617" i="1"/>
  <c r="B13618" i="1"/>
  <c r="A13618" i="1"/>
  <c r="F13618" i="1"/>
  <c r="B13619" i="1"/>
  <c r="A13619" i="1"/>
  <c r="F13619" i="1"/>
  <c r="B13620" i="1"/>
  <c r="A13620" i="1"/>
  <c r="F13620" i="1"/>
  <c r="B13621" i="1"/>
  <c r="A13621" i="1"/>
  <c r="F13621" i="1"/>
  <c r="B13622" i="1"/>
  <c r="A13622" i="1"/>
  <c r="F13622" i="1"/>
  <c r="B13623" i="1"/>
  <c r="A13623" i="1"/>
  <c r="F13623" i="1"/>
  <c r="B13624" i="1"/>
  <c r="A13624" i="1"/>
  <c r="F13624" i="1"/>
  <c r="B13625" i="1"/>
  <c r="A13625" i="1"/>
  <c r="F13625" i="1"/>
  <c r="B13626" i="1"/>
  <c r="A13626" i="1"/>
  <c r="F13626" i="1"/>
  <c r="B13627" i="1"/>
  <c r="A13627" i="1"/>
  <c r="F13627" i="1"/>
  <c r="B13628" i="1"/>
  <c r="A13628" i="1"/>
  <c r="F13628" i="1"/>
  <c r="B13629" i="1"/>
  <c r="A13629" i="1"/>
  <c r="F13629" i="1"/>
  <c r="B13630" i="1"/>
  <c r="A13630" i="1"/>
  <c r="F13630" i="1"/>
  <c r="B13631" i="1"/>
  <c r="A13631" i="1"/>
  <c r="F13631" i="1"/>
  <c r="B13632" i="1"/>
  <c r="A13632" i="1"/>
  <c r="F13632" i="1"/>
  <c r="B13633" i="1"/>
  <c r="A13633" i="1"/>
  <c r="F13633" i="1"/>
  <c r="B13634" i="1"/>
  <c r="A13634" i="1"/>
  <c r="F13634" i="1"/>
  <c r="B13635" i="1"/>
  <c r="A13635" i="1"/>
  <c r="F13635" i="1"/>
  <c r="B13636" i="1"/>
  <c r="A13636" i="1"/>
  <c r="F13636" i="1"/>
  <c r="B13637" i="1"/>
  <c r="A13637" i="1"/>
  <c r="F13637" i="1"/>
  <c r="B13638" i="1"/>
  <c r="A13638" i="1"/>
  <c r="F13638" i="1"/>
  <c r="B13639" i="1"/>
  <c r="A13639" i="1"/>
  <c r="F13639" i="1"/>
  <c r="B13640" i="1"/>
  <c r="A13640" i="1"/>
  <c r="F13640" i="1"/>
  <c r="B13641" i="1"/>
  <c r="A13641" i="1"/>
  <c r="F13641" i="1"/>
  <c r="B13642" i="1"/>
  <c r="A13642" i="1"/>
  <c r="F13642" i="1"/>
  <c r="B13643" i="1"/>
  <c r="A13643" i="1"/>
  <c r="F13643" i="1"/>
  <c r="B13644" i="1"/>
  <c r="A13644" i="1"/>
  <c r="F13644" i="1"/>
  <c r="B13645" i="1"/>
  <c r="A13645" i="1"/>
  <c r="F13645" i="1"/>
  <c r="B13646" i="1"/>
  <c r="A13646" i="1"/>
  <c r="F13646" i="1"/>
  <c r="B13647" i="1"/>
  <c r="A13647" i="1"/>
  <c r="F13647" i="1"/>
  <c r="B13648" i="1"/>
  <c r="A13648" i="1"/>
  <c r="F13648" i="1"/>
  <c r="B13649" i="1"/>
  <c r="A13649" i="1"/>
  <c r="F13649" i="1"/>
  <c r="B13650" i="1"/>
  <c r="A13650" i="1"/>
  <c r="F13650" i="1"/>
  <c r="B13651" i="1"/>
  <c r="A13651" i="1"/>
  <c r="F13651" i="1"/>
  <c r="B13652" i="1"/>
  <c r="A13652" i="1"/>
  <c r="F13652" i="1"/>
  <c r="B13653" i="1"/>
  <c r="A13653" i="1"/>
  <c r="F13653" i="1"/>
  <c r="B13654" i="1"/>
  <c r="A13654" i="1"/>
  <c r="F13654" i="1"/>
  <c r="B13655" i="1"/>
  <c r="A13655" i="1"/>
  <c r="F13655" i="1"/>
  <c r="B13656" i="1"/>
  <c r="A13656" i="1"/>
  <c r="F13656" i="1"/>
  <c r="B13657" i="1"/>
  <c r="A13657" i="1"/>
  <c r="F13657" i="1"/>
  <c r="B13658" i="1"/>
  <c r="A13658" i="1"/>
  <c r="F13658" i="1"/>
  <c r="B13659" i="1"/>
  <c r="A13659" i="1"/>
  <c r="F13659" i="1"/>
  <c r="B13660" i="1"/>
  <c r="A13660" i="1"/>
  <c r="F13660" i="1"/>
  <c r="B13661" i="1"/>
  <c r="A13661" i="1"/>
  <c r="F13661" i="1"/>
  <c r="B13662" i="1"/>
  <c r="A13662" i="1"/>
  <c r="F13662" i="1"/>
  <c r="B13663" i="1"/>
  <c r="A13663" i="1"/>
  <c r="F13663" i="1"/>
  <c r="B13664" i="1"/>
  <c r="A13664" i="1"/>
  <c r="F13664" i="1"/>
  <c r="B13665" i="1"/>
  <c r="A13665" i="1"/>
  <c r="F13665" i="1"/>
  <c r="B13666" i="1"/>
  <c r="A13666" i="1"/>
  <c r="F13666" i="1"/>
  <c r="B13667" i="1"/>
  <c r="A13667" i="1"/>
  <c r="F13667" i="1"/>
  <c r="B13668" i="1"/>
  <c r="A13668" i="1"/>
  <c r="F13668" i="1"/>
  <c r="B13669" i="1"/>
  <c r="A13669" i="1"/>
  <c r="F13669" i="1"/>
  <c r="B13670" i="1"/>
  <c r="A13670" i="1"/>
  <c r="F13670" i="1"/>
  <c r="B13671" i="1"/>
  <c r="A13671" i="1"/>
  <c r="F13671" i="1"/>
  <c r="B13672" i="1"/>
  <c r="A13672" i="1"/>
  <c r="F13672" i="1"/>
  <c r="B13673" i="1"/>
  <c r="A13673" i="1"/>
  <c r="F13673" i="1"/>
  <c r="B13674" i="1"/>
  <c r="A13674" i="1"/>
  <c r="F13674" i="1"/>
  <c r="B13675" i="1"/>
  <c r="A13675" i="1"/>
  <c r="F13675" i="1"/>
  <c r="B13676" i="1"/>
  <c r="A13676" i="1"/>
  <c r="F13676" i="1"/>
  <c r="B13677" i="1"/>
  <c r="A13677" i="1"/>
  <c r="F13677" i="1"/>
  <c r="B13678" i="1"/>
  <c r="A13678" i="1"/>
  <c r="F13678" i="1"/>
  <c r="B13679" i="1"/>
  <c r="A13679" i="1"/>
  <c r="F13679" i="1"/>
  <c r="B13680" i="1"/>
  <c r="A13680" i="1"/>
  <c r="F13680" i="1"/>
  <c r="B13681" i="1"/>
  <c r="A13681" i="1"/>
  <c r="F13681" i="1"/>
  <c r="B13682" i="1"/>
  <c r="A13682" i="1"/>
  <c r="F13682" i="1"/>
  <c r="B13683" i="1"/>
  <c r="A13683" i="1"/>
  <c r="F13683" i="1"/>
  <c r="B13684" i="1"/>
  <c r="A13684" i="1"/>
  <c r="F13684" i="1"/>
  <c r="B13685" i="1"/>
  <c r="A13685" i="1"/>
  <c r="F13685" i="1"/>
  <c r="B13686" i="1"/>
  <c r="A13686" i="1"/>
  <c r="F13686" i="1"/>
  <c r="B13687" i="1"/>
  <c r="A13687" i="1"/>
  <c r="F13687" i="1"/>
  <c r="B13688" i="1"/>
  <c r="A13688" i="1"/>
  <c r="F13688" i="1"/>
  <c r="B13689" i="1"/>
  <c r="A13689" i="1"/>
  <c r="F13689" i="1"/>
  <c r="B13690" i="1"/>
  <c r="A13690" i="1"/>
  <c r="F13690" i="1"/>
  <c r="B13691" i="1"/>
  <c r="A13691" i="1"/>
  <c r="F13691" i="1"/>
  <c r="B13692" i="1"/>
  <c r="A13692" i="1"/>
  <c r="F13692" i="1"/>
  <c r="B13693" i="1"/>
  <c r="A13693" i="1"/>
  <c r="F13693" i="1"/>
  <c r="B13694" i="1"/>
  <c r="A13694" i="1"/>
  <c r="F13694" i="1"/>
  <c r="B13695" i="1"/>
  <c r="A13695" i="1"/>
  <c r="F13695" i="1"/>
  <c r="B13696" i="1"/>
  <c r="A13696" i="1"/>
  <c r="F13696" i="1"/>
  <c r="B13697" i="1"/>
  <c r="A13697" i="1"/>
  <c r="F13697" i="1"/>
  <c r="B13698" i="1"/>
  <c r="A13698" i="1"/>
  <c r="F13698" i="1"/>
  <c r="B13699" i="1"/>
  <c r="A13699" i="1"/>
  <c r="F13699" i="1"/>
  <c r="B13700" i="1"/>
  <c r="A13700" i="1"/>
  <c r="F13700" i="1"/>
  <c r="B13701" i="1"/>
  <c r="A13701" i="1"/>
  <c r="F13701" i="1"/>
  <c r="B13702" i="1"/>
  <c r="A13702" i="1"/>
  <c r="F13702" i="1"/>
  <c r="B13703" i="1"/>
  <c r="A13703" i="1"/>
  <c r="F13703" i="1"/>
  <c r="B13704" i="1"/>
  <c r="A13704" i="1"/>
  <c r="F13704" i="1"/>
  <c r="B13705" i="1"/>
  <c r="A13705" i="1"/>
  <c r="F13705" i="1"/>
  <c r="B13706" i="1"/>
  <c r="A13706" i="1"/>
  <c r="F13706" i="1"/>
  <c r="B13707" i="1"/>
  <c r="A13707" i="1"/>
  <c r="F13707" i="1"/>
  <c r="B13708" i="1"/>
  <c r="A13708" i="1"/>
  <c r="F13708" i="1"/>
  <c r="B13709" i="1"/>
  <c r="A13709" i="1"/>
  <c r="F13709" i="1"/>
  <c r="B13710" i="1"/>
  <c r="A13710" i="1"/>
  <c r="F13710" i="1"/>
  <c r="B13711" i="1"/>
  <c r="A13711" i="1"/>
  <c r="F13711" i="1"/>
  <c r="B13712" i="1"/>
  <c r="A13712" i="1"/>
  <c r="F13712" i="1"/>
  <c r="B13713" i="1"/>
  <c r="A13713" i="1"/>
  <c r="F13713" i="1"/>
  <c r="B13714" i="1"/>
  <c r="A13714" i="1"/>
  <c r="F13714" i="1"/>
  <c r="B13715" i="1"/>
  <c r="A13715" i="1"/>
  <c r="F13715" i="1"/>
  <c r="B13716" i="1"/>
  <c r="A13716" i="1"/>
  <c r="F13716" i="1"/>
  <c r="B13717" i="1"/>
  <c r="A13717" i="1"/>
  <c r="F13717" i="1"/>
  <c r="B13718" i="1"/>
  <c r="A13718" i="1"/>
  <c r="F13718" i="1"/>
  <c r="B13719" i="1"/>
  <c r="A13719" i="1"/>
  <c r="F13719" i="1"/>
  <c r="B13720" i="1"/>
  <c r="A13720" i="1"/>
  <c r="F13720" i="1"/>
  <c r="B13721" i="1"/>
  <c r="A13721" i="1"/>
  <c r="F13721" i="1"/>
  <c r="B13722" i="1"/>
  <c r="A13722" i="1"/>
  <c r="F13722" i="1"/>
  <c r="B13723" i="1"/>
  <c r="A13723" i="1"/>
  <c r="F13723" i="1"/>
  <c r="B13724" i="1"/>
  <c r="A13724" i="1"/>
  <c r="F13724" i="1"/>
  <c r="B13725" i="1"/>
  <c r="A13725" i="1"/>
  <c r="F13725" i="1"/>
  <c r="B13726" i="1"/>
  <c r="A13726" i="1"/>
  <c r="F13726" i="1"/>
  <c r="B13727" i="1"/>
  <c r="A13727" i="1"/>
  <c r="F13727" i="1"/>
  <c r="B13728" i="1"/>
  <c r="A13728" i="1"/>
  <c r="F13728" i="1"/>
  <c r="B13729" i="1"/>
  <c r="A13729" i="1"/>
  <c r="F13729" i="1"/>
  <c r="B13730" i="1"/>
  <c r="A13730" i="1"/>
  <c r="F13730" i="1"/>
  <c r="B13731" i="1"/>
  <c r="A13731" i="1"/>
  <c r="F13731" i="1"/>
  <c r="B13732" i="1"/>
  <c r="A13732" i="1"/>
  <c r="F13732" i="1"/>
  <c r="B13733" i="1"/>
  <c r="A13733" i="1"/>
  <c r="F13733" i="1"/>
  <c r="B13734" i="1"/>
  <c r="A13734" i="1"/>
  <c r="F13734" i="1"/>
  <c r="B13735" i="1"/>
  <c r="A13735" i="1"/>
  <c r="F13735" i="1"/>
  <c r="B13736" i="1"/>
  <c r="A13736" i="1"/>
  <c r="F13736" i="1"/>
  <c r="B13737" i="1"/>
  <c r="A13737" i="1"/>
  <c r="F13737" i="1"/>
  <c r="B13738" i="1"/>
  <c r="A13738" i="1"/>
  <c r="F13738" i="1"/>
  <c r="B13739" i="1"/>
  <c r="A13739" i="1"/>
  <c r="F13739" i="1"/>
  <c r="B13740" i="1"/>
  <c r="A13740" i="1"/>
  <c r="F13740" i="1"/>
  <c r="B13741" i="1"/>
  <c r="A13741" i="1"/>
  <c r="F13741" i="1"/>
  <c r="B13742" i="1"/>
  <c r="A13742" i="1"/>
  <c r="F13742" i="1"/>
  <c r="B13743" i="1"/>
  <c r="A13743" i="1"/>
  <c r="F13743" i="1"/>
  <c r="B13744" i="1"/>
  <c r="A13744" i="1"/>
  <c r="F13744" i="1"/>
  <c r="B13745" i="1"/>
  <c r="A13745" i="1"/>
  <c r="F13745" i="1"/>
  <c r="B13746" i="1"/>
  <c r="A13746" i="1"/>
  <c r="F13746" i="1"/>
  <c r="B13747" i="1"/>
  <c r="A13747" i="1"/>
  <c r="F13747" i="1"/>
  <c r="B13748" i="1"/>
  <c r="A13748" i="1"/>
  <c r="F13748" i="1"/>
  <c r="B13749" i="1"/>
  <c r="A13749" i="1"/>
  <c r="F13749" i="1"/>
  <c r="B13750" i="1"/>
  <c r="A13750" i="1"/>
  <c r="F13750" i="1"/>
  <c r="B13751" i="1"/>
  <c r="A13751" i="1"/>
  <c r="F13751" i="1"/>
  <c r="B13752" i="1"/>
  <c r="A13752" i="1"/>
  <c r="F13752" i="1"/>
  <c r="B13753" i="1"/>
  <c r="A13753" i="1"/>
  <c r="F13753" i="1"/>
  <c r="B13754" i="1"/>
  <c r="A13754" i="1"/>
  <c r="F13754" i="1"/>
  <c r="B13755" i="1"/>
  <c r="A13755" i="1"/>
  <c r="F13755" i="1"/>
  <c r="B13756" i="1"/>
  <c r="A13756" i="1"/>
  <c r="F13756" i="1"/>
  <c r="B13757" i="1"/>
  <c r="A13757" i="1"/>
  <c r="F13757" i="1"/>
  <c r="B13758" i="1"/>
  <c r="A13758" i="1"/>
  <c r="F13758" i="1"/>
  <c r="B13759" i="1"/>
  <c r="A13759" i="1"/>
  <c r="F13759" i="1"/>
  <c r="B13760" i="1"/>
  <c r="A13760" i="1"/>
  <c r="F13760" i="1"/>
  <c r="B13761" i="1"/>
  <c r="A13761" i="1"/>
  <c r="F13761" i="1"/>
  <c r="B13762" i="1"/>
  <c r="A13762" i="1"/>
  <c r="F13762" i="1"/>
  <c r="B13763" i="1"/>
  <c r="A13763" i="1"/>
  <c r="F13763" i="1"/>
  <c r="B13764" i="1"/>
  <c r="A13764" i="1"/>
  <c r="F13764" i="1"/>
  <c r="B13765" i="1"/>
  <c r="A13765" i="1"/>
  <c r="F13765" i="1"/>
  <c r="B13766" i="1"/>
  <c r="A13766" i="1"/>
  <c r="F13766" i="1"/>
  <c r="B13767" i="1"/>
  <c r="A13767" i="1"/>
  <c r="F13767" i="1"/>
  <c r="B13768" i="1"/>
  <c r="A13768" i="1"/>
  <c r="F13768" i="1"/>
  <c r="B13769" i="1"/>
  <c r="A13769" i="1"/>
  <c r="F13769" i="1"/>
  <c r="B13770" i="1"/>
  <c r="A13770" i="1"/>
  <c r="F13770" i="1"/>
  <c r="B13771" i="1"/>
  <c r="A13771" i="1"/>
  <c r="F13771" i="1"/>
  <c r="B13772" i="1"/>
  <c r="A13772" i="1"/>
  <c r="F13772" i="1"/>
  <c r="B13773" i="1"/>
  <c r="A13773" i="1"/>
  <c r="F13773" i="1"/>
  <c r="B13774" i="1"/>
  <c r="A13774" i="1"/>
  <c r="F13774" i="1"/>
  <c r="B13775" i="1"/>
  <c r="A13775" i="1"/>
  <c r="F13775" i="1"/>
  <c r="B13776" i="1"/>
  <c r="A13776" i="1"/>
  <c r="F13776" i="1"/>
  <c r="B13777" i="1"/>
  <c r="A13777" i="1"/>
  <c r="F13777" i="1"/>
  <c r="B13778" i="1"/>
  <c r="A13778" i="1"/>
  <c r="F13778" i="1"/>
  <c r="B13779" i="1"/>
  <c r="A13779" i="1"/>
  <c r="F13779" i="1"/>
  <c r="B13780" i="1"/>
  <c r="A13780" i="1"/>
  <c r="F13780" i="1"/>
  <c r="B13781" i="1"/>
  <c r="A13781" i="1"/>
  <c r="F13781" i="1"/>
  <c r="B13782" i="1"/>
  <c r="A13782" i="1"/>
  <c r="F13782" i="1"/>
  <c r="B13783" i="1"/>
  <c r="A13783" i="1"/>
  <c r="F13783" i="1"/>
  <c r="B13784" i="1"/>
  <c r="A13784" i="1"/>
  <c r="F13784" i="1"/>
  <c r="B13785" i="1"/>
  <c r="A13785" i="1"/>
  <c r="F13785" i="1"/>
  <c r="B13786" i="1"/>
  <c r="A13786" i="1"/>
  <c r="F13786" i="1"/>
  <c r="B13787" i="1"/>
  <c r="A13787" i="1"/>
  <c r="F13787" i="1"/>
  <c r="B13788" i="1"/>
  <c r="A13788" i="1"/>
  <c r="F13788" i="1"/>
  <c r="B13789" i="1"/>
  <c r="A13789" i="1"/>
  <c r="F13789" i="1"/>
  <c r="B13790" i="1"/>
  <c r="A13790" i="1"/>
  <c r="F13790" i="1"/>
  <c r="B13791" i="1"/>
  <c r="A13791" i="1"/>
  <c r="F13791" i="1"/>
  <c r="B13792" i="1"/>
  <c r="A13792" i="1"/>
  <c r="F13792" i="1"/>
  <c r="B13793" i="1"/>
  <c r="A13793" i="1"/>
  <c r="F13793" i="1"/>
  <c r="B13794" i="1"/>
  <c r="A13794" i="1"/>
  <c r="F13794" i="1"/>
  <c r="B13795" i="1"/>
  <c r="A13795" i="1"/>
  <c r="F13795" i="1"/>
  <c r="B13796" i="1"/>
  <c r="A13796" i="1"/>
  <c r="F13796" i="1"/>
  <c r="B13797" i="1"/>
  <c r="A13797" i="1"/>
  <c r="F13797" i="1"/>
  <c r="B13798" i="1"/>
  <c r="A13798" i="1"/>
  <c r="F13798" i="1"/>
  <c r="B13799" i="1"/>
  <c r="A13799" i="1"/>
  <c r="F13799" i="1"/>
  <c r="B13800" i="1"/>
  <c r="A13800" i="1"/>
  <c r="F13800" i="1"/>
  <c r="B13801" i="1"/>
  <c r="A13801" i="1"/>
  <c r="F13801" i="1"/>
  <c r="B13802" i="1"/>
  <c r="A13802" i="1"/>
  <c r="F13802" i="1"/>
  <c r="B13803" i="1"/>
  <c r="A13803" i="1"/>
  <c r="F13803" i="1"/>
  <c r="B13804" i="1"/>
  <c r="A13804" i="1"/>
  <c r="F13804" i="1"/>
  <c r="B13805" i="1"/>
  <c r="A13805" i="1"/>
  <c r="F13805" i="1"/>
  <c r="B13806" i="1"/>
  <c r="A13806" i="1"/>
  <c r="F13806" i="1"/>
  <c r="B13807" i="1"/>
  <c r="A13807" i="1"/>
  <c r="F13807" i="1"/>
  <c r="B13808" i="1"/>
  <c r="A13808" i="1"/>
  <c r="F13808" i="1"/>
  <c r="B13809" i="1"/>
  <c r="A13809" i="1"/>
  <c r="F13809" i="1"/>
  <c r="B13810" i="1"/>
  <c r="A13810" i="1"/>
  <c r="F13810" i="1"/>
  <c r="B13811" i="1"/>
  <c r="A13811" i="1"/>
  <c r="F13811" i="1"/>
  <c r="B13812" i="1"/>
  <c r="A13812" i="1"/>
  <c r="F13812" i="1"/>
  <c r="B13813" i="1"/>
  <c r="A13813" i="1"/>
  <c r="F13813" i="1"/>
  <c r="B13814" i="1"/>
  <c r="A13814" i="1"/>
  <c r="F13814" i="1"/>
  <c r="B13815" i="1"/>
  <c r="A13815" i="1"/>
  <c r="F13815" i="1"/>
  <c r="B13816" i="1"/>
  <c r="A13816" i="1"/>
  <c r="F13816" i="1"/>
  <c r="B13817" i="1"/>
  <c r="A13817" i="1"/>
  <c r="F13817" i="1"/>
  <c r="B13818" i="1"/>
  <c r="A13818" i="1"/>
  <c r="F13818" i="1"/>
  <c r="B13819" i="1"/>
  <c r="A13819" i="1"/>
  <c r="F13819" i="1"/>
  <c r="B13820" i="1"/>
  <c r="A13820" i="1"/>
  <c r="F13820" i="1"/>
  <c r="B13821" i="1"/>
  <c r="A13821" i="1"/>
  <c r="F13821" i="1"/>
  <c r="B13822" i="1"/>
  <c r="A13822" i="1"/>
  <c r="F13822" i="1"/>
  <c r="B13823" i="1"/>
  <c r="A13823" i="1"/>
  <c r="F13823" i="1"/>
  <c r="B13824" i="1"/>
  <c r="A13824" i="1"/>
  <c r="F13824" i="1"/>
  <c r="B13825" i="1"/>
  <c r="A13825" i="1"/>
  <c r="F13825" i="1"/>
  <c r="B13826" i="1"/>
  <c r="A13826" i="1"/>
  <c r="F13826" i="1"/>
  <c r="B13827" i="1"/>
  <c r="A13827" i="1"/>
  <c r="F13827" i="1"/>
  <c r="B13828" i="1"/>
  <c r="A13828" i="1"/>
  <c r="F13828" i="1"/>
  <c r="B13829" i="1"/>
  <c r="A13829" i="1"/>
  <c r="F13829" i="1"/>
  <c r="B13830" i="1"/>
  <c r="A13830" i="1"/>
  <c r="F13830" i="1"/>
  <c r="B13831" i="1"/>
  <c r="A13831" i="1"/>
  <c r="F13831" i="1"/>
  <c r="B13832" i="1"/>
  <c r="A13832" i="1"/>
  <c r="F13832" i="1"/>
  <c r="B13833" i="1"/>
  <c r="A13833" i="1"/>
  <c r="F13833" i="1"/>
  <c r="B13834" i="1"/>
  <c r="A13834" i="1"/>
  <c r="F13834" i="1"/>
  <c r="B13835" i="1"/>
  <c r="A13835" i="1"/>
  <c r="F13835" i="1"/>
  <c r="B13836" i="1"/>
  <c r="A13836" i="1"/>
  <c r="F13836" i="1"/>
  <c r="B13837" i="1"/>
  <c r="A13837" i="1"/>
  <c r="F13837" i="1"/>
  <c r="B13838" i="1"/>
  <c r="A13838" i="1"/>
  <c r="F13838" i="1"/>
  <c r="B13839" i="1"/>
  <c r="A13839" i="1"/>
  <c r="F13839" i="1"/>
  <c r="B13840" i="1"/>
  <c r="A13840" i="1"/>
  <c r="F13840" i="1"/>
  <c r="B13841" i="1"/>
  <c r="A13841" i="1"/>
  <c r="F13841" i="1"/>
  <c r="B13842" i="1"/>
  <c r="A13842" i="1"/>
  <c r="F13842" i="1"/>
  <c r="B13843" i="1"/>
  <c r="A13843" i="1"/>
  <c r="F13843" i="1"/>
  <c r="B13844" i="1"/>
  <c r="A13844" i="1"/>
  <c r="F13844" i="1"/>
  <c r="B13845" i="1"/>
  <c r="A13845" i="1"/>
  <c r="F13845" i="1"/>
  <c r="B13846" i="1"/>
  <c r="A13846" i="1"/>
  <c r="F13846" i="1"/>
  <c r="B13847" i="1"/>
  <c r="A13847" i="1"/>
  <c r="F13847" i="1"/>
  <c r="B13848" i="1"/>
  <c r="A13848" i="1"/>
  <c r="F13848" i="1"/>
  <c r="B13849" i="1"/>
  <c r="A13849" i="1"/>
  <c r="F13849" i="1"/>
  <c r="B13850" i="1"/>
  <c r="A13850" i="1"/>
  <c r="F13850" i="1"/>
  <c r="B13851" i="1"/>
  <c r="A13851" i="1"/>
  <c r="F13851" i="1"/>
  <c r="B13852" i="1"/>
  <c r="A13852" i="1"/>
  <c r="F13852" i="1"/>
  <c r="B13853" i="1"/>
  <c r="A13853" i="1"/>
  <c r="F13853" i="1"/>
  <c r="B13854" i="1"/>
  <c r="A13854" i="1"/>
  <c r="F13854" i="1"/>
  <c r="B13855" i="1"/>
  <c r="A13855" i="1"/>
  <c r="F13855" i="1"/>
  <c r="B13856" i="1"/>
  <c r="A13856" i="1"/>
  <c r="F13856" i="1"/>
  <c r="B13857" i="1"/>
  <c r="A13857" i="1"/>
  <c r="F13857" i="1"/>
  <c r="B13858" i="1"/>
  <c r="A13858" i="1"/>
  <c r="F13858" i="1"/>
  <c r="B13859" i="1"/>
  <c r="A13859" i="1"/>
  <c r="F13859" i="1"/>
  <c r="B13860" i="1"/>
  <c r="A13860" i="1"/>
  <c r="F13860" i="1"/>
  <c r="B13861" i="1"/>
  <c r="A13861" i="1"/>
  <c r="F13861" i="1"/>
  <c r="B13862" i="1"/>
  <c r="A13862" i="1"/>
  <c r="F13862" i="1"/>
  <c r="B13863" i="1"/>
  <c r="A13863" i="1"/>
  <c r="F13863" i="1"/>
  <c r="B13864" i="1"/>
  <c r="A13864" i="1"/>
  <c r="F13864" i="1"/>
  <c r="B13865" i="1"/>
  <c r="A13865" i="1"/>
  <c r="F13865" i="1"/>
  <c r="B13866" i="1"/>
  <c r="A13866" i="1"/>
  <c r="F13866" i="1"/>
  <c r="B13867" i="1"/>
  <c r="A13867" i="1"/>
  <c r="F13867" i="1"/>
  <c r="B13868" i="1"/>
  <c r="A13868" i="1"/>
  <c r="F13868" i="1"/>
  <c r="B13869" i="1"/>
  <c r="A13869" i="1"/>
  <c r="F13869" i="1"/>
  <c r="B13870" i="1"/>
  <c r="A13870" i="1"/>
  <c r="F13870" i="1"/>
  <c r="B13871" i="1"/>
  <c r="A13871" i="1"/>
  <c r="F13871" i="1"/>
  <c r="B13872" i="1"/>
  <c r="A13872" i="1"/>
  <c r="F13872" i="1"/>
  <c r="B13873" i="1"/>
  <c r="A13873" i="1"/>
  <c r="F13873" i="1"/>
  <c r="B13874" i="1"/>
  <c r="A13874" i="1"/>
  <c r="F13874" i="1"/>
  <c r="B13875" i="1"/>
  <c r="A13875" i="1"/>
  <c r="F13875" i="1"/>
  <c r="B13876" i="1"/>
  <c r="A13876" i="1"/>
  <c r="F13876" i="1"/>
  <c r="B13877" i="1"/>
  <c r="A13877" i="1"/>
  <c r="F13877" i="1"/>
  <c r="B13878" i="1"/>
  <c r="A13878" i="1"/>
  <c r="F13878" i="1"/>
  <c r="B13879" i="1"/>
  <c r="A13879" i="1"/>
  <c r="F13879" i="1"/>
  <c r="B13880" i="1"/>
  <c r="A13880" i="1"/>
  <c r="F13880" i="1"/>
  <c r="B13881" i="1"/>
  <c r="A13881" i="1"/>
  <c r="F13881" i="1"/>
  <c r="B13882" i="1"/>
  <c r="A13882" i="1"/>
  <c r="F13882" i="1"/>
  <c r="B13883" i="1"/>
  <c r="A13883" i="1"/>
  <c r="F13883" i="1"/>
  <c r="B13884" i="1"/>
  <c r="A13884" i="1"/>
  <c r="F13884" i="1"/>
  <c r="B13885" i="1"/>
  <c r="A13885" i="1"/>
  <c r="F13885" i="1"/>
  <c r="B13886" i="1"/>
  <c r="A13886" i="1"/>
  <c r="F13886" i="1"/>
  <c r="B13887" i="1"/>
  <c r="A13887" i="1"/>
  <c r="F13887" i="1"/>
  <c r="B13888" i="1"/>
  <c r="A13888" i="1"/>
  <c r="F13888" i="1"/>
  <c r="B13889" i="1"/>
  <c r="A13889" i="1"/>
  <c r="F13889" i="1"/>
  <c r="B13890" i="1"/>
  <c r="A13890" i="1"/>
  <c r="F13890" i="1"/>
  <c r="B13891" i="1"/>
  <c r="A13891" i="1"/>
  <c r="F13891" i="1"/>
  <c r="B13892" i="1"/>
  <c r="A13892" i="1"/>
  <c r="F13892" i="1"/>
  <c r="B13893" i="1"/>
  <c r="A13893" i="1"/>
  <c r="F13893" i="1"/>
  <c r="B13894" i="1"/>
  <c r="A13894" i="1"/>
  <c r="F13894" i="1"/>
  <c r="B13895" i="1"/>
  <c r="A13895" i="1"/>
  <c r="F13895" i="1"/>
  <c r="B13896" i="1"/>
  <c r="A13896" i="1"/>
  <c r="F13896" i="1"/>
  <c r="B13897" i="1"/>
  <c r="A13897" i="1"/>
  <c r="F13897" i="1"/>
  <c r="B13898" i="1"/>
  <c r="A13898" i="1"/>
  <c r="F13898" i="1"/>
  <c r="B13899" i="1"/>
  <c r="A13899" i="1"/>
  <c r="F13899" i="1"/>
  <c r="B13900" i="1"/>
  <c r="A13900" i="1"/>
  <c r="F13900" i="1"/>
  <c r="B13901" i="1"/>
  <c r="A13901" i="1"/>
  <c r="F13901" i="1"/>
  <c r="B13902" i="1"/>
  <c r="A13902" i="1"/>
  <c r="F13902" i="1"/>
  <c r="B13903" i="1"/>
  <c r="A13903" i="1"/>
  <c r="F13903" i="1"/>
  <c r="B13904" i="1"/>
  <c r="A13904" i="1"/>
  <c r="F13904" i="1"/>
  <c r="B13905" i="1"/>
  <c r="A13905" i="1"/>
  <c r="F13905" i="1"/>
  <c r="B13906" i="1"/>
  <c r="A13906" i="1"/>
  <c r="F13906" i="1"/>
  <c r="B13907" i="1"/>
  <c r="A13907" i="1"/>
  <c r="F13907" i="1"/>
  <c r="B13908" i="1"/>
  <c r="A13908" i="1"/>
  <c r="F13908" i="1"/>
  <c r="B13909" i="1"/>
  <c r="A13909" i="1"/>
  <c r="F13909" i="1"/>
  <c r="B13910" i="1"/>
  <c r="A13910" i="1"/>
  <c r="F13910" i="1"/>
  <c r="B13911" i="1"/>
  <c r="A13911" i="1"/>
  <c r="F13911" i="1"/>
  <c r="B13912" i="1"/>
  <c r="A13912" i="1"/>
  <c r="F13912" i="1"/>
  <c r="B13913" i="1"/>
  <c r="A13913" i="1"/>
  <c r="F13913" i="1"/>
  <c r="B13914" i="1"/>
  <c r="A13914" i="1"/>
  <c r="F13914" i="1"/>
  <c r="B13915" i="1"/>
  <c r="A13915" i="1"/>
  <c r="F13915" i="1"/>
  <c r="B13916" i="1"/>
  <c r="A13916" i="1"/>
  <c r="F13916" i="1"/>
  <c r="B13917" i="1"/>
  <c r="A13917" i="1"/>
  <c r="F13917" i="1"/>
  <c r="B13918" i="1"/>
  <c r="A13918" i="1"/>
  <c r="F13918" i="1"/>
  <c r="B13919" i="1"/>
  <c r="A13919" i="1"/>
  <c r="F13919" i="1"/>
  <c r="B13920" i="1"/>
  <c r="A13920" i="1"/>
  <c r="F13920" i="1"/>
  <c r="B13921" i="1"/>
  <c r="A13921" i="1"/>
  <c r="F13921" i="1"/>
  <c r="B13922" i="1"/>
  <c r="A13922" i="1"/>
  <c r="F13922" i="1"/>
  <c r="B13923" i="1"/>
  <c r="A13923" i="1"/>
  <c r="F13923" i="1"/>
  <c r="B13924" i="1"/>
  <c r="A13924" i="1"/>
  <c r="F13924" i="1"/>
  <c r="B13925" i="1"/>
  <c r="A13925" i="1"/>
  <c r="F13925" i="1"/>
  <c r="B13926" i="1"/>
  <c r="A13926" i="1"/>
  <c r="F13926" i="1"/>
  <c r="B13927" i="1"/>
  <c r="A13927" i="1"/>
  <c r="F13927" i="1"/>
  <c r="B13928" i="1"/>
  <c r="A13928" i="1"/>
  <c r="F13928" i="1"/>
  <c r="B13929" i="1"/>
  <c r="A13929" i="1"/>
  <c r="F13929" i="1"/>
  <c r="B13930" i="1"/>
  <c r="A13930" i="1"/>
  <c r="F13930" i="1"/>
  <c r="B13931" i="1"/>
  <c r="A13931" i="1"/>
  <c r="F13931" i="1"/>
  <c r="B13932" i="1"/>
  <c r="A13932" i="1"/>
  <c r="F13932" i="1"/>
  <c r="B13933" i="1"/>
  <c r="A13933" i="1"/>
  <c r="F13933" i="1"/>
  <c r="B13934" i="1"/>
  <c r="A13934" i="1"/>
  <c r="F13934" i="1"/>
  <c r="B13935" i="1"/>
  <c r="A13935" i="1"/>
  <c r="F13935" i="1"/>
  <c r="B13936" i="1"/>
  <c r="A13936" i="1"/>
  <c r="F13936" i="1"/>
  <c r="B13937" i="1"/>
  <c r="A13937" i="1"/>
  <c r="F13937" i="1"/>
  <c r="B13938" i="1"/>
  <c r="A13938" i="1"/>
  <c r="F13938" i="1"/>
  <c r="B13939" i="1"/>
  <c r="A13939" i="1"/>
  <c r="F13939" i="1"/>
  <c r="B13940" i="1"/>
  <c r="A13940" i="1"/>
  <c r="F13940" i="1"/>
  <c r="B13941" i="1"/>
  <c r="A13941" i="1"/>
  <c r="F13941" i="1"/>
  <c r="B13942" i="1"/>
  <c r="A13942" i="1"/>
  <c r="F13942" i="1"/>
  <c r="B13943" i="1"/>
  <c r="A13943" i="1"/>
  <c r="F13943" i="1"/>
  <c r="B13944" i="1"/>
  <c r="A13944" i="1"/>
  <c r="F13944" i="1"/>
  <c r="B13945" i="1"/>
  <c r="A13945" i="1"/>
  <c r="F13945" i="1"/>
  <c r="B13946" i="1"/>
  <c r="A13946" i="1"/>
  <c r="F13946" i="1"/>
  <c r="B13947" i="1"/>
  <c r="A13947" i="1"/>
  <c r="F13947" i="1"/>
  <c r="B13948" i="1"/>
  <c r="A13948" i="1"/>
  <c r="F13948" i="1"/>
  <c r="B13949" i="1"/>
  <c r="A13949" i="1"/>
  <c r="F13949" i="1"/>
  <c r="B13950" i="1"/>
  <c r="A13950" i="1"/>
  <c r="F13950" i="1"/>
  <c r="B13951" i="1"/>
  <c r="A13951" i="1"/>
  <c r="F13951" i="1"/>
  <c r="B13952" i="1"/>
  <c r="A13952" i="1"/>
  <c r="F13952" i="1"/>
  <c r="B13953" i="1"/>
  <c r="A13953" i="1"/>
  <c r="F13953" i="1"/>
  <c r="B13954" i="1"/>
  <c r="A13954" i="1"/>
  <c r="F13954" i="1"/>
  <c r="B13955" i="1"/>
  <c r="A13955" i="1"/>
  <c r="F13955" i="1"/>
  <c r="B13956" i="1"/>
  <c r="A13956" i="1"/>
  <c r="F13956" i="1"/>
  <c r="B13957" i="1"/>
  <c r="A13957" i="1"/>
  <c r="F13957" i="1"/>
  <c r="B13958" i="1"/>
  <c r="A13958" i="1"/>
  <c r="F13958" i="1"/>
  <c r="B13959" i="1"/>
  <c r="A13959" i="1"/>
  <c r="F13959" i="1"/>
  <c r="B13960" i="1"/>
  <c r="A13960" i="1"/>
  <c r="F13960" i="1"/>
  <c r="B13961" i="1"/>
  <c r="A13961" i="1"/>
  <c r="F13961" i="1"/>
  <c r="B13962" i="1"/>
  <c r="A13962" i="1"/>
  <c r="F13962" i="1"/>
  <c r="B13963" i="1"/>
  <c r="A13963" i="1"/>
  <c r="F13963" i="1"/>
  <c r="B13964" i="1"/>
  <c r="A13964" i="1"/>
  <c r="F13964" i="1"/>
  <c r="B13965" i="1"/>
  <c r="A13965" i="1"/>
  <c r="F13965" i="1"/>
  <c r="B13966" i="1"/>
  <c r="A13966" i="1"/>
  <c r="F13966" i="1"/>
  <c r="B13967" i="1"/>
  <c r="A13967" i="1"/>
  <c r="F13967" i="1"/>
  <c r="B13968" i="1"/>
  <c r="A13968" i="1"/>
  <c r="F13968" i="1"/>
  <c r="B13969" i="1"/>
  <c r="A13969" i="1"/>
  <c r="F13969" i="1"/>
  <c r="B13970" i="1"/>
  <c r="A13970" i="1"/>
  <c r="F13970" i="1"/>
  <c r="B13971" i="1"/>
  <c r="A13971" i="1"/>
  <c r="F13971" i="1"/>
  <c r="B13972" i="1"/>
  <c r="A13972" i="1"/>
  <c r="F13972" i="1"/>
  <c r="B13973" i="1"/>
  <c r="A13973" i="1"/>
  <c r="F13973" i="1"/>
  <c r="B13974" i="1"/>
  <c r="A13974" i="1"/>
  <c r="F13974" i="1"/>
  <c r="B13975" i="1"/>
  <c r="A13975" i="1"/>
  <c r="F13975" i="1"/>
  <c r="B13976" i="1"/>
  <c r="A13976" i="1"/>
  <c r="F13976" i="1"/>
  <c r="B13977" i="1"/>
  <c r="A13977" i="1"/>
  <c r="F13977" i="1"/>
  <c r="B13978" i="1"/>
  <c r="A13978" i="1"/>
  <c r="F13978" i="1"/>
  <c r="B13979" i="1"/>
  <c r="A13979" i="1"/>
  <c r="F13979" i="1"/>
  <c r="B13980" i="1"/>
  <c r="A13980" i="1"/>
  <c r="F13980" i="1"/>
  <c r="B13981" i="1"/>
  <c r="A13981" i="1"/>
  <c r="F13981" i="1"/>
  <c r="B13982" i="1"/>
  <c r="A13982" i="1"/>
  <c r="F13982" i="1"/>
  <c r="B13983" i="1"/>
  <c r="A13983" i="1"/>
  <c r="F13983" i="1"/>
  <c r="B13984" i="1"/>
  <c r="A13984" i="1"/>
  <c r="F13984" i="1"/>
  <c r="B13985" i="1"/>
  <c r="A13985" i="1"/>
  <c r="F13985" i="1"/>
  <c r="B13986" i="1"/>
  <c r="A13986" i="1"/>
  <c r="F13986" i="1"/>
  <c r="B13987" i="1"/>
  <c r="A13987" i="1"/>
  <c r="F13987" i="1"/>
  <c r="B13988" i="1"/>
  <c r="A13988" i="1"/>
  <c r="F13988" i="1"/>
  <c r="B13989" i="1"/>
  <c r="A13989" i="1"/>
  <c r="F13989" i="1"/>
  <c r="B13990" i="1"/>
  <c r="A13990" i="1"/>
  <c r="F13990" i="1"/>
  <c r="B13991" i="1"/>
  <c r="A13991" i="1"/>
  <c r="F13991" i="1"/>
  <c r="B13992" i="1"/>
  <c r="A13992" i="1"/>
  <c r="F13992" i="1"/>
  <c r="B13993" i="1"/>
  <c r="A13993" i="1"/>
  <c r="F13993" i="1"/>
  <c r="B13994" i="1"/>
  <c r="A13994" i="1"/>
  <c r="F13994" i="1"/>
  <c r="B13995" i="1"/>
  <c r="A13995" i="1"/>
  <c r="F13995" i="1"/>
  <c r="B13996" i="1"/>
  <c r="A13996" i="1"/>
  <c r="F13996" i="1"/>
  <c r="B13997" i="1"/>
  <c r="A13997" i="1"/>
  <c r="F13997" i="1"/>
  <c r="B13998" i="1"/>
  <c r="A13998" i="1"/>
  <c r="F13998" i="1"/>
  <c r="B13999" i="1"/>
  <c r="A13999" i="1"/>
  <c r="F13999" i="1"/>
  <c r="B14000" i="1"/>
  <c r="A14000" i="1"/>
  <c r="F14000" i="1"/>
  <c r="B14001" i="1"/>
  <c r="A14001" i="1"/>
  <c r="F14001" i="1"/>
  <c r="B14002" i="1"/>
  <c r="A14002" i="1"/>
  <c r="F14002" i="1"/>
  <c r="B14003" i="1"/>
  <c r="A14003" i="1"/>
  <c r="F14003" i="1"/>
  <c r="B14004" i="1"/>
  <c r="A14004" i="1"/>
  <c r="F14004" i="1"/>
  <c r="B14005" i="1"/>
  <c r="A14005" i="1"/>
  <c r="F14005" i="1"/>
  <c r="B14006" i="1"/>
  <c r="A14006" i="1"/>
  <c r="F14006" i="1"/>
  <c r="B14007" i="1"/>
  <c r="A14007" i="1"/>
  <c r="F14007" i="1"/>
  <c r="B14008" i="1"/>
  <c r="A14008" i="1"/>
  <c r="F14008" i="1"/>
  <c r="B14009" i="1"/>
  <c r="A14009" i="1"/>
  <c r="F14009" i="1"/>
  <c r="B14010" i="1"/>
  <c r="A14010" i="1"/>
  <c r="F14010" i="1"/>
  <c r="B14011" i="1"/>
  <c r="A14011" i="1"/>
  <c r="F14011" i="1"/>
  <c r="B14012" i="1"/>
  <c r="A14012" i="1"/>
  <c r="F14012" i="1"/>
  <c r="B14013" i="1"/>
  <c r="A14013" i="1"/>
  <c r="F14013" i="1"/>
  <c r="B14014" i="1"/>
  <c r="A14014" i="1"/>
  <c r="F14014" i="1"/>
  <c r="B14015" i="1"/>
  <c r="A14015" i="1"/>
  <c r="F14015" i="1"/>
  <c r="B14016" i="1"/>
  <c r="A14016" i="1"/>
  <c r="F14016" i="1"/>
  <c r="B14017" i="1"/>
  <c r="A14017" i="1"/>
  <c r="F14017" i="1"/>
  <c r="B14018" i="1"/>
  <c r="A14018" i="1"/>
  <c r="F14018" i="1"/>
  <c r="B14019" i="1"/>
  <c r="A14019" i="1"/>
  <c r="F14019" i="1"/>
  <c r="B14020" i="1"/>
  <c r="A14020" i="1"/>
  <c r="F14020" i="1"/>
  <c r="B14021" i="1"/>
  <c r="A14021" i="1"/>
  <c r="F14021" i="1"/>
  <c r="B14022" i="1"/>
  <c r="A14022" i="1"/>
  <c r="F14022" i="1"/>
  <c r="B14023" i="1"/>
  <c r="A14023" i="1"/>
  <c r="F14023" i="1"/>
  <c r="B14024" i="1"/>
  <c r="A14024" i="1"/>
  <c r="F14024" i="1"/>
  <c r="B14025" i="1"/>
  <c r="A14025" i="1"/>
  <c r="F14025" i="1"/>
  <c r="B14026" i="1"/>
  <c r="A14026" i="1"/>
  <c r="F14026" i="1"/>
  <c r="B14027" i="1"/>
  <c r="A14027" i="1"/>
  <c r="F14027" i="1"/>
  <c r="B14028" i="1"/>
  <c r="A14028" i="1"/>
  <c r="F14028" i="1"/>
  <c r="B14029" i="1"/>
  <c r="A14029" i="1"/>
  <c r="F14029" i="1"/>
  <c r="B14030" i="1"/>
  <c r="A14030" i="1"/>
  <c r="F14030" i="1"/>
  <c r="B14031" i="1"/>
  <c r="A14031" i="1"/>
  <c r="F14031" i="1"/>
  <c r="B14032" i="1"/>
  <c r="A14032" i="1"/>
  <c r="F14032" i="1"/>
  <c r="B14033" i="1"/>
  <c r="A14033" i="1"/>
  <c r="F14033" i="1"/>
  <c r="B14034" i="1"/>
  <c r="A14034" i="1"/>
  <c r="F14034" i="1"/>
  <c r="B14035" i="1"/>
  <c r="A14035" i="1"/>
  <c r="F14035" i="1"/>
  <c r="B14036" i="1"/>
  <c r="A14036" i="1"/>
  <c r="F14036" i="1"/>
  <c r="B14037" i="1"/>
  <c r="A14037" i="1"/>
  <c r="F14037" i="1"/>
  <c r="B14038" i="1"/>
  <c r="A14038" i="1"/>
  <c r="F14038" i="1"/>
  <c r="B14039" i="1"/>
  <c r="A14039" i="1"/>
  <c r="F14039" i="1"/>
  <c r="B14040" i="1"/>
  <c r="A14040" i="1"/>
  <c r="F14040" i="1"/>
  <c r="B14041" i="1"/>
  <c r="A14041" i="1"/>
  <c r="F14041" i="1"/>
  <c r="B14042" i="1"/>
  <c r="A14042" i="1"/>
  <c r="F14042" i="1"/>
  <c r="B14043" i="1"/>
  <c r="A14043" i="1"/>
  <c r="F14043" i="1"/>
  <c r="B14044" i="1"/>
  <c r="A14044" i="1"/>
  <c r="F14044" i="1"/>
  <c r="B14045" i="1"/>
  <c r="A14045" i="1"/>
  <c r="F14045" i="1"/>
  <c r="B14046" i="1"/>
  <c r="A14046" i="1"/>
  <c r="F14046" i="1"/>
  <c r="B14047" i="1"/>
  <c r="A14047" i="1"/>
  <c r="F14047" i="1"/>
  <c r="B14048" i="1"/>
  <c r="A14048" i="1"/>
  <c r="F14048" i="1"/>
  <c r="B14049" i="1"/>
  <c r="A14049" i="1"/>
  <c r="F14049" i="1"/>
  <c r="B14050" i="1"/>
  <c r="A14050" i="1"/>
  <c r="F14050" i="1"/>
  <c r="B14051" i="1"/>
  <c r="A14051" i="1"/>
  <c r="F14051" i="1"/>
  <c r="B14052" i="1"/>
  <c r="A14052" i="1"/>
  <c r="F14052" i="1"/>
  <c r="B14053" i="1"/>
  <c r="A14053" i="1"/>
  <c r="F14053" i="1"/>
  <c r="B14054" i="1"/>
  <c r="A14054" i="1"/>
  <c r="F14054" i="1"/>
  <c r="B14055" i="1"/>
  <c r="A14055" i="1"/>
  <c r="F14055" i="1"/>
  <c r="B14056" i="1"/>
  <c r="A14056" i="1"/>
  <c r="F14056" i="1"/>
  <c r="B14057" i="1"/>
  <c r="A14057" i="1"/>
  <c r="F14057" i="1"/>
  <c r="B14058" i="1"/>
  <c r="A14058" i="1"/>
  <c r="F14058" i="1"/>
  <c r="B14059" i="1"/>
  <c r="A14059" i="1"/>
  <c r="F14059" i="1"/>
  <c r="B14060" i="1"/>
  <c r="A14060" i="1"/>
  <c r="F14060" i="1"/>
  <c r="B14061" i="1"/>
  <c r="A14061" i="1"/>
  <c r="F14061" i="1"/>
  <c r="B14062" i="1"/>
  <c r="A14062" i="1"/>
  <c r="F14062" i="1"/>
  <c r="B14063" i="1"/>
  <c r="A14063" i="1"/>
  <c r="F14063" i="1"/>
  <c r="B14064" i="1"/>
  <c r="A14064" i="1"/>
  <c r="F14064" i="1"/>
  <c r="B14065" i="1"/>
  <c r="A14065" i="1"/>
  <c r="F14065" i="1"/>
  <c r="B14066" i="1"/>
  <c r="A14066" i="1"/>
  <c r="F14066" i="1"/>
  <c r="B14067" i="1"/>
  <c r="A14067" i="1"/>
  <c r="F14067" i="1"/>
  <c r="B14068" i="1"/>
  <c r="A14068" i="1"/>
  <c r="F14068" i="1"/>
  <c r="B14069" i="1"/>
  <c r="A14069" i="1"/>
  <c r="F14069" i="1"/>
  <c r="B14070" i="1"/>
  <c r="A14070" i="1"/>
  <c r="F14070" i="1"/>
  <c r="B14071" i="1"/>
  <c r="A14071" i="1"/>
  <c r="F14071" i="1"/>
  <c r="B14072" i="1"/>
  <c r="A14072" i="1"/>
  <c r="F14072" i="1"/>
  <c r="B14073" i="1"/>
  <c r="A14073" i="1"/>
  <c r="F14073" i="1"/>
  <c r="B14074" i="1"/>
  <c r="A14074" i="1"/>
  <c r="F14074" i="1"/>
  <c r="B14075" i="1"/>
  <c r="A14075" i="1"/>
  <c r="F14075" i="1"/>
  <c r="B14076" i="1"/>
  <c r="A14076" i="1"/>
  <c r="F14076" i="1"/>
  <c r="B14077" i="1"/>
  <c r="A14077" i="1"/>
  <c r="F14077" i="1"/>
  <c r="B14078" i="1"/>
  <c r="A14078" i="1"/>
  <c r="F14078" i="1"/>
  <c r="B14079" i="1"/>
  <c r="A14079" i="1"/>
  <c r="F14079" i="1"/>
  <c r="B14080" i="1"/>
  <c r="A14080" i="1"/>
  <c r="F14080" i="1"/>
  <c r="B14081" i="1"/>
  <c r="A14081" i="1"/>
  <c r="F14081" i="1"/>
  <c r="B14082" i="1"/>
  <c r="A14082" i="1"/>
  <c r="F14082" i="1"/>
  <c r="B14083" i="1"/>
  <c r="A14083" i="1"/>
  <c r="F14083" i="1"/>
  <c r="B14084" i="1"/>
  <c r="A14084" i="1"/>
  <c r="F14084" i="1"/>
  <c r="B14085" i="1"/>
  <c r="A14085" i="1"/>
  <c r="F14085" i="1"/>
  <c r="B14086" i="1"/>
  <c r="A14086" i="1"/>
  <c r="F14086" i="1"/>
  <c r="B14087" i="1"/>
  <c r="A14087" i="1"/>
  <c r="F14087" i="1"/>
  <c r="B14088" i="1"/>
  <c r="A14088" i="1"/>
  <c r="F14088" i="1"/>
  <c r="B14089" i="1"/>
  <c r="A14089" i="1"/>
  <c r="F14089" i="1"/>
  <c r="B14090" i="1"/>
  <c r="A14090" i="1"/>
  <c r="F14090" i="1"/>
  <c r="B14091" i="1"/>
  <c r="A14091" i="1"/>
  <c r="F14091" i="1"/>
  <c r="B14092" i="1"/>
  <c r="A14092" i="1"/>
  <c r="F14092" i="1"/>
  <c r="B14093" i="1"/>
  <c r="A14093" i="1"/>
  <c r="F14093" i="1"/>
  <c r="B14094" i="1"/>
  <c r="A14094" i="1"/>
  <c r="F14094" i="1"/>
  <c r="B14095" i="1"/>
  <c r="A14095" i="1"/>
  <c r="F14095" i="1"/>
  <c r="B14096" i="1"/>
  <c r="A14096" i="1"/>
  <c r="F14096" i="1"/>
  <c r="B14097" i="1"/>
  <c r="A14097" i="1"/>
  <c r="F14097" i="1"/>
  <c r="B14098" i="1"/>
  <c r="A14098" i="1"/>
  <c r="F14098" i="1"/>
  <c r="B14099" i="1"/>
  <c r="A14099" i="1"/>
  <c r="F14099" i="1"/>
  <c r="B14100" i="1"/>
  <c r="A14100" i="1"/>
  <c r="F14100" i="1"/>
  <c r="B14101" i="1"/>
  <c r="A14101" i="1"/>
  <c r="F14101" i="1"/>
  <c r="B14102" i="1"/>
  <c r="A14102" i="1"/>
  <c r="F14102" i="1"/>
  <c r="B14103" i="1"/>
  <c r="A14103" i="1"/>
  <c r="F14103" i="1"/>
  <c r="B14104" i="1"/>
  <c r="A14104" i="1"/>
  <c r="F14104" i="1"/>
  <c r="B14105" i="1"/>
  <c r="A14105" i="1"/>
  <c r="F14105" i="1"/>
  <c r="B14106" i="1"/>
  <c r="A14106" i="1"/>
  <c r="F14106" i="1"/>
  <c r="B14107" i="1"/>
  <c r="A14107" i="1"/>
  <c r="F14107" i="1"/>
  <c r="B14108" i="1"/>
  <c r="A14108" i="1"/>
  <c r="F14108" i="1"/>
  <c r="B14109" i="1"/>
  <c r="A14109" i="1"/>
  <c r="F14109" i="1"/>
  <c r="B14110" i="1"/>
  <c r="A14110" i="1"/>
  <c r="F14110" i="1"/>
  <c r="B14111" i="1"/>
  <c r="A14111" i="1"/>
  <c r="F14111" i="1"/>
  <c r="B14112" i="1"/>
  <c r="A14112" i="1"/>
  <c r="F14112" i="1"/>
  <c r="B14113" i="1"/>
  <c r="A14113" i="1"/>
  <c r="F14113" i="1"/>
  <c r="B14114" i="1"/>
  <c r="A14114" i="1"/>
  <c r="F14114" i="1"/>
  <c r="B14115" i="1"/>
  <c r="A14115" i="1"/>
  <c r="F14115" i="1"/>
  <c r="B14116" i="1"/>
  <c r="A14116" i="1"/>
  <c r="F14116" i="1"/>
  <c r="B14117" i="1"/>
  <c r="A14117" i="1"/>
  <c r="F14117" i="1"/>
  <c r="B14118" i="1"/>
  <c r="A14118" i="1"/>
  <c r="F14118" i="1"/>
  <c r="B14119" i="1"/>
  <c r="A14119" i="1"/>
  <c r="F14119" i="1"/>
  <c r="B14120" i="1"/>
  <c r="A14120" i="1"/>
  <c r="F14120" i="1"/>
  <c r="B14121" i="1"/>
  <c r="A14121" i="1"/>
  <c r="F14121" i="1"/>
  <c r="B14122" i="1"/>
  <c r="A14122" i="1"/>
  <c r="F14122" i="1"/>
  <c r="B14123" i="1"/>
  <c r="A14123" i="1"/>
  <c r="F14123" i="1"/>
  <c r="B14124" i="1"/>
  <c r="A14124" i="1"/>
  <c r="F14124" i="1"/>
  <c r="B14125" i="1"/>
  <c r="A14125" i="1"/>
  <c r="F14125" i="1"/>
  <c r="B14126" i="1"/>
  <c r="A14126" i="1"/>
  <c r="F14126" i="1"/>
  <c r="B14127" i="1"/>
  <c r="A14127" i="1"/>
  <c r="F14127" i="1"/>
  <c r="B14128" i="1"/>
  <c r="A14128" i="1"/>
  <c r="F14128" i="1"/>
  <c r="B14129" i="1"/>
  <c r="A14129" i="1"/>
  <c r="F14129" i="1"/>
  <c r="B14130" i="1"/>
  <c r="A14130" i="1"/>
  <c r="F14130" i="1"/>
  <c r="B14131" i="1"/>
  <c r="A14131" i="1"/>
  <c r="F14131" i="1"/>
  <c r="B14132" i="1"/>
  <c r="A14132" i="1"/>
  <c r="F14132" i="1"/>
  <c r="B14133" i="1"/>
  <c r="A14133" i="1"/>
  <c r="F14133" i="1"/>
  <c r="B14134" i="1"/>
  <c r="A14134" i="1"/>
  <c r="F14134" i="1"/>
  <c r="B14135" i="1"/>
  <c r="A14135" i="1"/>
  <c r="F14135" i="1"/>
  <c r="B14136" i="1"/>
  <c r="A14136" i="1"/>
  <c r="F14136" i="1"/>
  <c r="B14137" i="1"/>
  <c r="A14137" i="1"/>
  <c r="F14137" i="1"/>
  <c r="B14138" i="1"/>
  <c r="A14138" i="1"/>
  <c r="F14138" i="1"/>
  <c r="B14139" i="1"/>
  <c r="A14139" i="1"/>
  <c r="F14139" i="1"/>
  <c r="B14140" i="1"/>
  <c r="A14140" i="1"/>
  <c r="F14140" i="1"/>
  <c r="B14141" i="1"/>
  <c r="A14141" i="1"/>
  <c r="F14141" i="1"/>
  <c r="B14142" i="1"/>
  <c r="A14142" i="1"/>
  <c r="F14142" i="1"/>
  <c r="B14143" i="1"/>
  <c r="A14143" i="1"/>
  <c r="F14143" i="1"/>
  <c r="B14144" i="1"/>
  <c r="A14144" i="1"/>
  <c r="F14144" i="1"/>
  <c r="B14145" i="1"/>
  <c r="A14145" i="1"/>
  <c r="F14145" i="1"/>
  <c r="B14146" i="1"/>
  <c r="A14146" i="1"/>
  <c r="F14146" i="1"/>
  <c r="B14147" i="1"/>
  <c r="A14147" i="1"/>
  <c r="F14147" i="1"/>
  <c r="B14148" i="1"/>
  <c r="A14148" i="1"/>
  <c r="F14148" i="1"/>
  <c r="B14149" i="1"/>
  <c r="A14149" i="1"/>
  <c r="F14149" i="1"/>
  <c r="B14150" i="1"/>
  <c r="A14150" i="1"/>
  <c r="F14150" i="1"/>
  <c r="B14151" i="1"/>
  <c r="A14151" i="1"/>
  <c r="F14151" i="1"/>
  <c r="B14152" i="1"/>
  <c r="A14152" i="1"/>
  <c r="F14152" i="1"/>
  <c r="B14153" i="1"/>
  <c r="A14153" i="1"/>
  <c r="F14153" i="1"/>
  <c r="B14154" i="1"/>
  <c r="A14154" i="1"/>
  <c r="F14154" i="1"/>
  <c r="B14155" i="1"/>
  <c r="A14155" i="1"/>
  <c r="F14155" i="1"/>
  <c r="B14156" i="1"/>
  <c r="A14156" i="1"/>
  <c r="F14156" i="1"/>
  <c r="B14157" i="1"/>
  <c r="A14157" i="1"/>
  <c r="F14157" i="1"/>
  <c r="B14158" i="1"/>
  <c r="A14158" i="1"/>
  <c r="F14158" i="1"/>
  <c r="B14159" i="1"/>
  <c r="A14159" i="1"/>
  <c r="F14159" i="1"/>
  <c r="B14160" i="1"/>
  <c r="A14160" i="1"/>
  <c r="F14160" i="1"/>
  <c r="B14161" i="1"/>
  <c r="A14161" i="1"/>
  <c r="F14161" i="1"/>
  <c r="B14162" i="1"/>
  <c r="A14162" i="1"/>
  <c r="F14162" i="1"/>
  <c r="B14163" i="1"/>
  <c r="A14163" i="1"/>
  <c r="F14163" i="1"/>
  <c r="B14164" i="1"/>
  <c r="A14164" i="1"/>
  <c r="F14164" i="1"/>
  <c r="B14165" i="1"/>
  <c r="A14165" i="1"/>
  <c r="F14165" i="1"/>
  <c r="B14166" i="1"/>
  <c r="A14166" i="1"/>
  <c r="F14166" i="1"/>
  <c r="B14167" i="1"/>
  <c r="A14167" i="1"/>
  <c r="F14167" i="1"/>
  <c r="B14168" i="1"/>
  <c r="A14168" i="1"/>
  <c r="F14168" i="1"/>
  <c r="B14169" i="1"/>
  <c r="A14169" i="1"/>
  <c r="F14169" i="1"/>
  <c r="B14170" i="1"/>
  <c r="A14170" i="1"/>
  <c r="F14170" i="1"/>
  <c r="B14171" i="1"/>
  <c r="A14171" i="1"/>
  <c r="F14171" i="1"/>
  <c r="B14172" i="1"/>
  <c r="A14172" i="1"/>
  <c r="F14172" i="1"/>
  <c r="B14173" i="1"/>
  <c r="A14173" i="1"/>
  <c r="F14173" i="1"/>
  <c r="B14174" i="1"/>
  <c r="A14174" i="1"/>
  <c r="F14174" i="1"/>
  <c r="B14175" i="1"/>
  <c r="A14175" i="1"/>
  <c r="F14175" i="1"/>
  <c r="B14176" i="1"/>
  <c r="A14176" i="1"/>
  <c r="F14176" i="1"/>
  <c r="B14177" i="1"/>
  <c r="A14177" i="1"/>
  <c r="F14177" i="1"/>
  <c r="B14178" i="1"/>
  <c r="A14178" i="1"/>
  <c r="F14178" i="1"/>
  <c r="B14179" i="1"/>
  <c r="A14179" i="1"/>
  <c r="F14179" i="1"/>
  <c r="B14180" i="1"/>
  <c r="A14180" i="1"/>
  <c r="F14180" i="1"/>
  <c r="B14181" i="1"/>
  <c r="A14181" i="1"/>
  <c r="F14181" i="1"/>
  <c r="B14182" i="1"/>
  <c r="A14182" i="1"/>
  <c r="F14182" i="1"/>
  <c r="B14183" i="1"/>
  <c r="A14183" i="1"/>
  <c r="F14183" i="1"/>
  <c r="B14184" i="1"/>
  <c r="A14184" i="1"/>
  <c r="F14184" i="1"/>
  <c r="B14185" i="1"/>
  <c r="A14185" i="1"/>
  <c r="F14185" i="1"/>
  <c r="B14186" i="1"/>
  <c r="A14186" i="1"/>
  <c r="F14186" i="1"/>
  <c r="B14187" i="1"/>
  <c r="A14187" i="1"/>
  <c r="F14187" i="1"/>
  <c r="B14188" i="1"/>
  <c r="A14188" i="1"/>
  <c r="F14188" i="1"/>
  <c r="B14189" i="1"/>
  <c r="A14189" i="1"/>
  <c r="F14189" i="1"/>
  <c r="B14190" i="1"/>
  <c r="A14190" i="1"/>
  <c r="F14190" i="1"/>
  <c r="B14191" i="1"/>
  <c r="A14191" i="1"/>
  <c r="F14191" i="1"/>
  <c r="B14192" i="1"/>
  <c r="A14192" i="1"/>
  <c r="F14192" i="1"/>
  <c r="B14193" i="1"/>
  <c r="A14193" i="1"/>
  <c r="F14193" i="1"/>
  <c r="B14194" i="1"/>
  <c r="A14194" i="1"/>
  <c r="F14194" i="1"/>
  <c r="B14195" i="1"/>
  <c r="A14195" i="1"/>
  <c r="F14195" i="1"/>
  <c r="B14196" i="1"/>
  <c r="A14196" i="1"/>
  <c r="F14196" i="1"/>
  <c r="B14197" i="1"/>
  <c r="A14197" i="1"/>
  <c r="F14197" i="1"/>
  <c r="B14198" i="1"/>
  <c r="A14198" i="1"/>
  <c r="F14198" i="1"/>
  <c r="B14199" i="1"/>
  <c r="A14199" i="1"/>
  <c r="F14199" i="1"/>
  <c r="B14200" i="1"/>
  <c r="A14200" i="1"/>
  <c r="F14200" i="1"/>
  <c r="B14201" i="1"/>
  <c r="A14201" i="1"/>
  <c r="F14201" i="1"/>
  <c r="B14202" i="1"/>
  <c r="A14202" i="1"/>
  <c r="F14202" i="1"/>
  <c r="B14203" i="1"/>
  <c r="A14203" i="1"/>
  <c r="F14203" i="1"/>
  <c r="B14204" i="1"/>
  <c r="A14204" i="1"/>
  <c r="F14204" i="1"/>
  <c r="B14205" i="1"/>
  <c r="A14205" i="1"/>
  <c r="F14205" i="1"/>
  <c r="B14206" i="1"/>
  <c r="A14206" i="1"/>
  <c r="F14206" i="1"/>
  <c r="B14207" i="1"/>
  <c r="A14207" i="1"/>
  <c r="F14207" i="1"/>
  <c r="B14208" i="1"/>
  <c r="A14208" i="1"/>
  <c r="F14208" i="1"/>
  <c r="B14209" i="1"/>
  <c r="A14209" i="1"/>
  <c r="F14209" i="1"/>
  <c r="B14210" i="1"/>
  <c r="A14210" i="1"/>
  <c r="F14210" i="1"/>
  <c r="B14211" i="1"/>
  <c r="A14211" i="1"/>
  <c r="F14211" i="1"/>
  <c r="B14212" i="1"/>
  <c r="A14212" i="1"/>
  <c r="F14212" i="1"/>
  <c r="B14213" i="1"/>
  <c r="A14213" i="1"/>
  <c r="F14213" i="1"/>
  <c r="B14214" i="1"/>
  <c r="A14214" i="1"/>
  <c r="F14214" i="1"/>
  <c r="B14215" i="1"/>
  <c r="A14215" i="1"/>
  <c r="F14215" i="1"/>
  <c r="B14216" i="1"/>
  <c r="A14216" i="1"/>
  <c r="F14216" i="1"/>
  <c r="B14217" i="1"/>
  <c r="A14217" i="1"/>
  <c r="F14217" i="1"/>
  <c r="B14218" i="1"/>
  <c r="A14218" i="1"/>
  <c r="F14218" i="1"/>
  <c r="B14219" i="1"/>
  <c r="A14219" i="1"/>
  <c r="F14219" i="1"/>
  <c r="B14220" i="1"/>
  <c r="A14220" i="1"/>
  <c r="F14220" i="1"/>
  <c r="B14221" i="1"/>
  <c r="A14221" i="1"/>
  <c r="F14221" i="1"/>
  <c r="B14222" i="1"/>
  <c r="A14222" i="1"/>
  <c r="F14222" i="1"/>
  <c r="B14223" i="1"/>
  <c r="A14223" i="1"/>
  <c r="F14223" i="1"/>
  <c r="B14224" i="1"/>
  <c r="A14224" i="1"/>
  <c r="F14224" i="1"/>
  <c r="B14225" i="1"/>
  <c r="A14225" i="1"/>
  <c r="F14225" i="1"/>
  <c r="B14226" i="1"/>
  <c r="A14226" i="1"/>
  <c r="F14226" i="1"/>
  <c r="B14227" i="1"/>
  <c r="A14227" i="1"/>
  <c r="F14227" i="1"/>
  <c r="B14228" i="1"/>
  <c r="A14228" i="1"/>
  <c r="F14228" i="1"/>
  <c r="B14229" i="1"/>
  <c r="A14229" i="1"/>
  <c r="F14229" i="1"/>
  <c r="B14230" i="1"/>
  <c r="A14230" i="1"/>
  <c r="F14230" i="1"/>
  <c r="B14231" i="1"/>
  <c r="A14231" i="1"/>
  <c r="F14231" i="1"/>
  <c r="B14232" i="1"/>
  <c r="A14232" i="1"/>
  <c r="F14232" i="1"/>
  <c r="B14233" i="1"/>
  <c r="A14233" i="1"/>
  <c r="F14233" i="1"/>
  <c r="B14234" i="1"/>
  <c r="A14234" i="1"/>
  <c r="F14234" i="1"/>
  <c r="B14235" i="1"/>
  <c r="A14235" i="1"/>
  <c r="F14235" i="1"/>
  <c r="B14236" i="1"/>
  <c r="A14236" i="1"/>
  <c r="F14236" i="1"/>
  <c r="B14237" i="1"/>
  <c r="A14237" i="1"/>
  <c r="F14237" i="1"/>
  <c r="B14238" i="1"/>
  <c r="A14238" i="1"/>
  <c r="F14238" i="1"/>
  <c r="B14239" i="1"/>
  <c r="A14239" i="1"/>
  <c r="F14239" i="1"/>
  <c r="B14240" i="1"/>
  <c r="A14240" i="1"/>
  <c r="F14240" i="1"/>
  <c r="B14241" i="1"/>
  <c r="A14241" i="1"/>
  <c r="F14241" i="1"/>
  <c r="B14242" i="1"/>
  <c r="A14242" i="1"/>
  <c r="F14242" i="1"/>
  <c r="B14243" i="1"/>
  <c r="A14243" i="1"/>
  <c r="F14243" i="1"/>
  <c r="B14244" i="1"/>
  <c r="A14244" i="1"/>
  <c r="F14244" i="1"/>
  <c r="B14245" i="1"/>
  <c r="A14245" i="1"/>
  <c r="F14245" i="1"/>
  <c r="B14246" i="1"/>
  <c r="A14246" i="1"/>
  <c r="F14246" i="1"/>
  <c r="B14247" i="1"/>
  <c r="A14247" i="1"/>
  <c r="F14247" i="1"/>
  <c r="B14248" i="1"/>
  <c r="A14248" i="1"/>
  <c r="F14248" i="1"/>
  <c r="B14249" i="1"/>
  <c r="A14249" i="1"/>
  <c r="F14249" i="1"/>
  <c r="B14250" i="1"/>
  <c r="A14250" i="1"/>
  <c r="F14250" i="1"/>
  <c r="B14251" i="1"/>
  <c r="A14251" i="1"/>
  <c r="F14251" i="1"/>
  <c r="B14252" i="1"/>
  <c r="A14252" i="1"/>
  <c r="F14252" i="1"/>
  <c r="B14253" i="1"/>
  <c r="A14253" i="1"/>
  <c r="F14253" i="1"/>
  <c r="B14254" i="1"/>
  <c r="A14254" i="1"/>
  <c r="F14254" i="1"/>
  <c r="B14255" i="1"/>
  <c r="A14255" i="1"/>
  <c r="F14255" i="1"/>
  <c r="B14256" i="1"/>
  <c r="A14256" i="1"/>
  <c r="F14256" i="1"/>
  <c r="B14257" i="1"/>
  <c r="A14257" i="1"/>
  <c r="F14257" i="1"/>
  <c r="B14258" i="1"/>
  <c r="A14258" i="1"/>
  <c r="F14258" i="1"/>
  <c r="B14259" i="1"/>
  <c r="A14259" i="1"/>
  <c r="F14259" i="1"/>
  <c r="B14260" i="1"/>
  <c r="A14260" i="1"/>
  <c r="F14260" i="1"/>
  <c r="B14261" i="1"/>
  <c r="A14261" i="1"/>
  <c r="F14261" i="1"/>
  <c r="B14262" i="1"/>
  <c r="A14262" i="1"/>
  <c r="F14262" i="1"/>
  <c r="B14263" i="1"/>
  <c r="A14263" i="1"/>
  <c r="F14263" i="1"/>
  <c r="B14264" i="1"/>
  <c r="A14264" i="1"/>
  <c r="F14264" i="1"/>
  <c r="B14265" i="1"/>
  <c r="A14265" i="1"/>
  <c r="F14265" i="1"/>
  <c r="B14266" i="1"/>
  <c r="A14266" i="1"/>
  <c r="F14266" i="1"/>
  <c r="B14267" i="1"/>
  <c r="A14267" i="1"/>
  <c r="F14267" i="1"/>
  <c r="B14268" i="1"/>
  <c r="A14268" i="1"/>
  <c r="F14268" i="1"/>
  <c r="B14269" i="1"/>
  <c r="A14269" i="1"/>
  <c r="F14269" i="1"/>
  <c r="B14270" i="1"/>
  <c r="A14270" i="1"/>
  <c r="F14270" i="1"/>
  <c r="B14271" i="1"/>
  <c r="A14271" i="1"/>
  <c r="F14271" i="1"/>
  <c r="B14272" i="1"/>
  <c r="A14272" i="1"/>
  <c r="F14272" i="1"/>
  <c r="B14273" i="1"/>
  <c r="A14273" i="1"/>
  <c r="F14273" i="1"/>
  <c r="B14274" i="1"/>
  <c r="A14274" i="1"/>
  <c r="F14274" i="1"/>
  <c r="B14275" i="1"/>
  <c r="A14275" i="1"/>
  <c r="F14275" i="1"/>
  <c r="B14276" i="1"/>
  <c r="A14276" i="1"/>
  <c r="F14276" i="1"/>
  <c r="B14277" i="1"/>
  <c r="A14277" i="1"/>
  <c r="F14277" i="1"/>
  <c r="B14278" i="1"/>
  <c r="A14278" i="1"/>
  <c r="F14278" i="1"/>
  <c r="B14279" i="1"/>
  <c r="A14279" i="1"/>
  <c r="F14279" i="1"/>
  <c r="B14280" i="1"/>
  <c r="A14280" i="1"/>
  <c r="F14280" i="1"/>
  <c r="B14281" i="1"/>
  <c r="A14281" i="1"/>
  <c r="F14281" i="1"/>
  <c r="B14282" i="1"/>
  <c r="A14282" i="1"/>
  <c r="F14282" i="1"/>
  <c r="B14283" i="1"/>
  <c r="A14283" i="1"/>
  <c r="F14283" i="1"/>
  <c r="B14284" i="1"/>
  <c r="A14284" i="1"/>
  <c r="F14284" i="1"/>
  <c r="B14285" i="1"/>
  <c r="A14285" i="1"/>
  <c r="F14285" i="1"/>
  <c r="B14286" i="1"/>
  <c r="A14286" i="1"/>
  <c r="F14286" i="1"/>
  <c r="B14287" i="1"/>
  <c r="A14287" i="1"/>
  <c r="F14287" i="1"/>
  <c r="B14288" i="1"/>
  <c r="A14288" i="1"/>
  <c r="F14288" i="1"/>
  <c r="B14289" i="1"/>
  <c r="A14289" i="1"/>
  <c r="F14289" i="1"/>
  <c r="B14290" i="1"/>
  <c r="A14290" i="1"/>
  <c r="F14290" i="1"/>
  <c r="B14291" i="1"/>
  <c r="A14291" i="1"/>
  <c r="F14291" i="1"/>
  <c r="B14292" i="1"/>
  <c r="A14292" i="1"/>
  <c r="F14292" i="1"/>
  <c r="B14293" i="1"/>
  <c r="A14293" i="1"/>
  <c r="F14293" i="1"/>
  <c r="B14294" i="1"/>
  <c r="A14294" i="1"/>
  <c r="F14294" i="1"/>
  <c r="B14295" i="1"/>
  <c r="A14295" i="1"/>
  <c r="F14295" i="1"/>
  <c r="B14296" i="1"/>
  <c r="A14296" i="1"/>
  <c r="F14296" i="1"/>
  <c r="B14297" i="1"/>
  <c r="A14297" i="1"/>
  <c r="F14297" i="1"/>
  <c r="B14298" i="1"/>
  <c r="A14298" i="1"/>
  <c r="F14298" i="1"/>
  <c r="B14299" i="1"/>
  <c r="A14299" i="1"/>
  <c r="F14299" i="1"/>
  <c r="B14300" i="1"/>
  <c r="A14300" i="1"/>
  <c r="F14300" i="1"/>
  <c r="B14301" i="1"/>
  <c r="A14301" i="1"/>
  <c r="F14301" i="1"/>
  <c r="B14302" i="1"/>
  <c r="A14302" i="1"/>
  <c r="F14302" i="1"/>
  <c r="B14303" i="1"/>
  <c r="A14303" i="1"/>
  <c r="F14303" i="1"/>
  <c r="B14304" i="1"/>
  <c r="A14304" i="1"/>
  <c r="F14304" i="1"/>
  <c r="B14305" i="1"/>
  <c r="A14305" i="1"/>
  <c r="F14305" i="1"/>
  <c r="B14306" i="1"/>
  <c r="A14306" i="1"/>
  <c r="F14306" i="1"/>
  <c r="B14307" i="1"/>
  <c r="A14307" i="1"/>
  <c r="F14307" i="1"/>
  <c r="B14308" i="1"/>
  <c r="A14308" i="1"/>
  <c r="F14308" i="1"/>
  <c r="B14309" i="1"/>
  <c r="A14309" i="1"/>
  <c r="F14309" i="1"/>
  <c r="B14310" i="1"/>
  <c r="A14310" i="1"/>
  <c r="F14310" i="1"/>
  <c r="B14311" i="1"/>
  <c r="A14311" i="1"/>
  <c r="F14311" i="1"/>
  <c r="B14312" i="1"/>
  <c r="A14312" i="1"/>
  <c r="F14312" i="1"/>
  <c r="B14313" i="1"/>
  <c r="A14313" i="1"/>
  <c r="F14313" i="1"/>
  <c r="B14314" i="1"/>
  <c r="A14314" i="1"/>
  <c r="F14314" i="1"/>
  <c r="B14315" i="1"/>
  <c r="A14315" i="1"/>
  <c r="F14315" i="1"/>
  <c r="B14316" i="1"/>
  <c r="A14316" i="1"/>
  <c r="F14316" i="1"/>
  <c r="B14317" i="1"/>
  <c r="A14317" i="1"/>
  <c r="F14317" i="1"/>
  <c r="B14318" i="1"/>
  <c r="A14318" i="1"/>
  <c r="F14318" i="1"/>
  <c r="B14319" i="1"/>
  <c r="A14319" i="1"/>
  <c r="F14319" i="1"/>
  <c r="B14320" i="1"/>
  <c r="A14320" i="1"/>
  <c r="F14320" i="1"/>
  <c r="B14321" i="1"/>
  <c r="A14321" i="1"/>
  <c r="F14321" i="1"/>
  <c r="B14322" i="1"/>
  <c r="A14322" i="1"/>
  <c r="F14322" i="1"/>
  <c r="B14323" i="1"/>
  <c r="A14323" i="1"/>
  <c r="F14323" i="1"/>
  <c r="B14324" i="1"/>
  <c r="A14324" i="1"/>
  <c r="F14324" i="1"/>
  <c r="B14325" i="1"/>
  <c r="A14325" i="1"/>
  <c r="F14325" i="1"/>
  <c r="B14326" i="1"/>
  <c r="A14326" i="1"/>
  <c r="F14326" i="1"/>
  <c r="B14327" i="1"/>
  <c r="A14327" i="1"/>
  <c r="F14327" i="1"/>
  <c r="B14328" i="1"/>
  <c r="A14328" i="1"/>
  <c r="F14328" i="1"/>
  <c r="B14329" i="1"/>
  <c r="A14329" i="1"/>
  <c r="F14329" i="1"/>
  <c r="B14330" i="1"/>
  <c r="A14330" i="1"/>
  <c r="F14330" i="1"/>
  <c r="B14331" i="1"/>
  <c r="A14331" i="1"/>
  <c r="F14331" i="1"/>
  <c r="B14332" i="1"/>
  <c r="A14332" i="1"/>
  <c r="F14332" i="1"/>
  <c r="B14333" i="1"/>
  <c r="A14333" i="1"/>
  <c r="F14333" i="1"/>
  <c r="B14334" i="1"/>
  <c r="A14334" i="1"/>
  <c r="F14334" i="1"/>
  <c r="B14335" i="1"/>
  <c r="A14335" i="1"/>
  <c r="F14335" i="1"/>
  <c r="B14336" i="1"/>
  <c r="A14336" i="1"/>
  <c r="F14336" i="1"/>
  <c r="B14337" i="1"/>
  <c r="A14337" i="1"/>
  <c r="F14337" i="1"/>
  <c r="B14338" i="1"/>
  <c r="A14338" i="1"/>
  <c r="F14338" i="1"/>
  <c r="B14339" i="1"/>
  <c r="A14339" i="1"/>
  <c r="F14339" i="1"/>
  <c r="B14340" i="1"/>
  <c r="A14340" i="1"/>
  <c r="F14340" i="1"/>
  <c r="B14341" i="1"/>
  <c r="A14341" i="1"/>
  <c r="F14341" i="1"/>
  <c r="B14342" i="1"/>
  <c r="A14342" i="1"/>
  <c r="F14342" i="1"/>
  <c r="B14343" i="1"/>
  <c r="A14343" i="1"/>
  <c r="F14343" i="1"/>
  <c r="B14344" i="1"/>
  <c r="A14344" i="1"/>
  <c r="F14344" i="1"/>
  <c r="B14345" i="1"/>
  <c r="A14345" i="1"/>
  <c r="F14345" i="1"/>
  <c r="B14346" i="1"/>
  <c r="A14346" i="1"/>
  <c r="F14346" i="1"/>
  <c r="B14347" i="1"/>
  <c r="A14347" i="1"/>
  <c r="F14347" i="1"/>
  <c r="B14348" i="1"/>
  <c r="A14348" i="1"/>
  <c r="F14348" i="1"/>
  <c r="B14349" i="1"/>
  <c r="A14349" i="1"/>
  <c r="F14349" i="1"/>
  <c r="B14350" i="1"/>
  <c r="A14350" i="1"/>
  <c r="F14350" i="1"/>
  <c r="B14351" i="1"/>
  <c r="A14351" i="1"/>
  <c r="F14351" i="1"/>
  <c r="B14352" i="1"/>
  <c r="A14352" i="1"/>
  <c r="F14352" i="1"/>
  <c r="B14353" i="1"/>
  <c r="A14353" i="1"/>
  <c r="F14353" i="1"/>
  <c r="B14354" i="1"/>
  <c r="A14354" i="1"/>
  <c r="F14354" i="1"/>
  <c r="B14355" i="1"/>
  <c r="A14355" i="1"/>
  <c r="F14355" i="1"/>
  <c r="B14356" i="1"/>
  <c r="A14356" i="1"/>
  <c r="F14356" i="1"/>
  <c r="B14357" i="1"/>
  <c r="A14357" i="1"/>
  <c r="F14357" i="1"/>
  <c r="B14358" i="1"/>
  <c r="A14358" i="1"/>
  <c r="F14358" i="1"/>
  <c r="B14359" i="1"/>
  <c r="A14359" i="1"/>
  <c r="F14359" i="1"/>
  <c r="B14360" i="1"/>
  <c r="A14360" i="1"/>
  <c r="F14360" i="1"/>
  <c r="B14361" i="1"/>
  <c r="A14361" i="1"/>
  <c r="F14361" i="1"/>
  <c r="B14362" i="1"/>
  <c r="A14362" i="1"/>
  <c r="F14362" i="1"/>
  <c r="B14363" i="1"/>
  <c r="A14363" i="1"/>
  <c r="F14363" i="1"/>
  <c r="B14364" i="1"/>
  <c r="A14364" i="1"/>
  <c r="F14364" i="1"/>
  <c r="B14365" i="1"/>
  <c r="A14365" i="1"/>
  <c r="F14365" i="1"/>
  <c r="B14366" i="1"/>
  <c r="A14366" i="1"/>
  <c r="F14366" i="1"/>
  <c r="B14367" i="1"/>
  <c r="A14367" i="1"/>
  <c r="F14367" i="1"/>
  <c r="B14368" i="1"/>
  <c r="A14368" i="1"/>
  <c r="F14368" i="1"/>
  <c r="B14369" i="1"/>
  <c r="A14369" i="1"/>
  <c r="F14369" i="1"/>
  <c r="B14370" i="1"/>
  <c r="A14370" i="1"/>
  <c r="F14370" i="1"/>
  <c r="B14371" i="1"/>
  <c r="A14371" i="1"/>
  <c r="F14371" i="1"/>
  <c r="B14372" i="1"/>
  <c r="A14372" i="1"/>
  <c r="F14372" i="1"/>
  <c r="B14373" i="1"/>
  <c r="A14373" i="1"/>
  <c r="F14373" i="1"/>
  <c r="B14374" i="1"/>
  <c r="A14374" i="1"/>
  <c r="F14374" i="1"/>
  <c r="B14375" i="1"/>
  <c r="A14375" i="1"/>
  <c r="F14375" i="1"/>
  <c r="B14376" i="1"/>
  <c r="A14376" i="1"/>
  <c r="F14376" i="1"/>
  <c r="B14377" i="1"/>
  <c r="A14377" i="1"/>
  <c r="F14377" i="1"/>
  <c r="B14378" i="1"/>
  <c r="A14378" i="1"/>
  <c r="F14378" i="1"/>
  <c r="B14379" i="1"/>
  <c r="A14379" i="1"/>
  <c r="F14379" i="1"/>
  <c r="B14380" i="1"/>
  <c r="A14380" i="1"/>
  <c r="F14380" i="1"/>
  <c r="B14381" i="1"/>
  <c r="A14381" i="1"/>
  <c r="F14381" i="1"/>
  <c r="B14382" i="1"/>
  <c r="A14382" i="1"/>
  <c r="F14382" i="1"/>
  <c r="B14383" i="1"/>
  <c r="A14383" i="1"/>
  <c r="F14383" i="1"/>
  <c r="B14384" i="1"/>
  <c r="A14384" i="1"/>
  <c r="F14384" i="1"/>
  <c r="B14385" i="1"/>
  <c r="A14385" i="1"/>
  <c r="F14385" i="1"/>
  <c r="B14386" i="1"/>
  <c r="A14386" i="1"/>
  <c r="F14386" i="1"/>
  <c r="B14387" i="1"/>
  <c r="A14387" i="1"/>
  <c r="F14387" i="1"/>
  <c r="B14388" i="1"/>
  <c r="A14388" i="1"/>
  <c r="F14388" i="1"/>
  <c r="B14389" i="1"/>
  <c r="A14389" i="1"/>
  <c r="F14389" i="1"/>
  <c r="B14390" i="1"/>
  <c r="A14390" i="1"/>
  <c r="F14390" i="1"/>
  <c r="B14391" i="1"/>
  <c r="A14391" i="1"/>
  <c r="F14391" i="1"/>
  <c r="B14392" i="1"/>
  <c r="A14392" i="1"/>
  <c r="F14392" i="1"/>
  <c r="B14393" i="1"/>
  <c r="A14393" i="1"/>
  <c r="F14393" i="1"/>
  <c r="B14394" i="1"/>
  <c r="A14394" i="1"/>
  <c r="F14394" i="1"/>
  <c r="B14395" i="1"/>
  <c r="A14395" i="1"/>
  <c r="F14395" i="1"/>
  <c r="B14396" i="1"/>
  <c r="A14396" i="1"/>
  <c r="F14396" i="1"/>
  <c r="B14397" i="1"/>
  <c r="A14397" i="1"/>
  <c r="F14397" i="1"/>
  <c r="B14398" i="1"/>
  <c r="A14398" i="1"/>
  <c r="F14398" i="1"/>
  <c r="B14399" i="1"/>
  <c r="A14399" i="1"/>
  <c r="F14399" i="1"/>
  <c r="B14400" i="1"/>
  <c r="A14400" i="1"/>
  <c r="F14400" i="1"/>
  <c r="B14401" i="1"/>
  <c r="A14401" i="1"/>
  <c r="F14401" i="1"/>
  <c r="B14402" i="1"/>
  <c r="A14402" i="1"/>
  <c r="F14402" i="1"/>
  <c r="B14403" i="1"/>
  <c r="A14403" i="1"/>
  <c r="F14403" i="1"/>
  <c r="B14404" i="1"/>
  <c r="A14404" i="1"/>
  <c r="F14404" i="1"/>
  <c r="B14405" i="1"/>
  <c r="A14405" i="1"/>
  <c r="F14405" i="1"/>
  <c r="B14406" i="1"/>
  <c r="A14406" i="1"/>
  <c r="F14406" i="1"/>
  <c r="B14407" i="1"/>
  <c r="A14407" i="1"/>
  <c r="F14407" i="1"/>
  <c r="B14408" i="1"/>
  <c r="A14408" i="1"/>
  <c r="F14408" i="1"/>
  <c r="B14409" i="1"/>
  <c r="A14409" i="1"/>
  <c r="F14409" i="1"/>
  <c r="B14410" i="1"/>
  <c r="A14410" i="1"/>
  <c r="F14410" i="1"/>
  <c r="B14411" i="1"/>
  <c r="A14411" i="1"/>
  <c r="F14411" i="1"/>
  <c r="B14412" i="1"/>
  <c r="A14412" i="1"/>
  <c r="F14412" i="1"/>
  <c r="B14413" i="1"/>
  <c r="A14413" i="1"/>
  <c r="F14413" i="1"/>
  <c r="B14414" i="1"/>
  <c r="A14414" i="1"/>
  <c r="F14414" i="1"/>
  <c r="B14415" i="1"/>
  <c r="A14415" i="1"/>
  <c r="F14415" i="1"/>
  <c r="B14416" i="1"/>
  <c r="A14416" i="1"/>
  <c r="F14416" i="1"/>
  <c r="B14417" i="1"/>
  <c r="A14417" i="1"/>
  <c r="F14417" i="1"/>
  <c r="B14418" i="1"/>
  <c r="A14418" i="1"/>
  <c r="F14418" i="1"/>
  <c r="B14419" i="1"/>
  <c r="A14419" i="1"/>
  <c r="F14419" i="1"/>
  <c r="B14420" i="1"/>
  <c r="A14420" i="1"/>
  <c r="F14420" i="1"/>
  <c r="B14421" i="1"/>
  <c r="A14421" i="1"/>
  <c r="F14421" i="1"/>
  <c r="B14422" i="1"/>
  <c r="A14422" i="1"/>
  <c r="F14422" i="1"/>
  <c r="B14423" i="1"/>
  <c r="A14423" i="1"/>
  <c r="F14423" i="1"/>
  <c r="B14424" i="1"/>
  <c r="A14424" i="1"/>
  <c r="F14424" i="1"/>
  <c r="B14425" i="1"/>
  <c r="A14425" i="1"/>
  <c r="F14425" i="1"/>
  <c r="B14426" i="1"/>
  <c r="A14426" i="1"/>
  <c r="F14426" i="1"/>
  <c r="B14427" i="1"/>
  <c r="A14427" i="1"/>
  <c r="F14427" i="1"/>
  <c r="B14428" i="1"/>
  <c r="A14428" i="1"/>
  <c r="F14428" i="1"/>
  <c r="B14429" i="1"/>
  <c r="A14429" i="1"/>
  <c r="F14429" i="1"/>
  <c r="B14430" i="1"/>
  <c r="A14430" i="1"/>
  <c r="F14430" i="1"/>
  <c r="B14431" i="1"/>
  <c r="A14431" i="1"/>
  <c r="F14431" i="1"/>
  <c r="B14432" i="1"/>
  <c r="A14432" i="1"/>
  <c r="F14432" i="1"/>
  <c r="B14433" i="1"/>
  <c r="A14433" i="1"/>
  <c r="F14433" i="1"/>
  <c r="B14434" i="1"/>
  <c r="A14434" i="1"/>
  <c r="F14434" i="1"/>
  <c r="B14435" i="1"/>
  <c r="A14435" i="1"/>
  <c r="F14435" i="1"/>
  <c r="B14436" i="1"/>
  <c r="A14436" i="1"/>
  <c r="F14436" i="1"/>
  <c r="B14437" i="1"/>
  <c r="A14437" i="1"/>
  <c r="F14437" i="1"/>
  <c r="B14438" i="1"/>
  <c r="A14438" i="1"/>
  <c r="F14438" i="1"/>
  <c r="B14439" i="1"/>
  <c r="A14439" i="1"/>
  <c r="F14439" i="1"/>
  <c r="B14440" i="1"/>
  <c r="A14440" i="1"/>
  <c r="F14440" i="1"/>
  <c r="B14441" i="1"/>
  <c r="A14441" i="1"/>
  <c r="F14441" i="1"/>
  <c r="B14442" i="1"/>
  <c r="A14442" i="1"/>
  <c r="F14442" i="1"/>
  <c r="B14443" i="1"/>
  <c r="A14443" i="1"/>
  <c r="F14443" i="1"/>
  <c r="B14444" i="1"/>
  <c r="A14444" i="1"/>
  <c r="F14444" i="1"/>
  <c r="B14445" i="1"/>
  <c r="A14445" i="1"/>
  <c r="F14445" i="1"/>
  <c r="B14446" i="1"/>
  <c r="A14446" i="1"/>
  <c r="F14446" i="1"/>
  <c r="B14447" i="1"/>
  <c r="A14447" i="1"/>
  <c r="F14447" i="1"/>
  <c r="B14448" i="1"/>
  <c r="A14448" i="1"/>
  <c r="F14448" i="1"/>
  <c r="B14449" i="1"/>
  <c r="A14449" i="1"/>
  <c r="F14449" i="1"/>
  <c r="B14450" i="1"/>
  <c r="A14450" i="1"/>
  <c r="F14450" i="1"/>
  <c r="B14451" i="1"/>
  <c r="A14451" i="1"/>
  <c r="F14451" i="1"/>
  <c r="B14452" i="1"/>
  <c r="A14452" i="1"/>
  <c r="F14452" i="1"/>
  <c r="B14453" i="1"/>
  <c r="A14453" i="1"/>
  <c r="F14453" i="1"/>
  <c r="B14454" i="1"/>
  <c r="A14454" i="1"/>
  <c r="F14454" i="1"/>
  <c r="B14455" i="1"/>
  <c r="A14455" i="1"/>
  <c r="F14455" i="1"/>
  <c r="B14456" i="1"/>
  <c r="A14456" i="1"/>
  <c r="F14456" i="1"/>
  <c r="B14457" i="1"/>
  <c r="A14457" i="1"/>
  <c r="F14457" i="1"/>
  <c r="B14458" i="1"/>
  <c r="A14458" i="1"/>
  <c r="F14458" i="1"/>
  <c r="B14459" i="1"/>
  <c r="A14459" i="1"/>
  <c r="F14459" i="1"/>
  <c r="B14460" i="1"/>
  <c r="A14460" i="1"/>
  <c r="F14460" i="1"/>
  <c r="B14461" i="1"/>
  <c r="A14461" i="1"/>
  <c r="F14461" i="1"/>
  <c r="B14462" i="1"/>
  <c r="A14462" i="1"/>
  <c r="F14462" i="1"/>
  <c r="B14463" i="1"/>
  <c r="A14463" i="1"/>
  <c r="F14463" i="1"/>
  <c r="B14464" i="1"/>
  <c r="A14464" i="1"/>
  <c r="F14464" i="1"/>
  <c r="B14465" i="1"/>
  <c r="A14465" i="1"/>
  <c r="F14465" i="1"/>
  <c r="B14466" i="1"/>
  <c r="A14466" i="1"/>
  <c r="F14466" i="1"/>
  <c r="B14467" i="1"/>
  <c r="A14467" i="1"/>
  <c r="F14467" i="1"/>
  <c r="B14468" i="1"/>
  <c r="A14468" i="1"/>
  <c r="F14468" i="1"/>
  <c r="B14469" i="1"/>
  <c r="A14469" i="1"/>
  <c r="F14469" i="1"/>
  <c r="B14470" i="1"/>
  <c r="A14470" i="1"/>
  <c r="F14470" i="1"/>
  <c r="B14471" i="1"/>
  <c r="A14471" i="1"/>
  <c r="F14471" i="1"/>
  <c r="B14472" i="1"/>
  <c r="A14472" i="1"/>
  <c r="F14472" i="1"/>
  <c r="B14473" i="1"/>
  <c r="A14473" i="1"/>
  <c r="F14473" i="1"/>
  <c r="B14474" i="1"/>
  <c r="A14474" i="1"/>
  <c r="F14474" i="1"/>
  <c r="B14475" i="1"/>
  <c r="A14475" i="1"/>
  <c r="F14475" i="1"/>
  <c r="B14476" i="1"/>
  <c r="A14476" i="1"/>
  <c r="F14476" i="1"/>
  <c r="B14477" i="1"/>
  <c r="A14477" i="1"/>
  <c r="F14477" i="1"/>
  <c r="B14478" i="1"/>
  <c r="A14478" i="1"/>
  <c r="F14478" i="1"/>
  <c r="B14479" i="1"/>
  <c r="A14479" i="1"/>
  <c r="F14479" i="1"/>
  <c r="B14480" i="1"/>
  <c r="A14480" i="1"/>
  <c r="F14480" i="1"/>
  <c r="B14481" i="1"/>
  <c r="A14481" i="1"/>
  <c r="F14481" i="1"/>
  <c r="B14482" i="1"/>
  <c r="A14482" i="1"/>
  <c r="F14482" i="1"/>
  <c r="B14483" i="1"/>
  <c r="A14483" i="1"/>
  <c r="F14483" i="1"/>
  <c r="B14484" i="1"/>
  <c r="A14484" i="1"/>
  <c r="F14484" i="1"/>
  <c r="B14485" i="1"/>
  <c r="A14485" i="1"/>
  <c r="F14485" i="1"/>
  <c r="B14486" i="1"/>
  <c r="A14486" i="1"/>
  <c r="F14486" i="1"/>
  <c r="B14487" i="1"/>
  <c r="A14487" i="1"/>
  <c r="F14487" i="1"/>
  <c r="B14488" i="1"/>
  <c r="A14488" i="1"/>
  <c r="F14488" i="1"/>
  <c r="B14489" i="1"/>
  <c r="A14489" i="1"/>
  <c r="F14489" i="1"/>
  <c r="B14490" i="1"/>
  <c r="A14490" i="1"/>
  <c r="F14490" i="1"/>
  <c r="B14491" i="1"/>
  <c r="A14491" i="1"/>
  <c r="F14491" i="1"/>
  <c r="B14492" i="1"/>
  <c r="A14492" i="1"/>
  <c r="F14492" i="1"/>
  <c r="B14493" i="1"/>
  <c r="A14493" i="1"/>
  <c r="F14493" i="1"/>
  <c r="B14494" i="1"/>
  <c r="A14494" i="1"/>
  <c r="F14494" i="1"/>
  <c r="B14495" i="1"/>
  <c r="A14495" i="1"/>
  <c r="F14495" i="1"/>
  <c r="B14496" i="1"/>
  <c r="A14496" i="1"/>
  <c r="F14496" i="1"/>
  <c r="B14497" i="1"/>
  <c r="A14497" i="1"/>
  <c r="F14497" i="1"/>
  <c r="B14498" i="1"/>
  <c r="A14498" i="1"/>
  <c r="F14498" i="1"/>
  <c r="B14499" i="1"/>
  <c r="A14499" i="1"/>
  <c r="F14499" i="1"/>
  <c r="B14500" i="1"/>
  <c r="A14500" i="1"/>
  <c r="F14500" i="1"/>
  <c r="B14501" i="1"/>
  <c r="A14501" i="1"/>
  <c r="F14501" i="1"/>
  <c r="B14502" i="1"/>
  <c r="A14502" i="1"/>
  <c r="F14502" i="1"/>
  <c r="B14503" i="1"/>
  <c r="A14503" i="1"/>
  <c r="F14503" i="1"/>
  <c r="B14504" i="1"/>
  <c r="A14504" i="1"/>
  <c r="F14504" i="1"/>
  <c r="B14505" i="1"/>
  <c r="A14505" i="1"/>
  <c r="F14505" i="1"/>
  <c r="B14506" i="1"/>
  <c r="A14506" i="1"/>
  <c r="F14506" i="1"/>
  <c r="B14507" i="1"/>
  <c r="A14507" i="1"/>
  <c r="F14507" i="1"/>
  <c r="B14508" i="1"/>
  <c r="A14508" i="1"/>
  <c r="F14508" i="1"/>
  <c r="B14509" i="1"/>
  <c r="A14509" i="1"/>
  <c r="F14509" i="1"/>
  <c r="B14510" i="1"/>
  <c r="A14510" i="1"/>
  <c r="F14510" i="1"/>
  <c r="B14511" i="1"/>
  <c r="A14511" i="1"/>
  <c r="F14511" i="1"/>
  <c r="B14512" i="1"/>
  <c r="A14512" i="1"/>
  <c r="F14512" i="1"/>
  <c r="B14513" i="1"/>
  <c r="A14513" i="1"/>
  <c r="F14513" i="1"/>
  <c r="B14514" i="1"/>
  <c r="A14514" i="1"/>
  <c r="F14514" i="1"/>
  <c r="B14515" i="1"/>
  <c r="A14515" i="1"/>
  <c r="F14515" i="1"/>
  <c r="B14516" i="1"/>
  <c r="A14516" i="1"/>
  <c r="F14516" i="1"/>
  <c r="B14517" i="1"/>
  <c r="A14517" i="1"/>
  <c r="F14517" i="1"/>
  <c r="B14518" i="1"/>
  <c r="A14518" i="1"/>
  <c r="F14518" i="1"/>
  <c r="B14519" i="1"/>
  <c r="A14519" i="1"/>
  <c r="F14519" i="1"/>
  <c r="B14520" i="1"/>
  <c r="A14520" i="1"/>
  <c r="F14520" i="1"/>
  <c r="B14521" i="1"/>
  <c r="A14521" i="1"/>
  <c r="F14521" i="1"/>
  <c r="B14522" i="1"/>
  <c r="A14522" i="1"/>
  <c r="F14522" i="1"/>
  <c r="B14523" i="1"/>
  <c r="A14523" i="1"/>
  <c r="F14523" i="1"/>
  <c r="B14524" i="1"/>
  <c r="A14524" i="1"/>
  <c r="F14524" i="1"/>
  <c r="B14525" i="1"/>
  <c r="A14525" i="1"/>
  <c r="F14525" i="1"/>
  <c r="B14526" i="1"/>
  <c r="A14526" i="1"/>
  <c r="F14526" i="1"/>
  <c r="B14527" i="1"/>
  <c r="A14527" i="1"/>
  <c r="F14527" i="1"/>
  <c r="B14528" i="1"/>
  <c r="A14528" i="1"/>
  <c r="F14528" i="1"/>
  <c r="B14529" i="1"/>
  <c r="A14529" i="1"/>
  <c r="F14529" i="1"/>
  <c r="B14530" i="1"/>
  <c r="A14530" i="1"/>
  <c r="F14530" i="1"/>
  <c r="B14531" i="1"/>
  <c r="A14531" i="1"/>
  <c r="F14531" i="1"/>
  <c r="B14532" i="1"/>
  <c r="A14532" i="1"/>
  <c r="F14532" i="1"/>
  <c r="B14533" i="1"/>
  <c r="A14533" i="1"/>
  <c r="F14533" i="1"/>
  <c r="B14534" i="1"/>
  <c r="A14534" i="1"/>
  <c r="F14534" i="1"/>
  <c r="B14535" i="1"/>
  <c r="A14535" i="1"/>
  <c r="F14535" i="1"/>
  <c r="B14536" i="1"/>
  <c r="A14536" i="1"/>
  <c r="F14536" i="1"/>
  <c r="B14537" i="1"/>
  <c r="A14537" i="1"/>
  <c r="F14537" i="1"/>
  <c r="B14538" i="1"/>
  <c r="A14538" i="1"/>
  <c r="F14538" i="1"/>
  <c r="B14539" i="1"/>
  <c r="A14539" i="1"/>
  <c r="F14539" i="1"/>
  <c r="B14540" i="1"/>
  <c r="A14540" i="1"/>
  <c r="F14540" i="1"/>
  <c r="B14541" i="1"/>
  <c r="A14541" i="1"/>
  <c r="F14541" i="1"/>
  <c r="B14542" i="1"/>
  <c r="A14542" i="1"/>
  <c r="F14542" i="1"/>
  <c r="B14543" i="1"/>
  <c r="A14543" i="1"/>
  <c r="F14543" i="1"/>
  <c r="B14544" i="1"/>
  <c r="A14544" i="1"/>
  <c r="F14544" i="1"/>
  <c r="B14545" i="1"/>
  <c r="A14545" i="1"/>
  <c r="F14545" i="1"/>
  <c r="B14546" i="1"/>
  <c r="A14546" i="1"/>
  <c r="F14546" i="1"/>
  <c r="B14547" i="1"/>
  <c r="A14547" i="1"/>
  <c r="F14547" i="1"/>
  <c r="B14548" i="1"/>
  <c r="A14548" i="1"/>
  <c r="F14548" i="1"/>
  <c r="B14549" i="1"/>
  <c r="A14549" i="1"/>
  <c r="F14549" i="1"/>
  <c r="B14550" i="1"/>
  <c r="A14550" i="1"/>
  <c r="F14550" i="1"/>
  <c r="B14551" i="1"/>
  <c r="A14551" i="1"/>
  <c r="F14551" i="1"/>
  <c r="B14552" i="1"/>
  <c r="A14552" i="1"/>
  <c r="F14552" i="1"/>
  <c r="B14553" i="1"/>
  <c r="A14553" i="1"/>
  <c r="F14553" i="1"/>
  <c r="B14554" i="1"/>
  <c r="A14554" i="1"/>
  <c r="F14554" i="1"/>
  <c r="B14555" i="1"/>
  <c r="A14555" i="1"/>
  <c r="F14555" i="1"/>
  <c r="B14556" i="1"/>
  <c r="A14556" i="1"/>
  <c r="F14556" i="1"/>
  <c r="B14557" i="1"/>
  <c r="A14557" i="1"/>
  <c r="F14557" i="1"/>
  <c r="B14558" i="1"/>
  <c r="A14558" i="1"/>
  <c r="F14558" i="1"/>
  <c r="B14559" i="1"/>
  <c r="A14559" i="1"/>
  <c r="F14559" i="1"/>
  <c r="B14560" i="1"/>
  <c r="A14560" i="1"/>
  <c r="F14560" i="1"/>
  <c r="B14561" i="1"/>
  <c r="A14561" i="1"/>
  <c r="F14561" i="1"/>
  <c r="B14562" i="1"/>
  <c r="A14562" i="1"/>
  <c r="F14562" i="1"/>
  <c r="B14563" i="1"/>
  <c r="A14563" i="1"/>
  <c r="F14563" i="1"/>
  <c r="B14564" i="1"/>
  <c r="A14564" i="1"/>
  <c r="F14564" i="1"/>
  <c r="B14565" i="1"/>
  <c r="A14565" i="1"/>
  <c r="F14565" i="1"/>
  <c r="B14566" i="1"/>
  <c r="A14566" i="1"/>
  <c r="F14566" i="1"/>
  <c r="B14567" i="1"/>
  <c r="A14567" i="1"/>
  <c r="F14567" i="1"/>
  <c r="B14568" i="1"/>
  <c r="A14568" i="1"/>
  <c r="F14568" i="1"/>
  <c r="B14569" i="1"/>
  <c r="A14569" i="1"/>
  <c r="F14569" i="1"/>
  <c r="B14570" i="1"/>
  <c r="A14570" i="1"/>
  <c r="F14570" i="1"/>
  <c r="B14571" i="1"/>
  <c r="A14571" i="1"/>
  <c r="F14571" i="1"/>
  <c r="B14572" i="1"/>
  <c r="A14572" i="1"/>
  <c r="F14572" i="1"/>
  <c r="B14573" i="1"/>
  <c r="A14573" i="1"/>
  <c r="F14573" i="1"/>
  <c r="B14574" i="1"/>
  <c r="A14574" i="1"/>
  <c r="F14574" i="1"/>
  <c r="B14575" i="1"/>
  <c r="A14575" i="1"/>
  <c r="F14575" i="1"/>
  <c r="B14576" i="1"/>
  <c r="A14576" i="1"/>
  <c r="F14576" i="1"/>
  <c r="B14577" i="1"/>
  <c r="A14577" i="1"/>
  <c r="F14577" i="1"/>
  <c r="B14578" i="1"/>
  <c r="A14578" i="1"/>
  <c r="F14578" i="1"/>
  <c r="B14579" i="1"/>
  <c r="A14579" i="1"/>
  <c r="F14579" i="1"/>
  <c r="B14580" i="1"/>
  <c r="A14580" i="1"/>
  <c r="F14580" i="1"/>
  <c r="B14581" i="1"/>
  <c r="A14581" i="1"/>
  <c r="F14581" i="1"/>
  <c r="B14582" i="1"/>
  <c r="A14582" i="1"/>
  <c r="F14582" i="1"/>
  <c r="B14583" i="1"/>
  <c r="A14583" i="1"/>
  <c r="F14583" i="1"/>
  <c r="B14584" i="1"/>
  <c r="A14584" i="1"/>
  <c r="F14584" i="1"/>
  <c r="B14585" i="1"/>
  <c r="A14585" i="1"/>
  <c r="F14585" i="1"/>
  <c r="B14586" i="1"/>
  <c r="A14586" i="1"/>
  <c r="F14586" i="1"/>
  <c r="B14587" i="1"/>
  <c r="A14587" i="1"/>
  <c r="F14587" i="1"/>
  <c r="B14588" i="1"/>
  <c r="A14588" i="1"/>
  <c r="F14588" i="1"/>
  <c r="B14589" i="1"/>
  <c r="A14589" i="1"/>
  <c r="F14589" i="1"/>
  <c r="B14590" i="1"/>
  <c r="A14590" i="1"/>
  <c r="F14590" i="1"/>
  <c r="B14591" i="1"/>
  <c r="A14591" i="1"/>
  <c r="F14591" i="1"/>
  <c r="B14592" i="1"/>
  <c r="A14592" i="1"/>
  <c r="F14592" i="1"/>
  <c r="B14593" i="1"/>
  <c r="A14593" i="1"/>
  <c r="F14593" i="1"/>
  <c r="B14594" i="1"/>
  <c r="A14594" i="1"/>
  <c r="F14594" i="1"/>
  <c r="B14595" i="1"/>
  <c r="A14595" i="1"/>
  <c r="F14595" i="1"/>
  <c r="B14596" i="1"/>
  <c r="A14596" i="1"/>
  <c r="F14596" i="1"/>
  <c r="B14597" i="1"/>
  <c r="A14597" i="1"/>
  <c r="F14597" i="1"/>
  <c r="B14598" i="1"/>
  <c r="A14598" i="1"/>
  <c r="F14598" i="1"/>
  <c r="B14599" i="1"/>
  <c r="A14599" i="1"/>
  <c r="F14599" i="1"/>
  <c r="B14600" i="1"/>
  <c r="A14600" i="1"/>
  <c r="F14600" i="1"/>
  <c r="B14601" i="1"/>
  <c r="A14601" i="1"/>
  <c r="F14601" i="1"/>
  <c r="B14602" i="1"/>
  <c r="A14602" i="1"/>
  <c r="F14602" i="1"/>
  <c r="B14603" i="1"/>
  <c r="A14603" i="1"/>
  <c r="F14603" i="1"/>
  <c r="B14604" i="1"/>
  <c r="A14604" i="1"/>
  <c r="F14604" i="1"/>
  <c r="B14605" i="1"/>
  <c r="A14605" i="1"/>
  <c r="F14605" i="1"/>
  <c r="B14606" i="1"/>
  <c r="A14606" i="1"/>
  <c r="F14606" i="1"/>
  <c r="B14607" i="1"/>
  <c r="A14607" i="1"/>
  <c r="F14607" i="1"/>
  <c r="B14608" i="1"/>
  <c r="A14608" i="1"/>
  <c r="F14608" i="1"/>
  <c r="B14609" i="1"/>
  <c r="A14609" i="1"/>
  <c r="F14609" i="1"/>
  <c r="B14610" i="1"/>
  <c r="A14610" i="1"/>
  <c r="F14610" i="1"/>
  <c r="B14611" i="1"/>
  <c r="A14611" i="1"/>
  <c r="F14611" i="1"/>
  <c r="B14612" i="1"/>
  <c r="A14612" i="1"/>
  <c r="F14612" i="1"/>
  <c r="B14613" i="1"/>
  <c r="A14613" i="1"/>
  <c r="F14613" i="1"/>
  <c r="B14614" i="1"/>
  <c r="A14614" i="1"/>
  <c r="F14614" i="1"/>
  <c r="B14615" i="1"/>
  <c r="A14615" i="1"/>
  <c r="F14615" i="1"/>
  <c r="B14616" i="1"/>
  <c r="A14616" i="1"/>
  <c r="F14616" i="1"/>
  <c r="B14617" i="1"/>
  <c r="A14617" i="1"/>
  <c r="F14617" i="1"/>
  <c r="B14618" i="1"/>
  <c r="A14618" i="1"/>
  <c r="F14618" i="1"/>
  <c r="B14619" i="1"/>
  <c r="A14619" i="1"/>
  <c r="F14619" i="1"/>
  <c r="B14620" i="1"/>
  <c r="A14620" i="1"/>
  <c r="F14620" i="1"/>
  <c r="B14621" i="1"/>
  <c r="A14621" i="1"/>
  <c r="F14621" i="1"/>
  <c r="B14622" i="1"/>
  <c r="A14622" i="1"/>
  <c r="F14622" i="1"/>
  <c r="B14623" i="1"/>
  <c r="A14623" i="1"/>
  <c r="F14623" i="1"/>
  <c r="B14624" i="1"/>
  <c r="A14624" i="1"/>
  <c r="F14624" i="1"/>
  <c r="B14625" i="1"/>
  <c r="A14625" i="1"/>
  <c r="F14625" i="1"/>
  <c r="B14626" i="1"/>
  <c r="A14626" i="1"/>
  <c r="F14626" i="1"/>
  <c r="B14627" i="1"/>
  <c r="A14627" i="1"/>
  <c r="F14627" i="1"/>
  <c r="B14628" i="1"/>
  <c r="A14628" i="1"/>
  <c r="F14628" i="1"/>
  <c r="B14629" i="1"/>
  <c r="A14629" i="1"/>
  <c r="F14629" i="1"/>
  <c r="B14630" i="1"/>
  <c r="A14630" i="1"/>
  <c r="F14630" i="1"/>
  <c r="B14631" i="1"/>
  <c r="A14631" i="1"/>
  <c r="F14631" i="1"/>
  <c r="B14632" i="1"/>
  <c r="A14632" i="1"/>
  <c r="F14632" i="1"/>
  <c r="B14633" i="1"/>
  <c r="A14633" i="1"/>
  <c r="F14633" i="1"/>
  <c r="B14634" i="1"/>
  <c r="A14634" i="1"/>
  <c r="F14634" i="1"/>
  <c r="B14635" i="1"/>
  <c r="A14635" i="1"/>
  <c r="F14635" i="1"/>
  <c r="B14636" i="1"/>
  <c r="A14636" i="1"/>
  <c r="F14636" i="1"/>
  <c r="B14637" i="1"/>
  <c r="A14637" i="1"/>
  <c r="F14637" i="1"/>
  <c r="B14638" i="1"/>
  <c r="A14638" i="1"/>
  <c r="F14638" i="1"/>
  <c r="B14639" i="1"/>
  <c r="A14639" i="1"/>
  <c r="F14639" i="1"/>
  <c r="B14640" i="1"/>
  <c r="A14640" i="1"/>
  <c r="F14640" i="1"/>
  <c r="B14641" i="1"/>
  <c r="A14641" i="1"/>
  <c r="F14641" i="1"/>
  <c r="B14642" i="1"/>
  <c r="A14642" i="1"/>
  <c r="F14642" i="1"/>
  <c r="B14643" i="1"/>
  <c r="A14643" i="1"/>
  <c r="F14643" i="1"/>
  <c r="B14644" i="1"/>
  <c r="A14644" i="1"/>
  <c r="F14644" i="1"/>
  <c r="B14645" i="1"/>
  <c r="A14645" i="1"/>
  <c r="F14645" i="1"/>
  <c r="B14646" i="1"/>
  <c r="A14646" i="1"/>
  <c r="F14646" i="1"/>
  <c r="B14647" i="1"/>
  <c r="A14647" i="1"/>
  <c r="F14647" i="1"/>
  <c r="B14648" i="1"/>
  <c r="A14648" i="1"/>
  <c r="F14648" i="1"/>
  <c r="B14649" i="1"/>
  <c r="A14649" i="1"/>
  <c r="F14649" i="1"/>
  <c r="B14650" i="1"/>
  <c r="A14650" i="1"/>
  <c r="F14650" i="1"/>
  <c r="B14651" i="1"/>
  <c r="A14651" i="1"/>
  <c r="F14651" i="1"/>
  <c r="B14652" i="1"/>
  <c r="A14652" i="1"/>
  <c r="F14652" i="1"/>
  <c r="B14653" i="1"/>
  <c r="A14653" i="1"/>
  <c r="F14653" i="1"/>
  <c r="B14654" i="1"/>
  <c r="A14654" i="1"/>
  <c r="F14654" i="1"/>
  <c r="B14655" i="1"/>
  <c r="A14655" i="1"/>
  <c r="F14655" i="1"/>
  <c r="B14656" i="1"/>
  <c r="A14656" i="1"/>
  <c r="F14656" i="1"/>
  <c r="B14657" i="1"/>
  <c r="A14657" i="1"/>
  <c r="F14657" i="1"/>
  <c r="B14658" i="1"/>
  <c r="A14658" i="1"/>
  <c r="F14658" i="1"/>
  <c r="B14659" i="1"/>
  <c r="A14659" i="1"/>
  <c r="F14659" i="1"/>
  <c r="B14660" i="1"/>
  <c r="A14660" i="1"/>
  <c r="F14660" i="1"/>
  <c r="B14661" i="1"/>
  <c r="A14661" i="1"/>
  <c r="F14661" i="1"/>
  <c r="B14662" i="1"/>
  <c r="A14662" i="1"/>
  <c r="F14662" i="1"/>
  <c r="B14663" i="1"/>
  <c r="A14663" i="1"/>
  <c r="F14663" i="1"/>
  <c r="B14664" i="1"/>
  <c r="A14664" i="1"/>
  <c r="F14664" i="1"/>
  <c r="B14665" i="1"/>
  <c r="A14665" i="1"/>
  <c r="F14665" i="1"/>
  <c r="B14666" i="1"/>
  <c r="A14666" i="1"/>
  <c r="F14666" i="1"/>
  <c r="B14667" i="1"/>
  <c r="A14667" i="1"/>
  <c r="F14667" i="1"/>
  <c r="B14668" i="1"/>
  <c r="A14668" i="1"/>
  <c r="F14668" i="1"/>
  <c r="B14669" i="1"/>
  <c r="A14669" i="1"/>
  <c r="F14669" i="1"/>
  <c r="B14670" i="1"/>
  <c r="A14670" i="1"/>
  <c r="F14670" i="1"/>
  <c r="B14671" i="1"/>
  <c r="A14671" i="1"/>
  <c r="F14671" i="1"/>
  <c r="B14672" i="1"/>
  <c r="A14672" i="1"/>
  <c r="F14672" i="1"/>
  <c r="B14673" i="1"/>
  <c r="A14673" i="1"/>
  <c r="F14673" i="1"/>
  <c r="B14674" i="1"/>
  <c r="A14674" i="1"/>
  <c r="F14674" i="1"/>
  <c r="B14675" i="1"/>
  <c r="A14675" i="1"/>
  <c r="F14675" i="1"/>
  <c r="B14676" i="1"/>
  <c r="A14676" i="1"/>
  <c r="F14676" i="1"/>
  <c r="B14677" i="1"/>
  <c r="A14677" i="1"/>
  <c r="F14677" i="1"/>
  <c r="B14678" i="1"/>
  <c r="A14678" i="1"/>
  <c r="F14678" i="1"/>
  <c r="B14679" i="1"/>
  <c r="A14679" i="1"/>
  <c r="F14679" i="1"/>
  <c r="B14680" i="1"/>
  <c r="A14680" i="1"/>
  <c r="F14680" i="1"/>
  <c r="B14681" i="1"/>
  <c r="A14681" i="1"/>
  <c r="F14681" i="1"/>
  <c r="B14682" i="1"/>
  <c r="A14682" i="1"/>
  <c r="F14682" i="1"/>
  <c r="B14683" i="1"/>
  <c r="A14683" i="1"/>
  <c r="F14683" i="1"/>
  <c r="B14684" i="1"/>
  <c r="A14684" i="1"/>
  <c r="F14684" i="1"/>
  <c r="B14685" i="1"/>
  <c r="A14685" i="1"/>
  <c r="F14685" i="1"/>
  <c r="B14686" i="1"/>
  <c r="A14686" i="1"/>
  <c r="F14686" i="1"/>
  <c r="B14687" i="1"/>
  <c r="A14687" i="1"/>
  <c r="F14687" i="1"/>
  <c r="B14688" i="1"/>
  <c r="A14688" i="1"/>
  <c r="F14688" i="1"/>
  <c r="B14689" i="1"/>
  <c r="A14689" i="1"/>
  <c r="F14689" i="1"/>
  <c r="B14690" i="1"/>
  <c r="A14690" i="1"/>
  <c r="F14690" i="1"/>
  <c r="B14691" i="1"/>
  <c r="A14691" i="1"/>
  <c r="F14691" i="1"/>
  <c r="B14692" i="1"/>
  <c r="A14692" i="1"/>
  <c r="F14692" i="1"/>
  <c r="B14693" i="1"/>
  <c r="A14693" i="1"/>
  <c r="F14693" i="1"/>
  <c r="B14694" i="1"/>
  <c r="A14694" i="1"/>
  <c r="F14694" i="1"/>
  <c r="B14695" i="1"/>
  <c r="A14695" i="1"/>
  <c r="F14695" i="1"/>
  <c r="B14696" i="1"/>
  <c r="A14696" i="1"/>
  <c r="F14696" i="1"/>
  <c r="B14697" i="1"/>
  <c r="A14697" i="1"/>
  <c r="F14697" i="1"/>
  <c r="B14698" i="1"/>
  <c r="A14698" i="1"/>
  <c r="F14698" i="1"/>
  <c r="B14699" i="1"/>
  <c r="A14699" i="1"/>
  <c r="F14699" i="1"/>
  <c r="B14700" i="1"/>
  <c r="A14700" i="1"/>
  <c r="F14700" i="1"/>
  <c r="B14701" i="1"/>
  <c r="A14701" i="1"/>
  <c r="F14701" i="1"/>
  <c r="B14702" i="1"/>
  <c r="A14702" i="1"/>
  <c r="F14702" i="1"/>
  <c r="B14703" i="1"/>
  <c r="A14703" i="1"/>
  <c r="F14703" i="1"/>
  <c r="B14704" i="1"/>
  <c r="A14704" i="1"/>
  <c r="F14704" i="1"/>
  <c r="B14705" i="1"/>
  <c r="A14705" i="1"/>
  <c r="F14705" i="1"/>
  <c r="B14706" i="1"/>
  <c r="A14706" i="1"/>
  <c r="F14706" i="1"/>
  <c r="B14707" i="1"/>
  <c r="A14707" i="1"/>
  <c r="F14707" i="1"/>
  <c r="B14708" i="1"/>
  <c r="A14708" i="1"/>
  <c r="F14708" i="1"/>
  <c r="B14709" i="1"/>
  <c r="A14709" i="1"/>
  <c r="F14709" i="1"/>
  <c r="B14710" i="1"/>
  <c r="A14710" i="1"/>
  <c r="F14710" i="1"/>
  <c r="B14711" i="1"/>
  <c r="A14711" i="1"/>
  <c r="F14711" i="1"/>
  <c r="B14712" i="1"/>
  <c r="A14712" i="1"/>
  <c r="F14712" i="1"/>
  <c r="B14713" i="1"/>
  <c r="A14713" i="1"/>
  <c r="F14713" i="1"/>
  <c r="B14714" i="1"/>
  <c r="A14714" i="1"/>
  <c r="F14714" i="1"/>
  <c r="B14715" i="1"/>
  <c r="A14715" i="1"/>
  <c r="F14715" i="1"/>
  <c r="B14716" i="1"/>
  <c r="A14716" i="1"/>
  <c r="F14716" i="1"/>
  <c r="B14717" i="1"/>
  <c r="A14717" i="1"/>
  <c r="F14717" i="1"/>
  <c r="B14718" i="1"/>
  <c r="A14718" i="1"/>
  <c r="F14718" i="1"/>
  <c r="B14719" i="1"/>
  <c r="A14719" i="1"/>
  <c r="F14719" i="1"/>
  <c r="B14720" i="1"/>
  <c r="A14720" i="1"/>
  <c r="F14720" i="1"/>
  <c r="B14721" i="1"/>
  <c r="A14721" i="1"/>
  <c r="F14721" i="1"/>
  <c r="B14722" i="1"/>
  <c r="A14722" i="1"/>
  <c r="F14722" i="1"/>
  <c r="B14723" i="1"/>
  <c r="A14723" i="1"/>
  <c r="F14723" i="1"/>
  <c r="B14724" i="1"/>
  <c r="A14724" i="1"/>
  <c r="F14724" i="1"/>
  <c r="B14725" i="1"/>
  <c r="A14725" i="1"/>
  <c r="F14725" i="1"/>
  <c r="B14726" i="1"/>
  <c r="A14726" i="1"/>
  <c r="F14726" i="1"/>
  <c r="B14727" i="1"/>
  <c r="A14727" i="1"/>
  <c r="F14727" i="1"/>
  <c r="B14728" i="1"/>
  <c r="A14728" i="1"/>
  <c r="F14728" i="1"/>
  <c r="B14729" i="1"/>
  <c r="A14729" i="1"/>
  <c r="F14729" i="1"/>
  <c r="B14730" i="1"/>
  <c r="A14730" i="1"/>
  <c r="F14730" i="1"/>
  <c r="B14731" i="1"/>
  <c r="A14731" i="1"/>
  <c r="F14731" i="1"/>
  <c r="B14732" i="1"/>
  <c r="A14732" i="1"/>
  <c r="F14732" i="1"/>
  <c r="B14733" i="1"/>
  <c r="A14733" i="1"/>
  <c r="F14733" i="1"/>
  <c r="B14734" i="1"/>
  <c r="A14734" i="1"/>
  <c r="F14734" i="1"/>
  <c r="B14735" i="1"/>
  <c r="A14735" i="1"/>
  <c r="F14735" i="1"/>
  <c r="B14736" i="1"/>
  <c r="A14736" i="1"/>
  <c r="F14736" i="1"/>
  <c r="B14737" i="1"/>
  <c r="A14737" i="1"/>
  <c r="F14737" i="1"/>
  <c r="B14738" i="1"/>
  <c r="A14738" i="1"/>
  <c r="F14738" i="1"/>
  <c r="B14739" i="1"/>
  <c r="A14739" i="1"/>
  <c r="F14739" i="1"/>
  <c r="B14740" i="1"/>
  <c r="A14740" i="1"/>
  <c r="F14740" i="1"/>
  <c r="B14741" i="1"/>
  <c r="A14741" i="1"/>
  <c r="F14741" i="1"/>
  <c r="B14742" i="1"/>
  <c r="A14742" i="1"/>
  <c r="F14742" i="1"/>
  <c r="B14743" i="1"/>
  <c r="A14743" i="1"/>
  <c r="F14743" i="1"/>
  <c r="B14744" i="1"/>
  <c r="A14744" i="1"/>
  <c r="F14744" i="1"/>
  <c r="B14745" i="1"/>
  <c r="A14745" i="1"/>
  <c r="F14745" i="1"/>
  <c r="B14746" i="1"/>
  <c r="A14746" i="1"/>
  <c r="F14746" i="1"/>
  <c r="B14747" i="1"/>
  <c r="A14747" i="1"/>
  <c r="F14747" i="1"/>
  <c r="B14748" i="1"/>
  <c r="A14748" i="1"/>
  <c r="F14748" i="1"/>
  <c r="B14749" i="1"/>
  <c r="A14749" i="1"/>
  <c r="F14749" i="1"/>
  <c r="B14750" i="1"/>
  <c r="A14750" i="1"/>
  <c r="F14750" i="1"/>
  <c r="B14751" i="1"/>
  <c r="A14751" i="1"/>
  <c r="F14751" i="1"/>
  <c r="B14752" i="1"/>
  <c r="A14752" i="1"/>
  <c r="F14752" i="1"/>
  <c r="B14753" i="1"/>
  <c r="A14753" i="1"/>
  <c r="F14753" i="1"/>
  <c r="B14754" i="1"/>
  <c r="A14754" i="1"/>
  <c r="F14754" i="1"/>
  <c r="B14755" i="1"/>
  <c r="A14755" i="1"/>
  <c r="F14755" i="1"/>
  <c r="B14756" i="1"/>
  <c r="A14756" i="1"/>
  <c r="F14756" i="1"/>
  <c r="B14757" i="1"/>
  <c r="A14757" i="1"/>
  <c r="F14757" i="1"/>
  <c r="B14758" i="1"/>
  <c r="A14758" i="1"/>
  <c r="F14758" i="1"/>
  <c r="B14759" i="1"/>
  <c r="A14759" i="1"/>
  <c r="F14759" i="1"/>
  <c r="B14760" i="1"/>
  <c r="A14760" i="1"/>
  <c r="F14760" i="1"/>
  <c r="B14761" i="1"/>
  <c r="A14761" i="1"/>
  <c r="F14761" i="1"/>
  <c r="B14762" i="1"/>
  <c r="A14762" i="1"/>
  <c r="F14762" i="1"/>
  <c r="B14763" i="1"/>
  <c r="A14763" i="1"/>
  <c r="F14763" i="1"/>
  <c r="B14764" i="1"/>
  <c r="A14764" i="1"/>
  <c r="F14764" i="1"/>
  <c r="B14765" i="1"/>
  <c r="A14765" i="1"/>
  <c r="F14765" i="1"/>
  <c r="B14766" i="1"/>
  <c r="A14766" i="1"/>
  <c r="F14766" i="1"/>
  <c r="B14767" i="1"/>
  <c r="A14767" i="1"/>
  <c r="F14767" i="1"/>
  <c r="B14768" i="1"/>
  <c r="A14768" i="1"/>
  <c r="F14768" i="1"/>
  <c r="B14769" i="1"/>
  <c r="A14769" i="1"/>
  <c r="F14769" i="1"/>
  <c r="B14770" i="1"/>
  <c r="A14770" i="1"/>
  <c r="F14770" i="1"/>
  <c r="B14771" i="1"/>
  <c r="A14771" i="1"/>
  <c r="F14771" i="1"/>
  <c r="B14772" i="1"/>
  <c r="A14772" i="1"/>
  <c r="F14772" i="1"/>
  <c r="B14773" i="1"/>
  <c r="A14773" i="1"/>
  <c r="F14773" i="1"/>
  <c r="B14774" i="1"/>
  <c r="A14774" i="1"/>
  <c r="F14774" i="1"/>
  <c r="B14775" i="1"/>
  <c r="A14775" i="1"/>
  <c r="F14775" i="1"/>
  <c r="B14776" i="1"/>
  <c r="A14776" i="1"/>
  <c r="F14776" i="1"/>
  <c r="B14777" i="1"/>
  <c r="A14777" i="1"/>
  <c r="F14777" i="1"/>
  <c r="B14778" i="1"/>
  <c r="A14778" i="1"/>
  <c r="F14778" i="1"/>
  <c r="B14779" i="1"/>
  <c r="A14779" i="1"/>
  <c r="F14779" i="1"/>
  <c r="B14780" i="1"/>
  <c r="A14780" i="1"/>
  <c r="F14780" i="1"/>
  <c r="B14781" i="1"/>
  <c r="A14781" i="1"/>
  <c r="F14781" i="1"/>
  <c r="B14782" i="1"/>
  <c r="A14782" i="1"/>
  <c r="F14782" i="1"/>
  <c r="B14783" i="1"/>
  <c r="A14783" i="1"/>
  <c r="F14783" i="1"/>
  <c r="B14784" i="1"/>
  <c r="A14784" i="1"/>
  <c r="F14784" i="1"/>
  <c r="B14785" i="1"/>
  <c r="A14785" i="1"/>
  <c r="F14785" i="1"/>
  <c r="B14786" i="1"/>
  <c r="A14786" i="1"/>
  <c r="F14786" i="1"/>
  <c r="B14787" i="1"/>
  <c r="A14787" i="1"/>
  <c r="F14787" i="1"/>
  <c r="B14788" i="1"/>
  <c r="A14788" i="1"/>
  <c r="F14788" i="1"/>
  <c r="B14789" i="1"/>
  <c r="A14789" i="1"/>
  <c r="F14789" i="1"/>
  <c r="B14790" i="1"/>
  <c r="A14790" i="1"/>
  <c r="F14790" i="1"/>
  <c r="B14791" i="1"/>
  <c r="A14791" i="1"/>
  <c r="F14791" i="1"/>
  <c r="B14792" i="1"/>
  <c r="A14792" i="1"/>
  <c r="F14792" i="1"/>
  <c r="B14793" i="1"/>
  <c r="A14793" i="1"/>
  <c r="F14793" i="1"/>
  <c r="B14794" i="1"/>
  <c r="A14794" i="1"/>
  <c r="F14794" i="1"/>
  <c r="B14795" i="1"/>
  <c r="A14795" i="1"/>
  <c r="F14795" i="1"/>
  <c r="B14796" i="1"/>
  <c r="A14796" i="1"/>
  <c r="F14796" i="1"/>
  <c r="B14797" i="1"/>
  <c r="A14797" i="1"/>
  <c r="F14797" i="1"/>
  <c r="B14798" i="1"/>
  <c r="A14798" i="1"/>
  <c r="F14798" i="1"/>
  <c r="B14799" i="1"/>
  <c r="A14799" i="1"/>
  <c r="F14799" i="1"/>
  <c r="B14800" i="1"/>
  <c r="A14800" i="1"/>
  <c r="F14800" i="1"/>
  <c r="B14801" i="1"/>
  <c r="A14801" i="1"/>
  <c r="F14801" i="1"/>
  <c r="B14802" i="1"/>
  <c r="A14802" i="1"/>
  <c r="F14802" i="1"/>
  <c r="B14803" i="1"/>
  <c r="A14803" i="1"/>
  <c r="F14803" i="1"/>
  <c r="B14804" i="1"/>
  <c r="A14804" i="1"/>
  <c r="F14804" i="1"/>
  <c r="B14805" i="1"/>
  <c r="A14805" i="1"/>
  <c r="F14805" i="1"/>
  <c r="B14806" i="1"/>
  <c r="A14806" i="1"/>
  <c r="F14806" i="1"/>
  <c r="B14807" i="1"/>
  <c r="A14807" i="1"/>
  <c r="F14807" i="1"/>
  <c r="B14808" i="1"/>
  <c r="A14808" i="1"/>
  <c r="F14808" i="1"/>
  <c r="B14809" i="1"/>
  <c r="A14809" i="1"/>
  <c r="F14809" i="1"/>
  <c r="B14810" i="1"/>
  <c r="A14810" i="1"/>
  <c r="F14810" i="1"/>
  <c r="B14811" i="1"/>
  <c r="A14811" i="1"/>
  <c r="F14811" i="1"/>
  <c r="B14812" i="1"/>
  <c r="A14812" i="1"/>
  <c r="F14812" i="1"/>
  <c r="B14813" i="1"/>
  <c r="A14813" i="1"/>
  <c r="F14813" i="1"/>
  <c r="B14814" i="1"/>
  <c r="A14814" i="1"/>
  <c r="F14814" i="1"/>
  <c r="B14815" i="1"/>
  <c r="A14815" i="1"/>
  <c r="F14815" i="1"/>
  <c r="B14816" i="1"/>
  <c r="A14816" i="1"/>
  <c r="F14816" i="1"/>
  <c r="B14817" i="1"/>
  <c r="A14817" i="1"/>
  <c r="F14817" i="1"/>
  <c r="B14818" i="1"/>
  <c r="A14818" i="1"/>
  <c r="F14818" i="1"/>
  <c r="B14819" i="1"/>
  <c r="A14819" i="1"/>
  <c r="F14819" i="1"/>
  <c r="B14820" i="1"/>
  <c r="A14820" i="1"/>
  <c r="F14820" i="1"/>
  <c r="B14821" i="1"/>
  <c r="A14821" i="1"/>
  <c r="F14821" i="1"/>
  <c r="B14822" i="1"/>
  <c r="A14822" i="1"/>
  <c r="F14822" i="1"/>
  <c r="B14823" i="1"/>
  <c r="A14823" i="1"/>
  <c r="F14823" i="1"/>
  <c r="B14824" i="1"/>
  <c r="A14824" i="1"/>
  <c r="F14824" i="1"/>
  <c r="B14825" i="1"/>
  <c r="A14825" i="1"/>
  <c r="F14825" i="1"/>
  <c r="B14826" i="1"/>
  <c r="A14826" i="1"/>
  <c r="F14826" i="1"/>
  <c r="B14827" i="1"/>
  <c r="A14827" i="1"/>
  <c r="F14827" i="1"/>
  <c r="B14828" i="1"/>
  <c r="A14828" i="1"/>
  <c r="F14828" i="1"/>
  <c r="B14829" i="1"/>
  <c r="A14829" i="1"/>
  <c r="F14829" i="1"/>
  <c r="B14830" i="1"/>
  <c r="A14830" i="1"/>
  <c r="F14830" i="1"/>
  <c r="B14831" i="1"/>
  <c r="A14831" i="1"/>
  <c r="F14831" i="1"/>
  <c r="B14832" i="1"/>
  <c r="A14832" i="1"/>
  <c r="F14832" i="1"/>
  <c r="B14833" i="1"/>
  <c r="A14833" i="1"/>
  <c r="F14833" i="1"/>
  <c r="B14834" i="1"/>
  <c r="A14834" i="1"/>
  <c r="F14834" i="1"/>
  <c r="B14835" i="1"/>
  <c r="A14835" i="1"/>
  <c r="F14835" i="1"/>
  <c r="B14836" i="1"/>
  <c r="A14836" i="1"/>
  <c r="F14836" i="1"/>
  <c r="B14837" i="1"/>
  <c r="A14837" i="1"/>
  <c r="F14837" i="1"/>
  <c r="B14838" i="1"/>
  <c r="A14838" i="1"/>
  <c r="F14838" i="1"/>
  <c r="B14839" i="1"/>
  <c r="A14839" i="1"/>
  <c r="F14839" i="1"/>
  <c r="B14840" i="1"/>
  <c r="A14840" i="1"/>
  <c r="F14840" i="1"/>
  <c r="B14841" i="1"/>
  <c r="A14841" i="1"/>
  <c r="F14841" i="1"/>
  <c r="B14842" i="1"/>
  <c r="A14842" i="1"/>
  <c r="F14842" i="1"/>
  <c r="B14843" i="1"/>
  <c r="A14843" i="1"/>
  <c r="F14843" i="1"/>
  <c r="B14844" i="1"/>
  <c r="A14844" i="1"/>
  <c r="F14844" i="1"/>
  <c r="B14845" i="1"/>
  <c r="A14845" i="1"/>
  <c r="F14845" i="1"/>
  <c r="B14846" i="1"/>
  <c r="A14846" i="1"/>
  <c r="F14846" i="1"/>
  <c r="B14847" i="1"/>
  <c r="A14847" i="1"/>
  <c r="F14847" i="1"/>
  <c r="B14848" i="1"/>
  <c r="A14848" i="1"/>
  <c r="F14848" i="1"/>
  <c r="B14849" i="1"/>
  <c r="A14849" i="1"/>
  <c r="F14849" i="1"/>
  <c r="B14850" i="1"/>
  <c r="A14850" i="1"/>
  <c r="F14850" i="1"/>
  <c r="B14851" i="1"/>
  <c r="A14851" i="1"/>
  <c r="F14851" i="1"/>
  <c r="B14852" i="1"/>
  <c r="A14852" i="1"/>
  <c r="F14852" i="1"/>
  <c r="B14853" i="1"/>
  <c r="A14853" i="1"/>
  <c r="F14853" i="1"/>
  <c r="B14854" i="1"/>
  <c r="A14854" i="1"/>
  <c r="F14854" i="1"/>
  <c r="B14855" i="1"/>
  <c r="A14855" i="1"/>
  <c r="F14855" i="1"/>
  <c r="B14856" i="1"/>
  <c r="A14856" i="1"/>
  <c r="F14856" i="1"/>
  <c r="B14857" i="1"/>
  <c r="A14857" i="1"/>
  <c r="F14857" i="1"/>
  <c r="B14858" i="1"/>
  <c r="A14858" i="1"/>
  <c r="F14858" i="1"/>
  <c r="B14859" i="1"/>
  <c r="A14859" i="1"/>
  <c r="F14859" i="1"/>
  <c r="B14860" i="1"/>
  <c r="A14860" i="1"/>
  <c r="F14860" i="1"/>
  <c r="B14861" i="1"/>
  <c r="A14861" i="1"/>
  <c r="F14861" i="1"/>
  <c r="B14862" i="1"/>
  <c r="A14862" i="1"/>
  <c r="F14862" i="1"/>
  <c r="B14863" i="1"/>
  <c r="A14863" i="1"/>
  <c r="F14863" i="1"/>
  <c r="B14864" i="1"/>
  <c r="A14864" i="1"/>
  <c r="F14864" i="1"/>
  <c r="B14865" i="1"/>
  <c r="A14865" i="1"/>
  <c r="F14865" i="1"/>
  <c r="B14866" i="1"/>
  <c r="A14866" i="1"/>
  <c r="F14866" i="1"/>
  <c r="B14867" i="1"/>
  <c r="A14867" i="1"/>
  <c r="F14867" i="1"/>
  <c r="B14868" i="1"/>
  <c r="A14868" i="1"/>
  <c r="F14868" i="1"/>
  <c r="B14869" i="1"/>
  <c r="A14869" i="1"/>
  <c r="F14869" i="1"/>
  <c r="B14870" i="1"/>
  <c r="A14870" i="1"/>
  <c r="F14870" i="1"/>
  <c r="B14871" i="1"/>
  <c r="A14871" i="1"/>
  <c r="F14871" i="1"/>
  <c r="B14872" i="1"/>
  <c r="A14872" i="1"/>
  <c r="F14872" i="1"/>
  <c r="B14873" i="1"/>
  <c r="A14873" i="1"/>
  <c r="F14873" i="1"/>
  <c r="B14874" i="1"/>
  <c r="A14874" i="1"/>
  <c r="F14874" i="1"/>
  <c r="B14875" i="1"/>
  <c r="A14875" i="1"/>
  <c r="F14875" i="1"/>
  <c r="B14876" i="1"/>
  <c r="A14876" i="1"/>
  <c r="F14876" i="1"/>
  <c r="B14877" i="1"/>
  <c r="A14877" i="1"/>
  <c r="F14877" i="1"/>
  <c r="B14878" i="1"/>
  <c r="A14878" i="1"/>
  <c r="F14878" i="1"/>
  <c r="B14879" i="1"/>
  <c r="A14879" i="1"/>
  <c r="F14879" i="1"/>
  <c r="B14880" i="1"/>
  <c r="A14880" i="1"/>
  <c r="F14880" i="1"/>
  <c r="B14881" i="1"/>
  <c r="A14881" i="1"/>
  <c r="F14881" i="1"/>
  <c r="B14882" i="1"/>
  <c r="A14882" i="1"/>
  <c r="F14882" i="1"/>
  <c r="B14883" i="1"/>
  <c r="A14883" i="1"/>
  <c r="F14883" i="1"/>
  <c r="B14884" i="1"/>
  <c r="A14884" i="1"/>
  <c r="F14884" i="1"/>
  <c r="B14885" i="1"/>
  <c r="A14885" i="1"/>
  <c r="F14885" i="1"/>
  <c r="B14886" i="1"/>
  <c r="A14886" i="1"/>
  <c r="F14886" i="1"/>
  <c r="B14887" i="1"/>
  <c r="A14887" i="1"/>
  <c r="F14887" i="1"/>
  <c r="B14888" i="1"/>
  <c r="A14888" i="1"/>
  <c r="F14888" i="1"/>
  <c r="B14889" i="1"/>
  <c r="A14889" i="1"/>
  <c r="F14889" i="1"/>
  <c r="B14890" i="1"/>
  <c r="A14890" i="1"/>
  <c r="F14890" i="1"/>
  <c r="B14891" i="1"/>
  <c r="A14891" i="1"/>
  <c r="F14891" i="1"/>
  <c r="B14892" i="1"/>
  <c r="A14892" i="1"/>
  <c r="F14892" i="1"/>
  <c r="B14893" i="1"/>
  <c r="A14893" i="1"/>
  <c r="F14893" i="1"/>
  <c r="B14894" i="1"/>
  <c r="A14894" i="1"/>
  <c r="F14894" i="1"/>
  <c r="B14895" i="1"/>
  <c r="A14895" i="1"/>
  <c r="F14895" i="1"/>
  <c r="B14896" i="1"/>
  <c r="A14896" i="1"/>
  <c r="F14896" i="1"/>
  <c r="B14897" i="1"/>
  <c r="A14897" i="1"/>
  <c r="F14897" i="1"/>
  <c r="B14898" i="1"/>
  <c r="A14898" i="1"/>
  <c r="F14898" i="1"/>
  <c r="B14899" i="1"/>
  <c r="A14899" i="1"/>
  <c r="F14899" i="1"/>
  <c r="B14900" i="1"/>
  <c r="A14900" i="1"/>
  <c r="F14900" i="1"/>
  <c r="B14901" i="1"/>
  <c r="A14901" i="1"/>
  <c r="F14901" i="1"/>
  <c r="B14902" i="1"/>
  <c r="A14902" i="1"/>
  <c r="F14902" i="1"/>
  <c r="B14903" i="1"/>
  <c r="A14903" i="1"/>
  <c r="F14903" i="1"/>
  <c r="B14904" i="1"/>
  <c r="A14904" i="1"/>
  <c r="F14904" i="1"/>
  <c r="B14905" i="1"/>
  <c r="A14905" i="1"/>
  <c r="F14905" i="1"/>
  <c r="B14906" i="1"/>
  <c r="A14906" i="1"/>
  <c r="F14906" i="1"/>
  <c r="B14907" i="1"/>
  <c r="A14907" i="1"/>
  <c r="F14907" i="1"/>
  <c r="B14908" i="1"/>
  <c r="A14908" i="1"/>
  <c r="F14908" i="1"/>
  <c r="B14909" i="1"/>
  <c r="A14909" i="1"/>
  <c r="F14909" i="1"/>
  <c r="B14910" i="1"/>
  <c r="A14910" i="1"/>
  <c r="F14910" i="1"/>
  <c r="B14911" i="1"/>
  <c r="A14911" i="1"/>
  <c r="F14911" i="1"/>
  <c r="B14912" i="1"/>
  <c r="A14912" i="1"/>
  <c r="F14912" i="1"/>
  <c r="B14913" i="1"/>
  <c r="A14913" i="1"/>
  <c r="F14913" i="1"/>
  <c r="B14914" i="1"/>
  <c r="A14914" i="1"/>
  <c r="F14914" i="1"/>
  <c r="B14915" i="1"/>
  <c r="A14915" i="1"/>
  <c r="F14915" i="1"/>
  <c r="B14916" i="1"/>
  <c r="A14916" i="1"/>
  <c r="F14916" i="1"/>
  <c r="B14917" i="1"/>
  <c r="A14917" i="1"/>
  <c r="F14917" i="1"/>
  <c r="B14918" i="1"/>
  <c r="A14918" i="1"/>
  <c r="F14918" i="1"/>
  <c r="B14919" i="1"/>
  <c r="A14919" i="1"/>
  <c r="F14919" i="1"/>
  <c r="B14920" i="1"/>
  <c r="A14920" i="1"/>
  <c r="F14920" i="1"/>
  <c r="B14921" i="1"/>
  <c r="A14921" i="1"/>
  <c r="F14921" i="1"/>
  <c r="B14922" i="1"/>
  <c r="A14922" i="1"/>
  <c r="F14922" i="1"/>
  <c r="B14923" i="1"/>
  <c r="A14923" i="1"/>
  <c r="F14923" i="1"/>
  <c r="B14924" i="1"/>
  <c r="A14924" i="1"/>
  <c r="F14924" i="1"/>
  <c r="B14925" i="1"/>
  <c r="A14925" i="1"/>
  <c r="F14925" i="1"/>
  <c r="B14926" i="1"/>
  <c r="A14926" i="1"/>
  <c r="F14926" i="1"/>
  <c r="B14927" i="1"/>
  <c r="A14927" i="1"/>
  <c r="F14927" i="1"/>
  <c r="B14928" i="1"/>
  <c r="A14928" i="1"/>
  <c r="F14928" i="1"/>
  <c r="B14929" i="1"/>
  <c r="A14929" i="1"/>
  <c r="F14929" i="1"/>
  <c r="B14930" i="1"/>
  <c r="A14930" i="1"/>
  <c r="F14930" i="1"/>
  <c r="B14931" i="1"/>
  <c r="A14931" i="1"/>
  <c r="F14931" i="1"/>
  <c r="B14932" i="1"/>
  <c r="A14932" i="1"/>
  <c r="F14932" i="1"/>
  <c r="B14933" i="1"/>
  <c r="A14933" i="1"/>
  <c r="F14933" i="1"/>
  <c r="B14934" i="1"/>
  <c r="A14934" i="1"/>
  <c r="F14934" i="1"/>
  <c r="B14935" i="1"/>
  <c r="A14935" i="1"/>
  <c r="F14935" i="1"/>
  <c r="B14936" i="1"/>
  <c r="A14936" i="1"/>
  <c r="F14936" i="1"/>
  <c r="B14937" i="1"/>
  <c r="A14937" i="1"/>
  <c r="F14937" i="1"/>
  <c r="B14938" i="1"/>
  <c r="A14938" i="1"/>
  <c r="F14938" i="1"/>
  <c r="B14939" i="1"/>
  <c r="A14939" i="1"/>
  <c r="F14939" i="1"/>
  <c r="B14940" i="1"/>
  <c r="A14940" i="1"/>
  <c r="F14940" i="1"/>
  <c r="B14941" i="1"/>
  <c r="A14941" i="1"/>
  <c r="F14941" i="1"/>
  <c r="B14942" i="1"/>
  <c r="A14942" i="1"/>
  <c r="F14942" i="1"/>
  <c r="B14943" i="1"/>
  <c r="A14943" i="1"/>
  <c r="F14943" i="1"/>
  <c r="B14944" i="1"/>
  <c r="A14944" i="1"/>
  <c r="F14944" i="1"/>
  <c r="B14945" i="1"/>
  <c r="A14945" i="1"/>
  <c r="F14945" i="1"/>
  <c r="B14946" i="1"/>
  <c r="A14946" i="1"/>
  <c r="F14946" i="1"/>
  <c r="B14947" i="1"/>
  <c r="A14947" i="1"/>
  <c r="F14947" i="1"/>
  <c r="B14948" i="1"/>
  <c r="A14948" i="1"/>
  <c r="F14948" i="1"/>
  <c r="B14949" i="1"/>
  <c r="A14949" i="1"/>
  <c r="F14949" i="1"/>
  <c r="B14950" i="1"/>
  <c r="A14950" i="1"/>
  <c r="F14950" i="1"/>
  <c r="B14951" i="1"/>
  <c r="A14951" i="1"/>
  <c r="F14951" i="1"/>
  <c r="B14952" i="1"/>
  <c r="A14952" i="1"/>
  <c r="F14952" i="1"/>
  <c r="B14953" i="1"/>
  <c r="A14953" i="1"/>
  <c r="F14953" i="1"/>
  <c r="B14954" i="1"/>
  <c r="A14954" i="1"/>
  <c r="F14954" i="1"/>
  <c r="B14955" i="1"/>
  <c r="A14955" i="1"/>
  <c r="F14955" i="1"/>
  <c r="B14956" i="1"/>
  <c r="A14956" i="1"/>
  <c r="F14956" i="1"/>
  <c r="B14957" i="1"/>
  <c r="A14957" i="1"/>
  <c r="F14957" i="1"/>
  <c r="B14958" i="1"/>
  <c r="A14958" i="1"/>
  <c r="F14958" i="1"/>
  <c r="B14959" i="1"/>
  <c r="A14959" i="1"/>
  <c r="F14959" i="1"/>
  <c r="B14960" i="1"/>
  <c r="A14960" i="1"/>
  <c r="F14960" i="1"/>
  <c r="B14961" i="1"/>
  <c r="A14961" i="1"/>
  <c r="F14961" i="1"/>
  <c r="B14962" i="1"/>
  <c r="A14962" i="1"/>
  <c r="F14962" i="1"/>
  <c r="B14963" i="1"/>
  <c r="A14963" i="1"/>
  <c r="F14963" i="1"/>
  <c r="B14964" i="1"/>
  <c r="A14964" i="1"/>
  <c r="F14964" i="1"/>
  <c r="B14965" i="1"/>
  <c r="A14965" i="1"/>
  <c r="F14965" i="1"/>
  <c r="B14966" i="1"/>
  <c r="A14966" i="1"/>
  <c r="F14966" i="1"/>
  <c r="B14967" i="1"/>
  <c r="A14967" i="1"/>
  <c r="F14967" i="1"/>
  <c r="B14968" i="1"/>
  <c r="A14968" i="1"/>
  <c r="F14968" i="1"/>
  <c r="B14969" i="1"/>
  <c r="A14969" i="1"/>
  <c r="F14969" i="1"/>
  <c r="B14970" i="1"/>
  <c r="A14970" i="1"/>
  <c r="F14970" i="1"/>
  <c r="B14971" i="1"/>
  <c r="A14971" i="1"/>
  <c r="F14971" i="1"/>
  <c r="B14972" i="1"/>
  <c r="A14972" i="1"/>
  <c r="F14972" i="1"/>
  <c r="B14973" i="1"/>
  <c r="A14973" i="1"/>
  <c r="F14973" i="1"/>
  <c r="B14974" i="1"/>
  <c r="A14974" i="1"/>
  <c r="F14974" i="1"/>
  <c r="B14975" i="1"/>
  <c r="A14975" i="1"/>
  <c r="F14975" i="1"/>
  <c r="B14976" i="1"/>
  <c r="A14976" i="1"/>
  <c r="F14976" i="1"/>
  <c r="B14977" i="1"/>
  <c r="A14977" i="1"/>
  <c r="F14977" i="1"/>
  <c r="B14978" i="1"/>
  <c r="A14978" i="1"/>
  <c r="F14978" i="1"/>
  <c r="B14979" i="1"/>
  <c r="A14979" i="1"/>
  <c r="F14979" i="1"/>
  <c r="B14980" i="1"/>
  <c r="A14980" i="1"/>
  <c r="F14980" i="1"/>
  <c r="B14981" i="1"/>
  <c r="A14981" i="1"/>
  <c r="F14981" i="1"/>
  <c r="B14982" i="1"/>
  <c r="A14982" i="1"/>
  <c r="F14982" i="1"/>
  <c r="B14983" i="1"/>
  <c r="A14983" i="1"/>
  <c r="F14983" i="1"/>
  <c r="B14984" i="1"/>
  <c r="A14984" i="1"/>
  <c r="F14984" i="1"/>
  <c r="B14985" i="1"/>
  <c r="A14985" i="1"/>
  <c r="F14985" i="1"/>
  <c r="B14986" i="1"/>
  <c r="A14986" i="1"/>
  <c r="F14986" i="1"/>
  <c r="B14987" i="1"/>
  <c r="A14987" i="1"/>
  <c r="F14987" i="1"/>
  <c r="B14988" i="1"/>
  <c r="A14988" i="1"/>
  <c r="F14988" i="1"/>
  <c r="B14989" i="1"/>
  <c r="A14989" i="1"/>
  <c r="F14989" i="1"/>
  <c r="B14990" i="1"/>
  <c r="A14990" i="1"/>
  <c r="F14990" i="1"/>
  <c r="B14991" i="1"/>
  <c r="A14991" i="1"/>
  <c r="F14991" i="1"/>
  <c r="B14992" i="1"/>
  <c r="A14992" i="1"/>
  <c r="F14992" i="1"/>
  <c r="B14993" i="1"/>
  <c r="A14993" i="1"/>
  <c r="F14993" i="1"/>
  <c r="B14994" i="1"/>
  <c r="A14994" i="1"/>
  <c r="F14994" i="1"/>
  <c r="B14995" i="1"/>
  <c r="A14995" i="1"/>
  <c r="F14995" i="1"/>
  <c r="B14996" i="1"/>
  <c r="A14996" i="1"/>
  <c r="F14996" i="1"/>
  <c r="B14997" i="1"/>
  <c r="A14997" i="1"/>
  <c r="F14997" i="1"/>
  <c r="B14998" i="1"/>
  <c r="A14998" i="1"/>
  <c r="F14998" i="1"/>
  <c r="B14999" i="1"/>
  <c r="A14999" i="1"/>
  <c r="F14999" i="1"/>
  <c r="B15000" i="1"/>
  <c r="A15000" i="1"/>
  <c r="F15000" i="1"/>
  <c r="B15001" i="1"/>
  <c r="A15001" i="1"/>
  <c r="F15001" i="1"/>
  <c r="B15002" i="1"/>
  <c r="A15002" i="1"/>
  <c r="F15002" i="1"/>
  <c r="B15003" i="1"/>
  <c r="A15003" i="1"/>
  <c r="F15003" i="1"/>
  <c r="B15004" i="1"/>
  <c r="A15004" i="1"/>
  <c r="F15004" i="1"/>
  <c r="B15005" i="1"/>
  <c r="A15005" i="1"/>
  <c r="F15005" i="1"/>
  <c r="B15006" i="1"/>
  <c r="A15006" i="1"/>
  <c r="F15006" i="1"/>
  <c r="B15007" i="1"/>
  <c r="A15007" i="1"/>
  <c r="F15007" i="1"/>
  <c r="B15008" i="1"/>
  <c r="A15008" i="1"/>
  <c r="F15008" i="1"/>
  <c r="B15009" i="1"/>
  <c r="A15009" i="1"/>
  <c r="F15009" i="1"/>
  <c r="B15010" i="1"/>
  <c r="A15010" i="1"/>
  <c r="F15010" i="1"/>
  <c r="B15011" i="1"/>
  <c r="A15011" i="1"/>
  <c r="F15011" i="1"/>
  <c r="B15012" i="1"/>
  <c r="A15012" i="1"/>
  <c r="F15012" i="1"/>
  <c r="B15013" i="1"/>
  <c r="A15013" i="1"/>
  <c r="F15013" i="1"/>
  <c r="B15014" i="1"/>
  <c r="A15014" i="1"/>
  <c r="F15014" i="1"/>
  <c r="B15015" i="1"/>
  <c r="A15015" i="1"/>
  <c r="F15015" i="1"/>
  <c r="B15016" i="1"/>
  <c r="A15016" i="1"/>
  <c r="F15016" i="1"/>
  <c r="B15017" i="1"/>
  <c r="A15017" i="1"/>
  <c r="F15017" i="1"/>
  <c r="B15018" i="1"/>
  <c r="A15018" i="1"/>
  <c r="F15018" i="1"/>
  <c r="B15019" i="1"/>
  <c r="A15019" i="1"/>
  <c r="F15019" i="1"/>
  <c r="B15020" i="1"/>
  <c r="A15020" i="1"/>
  <c r="F15020" i="1"/>
  <c r="B15021" i="1"/>
  <c r="A15021" i="1"/>
  <c r="F15021" i="1"/>
  <c r="B15022" i="1"/>
  <c r="A15022" i="1"/>
  <c r="F15022" i="1"/>
  <c r="B15023" i="1"/>
  <c r="A15023" i="1"/>
  <c r="F15023" i="1"/>
  <c r="B15024" i="1"/>
  <c r="A15024" i="1"/>
  <c r="F15024" i="1"/>
  <c r="B15025" i="1"/>
  <c r="A15025" i="1"/>
  <c r="F15025" i="1"/>
  <c r="B15026" i="1"/>
  <c r="A15026" i="1"/>
  <c r="F15026" i="1"/>
  <c r="B15027" i="1"/>
  <c r="A15027" i="1"/>
  <c r="F15027" i="1"/>
  <c r="B15028" i="1"/>
  <c r="A15028" i="1"/>
  <c r="F15028" i="1"/>
  <c r="B15029" i="1"/>
  <c r="A15029" i="1"/>
  <c r="F15029" i="1"/>
  <c r="B15030" i="1"/>
  <c r="A15030" i="1"/>
  <c r="F15030" i="1"/>
  <c r="B15031" i="1"/>
  <c r="A15031" i="1"/>
  <c r="F15031" i="1"/>
  <c r="B15032" i="1"/>
  <c r="A15032" i="1"/>
  <c r="F15032" i="1"/>
  <c r="B15033" i="1"/>
  <c r="A15033" i="1"/>
  <c r="F15033" i="1"/>
  <c r="B15034" i="1"/>
  <c r="A15034" i="1"/>
  <c r="F15034" i="1"/>
  <c r="B15035" i="1"/>
  <c r="A15035" i="1"/>
  <c r="F15035" i="1"/>
  <c r="B15036" i="1"/>
  <c r="A15036" i="1"/>
  <c r="F15036" i="1"/>
  <c r="B15037" i="1"/>
  <c r="A15037" i="1"/>
  <c r="F15037" i="1"/>
  <c r="B15038" i="1"/>
  <c r="A15038" i="1"/>
  <c r="F15038" i="1"/>
  <c r="B15039" i="1"/>
  <c r="A15039" i="1"/>
  <c r="F15039" i="1"/>
  <c r="B15040" i="1"/>
  <c r="A15040" i="1"/>
  <c r="F15040" i="1"/>
  <c r="B15041" i="1"/>
  <c r="A15041" i="1"/>
  <c r="F15041" i="1"/>
  <c r="B15042" i="1"/>
  <c r="A15042" i="1"/>
  <c r="F15042" i="1"/>
  <c r="B15043" i="1"/>
  <c r="A15043" i="1"/>
  <c r="F15043" i="1"/>
  <c r="B15044" i="1"/>
  <c r="A15044" i="1"/>
  <c r="F15044" i="1"/>
  <c r="B15045" i="1"/>
  <c r="A15045" i="1"/>
  <c r="F15045" i="1"/>
  <c r="B15046" i="1"/>
  <c r="A15046" i="1"/>
  <c r="F15046" i="1"/>
  <c r="B15047" i="1"/>
  <c r="A15047" i="1"/>
  <c r="F15047" i="1"/>
  <c r="B15048" i="1"/>
  <c r="A15048" i="1"/>
  <c r="F15048" i="1"/>
  <c r="B15049" i="1"/>
  <c r="A15049" i="1"/>
  <c r="F15049" i="1"/>
  <c r="B15050" i="1"/>
  <c r="A15050" i="1"/>
  <c r="F15050" i="1"/>
  <c r="B15051" i="1"/>
  <c r="A15051" i="1"/>
  <c r="F15051" i="1"/>
  <c r="B15052" i="1"/>
  <c r="A15052" i="1"/>
  <c r="F15052" i="1"/>
  <c r="B15053" i="1"/>
  <c r="A15053" i="1"/>
  <c r="F15053" i="1"/>
  <c r="B15054" i="1"/>
  <c r="A15054" i="1"/>
  <c r="F15054" i="1"/>
  <c r="B15055" i="1"/>
  <c r="A15055" i="1"/>
  <c r="F15055" i="1"/>
  <c r="B15056" i="1"/>
  <c r="A15056" i="1"/>
  <c r="F15056" i="1"/>
  <c r="B15057" i="1"/>
  <c r="A15057" i="1"/>
  <c r="F15057" i="1"/>
  <c r="B15058" i="1"/>
  <c r="A15058" i="1"/>
  <c r="F15058" i="1"/>
  <c r="B15059" i="1"/>
  <c r="A15059" i="1"/>
  <c r="F15059" i="1"/>
  <c r="B15060" i="1"/>
  <c r="A15060" i="1"/>
  <c r="F15060" i="1"/>
  <c r="B15061" i="1"/>
  <c r="A15061" i="1"/>
  <c r="F15061" i="1"/>
  <c r="B15062" i="1"/>
  <c r="A15062" i="1"/>
  <c r="F15062" i="1"/>
  <c r="B15063" i="1"/>
  <c r="A15063" i="1"/>
  <c r="F15063" i="1"/>
  <c r="B15064" i="1"/>
  <c r="A15064" i="1"/>
  <c r="F15064" i="1"/>
  <c r="B15065" i="1"/>
  <c r="A15065" i="1"/>
  <c r="F15065" i="1"/>
  <c r="B15066" i="1"/>
  <c r="A15066" i="1"/>
  <c r="F15066" i="1"/>
  <c r="B15067" i="1"/>
  <c r="A15067" i="1"/>
  <c r="F15067" i="1"/>
  <c r="B15068" i="1"/>
  <c r="A15068" i="1"/>
  <c r="F15068" i="1"/>
  <c r="B15069" i="1"/>
  <c r="A15069" i="1"/>
  <c r="F15069" i="1"/>
  <c r="B15070" i="1"/>
  <c r="A15070" i="1"/>
  <c r="F15070" i="1"/>
  <c r="B15071" i="1"/>
  <c r="A15071" i="1"/>
  <c r="F15071" i="1"/>
  <c r="B15072" i="1"/>
  <c r="A15072" i="1"/>
  <c r="F15072" i="1"/>
  <c r="B15073" i="1"/>
  <c r="A15073" i="1"/>
  <c r="F15073" i="1"/>
  <c r="B15074" i="1"/>
  <c r="A15074" i="1"/>
  <c r="F15074" i="1"/>
  <c r="B15075" i="1"/>
  <c r="A15075" i="1"/>
  <c r="F15075" i="1"/>
  <c r="B15076" i="1"/>
  <c r="A15076" i="1"/>
  <c r="F15076" i="1"/>
  <c r="B15077" i="1"/>
  <c r="A15077" i="1"/>
  <c r="F15077" i="1"/>
  <c r="B15078" i="1"/>
  <c r="A15078" i="1"/>
  <c r="F15078" i="1"/>
  <c r="B15079" i="1"/>
  <c r="A15079" i="1"/>
  <c r="F15079" i="1"/>
  <c r="B15080" i="1"/>
  <c r="A15080" i="1"/>
  <c r="F15080" i="1"/>
  <c r="B15081" i="1"/>
  <c r="A15081" i="1"/>
  <c r="F15081" i="1"/>
  <c r="B15082" i="1"/>
  <c r="A15082" i="1"/>
  <c r="F15082" i="1"/>
  <c r="B15083" i="1"/>
  <c r="A15083" i="1"/>
  <c r="F15083" i="1"/>
  <c r="B15084" i="1"/>
  <c r="A15084" i="1"/>
  <c r="F15084" i="1"/>
  <c r="B15085" i="1"/>
  <c r="A15085" i="1"/>
  <c r="F15085" i="1"/>
  <c r="B15086" i="1"/>
  <c r="A15086" i="1"/>
  <c r="F15086" i="1"/>
  <c r="B15087" i="1"/>
  <c r="A15087" i="1"/>
  <c r="F15087" i="1"/>
  <c r="B15088" i="1"/>
  <c r="A15088" i="1"/>
  <c r="F15088" i="1"/>
  <c r="B15089" i="1"/>
  <c r="A15089" i="1"/>
  <c r="F15089" i="1"/>
  <c r="B15090" i="1"/>
  <c r="A15090" i="1"/>
  <c r="F15090" i="1"/>
  <c r="B15091" i="1"/>
  <c r="A15091" i="1"/>
  <c r="F15091" i="1"/>
  <c r="B15092" i="1"/>
  <c r="A15092" i="1"/>
  <c r="F15092" i="1"/>
  <c r="B15093" i="1"/>
  <c r="A15093" i="1"/>
  <c r="F15093" i="1"/>
  <c r="B15094" i="1"/>
  <c r="A15094" i="1"/>
  <c r="F15094" i="1"/>
  <c r="B15095" i="1"/>
  <c r="A15095" i="1"/>
  <c r="F15095" i="1"/>
  <c r="B15096" i="1"/>
  <c r="A15096" i="1"/>
  <c r="F15096" i="1"/>
  <c r="B15097" i="1"/>
  <c r="A15097" i="1"/>
  <c r="F15097" i="1"/>
  <c r="B15098" i="1"/>
  <c r="A15098" i="1"/>
  <c r="F15098" i="1"/>
  <c r="B15099" i="1"/>
  <c r="A15099" i="1"/>
  <c r="F15099" i="1"/>
  <c r="B15100" i="1"/>
  <c r="A15100" i="1"/>
  <c r="F15100" i="1"/>
  <c r="B15101" i="1"/>
  <c r="A15101" i="1"/>
  <c r="F15101" i="1"/>
  <c r="B15102" i="1"/>
  <c r="A15102" i="1"/>
  <c r="F15102" i="1"/>
  <c r="B15103" i="1"/>
  <c r="A15103" i="1"/>
  <c r="F15103" i="1"/>
  <c r="B15104" i="1"/>
  <c r="A15104" i="1"/>
  <c r="F15104" i="1"/>
  <c r="B15105" i="1"/>
  <c r="A15105" i="1"/>
  <c r="F15105" i="1"/>
  <c r="B15106" i="1"/>
  <c r="A15106" i="1"/>
  <c r="F15106" i="1"/>
  <c r="B15107" i="1"/>
  <c r="A15107" i="1"/>
  <c r="F15107" i="1"/>
  <c r="B15108" i="1"/>
  <c r="A15108" i="1"/>
  <c r="F15108" i="1"/>
  <c r="B15109" i="1"/>
  <c r="A15109" i="1"/>
  <c r="F15109" i="1"/>
  <c r="B15110" i="1"/>
  <c r="A15110" i="1"/>
  <c r="F15110" i="1"/>
  <c r="B15111" i="1"/>
  <c r="A15111" i="1"/>
  <c r="F15111" i="1"/>
  <c r="B15112" i="1"/>
  <c r="A15112" i="1"/>
  <c r="F15112" i="1"/>
  <c r="B15113" i="1"/>
  <c r="A15113" i="1"/>
  <c r="F15113" i="1"/>
  <c r="B15114" i="1"/>
  <c r="A15114" i="1"/>
  <c r="F15114" i="1"/>
  <c r="B15115" i="1"/>
  <c r="A15115" i="1"/>
  <c r="F15115" i="1"/>
  <c r="B15116" i="1"/>
  <c r="A15116" i="1"/>
  <c r="F15116" i="1"/>
  <c r="B15117" i="1"/>
  <c r="A15117" i="1"/>
  <c r="F15117" i="1"/>
  <c r="B15118" i="1"/>
  <c r="A15118" i="1"/>
  <c r="F15118" i="1"/>
  <c r="B15119" i="1"/>
  <c r="A15119" i="1"/>
  <c r="F15119" i="1"/>
  <c r="B15120" i="1"/>
  <c r="A15120" i="1"/>
  <c r="F15120" i="1"/>
  <c r="B15121" i="1"/>
  <c r="A15121" i="1"/>
  <c r="F15121" i="1"/>
  <c r="B15122" i="1"/>
  <c r="A15122" i="1"/>
  <c r="F15122" i="1"/>
  <c r="B15123" i="1"/>
  <c r="A15123" i="1"/>
  <c r="F15123" i="1"/>
  <c r="B15124" i="1"/>
  <c r="A15124" i="1"/>
  <c r="F15124" i="1"/>
  <c r="B15125" i="1"/>
  <c r="A15125" i="1"/>
  <c r="F15125" i="1"/>
  <c r="B15126" i="1"/>
  <c r="A15126" i="1"/>
  <c r="F15126" i="1"/>
  <c r="B15127" i="1"/>
  <c r="A15127" i="1"/>
  <c r="F15127" i="1"/>
  <c r="B15128" i="1"/>
  <c r="A15128" i="1"/>
  <c r="F15128" i="1"/>
  <c r="B15129" i="1"/>
  <c r="A15129" i="1"/>
  <c r="F15129" i="1"/>
  <c r="B15130" i="1"/>
  <c r="A15130" i="1"/>
  <c r="F15130" i="1"/>
  <c r="B15131" i="1"/>
  <c r="A15131" i="1"/>
  <c r="F15131" i="1"/>
  <c r="B15132" i="1"/>
  <c r="A15132" i="1"/>
  <c r="F15132" i="1"/>
  <c r="B15133" i="1"/>
  <c r="A15133" i="1"/>
  <c r="F15133" i="1"/>
  <c r="B15134" i="1"/>
  <c r="A15134" i="1"/>
  <c r="F15134" i="1"/>
  <c r="B15135" i="1"/>
  <c r="A15135" i="1"/>
  <c r="F15135" i="1"/>
  <c r="B15136" i="1"/>
  <c r="A15136" i="1"/>
  <c r="F15136" i="1"/>
  <c r="B15137" i="1"/>
  <c r="A15137" i="1"/>
  <c r="F15137" i="1"/>
  <c r="B15138" i="1"/>
  <c r="A15138" i="1"/>
  <c r="F15138" i="1"/>
  <c r="B15139" i="1"/>
  <c r="A15139" i="1"/>
  <c r="F15139" i="1"/>
  <c r="B15140" i="1"/>
  <c r="A15140" i="1"/>
  <c r="F15140" i="1"/>
  <c r="B15141" i="1"/>
  <c r="A15141" i="1"/>
  <c r="F15141" i="1"/>
  <c r="B15142" i="1"/>
  <c r="A15142" i="1"/>
  <c r="F15142" i="1"/>
  <c r="B15143" i="1"/>
  <c r="A15143" i="1"/>
  <c r="F15143" i="1"/>
  <c r="B15144" i="1"/>
  <c r="A15144" i="1"/>
  <c r="F15144" i="1"/>
  <c r="B15145" i="1"/>
  <c r="A15145" i="1"/>
  <c r="F15145" i="1"/>
  <c r="B15146" i="1"/>
  <c r="A15146" i="1"/>
  <c r="F15146" i="1"/>
  <c r="B15147" i="1"/>
  <c r="A15147" i="1"/>
  <c r="F15147" i="1"/>
  <c r="B15148" i="1"/>
  <c r="A15148" i="1"/>
  <c r="F15148" i="1"/>
  <c r="B15149" i="1"/>
  <c r="A15149" i="1"/>
  <c r="F15149" i="1"/>
  <c r="B15150" i="1"/>
  <c r="A15150" i="1"/>
  <c r="F15150" i="1"/>
  <c r="B15151" i="1"/>
  <c r="A15151" i="1"/>
  <c r="F15151" i="1"/>
  <c r="B15152" i="1"/>
  <c r="A15152" i="1"/>
  <c r="F15152" i="1"/>
  <c r="B15153" i="1"/>
  <c r="A15153" i="1"/>
  <c r="F15153" i="1"/>
  <c r="B15154" i="1"/>
  <c r="A15154" i="1"/>
  <c r="F15154" i="1"/>
  <c r="B15155" i="1"/>
  <c r="A15155" i="1"/>
  <c r="F15155" i="1"/>
  <c r="B15156" i="1"/>
  <c r="A15156" i="1"/>
  <c r="F15156" i="1"/>
  <c r="B15157" i="1"/>
  <c r="A15157" i="1"/>
  <c r="F15157" i="1"/>
  <c r="B15158" i="1"/>
  <c r="A15158" i="1"/>
  <c r="F15158" i="1"/>
  <c r="B15159" i="1"/>
  <c r="A15159" i="1"/>
  <c r="F15159" i="1"/>
  <c r="B15160" i="1"/>
  <c r="A15160" i="1"/>
  <c r="F15160" i="1"/>
  <c r="B15161" i="1"/>
  <c r="A15161" i="1"/>
  <c r="F15161" i="1"/>
  <c r="B15162" i="1"/>
  <c r="A15162" i="1"/>
  <c r="F15162" i="1"/>
  <c r="B15163" i="1"/>
  <c r="A15163" i="1"/>
  <c r="F15163" i="1"/>
  <c r="B15164" i="1"/>
  <c r="A15164" i="1"/>
  <c r="F15164" i="1"/>
  <c r="B15165" i="1"/>
  <c r="A15165" i="1"/>
  <c r="F15165" i="1"/>
  <c r="B15166" i="1"/>
  <c r="A15166" i="1"/>
  <c r="F15166" i="1"/>
  <c r="B15167" i="1"/>
  <c r="A15167" i="1"/>
  <c r="F15167" i="1"/>
  <c r="B15168" i="1"/>
  <c r="A15168" i="1"/>
  <c r="F15168" i="1"/>
  <c r="B15169" i="1"/>
  <c r="A15169" i="1"/>
  <c r="F15169" i="1"/>
  <c r="B15170" i="1"/>
  <c r="A15170" i="1"/>
  <c r="F15170" i="1"/>
  <c r="B15171" i="1"/>
  <c r="A15171" i="1"/>
  <c r="F15171" i="1"/>
  <c r="B15172" i="1"/>
  <c r="A15172" i="1"/>
  <c r="F15172" i="1"/>
  <c r="B15173" i="1"/>
  <c r="A15173" i="1"/>
  <c r="F15173" i="1"/>
  <c r="B15174" i="1"/>
  <c r="A15174" i="1"/>
  <c r="F15174" i="1"/>
  <c r="B15175" i="1"/>
  <c r="A15175" i="1"/>
  <c r="F15175" i="1"/>
  <c r="B15176" i="1"/>
  <c r="A15176" i="1"/>
  <c r="F15176" i="1"/>
  <c r="B15177" i="1"/>
  <c r="A15177" i="1"/>
  <c r="F15177" i="1"/>
  <c r="B15178" i="1"/>
  <c r="A15178" i="1"/>
  <c r="F15178" i="1"/>
  <c r="B15179" i="1"/>
  <c r="A15179" i="1"/>
  <c r="F15179" i="1"/>
  <c r="B15180" i="1"/>
  <c r="A15180" i="1"/>
  <c r="F15180" i="1"/>
  <c r="B15181" i="1"/>
  <c r="A15181" i="1"/>
  <c r="F15181" i="1"/>
  <c r="B15182" i="1"/>
  <c r="A15182" i="1"/>
  <c r="F15182" i="1"/>
  <c r="B15183" i="1"/>
  <c r="A15183" i="1"/>
  <c r="F15183" i="1"/>
  <c r="B15184" i="1"/>
  <c r="A15184" i="1"/>
  <c r="F15184" i="1"/>
  <c r="B15185" i="1"/>
  <c r="A15185" i="1"/>
  <c r="F15185" i="1"/>
  <c r="B15186" i="1"/>
  <c r="A15186" i="1"/>
  <c r="F15186" i="1"/>
  <c r="B15187" i="1"/>
  <c r="A15187" i="1"/>
  <c r="F15187" i="1"/>
  <c r="B15188" i="1"/>
  <c r="A15188" i="1"/>
  <c r="F15188" i="1"/>
  <c r="B15189" i="1"/>
  <c r="A15189" i="1"/>
  <c r="F15189" i="1"/>
  <c r="B15190" i="1"/>
  <c r="A15190" i="1"/>
  <c r="F15190" i="1"/>
  <c r="B15191" i="1"/>
  <c r="A15191" i="1"/>
  <c r="F15191" i="1"/>
  <c r="B15192" i="1"/>
  <c r="A15192" i="1"/>
  <c r="F15192" i="1"/>
  <c r="B15193" i="1"/>
  <c r="A15193" i="1"/>
  <c r="F15193" i="1"/>
  <c r="B15194" i="1"/>
  <c r="A15194" i="1"/>
  <c r="F15194" i="1"/>
  <c r="B15195" i="1"/>
  <c r="A15195" i="1"/>
  <c r="F15195" i="1"/>
  <c r="B15196" i="1"/>
  <c r="A15196" i="1"/>
  <c r="F15196" i="1"/>
  <c r="B15197" i="1"/>
  <c r="A15197" i="1"/>
  <c r="F15197" i="1"/>
  <c r="B15198" i="1"/>
  <c r="A15198" i="1"/>
  <c r="F15198" i="1"/>
  <c r="B15199" i="1"/>
  <c r="A15199" i="1"/>
  <c r="F15199" i="1"/>
  <c r="B15200" i="1"/>
  <c r="A15200" i="1"/>
  <c r="F15200" i="1"/>
  <c r="B15201" i="1"/>
  <c r="A15201" i="1"/>
  <c r="F15201" i="1"/>
  <c r="B15202" i="1"/>
  <c r="A15202" i="1"/>
  <c r="F15202" i="1"/>
  <c r="B15203" i="1"/>
  <c r="A15203" i="1"/>
  <c r="F15203" i="1"/>
  <c r="B15204" i="1"/>
  <c r="A15204" i="1"/>
  <c r="F15204" i="1"/>
  <c r="B15205" i="1"/>
  <c r="A15205" i="1"/>
  <c r="F15205" i="1"/>
  <c r="B15206" i="1"/>
  <c r="A15206" i="1"/>
  <c r="F15206" i="1"/>
  <c r="B15207" i="1"/>
  <c r="A15207" i="1"/>
  <c r="F15207" i="1"/>
  <c r="B15208" i="1"/>
  <c r="A15208" i="1"/>
  <c r="F15208" i="1"/>
  <c r="B15209" i="1"/>
  <c r="A15209" i="1"/>
  <c r="F15209" i="1"/>
  <c r="B15210" i="1"/>
  <c r="A15210" i="1"/>
  <c r="F15210" i="1"/>
  <c r="B15211" i="1"/>
  <c r="A15211" i="1"/>
  <c r="F15211" i="1"/>
  <c r="B15212" i="1"/>
  <c r="A15212" i="1"/>
  <c r="F15212" i="1"/>
  <c r="B15213" i="1"/>
  <c r="A15213" i="1"/>
  <c r="F15213" i="1"/>
  <c r="B15214" i="1"/>
  <c r="A15214" i="1"/>
  <c r="F15214" i="1"/>
  <c r="B15215" i="1"/>
  <c r="A15215" i="1"/>
  <c r="F15215" i="1"/>
  <c r="B15216" i="1"/>
  <c r="A15216" i="1"/>
  <c r="F15216" i="1"/>
  <c r="B15217" i="1"/>
  <c r="A15217" i="1"/>
  <c r="F15217" i="1"/>
  <c r="B15218" i="1"/>
  <c r="A15218" i="1"/>
  <c r="F15218" i="1"/>
  <c r="B15219" i="1"/>
  <c r="A15219" i="1"/>
  <c r="F15219" i="1"/>
  <c r="B15220" i="1"/>
  <c r="A15220" i="1"/>
  <c r="F15220" i="1"/>
  <c r="B15221" i="1"/>
  <c r="A15221" i="1"/>
  <c r="F15221" i="1"/>
  <c r="B15222" i="1"/>
  <c r="A15222" i="1"/>
  <c r="F15222" i="1"/>
  <c r="B15223" i="1"/>
  <c r="A15223" i="1"/>
  <c r="F15223" i="1"/>
  <c r="B15224" i="1"/>
  <c r="A15224" i="1"/>
  <c r="F15224" i="1"/>
  <c r="B15225" i="1"/>
  <c r="A15225" i="1"/>
  <c r="F15225" i="1"/>
  <c r="B15226" i="1"/>
  <c r="A15226" i="1"/>
  <c r="F15226" i="1"/>
  <c r="B15227" i="1"/>
  <c r="A15227" i="1"/>
  <c r="F15227" i="1"/>
  <c r="B15228" i="1"/>
  <c r="A15228" i="1"/>
  <c r="F15228" i="1"/>
  <c r="B15229" i="1"/>
  <c r="A15229" i="1"/>
  <c r="F15229" i="1"/>
  <c r="B15230" i="1"/>
  <c r="A15230" i="1"/>
  <c r="F15230" i="1"/>
  <c r="B15231" i="1"/>
  <c r="A15231" i="1"/>
  <c r="F15231" i="1"/>
  <c r="B15232" i="1"/>
  <c r="A15232" i="1"/>
  <c r="F15232" i="1"/>
  <c r="B15233" i="1"/>
  <c r="A15233" i="1"/>
  <c r="F15233" i="1"/>
  <c r="B15234" i="1"/>
  <c r="A15234" i="1"/>
  <c r="F15234" i="1"/>
  <c r="B15235" i="1"/>
  <c r="A15235" i="1"/>
  <c r="F15235" i="1"/>
  <c r="B15236" i="1"/>
  <c r="A15236" i="1"/>
  <c r="F15236" i="1"/>
  <c r="B15237" i="1"/>
  <c r="A15237" i="1"/>
  <c r="F15237" i="1"/>
  <c r="B15238" i="1"/>
  <c r="A15238" i="1"/>
  <c r="F15238" i="1"/>
  <c r="B15239" i="1"/>
  <c r="A15239" i="1"/>
  <c r="F15239" i="1"/>
  <c r="B15240" i="1"/>
  <c r="A15240" i="1"/>
  <c r="F15240" i="1"/>
  <c r="B15241" i="1"/>
  <c r="A15241" i="1"/>
  <c r="F15241" i="1"/>
  <c r="B15242" i="1"/>
  <c r="A15242" i="1"/>
  <c r="F15242" i="1"/>
  <c r="B15243" i="1"/>
  <c r="A15243" i="1"/>
  <c r="F15243" i="1"/>
  <c r="B15244" i="1"/>
  <c r="A15244" i="1"/>
  <c r="F15244" i="1"/>
  <c r="B15245" i="1"/>
  <c r="A15245" i="1"/>
  <c r="F15245" i="1"/>
  <c r="B15246" i="1"/>
  <c r="A15246" i="1"/>
  <c r="F15246" i="1"/>
  <c r="B15247" i="1"/>
  <c r="A15247" i="1"/>
  <c r="F15247" i="1"/>
  <c r="B15248" i="1"/>
  <c r="A15248" i="1"/>
  <c r="F15248" i="1"/>
  <c r="B15249" i="1"/>
  <c r="A15249" i="1"/>
  <c r="F15249" i="1"/>
  <c r="B15250" i="1"/>
  <c r="A15250" i="1"/>
  <c r="F15250" i="1"/>
  <c r="B15251" i="1"/>
  <c r="A15251" i="1"/>
  <c r="F15251" i="1"/>
  <c r="B15252" i="1"/>
  <c r="A15252" i="1"/>
  <c r="F15252" i="1"/>
  <c r="B15253" i="1"/>
  <c r="A15253" i="1"/>
  <c r="F15253" i="1"/>
  <c r="B15254" i="1"/>
  <c r="A15254" i="1"/>
  <c r="F15254" i="1"/>
  <c r="B15255" i="1"/>
  <c r="A15255" i="1"/>
  <c r="F15255" i="1"/>
  <c r="B15256" i="1"/>
  <c r="A15256" i="1"/>
  <c r="F15256" i="1"/>
  <c r="B15257" i="1"/>
  <c r="A15257" i="1"/>
  <c r="F15257" i="1"/>
  <c r="B15258" i="1"/>
  <c r="A15258" i="1"/>
  <c r="F15258" i="1"/>
  <c r="B15259" i="1"/>
  <c r="A15259" i="1"/>
  <c r="F15259" i="1"/>
  <c r="B15260" i="1"/>
  <c r="A15260" i="1"/>
  <c r="F15260" i="1"/>
  <c r="B15261" i="1"/>
  <c r="A15261" i="1"/>
  <c r="F15261" i="1"/>
  <c r="B15262" i="1"/>
  <c r="A15262" i="1"/>
  <c r="F15262" i="1"/>
  <c r="B15263" i="1"/>
  <c r="A15263" i="1"/>
  <c r="F15263" i="1"/>
  <c r="B15264" i="1"/>
  <c r="A15264" i="1"/>
  <c r="F15264" i="1"/>
  <c r="B15265" i="1"/>
  <c r="A15265" i="1"/>
  <c r="F15265" i="1"/>
  <c r="B15266" i="1"/>
  <c r="A15266" i="1"/>
  <c r="F15266" i="1"/>
  <c r="B15267" i="1"/>
  <c r="A15267" i="1"/>
  <c r="F15267" i="1"/>
  <c r="B15268" i="1"/>
  <c r="A15268" i="1"/>
  <c r="F15268" i="1"/>
  <c r="B15269" i="1"/>
  <c r="A15269" i="1"/>
  <c r="F15269" i="1"/>
  <c r="B15270" i="1"/>
  <c r="A15270" i="1"/>
  <c r="F15270" i="1"/>
  <c r="B15271" i="1"/>
  <c r="A15271" i="1"/>
  <c r="F15271" i="1"/>
  <c r="B15272" i="1"/>
  <c r="A15272" i="1"/>
  <c r="F15272" i="1"/>
  <c r="B15273" i="1"/>
  <c r="A15273" i="1"/>
  <c r="F15273" i="1"/>
  <c r="B15274" i="1"/>
  <c r="A15274" i="1"/>
  <c r="F15274" i="1"/>
  <c r="B15275" i="1"/>
  <c r="A15275" i="1"/>
  <c r="F15275" i="1"/>
  <c r="B15276" i="1"/>
  <c r="A15276" i="1"/>
  <c r="F15276" i="1"/>
  <c r="B15277" i="1"/>
  <c r="A15277" i="1"/>
  <c r="F15277" i="1"/>
  <c r="B15278" i="1"/>
  <c r="A15278" i="1"/>
  <c r="F15278" i="1"/>
  <c r="B15279" i="1"/>
  <c r="A15279" i="1"/>
  <c r="F15279" i="1"/>
  <c r="B15280" i="1"/>
  <c r="A15280" i="1"/>
  <c r="F15280" i="1"/>
  <c r="B15281" i="1"/>
  <c r="A15281" i="1"/>
  <c r="F15281" i="1"/>
  <c r="B15282" i="1"/>
  <c r="A15282" i="1"/>
  <c r="F15282" i="1"/>
  <c r="B15283" i="1"/>
  <c r="A15283" i="1"/>
  <c r="F15283" i="1"/>
  <c r="B15284" i="1"/>
  <c r="A15284" i="1"/>
  <c r="F15284" i="1"/>
  <c r="B15285" i="1"/>
  <c r="A15285" i="1"/>
  <c r="F15285" i="1"/>
  <c r="B15286" i="1"/>
  <c r="A15286" i="1"/>
  <c r="F15286" i="1"/>
  <c r="B15287" i="1"/>
  <c r="A15287" i="1"/>
  <c r="F15287" i="1"/>
  <c r="B15288" i="1"/>
  <c r="A15288" i="1"/>
  <c r="F15288" i="1"/>
  <c r="B15289" i="1"/>
  <c r="A15289" i="1"/>
  <c r="F15289" i="1"/>
  <c r="B15290" i="1"/>
  <c r="A15290" i="1"/>
  <c r="F15290" i="1"/>
  <c r="B15291" i="1"/>
  <c r="A15291" i="1"/>
  <c r="F15291" i="1"/>
  <c r="B15292" i="1"/>
  <c r="A15292" i="1"/>
  <c r="F15292" i="1"/>
  <c r="B15293" i="1"/>
  <c r="A15293" i="1"/>
  <c r="F15293" i="1"/>
  <c r="B15294" i="1"/>
  <c r="A15294" i="1"/>
  <c r="F15294" i="1"/>
  <c r="B15295" i="1"/>
  <c r="A15295" i="1"/>
  <c r="F15295" i="1"/>
  <c r="B15296" i="1"/>
  <c r="A15296" i="1"/>
  <c r="F15296" i="1"/>
  <c r="B15297" i="1"/>
  <c r="A15297" i="1"/>
  <c r="F15297" i="1"/>
  <c r="B15298" i="1"/>
  <c r="A15298" i="1"/>
  <c r="F15298" i="1"/>
  <c r="B15299" i="1"/>
  <c r="A15299" i="1"/>
  <c r="F15299" i="1"/>
  <c r="B15300" i="1"/>
  <c r="A15300" i="1"/>
  <c r="F15300" i="1"/>
  <c r="B15301" i="1"/>
  <c r="A15301" i="1"/>
  <c r="F15301" i="1"/>
  <c r="B15302" i="1"/>
  <c r="A15302" i="1"/>
  <c r="F15302" i="1"/>
  <c r="B15303" i="1"/>
  <c r="A15303" i="1"/>
  <c r="F15303" i="1"/>
  <c r="B15304" i="1"/>
  <c r="A15304" i="1"/>
  <c r="F15304" i="1"/>
  <c r="B15305" i="1"/>
  <c r="A15305" i="1"/>
  <c r="F15305" i="1"/>
  <c r="B15306" i="1"/>
  <c r="A15306" i="1"/>
  <c r="F15306" i="1"/>
  <c r="B15307" i="1"/>
  <c r="A15307" i="1"/>
  <c r="F15307" i="1"/>
  <c r="B15308" i="1"/>
  <c r="A15308" i="1"/>
  <c r="F15308" i="1"/>
  <c r="B15309" i="1"/>
  <c r="A15309" i="1"/>
  <c r="F15309" i="1"/>
  <c r="B15310" i="1"/>
  <c r="A15310" i="1"/>
  <c r="F15310" i="1"/>
  <c r="B15311" i="1"/>
  <c r="A15311" i="1"/>
  <c r="F15311" i="1"/>
  <c r="B15312" i="1"/>
  <c r="A15312" i="1"/>
  <c r="F15312" i="1"/>
  <c r="B15313" i="1"/>
  <c r="A15313" i="1"/>
  <c r="F15313" i="1"/>
  <c r="B15314" i="1"/>
  <c r="A15314" i="1"/>
  <c r="F15314" i="1"/>
  <c r="B15315" i="1"/>
  <c r="A15315" i="1"/>
  <c r="F15315" i="1"/>
  <c r="B15316" i="1"/>
  <c r="A15316" i="1"/>
  <c r="F15316" i="1"/>
  <c r="B15317" i="1"/>
  <c r="A15317" i="1"/>
  <c r="F15317" i="1"/>
  <c r="B15318" i="1"/>
  <c r="A15318" i="1"/>
  <c r="F15318" i="1"/>
  <c r="B15319" i="1"/>
  <c r="A15319" i="1"/>
  <c r="F15319" i="1"/>
  <c r="B15320" i="1"/>
  <c r="A15320" i="1"/>
  <c r="F15320" i="1"/>
  <c r="B15321" i="1"/>
  <c r="A15321" i="1"/>
  <c r="F15321" i="1"/>
  <c r="B15322" i="1"/>
  <c r="A15322" i="1"/>
  <c r="F15322" i="1"/>
  <c r="B15323" i="1"/>
  <c r="A15323" i="1"/>
  <c r="F15323" i="1"/>
  <c r="B15324" i="1"/>
  <c r="A15324" i="1"/>
  <c r="F15324" i="1"/>
  <c r="B15325" i="1"/>
  <c r="A15325" i="1"/>
  <c r="F15325" i="1"/>
  <c r="B15326" i="1"/>
  <c r="A15326" i="1"/>
  <c r="F15326" i="1"/>
  <c r="B15327" i="1"/>
  <c r="A15327" i="1"/>
  <c r="F15327" i="1"/>
  <c r="B15328" i="1"/>
  <c r="A15328" i="1"/>
  <c r="F15328" i="1"/>
  <c r="B15329" i="1"/>
  <c r="A15329" i="1"/>
  <c r="F15329" i="1"/>
  <c r="B15330" i="1"/>
  <c r="A15330" i="1"/>
  <c r="F15330" i="1"/>
  <c r="B15331" i="1"/>
  <c r="A15331" i="1"/>
  <c r="F15331" i="1"/>
  <c r="B15332" i="1"/>
  <c r="A15332" i="1"/>
  <c r="F15332" i="1"/>
  <c r="B15333" i="1"/>
  <c r="A15333" i="1"/>
  <c r="F15333" i="1"/>
  <c r="B15334" i="1"/>
  <c r="A15334" i="1"/>
  <c r="F15334" i="1"/>
  <c r="B15335" i="1"/>
  <c r="A15335" i="1"/>
  <c r="F15335" i="1"/>
  <c r="B15336" i="1"/>
  <c r="A15336" i="1"/>
  <c r="F15336" i="1"/>
  <c r="B15337" i="1"/>
  <c r="A15337" i="1"/>
  <c r="F15337" i="1"/>
  <c r="B15338" i="1"/>
  <c r="A15338" i="1"/>
  <c r="F15338" i="1"/>
  <c r="B15339" i="1"/>
  <c r="A15339" i="1"/>
  <c r="F15339" i="1"/>
  <c r="B15340" i="1"/>
  <c r="A15340" i="1"/>
  <c r="F15340" i="1"/>
  <c r="B15341" i="1"/>
  <c r="A15341" i="1"/>
  <c r="F15341" i="1"/>
  <c r="B15342" i="1"/>
  <c r="A15342" i="1"/>
  <c r="F15342" i="1"/>
  <c r="B15343" i="1"/>
  <c r="A15343" i="1"/>
  <c r="F15343" i="1"/>
  <c r="B15344" i="1"/>
  <c r="A15344" i="1"/>
  <c r="F15344" i="1"/>
  <c r="B15345" i="1"/>
  <c r="A15345" i="1"/>
  <c r="F15345" i="1"/>
  <c r="B15346" i="1"/>
  <c r="A15346" i="1"/>
  <c r="F15346" i="1"/>
  <c r="B15347" i="1"/>
  <c r="A15347" i="1"/>
  <c r="F15347" i="1"/>
  <c r="B15348" i="1"/>
  <c r="A15348" i="1"/>
  <c r="F15348" i="1"/>
  <c r="B15349" i="1"/>
  <c r="A15349" i="1"/>
  <c r="F15349" i="1"/>
  <c r="B15350" i="1"/>
  <c r="A15350" i="1"/>
  <c r="F15350" i="1"/>
  <c r="B15351" i="1"/>
  <c r="A15351" i="1"/>
  <c r="F15351" i="1"/>
  <c r="B15352" i="1"/>
  <c r="A15352" i="1"/>
  <c r="F15352" i="1"/>
  <c r="B15353" i="1"/>
  <c r="A15353" i="1"/>
  <c r="F15353" i="1"/>
  <c r="B15354" i="1"/>
  <c r="A15354" i="1"/>
  <c r="F15354" i="1"/>
  <c r="B15355" i="1"/>
  <c r="A15355" i="1"/>
  <c r="F15355" i="1"/>
  <c r="B15356" i="1"/>
  <c r="A15356" i="1"/>
  <c r="F15356" i="1"/>
  <c r="B15357" i="1"/>
  <c r="A15357" i="1"/>
  <c r="F15357" i="1"/>
  <c r="B15358" i="1"/>
  <c r="A15358" i="1"/>
  <c r="F15358" i="1"/>
  <c r="B15359" i="1"/>
  <c r="A15359" i="1"/>
  <c r="F15359" i="1"/>
  <c r="B15360" i="1"/>
  <c r="A15360" i="1"/>
  <c r="F15360" i="1"/>
  <c r="B15361" i="1"/>
  <c r="A15361" i="1"/>
  <c r="F15361" i="1"/>
  <c r="B15362" i="1"/>
  <c r="A15362" i="1"/>
  <c r="F15362" i="1"/>
  <c r="B15363" i="1"/>
  <c r="A15363" i="1"/>
  <c r="F15363" i="1"/>
  <c r="B15364" i="1"/>
  <c r="A15364" i="1"/>
  <c r="F15364" i="1"/>
  <c r="B15365" i="1"/>
  <c r="A15365" i="1"/>
  <c r="F15365" i="1"/>
  <c r="B15366" i="1"/>
  <c r="A15366" i="1"/>
  <c r="F15366" i="1"/>
  <c r="B15367" i="1"/>
  <c r="A15367" i="1"/>
  <c r="F15367" i="1"/>
  <c r="B15368" i="1"/>
  <c r="A15368" i="1"/>
  <c r="F15368" i="1"/>
  <c r="B15369" i="1"/>
  <c r="A15369" i="1"/>
  <c r="F15369" i="1"/>
  <c r="B15370" i="1"/>
  <c r="A15370" i="1"/>
  <c r="F15370" i="1"/>
  <c r="B15371" i="1"/>
  <c r="A15371" i="1"/>
  <c r="F15371" i="1"/>
  <c r="B15372" i="1"/>
  <c r="A15372" i="1"/>
  <c r="F15372" i="1"/>
  <c r="B15373" i="1"/>
  <c r="A15373" i="1"/>
  <c r="F15373" i="1"/>
  <c r="B15374" i="1"/>
  <c r="A15374" i="1"/>
  <c r="F15374" i="1"/>
  <c r="B15375" i="1"/>
  <c r="A15375" i="1"/>
  <c r="F15375" i="1"/>
  <c r="B15376" i="1"/>
  <c r="A15376" i="1"/>
  <c r="F15376" i="1"/>
  <c r="B15377" i="1"/>
  <c r="A15377" i="1"/>
  <c r="F15377" i="1"/>
  <c r="B15378" i="1"/>
  <c r="A15378" i="1"/>
  <c r="F15378" i="1"/>
  <c r="B15379" i="1"/>
  <c r="A15379" i="1"/>
  <c r="F15379" i="1"/>
  <c r="B15380" i="1"/>
  <c r="A15380" i="1"/>
  <c r="F15380" i="1"/>
  <c r="B15381" i="1"/>
  <c r="A15381" i="1"/>
  <c r="F15381" i="1"/>
  <c r="B15382" i="1"/>
  <c r="A15382" i="1"/>
  <c r="F15382" i="1"/>
  <c r="B15383" i="1"/>
  <c r="A15383" i="1"/>
  <c r="F15383" i="1"/>
  <c r="B15384" i="1"/>
  <c r="A15384" i="1"/>
  <c r="F15384" i="1"/>
  <c r="B15385" i="1"/>
  <c r="A15385" i="1"/>
  <c r="F15385" i="1"/>
  <c r="B15386" i="1"/>
  <c r="A15386" i="1"/>
  <c r="F15386" i="1"/>
  <c r="B15387" i="1"/>
  <c r="A15387" i="1"/>
  <c r="F15387" i="1"/>
  <c r="B15388" i="1"/>
  <c r="A15388" i="1"/>
  <c r="F15388" i="1"/>
  <c r="B15389" i="1"/>
  <c r="A15389" i="1"/>
  <c r="F15389" i="1"/>
  <c r="B15390" i="1"/>
  <c r="A15390" i="1"/>
  <c r="F15390" i="1"/>
  <c r="B15391" i="1"/>
  <c r="A15391" i="1"/>
  <c r="F15391" i="1"/>
  <c r="B15392" i="1"/>
  <c r="A15392" i="1"/>
  <c r="F15392" i="1"/>
  <c r="B15393" i="1"/>
  <c r="A15393" i="1"/>
  <c r="F15393" i="1"/>
  <c r="B15394" i="1"/>
  <c r="A15394" i="1"/>
  <c r="F15394" i="1"/>
  <c r="B15395" i="1"/>
  <c r="A15395" i="1"/>
  <c r="F15395" i="1"/>
  <c r="B15396" i="1"/>
  <c r="A15396" i="1"/>
  <c r="F15396" i="1"/>
  <c r="B15397" i="1"/>
  <c r="A15397" i="1"/>
  <c r="F15397" i="1"/>
  <c r="B15398" i="1"/>
  <c r="A15398" i="1"/>
  <c r="F15398" i="1"/>
  <c r="B15399" i="1"/>
  <c r="A15399" i="1"/>
  <c r="F15399" i="1"/>
  <c r="B15400" i="1"/>
  <c r="A15400" i="1"/>
  <c r="F15400" i="1"/>
  <c r="B15401" i="1"/>
  <c r="A15401" i="1"/>
  <c r="F15401" i="1"/>
  <c r="B15402" i="1"/>
  <c r="A15402" i="1"/>
  <c r="F15402" i="1"/>
  <c r="B15403" i="1"/>
  <c r="A15403" i="1"/>
  <c r="F15403" i="1"/>
  <c r="B15404" i="1"/>
  <c r="A15404" i="1"/>
  <c r="F15404" i="1"/>
  <c r="B15405" i="1"/>
  <c r="A15405" i="1"/>
  <c r="F15405" i="1"/>
  <c r="B15406" i="1"/>
  <c r="A15406" i="1"/>
  <c r="F15406" i="1"/>
  <c r="B15407" i="1"/>
  <c r="A15407" i="1"/>
  <c r="F15407" i="1"/>
  <c r="B15408" i="1"/>
  <c r="A15408" i="1"/>
  <c r="F15408" i="1"/>
  <c r="B15409" i="1"/>
  <c r="A15409" i="1"/>
  <c r="F15409" i="1"/>
  <c r="B15410" i="1"/>
  <c r="A15410" i="1"/>
  <c r="F15410" i="1"/>
  <c r="B15411" i="1"/>
  <c r="A15411" i="1"/>
  <c r="F15411" i="1"/>
  <c r="B15412" i="1"/>
  <c r="A15412" i="1"/>
  <c r="F15412" i="1"/>
  <c r="B15413" i="1"/>
  <c r="A15413" i="1"/>
  <c r="F15413" i="1"/>
  <c r="B15414" i="1"/>
  <c r="A15414" i="1"/>
  <c r="F15414" i="1"/>
  <c r="B15415" i="1"/>
  <c r="A15415" i="1"/>
  <c r="F15415" i="1"/>
  <c r="B15416" i="1"/>
  <c r="A15416" i="1"/>
  <c r="F15416" i="1"/>
  <c r="B15417" i="1"/>
  <c r="A15417" i="1"/>
  <c r="F15417" i="1"/>
  <c r="B15418" i="1"/>
  <c r="A15418" i="1"/>
  <c r="F15418" i="1"/>
  <c r="B15419" i="1"/>
  <c r="A15419" i="1"/>
  <c r="F15419" i="1"/>
  <c r="B15420" i="1"/>
  <c r="A15420" i="1"/>
  <c r="F15420" i="1"/>
  <c r="B15421" i="1"/>
  <c r="A15421" i="1"/>
  <c r="F15421" i="1"/>
  <c r="B15422" i="1"/>
  <c r="A15422" i="1"/>
  <c r="F15422" i="1"/>
  <c r="B15423" i="1"/>
  <c r="A15423" i="1"/>
  <c r="F15423" i="1"/>
  <c r="B15424" i="1"/>
  <c r="A15424" i="1"/>
  <c r="F15424" i="1"/>
  <c r="B15425" i="1"/>
  <c r="A15425" i="1"/>
  <c r="F15425" i="1"/>
  <c r="B15426" i="1"/>
  <c r="A15426" i="1"/>
  <c r="F15426" i="1"/>
  <c r="B15427" i="1"/>
  <c r="A15427" i="1"/>
  <c r="F15427" i="1"/>
  <c r="B15428" i="1"/>
  <c r="A15428" i="1"/>
  <c r="F15428" i="1"/>
  <c r="B15429" i="1"/>
  <c r="A15429" i="1"/>
  <c r="F15429" i="1"/>
  <c r="B15430" i="1"/>
  <c r="A15430" i="1"/>
  <c r="F15430" i="1"/>
  <c r="B15431" i="1"/>
  <c r="A15431" i="1"/>
  <c r="F15431" i="1"/>
  <c r="B15432" i="1"/>
  <c r="A15432" i="1"/>
  <c r="F15432" i="1"/>
  <c r="B15433" i="1"/>
  <c r="A15433" i="1"/>
  <c r="F15433" i="1"/>
  <c r="B15434" i="1"/>
  <c r="A15434" i="1"/>
  <c r="F15434" i="1"/>
  <c r="B15435" i="1"/>
  <c r="A15435" i="1"/>
  <c r="F15435" i="1"/>
  <c r="B15436" i="1"/>
  <c r="A15436" i="1"/>
  <c r="F15436" i="1"/>
  <c r="B15437" i="1"/>
  <c r="A15437" i="1"/>
  <c r="F15437" i="1"/>
  <c r="B15438" i="1"/>
  <c r="A15438" i="1"/>
  <c r="F15438" i="1"/>
  <c r="B15439" i="1"/>
  <c r="A15439" i="1"/>
  <c r="F15439" i="1"/>
  <c r="B15440" i="1"/>
  <c r="A15440" i="1"/>
  <c r="F15440" i="1"/>
  <c r="B15441" i="1"/>
  <c r="A15441" i="1"/>
  <c r="F15441" i="1"/>
  <c r="B15442" i="1"/>
  <c r="A15442" i="1"/>
  <c r="F15442" i="1"/>
  <c r="B15443" i="1"/>
  <c r="A15443" i="1"/>
  <c r="F15443" i="1"/>
  <c r="B15444" i="1"/>
  <c r="A15444" i="1"/>
  <c r="F15444" i="1"/>
  <c r="B15445" i="1"/>
  <c r="A15445" i="1"/>
  <c r="F15445" i="1"/>
  <c r="B15446" i="1"/>
  <c r="A15446" i="1"/>
  <c r="F15446" i="1"/>
  <c r="B15447" i="1"/>
  <c r="A15447" i="1"/>
  <c r="F15447" i="1"/>
  <c r="B15448" i="1"/>
  <c r="A15448" i="1"/>
  <c r="F15448" i="1"/>
  <c r="B15449" i="1"/>
  <c r="A15449" i="1"/>
  <c r="F15449" i="1"/>
  <c r="B15450" i="1"/>
  <c r="A15450" i="1"/>
  <c r="F15450" i="1"/>
  <c r="B15451" i="1"/>
  <c r="A15451" i="1"/>
  <c r="F15451" i="1"/>
  <c r="B15452" i="1"/>
  <c r="A15452" i="1"/>
  <c r="F15452" i="1"/>
  <c r="B15453" i="1"/>
  <c r="A15453" i="1"/>
  <c r="F15453" i="1"/>
  <c r="B15454" i="1"/>
  <c r="A15454" i="1"/>
  <c r="F15454" i="1"/>
  <c r="B15455" i="1"/>
  <c r="A15455" i="1"/>
  <c r="F15455" i="1"/>
  <c r="B15456" i="1"/>
  <c r="A15456" i="1"/>
  <c r="F15456" i="1"/>
  <c r="B15457" i="1"/>
  <c r="A15457" i="1"/>
  <c r="F15457" i="1"/>
  <c r="B15458" i="1"/>
  <c r="A15458" i="1"/>
  <c r="F15458" i="1"/>
  <c r="B15459" i="1"/>
  <c r="A15459" i="1"/>
  <c r="F15459" i="1"/>
  <c r="B15460" i="1"/>
  <c r="A15460" i="1"/>
  <c r="F15460" i="1"/>
  <c r="B15461" i="1"/>
  <c r="A15461" i="1"/>
  <c r="F15461" i="1"/>
  <c r="B15462" i="1"/>
  <c r="A15462" i="1"/>
  <c r="F15462" i="1"/>
  <c r="B15463" i="1"/>
  <c r="A15463" i="1"/>
  <c r="F15463" i="1"/>
  <c r="B15464" i="1"/>
  <c r="A15464" i="1"/>
  <c r="F15464" i="1"/>
  <c r="B15465" i="1"/>
  <c r="A15465" i="1"/>
  <c r="F15465" i="1"/>
  <c r="B15466" i="1"/>
  <c r="A15466" i="1"/>
  <c r="F15466" i="1"/>
  <c r="B15467" i="1"/>
  <c r="A15467" i="1"/>
  <c r="F15467" i="1"/>
  <c r="B15468" i="1"/>
  <c r="A15468" i="1"/>
  <c r="F15468" i="1"/>
  <c r="B15469" i="1"/>
  <c r="A15469" i="1"/>
  <c r="F15469" i="1"/>
  <c r="B15470" i="1"/>
  <c r="A15470" i="1"/>
  <c r="F15470" i="1"/>
  <c r="B15471" i="1"/>
  <c r="A15471" i="1"/>
  <c r="F15471" i="1"/>
  <c r="B15472" i="1"/>
  <c r="A15472" i="1"/>
  <c r="F15472" i="1"/>
  <c r="B15473" i="1"/>
  <c r="A15473" i="1"/>
  <c r="F15473" i="1"/>
  <c r="B15474" i="1"/>
  <c r="A15474" i="1"/>
  <c r="F15474" i="1"/>
  <c r="B15475" i="1"/>
  <c r="A15475" i="1"/>
  <c r="F15475" i="1"/>
  <c r="B15476" i="1"/>
  <c r="A15476" i="1"/>
  <c r="F15476" i="1"/>
  <c r="B15477" i="1"/>
  <c r="A15477" i="1"/>
  <c r="F15477" i="1"/>
  <c r="B15478" i="1"/>
  <c r="A15478" i="1"/>
  <c r="F15478" i="1"/>
  <c r="B15479" i="1"/>
  <c r="A15479" i="1"/>
  <c r="F15479" i="1"/>
  <c r="B15480" i="1"/>
  <c r="A15480" i="1"/>
  <c r="F15480" i="1"/>
  <c r="B15481" i="1"/>
  <c r="A15481" i="1"/>
  <c r="F15481" i="1"/>
  <c r="B15482" i="1"/>
  <c r="A15482" i="1"/>
  <c r="F15482" i="1"/>
  <c r="B15483" i="1"/>
  <c r="A15483" i="1"/>
  <c r="F15483" i="1"/>
  <c r="B15484" i="1"/>
  <c r="A15484" i="1"/>
  <c r="F15484" i="1"/>
  <c r="B15485" i="1"/>
  <c r="A15485" i="1"/>
  <c r="F15485" i="1"/>
  <c r="B15486" i="1"/>
  <c r="A15486" i="1"/>
  <c r="F15486" i="1"/>
  <c r="B15487" i="1"/>
  <c r="A15487" i="1"/>
  <c r="F15487" i="1"/>
  <c r="B15488" i="1"/>
  <c r="A15488" i="1"/>
  <c r="F15488" i="1"/>
  <c r="B15489" i="1"/>
  <c r="A15489" i="1"/>
  <c r="F15489" i="1"/>
  <c r="B15490" i="1"/>
  <c r="A15490" i="1"/>
  <c r="F15490" i="1"/>
  <c r="B15491" i="1"/>
  <c r="A15491" i="1"/>
  <c r="F15491" i="1"/>
  <c r="B15492" i="1"/>
  <c r="A15492" i="1"/>
  <c r="F15492" i="1"/>
  <c r="B15493" i="1"/>
  <c r="A15493" i="1"/>
  <c r="F15493" i="1"/>
  <c r="B15494" i="1"/>
  <c r="A15494" i="1"/>
  <c r="F15494" i="1"/>
  <c r="B15495" i="1"/>
  <c r="A15495" i="1"/>
  <c r="F15495" i="1"/>
  <c r="B15496" i="1"/>
  <c r="A15496" i="1"/>
  <c r="F15496" i="1"/>
  <c r="B15497" i="1"/>
  <c r="A15497" i="1"/>
  <c r="F15497" i="1"/>
  <c r="B15498" i="1"/>
  <c r="A15498" i="1"/>
  <c r="F15498" i="1"/>
  <c r="B15499" i="1"/>
  <c r="A15499" i="1"/>
  <c r="F15499" i="1"/>
  <c r="B15500" i="1"/>
  <c r="A15500" i="1"/>
  <c r="F15500" i="1"/>
  <c r="B15501" i="1"/>
  <c r="A15501" i="1"/>
  <c r="F15501" i="1"/>
  <c r="B15502" i="1"/>
  <c r="A15502" i="1"/>
  <c r="F15502" i="1"/>
  <c r="B15503" i="1"/>
  <c r="A15503" i="1"/>
  <c r="F15503" i="1"/>
  <c r="B15504" i="1"/>
  <c r="A15504" i="1"/>
  <c r="F15504" i="1"/>
  <c r="B15505" i="1"/>
  <c r="A15505" i="1"/>
  <c r="F15505" i="1"/>
  <c r="B15506" i="1"/>
  <c r="A15506" i="1"/>
  <c r="F15506" i="1"/>
  <c r="B15507" i="1"/>
  <c r="A15507" i="1"/>
  <c r="F15507" i="1"/>
  <c r="B15508" i="1"/>
  <c r="A15508" i="1"/>
  <c r="F15508" i="1"/>
  <c r="B15509" i="1"/>
  <c r="A15509" i="1"/>
  <c r="F15509" i="1"/>
  <c r="B15510" i="1"/>
  <c r="A15510" i="1"/>
  <c r="F15510" i="1"/>
  <c r="B15511" i="1"/>
  <c r="A15511" i="1"/>
  <c r="F15511" i="1"/>
  <c r="B15512" i="1"/>
  <c r="A15512" i="1"/>
  <c r="F15512" i="1"/>
  <c r="B15513" i="1"/>
  <c r="A15513" i="1"/>
  <c r="F15513" i="1"/>
  <c r="B15514" i="1"/>
  <c r="A15514" i="1"/>
  <c r="F15514" i="1"/>
  <c r="B15515" i="1"/>
  <c r="A15515" i="1"/>
  <c r="F15515" i="1"/>
  <c r="B15516" i="1"/>
  <c r="A15516" i="1"/>
  <c r="F15516" i="1"/>
  <c r="B15517" i="1"/>
  <c r="A15517" i="1"/>
  <c r="F15517" i="1"/>
  <c r="B15518" i="1"/>
  <c r="A15518" i="1"/>
  <c r="F15518" i="1"/>
  <c r="B15519" i="1"/>
  <c r="A15519" i="1"/>
  <c r="F15519" i="1"/>
  <c r="B15520" i="1"/>
  <c r="A15520" i="1"/>
  <c r="F15520" i="1"/>
  <c r="B15521" i="1"/>
  <c r="A15521" i="1"/>
  <c r="F15521" i="1"/>
  <c r="B15522" i="1"/>
  <c r="A15522" i="1"/>
  <c r="F15522" i="1"/>
  <c r="B15523" i="1"/>
  <c r="A15523" i="1"/>
  <c r="F15523" i="1"/>
  <c r="B15524" i="1"/>
  <c r="A15524" i="1"/>
  <c r="F15524" i="1"/>
  <c r="B15525" i="1"/>
  <c r="A15525" i="1"/>
  <c r="F15525" i="1"/>
  <c r="B15526" i="1"/>
  <c r="A15526" i="1"/>
  <c r="F15526" i="1"/>
  <c r="B15527" i="1"/>
  <c r="A15527" i="1"/>
  <c r="F15527" i="1"/>
  <c r="B15528" i="1"/>
  <c r="A15528" i="1"/>
  <c r="F15528" i="1"/>
  <c r="B15529" i="1"/>
  <c r="A15529" i="1"/>
  <c r="F15529" i="1"/>
  <c r="B15530" i="1"/>
  <c r="A15530" i="1"/>
  <c r="F15530" i="1"/>
  <c r="B15531" i="1"/>
  <c r="A15531" i="1"/>
  <c r="F15531" i="1"/>
  <c r="B15532" i="1"/>
  <c r="A15532" i="1"/>
  <c r="F15532" i="1"/>
  <c r="B15533" i="1"/>
  <c r="A15533" i="1"/>
  <c r="F15533" i="1"/>
  <c r="B15534" i="1"/>
  <c r="A15534" i="1"/>
  <c r="F15534" i="1"/>
  <c r="B15535" i="1"/>
  <c r="A15535" i="1"/>
  <c r="F15535" i="1"/>
  <c r="B15536" i="1"/>
  <c r="A15536" i="1"/>
  <c r="F15536" i="1"/>
  <c r="B15537" i="1"/>
  <c r="A15537" i="1"/>
  <c r="F15537" i="1"/>
  <c r="B15538" i="1"/>
  <c r="A15538" i="1"/>
  <c r="F15538" i="1"/>
  <c r="B15539" i="1"/>
  <c r="A15539" i="1"/>
  <c r="F15539" i="1"/>
  <c r="B15540" i="1"/>
  <c r="A15540" i="1"/>
  <c r="F15540" i="1"/>
  <c r="B15541" i="1"/>
  <c r="A15541" i="1"/>
  <c r="F15541" i="1"/>
  <c r="B15542" i="1"/>
  <c r="A15542" i="1"/>
  <c r="F15542" i="1"/>
  <c r="B15543" i="1"/>
  <c r="A15543" i="1"/>
  <c r="F15543" i="1"/>
  <c r="B15544" i="1"/>
  <c r="A15544" i="1"/>
  <c r="F15544" i="1"/>
  <c r="B15545" i="1"/>
  <c r="A15545" i="1"/>
  <c r="F15545" i="1"/>
  <c r="B15546" i="1"/>
  <c r="A15546" i="1"/>
  <c r="F15546" i="1"/>
  <c r="B15547" i="1"/>
  <c r="A15547" i="1"/>
  <c r="F15547" i="1"/>
  <c r="B15548" i="1"/>
  <c r="A15548" i="1"/>
  <c r="F15548" i="1"/>
  <c r="B15549" i="1"/>
  <c r="A15549" i="1"/>
  <c r="F15549" i="1"/>
  <c r="B15550" i="1"/>
  <c r="A15550" i="1"/>
  <c r="F15550" i="1"/>
  <c r="B15551" i="1"/>
  <c r="A15551" i="1"/>
  <c r="F15551" i="1"/>
  <c r="B15552" i="1"/>
  <c r="A15552" i="1"/>
  <c r="F15552" i="1"/>
  <c r="B15553" i="1"/>
  <c r="A15553" i="1"/>
  <c r="F15553" i="1"/>
  <c r="B15554" i="1"/>
  <c r="A15554" i="1"/>
  <c r="F15554" i="1"/>
  <c r="B15555" i="1"/>
  <c r="A15555" i="1"/>
  <c r="F15555" i="1"/>
  <c r="B15556" i="1"/>
  <c r="A15556" i="1"/>
  <c r="F15556" i="1"/>
  <c r="B15557" i="1"/>
  <c r="A15557" i="1"/>
  <c r="F15557" i="1"/>
  <c r="B15558" i="1"/>
  <c r="A15558" i="1"/>
  <c r="F15558" i="1"/>
  <c r="B15559" i="1"/>
  <c r="A15559" i="1"/>
  <c r="F15559" i="1"/>
  <c r="B15560" i="1"/>
  <c r="A15560" i="1"/>
  <c r="F15560" i="1"/>
  <c r="B15561" i="1"/>
  <c r="A15561" i="1"/>
  <c r="F15561" i="1"/>
  <c r="B15562" i="1"/>
  <c r="A15562" i="1"/>
  <c r="F15562" i="1"/>
  <c r="B15563" i="1"/>
  <c r="A15563" i="1"/>
  <c r="F15563" i="1"/>
  <c r="B15564" i="1"/>
  <c r="A15564" i="1"/>
  <c r="F15564" i="1"/>
  <c r="B15565" i="1"/>
  <c r="A15565" i="1"/>
  <c r="F15565" i="1"/>
  <c r="B15566" i="1"/>
  <c r="A15566" i="1"/>
  <c r="F15566" i="1"/>
  <c r="B15567" i="1"/>
  <c r="A15567" i="1"/>
  <c r="F15567" i="1"/>
  <c r="B15568" i="1"/>
  <c r="A15568" i="1"/>
  <c r="F15568" i="1"/>
  <c r="B15569" i="1"/>
  <c r="A15569" i="1"/>
  <c r="F15569" i="1"/>
  <c r="B15570" i="1"/>
  <c r="A15570" i="1"/>
  <c r="F15570" i="1"/>
  <c r="B15571" i="1"/>
  <c r="A15571" i="1"/>
  <c r="F15571" i="1"/>
  <c r="B15572" i="1"/>
  <c r="A15572" i="1"/>
  <c r="F15572" i="1"/>
  <c r="B15573" i="1"/>
  <c r="A15573" i="1"/>
  <c r="F15573" i="1"/>
  <c r="B15574" i="1"/>
  <c r="A15574" i="1"/>
  <c r="F15574" i="1"/>
  <c r="B15575" i="1"/>
  <c r="A15575" i="1"/>
  <c r="F15575" i="1"/>
  <c r="B15576" i="1"/>
  <c r="A15576" i="1"/>
  <c r="F15576" i="1"/>
  <c r="B15577" i="1"/>
  <c r="A15577" i="1"/>
  <c r="F15577" i="1"/>
  <c r="B15578" i="1"/>
  <c r="A15578" i="1"/>
  <c r="F15578" i="1"/>
  <c r="B15579" i="1"/>
  <c r="A15579" i="1"/>
  <c r="F15579" i="1"/>
  <c r="B15580" i="1"/>
  <c r="A15580" i="1"/>
  <c r="F15580" i="1"/>
  <c r="B15581" i="1"/>
  <c r="A15581" i="1"/>
  <c r="F15581" i="1"/>
  <c r="B15582" i="1"/>
  <c r="A15582" i="1"/>
  <c r="F15582" i="1"/>
  <c r="B15583" i="1"/>
  <c r="A15583" i="1"/>
  <c r="F15583" i="1"/>
  <c r="B15584" i="1"/>
  <c r="A15584" i="1"/>
  <c r="F15584" i="1"/>
  <c r="B15585" i="1"/>
  <c r="A15585" i="1"/>
  <c r="F15585" i="1"/>
  <c r="B15586" i="1"/>
  <c r="A15586" i="1"/>
  <c r="F15586" i="1"/>
  <c r="B15587" i="1"/>
  <c r="A15587" i="1"/>
  <c r="F15587" i="1"/>
  <c r="B15588" i="1"/>
  <c r="A15588" i="1"/>
  <c r="F15588" i="1"/>
  <c r="B15589" i="1"/>
  <c r="A15589" i="1"/>
  <c r="F15589" i="1"/>
  <c r="B15590" i="1"/>
  <c r="A15590" i="1"/>
  <c r="F15590" i="1"/>
  <c r="B15591" i="1"/>
  <c r="A15591" i="1"/>
  <c r="F15591" i="1"/>
  <c r="B15592" i="1"/>
  <c r="A15592" i="1"/>
  <c r="F15592" i="1"/>
  <c r="B15593" i="1"/>
  <c r="A15593" i="1"/>
  <c r="F15593" i="1"/>
  <c r="B15594" i="1"/>
  <c r="A15594" i="1"/>
  <c r="F15594" i="1"/>
  <c r="B15595" i="1"/>
  <c r="A15595" i="1"/>
  <c r="F15595" i="1"/>
  <c r="B15596" i="1"/>
  <c r="A15596" i="1"/>
  <c r="F15596" i="1"/>
  <c r="B15597" i="1"/>
  <c r="A15597" i="1"/>
  <c r="F15597" i="1"/>
  <c r="B15598" i="1"/>
  <c r="A15598" i="1"/>
  <c r="F15598" i="1"/>
  <c r="B15599" i="1"/>
  <c r="A15599" i="1"/>
  <c r="F15599" i="1"/>
  <c r="B15600" i="1"/>
  <c r="A15600" i="1"/>
  <c r="F15600" i="1"/>
  <c r="B15601" i="1"/>
  <c r="A15601" i="1"/>
  <c r="F15601" i="1"/>
  <c r="B15602" i="1"/>
  <c r="A15602" i="1"/>
  <c r="F15602" i="1"/>
  <c r="B15603" i="1"/>
  <c r="A15603" i="1"/>
  <c r="F15603" i="1"/>
  <c r="B15604" i="1"/>
  <c r="A15604" i="1"/>
  <c r="F15604" i="1"/>
  <c r="B15605" i="1"/>
  <c r="A15605" i="1"/>
  <c r="F15605" i="1"/>
  <c r="B15606" i="1"/>
  <c r="A15606" i="1"/>
  <c r="F15606" i="1"/>
  <c r="B15607" i="1"/>
  <c r="A15607" i="1"/>
  <c r="F15607" i="1"/>
  <c r="B15608" i="1"/>
  <c r="A15608" i="1"/>
  <c r="F15608" i="1"/>
  <c r="B15609" i="1"/>
  <c r="A15609" i="1"/>
  <c r="F15609" i="1"/>
  <c r="B15610" i="1"/>
  <c r="A15610" i="1"/>
  <c r="F15610" i="1"/>
  <c r="B15611" i="1"/>
  <c r="A15611" i="1"/>
  <c r="F15611" i="1"/>
  <c r="B15612" i="1"/>
  <c r="A15612" i="1"/>
  <c r="F15612" i="1"/>
  <c r="B15613" i="1"/>
  <c r="A15613" i="1"/>
  <c r="F15613" i="1"/>
  <c r="B15614" i="1"/>
  <c r="A15614" i="1"/>
  <c r="F15614" i="1"/>
  <c r="B15615" i="1"/>
  <c r="A15615" i="1"/>
  <c r="F15615" i="1"/>
  <c r="B15616" i="1"/>
  <c r="A15616" i="1"/>
  <c r="F15616" i="1"/>
  <c r="B15617" i="1"/>
  <c r="A15617" i="1"/>
  <c r="F15617" i="1"/>
  <c r="B15618" i="1"/>
  <c r="A15618" i="1"/>
  <c r="F15618" i="1"/>
  <c r="B15619" i="1"/>
  <c r="A15619" i="1"/>
  <c r="F15619" i="1"/>
  <c r="B15620" i="1"/>
  <c r="A15620" i="1"/>
  <c r="F15620" i="1"/>
  <c r="B15621" i="1"/>
  <c r="A15621" i="1"/>
  <c r="F15621" i="1"/>
  <c r="B15622" i="1"/>
  <c r="A15622" i="1"/>
  <c r="F15622" i="1"/>
  <c r="B15623" i="1"/>
  <c r="A15623" i="1"/>
  <c r="F15623" i="1"/>
  <c r="B15624" i="1"/>
  <c r="A15624" i="1"/>
  <c r="F15624" i="1"/>
  <c r="B15625" i="1"/>
  <c r="A15625" i="1"/>
  <c r="F15625" i="1"/>
  <c r="B15626" i="1"/>
  <c r="A15626" i="1"/>
  <c r="F15626" i="1"/>
  <c r="B15627" i="1"/>
  <c r="A15627" i="1"/>
  <c r="F15627" i="1"/>
  <c r="B15628" i="1"/>
  <c r="A15628" i="1"/>
  <c r="F15628" i="1"/>
  <c r="B15629" i="1"/>
  <c r="A15629" i="1"/>
  <c r="F15629" i="1"/>
  <c r="B15630" i="1"/>
  <c r="A15630" i="1"/>
  <c r="F15630" i="1"/>
  <c r="B15631" i="1"/>
  <c r="A15631" i="1"/>
  <c r="F15631" i="1"/>
  <c r="B15632" i="1"/>
  <c r="A15632" i="1"/>
  <c r="F15632" i="1"/>
  <c r="B15633" i="1"/>
  <c r="A15633" i="1"/>
  <c r="F15633" i="1"/>
  <c r="B15634" i="1"/>
  <c r="A15634" i="1"/>
  <c r="F15634" i="1"/>
  <c r="B15635" i="1"/>
  <c r="A15635" i="1"/>
  <c r="F15635" i="1"/>
  <c r="B15636" i="1"/>
  <c r="A15636" i="1"/>
  <c r="F15636" i="1"/>
  <c r="B15637" i="1"/>
  <c r="A15637" i="1"/>
  <c r="F15637" i="1"/>
  <c r="B15638" i="1"/>
  <c r="A15638" i="1"/>
  <c r="F15638" i="1"/>
  <c r="B15639" i="1"/>
  <c r="A15639" i="1"/>
  <c r="F15639" i="1"/>
  <c r="B15640" i="1"/>
  <c r="A15640" i="1"/>
  <c r="F15640" i="1"/>
  <c r="B15641" i="1"/>
  <c r="A15641" i="1"/>
  <c r="F15641" i="1"/>
  <c r="B15642" i="1"/>
  <c r="A15642" i="1"/>
  <c r="F15642" i="1"/>
  <c r="B15643" i="1"/>
  <c r="A15643" i="1"/>
  <c r="F15643" i="1"/>
  <c r="B15644" i="1"/>
  <c r="A15644" i="1"/>
  <c r="F15644" i="1"/>
  <c r="B15645" i="1"/>
  <c r="A15645" i="1"/>
  <c r="F15645" i="1"/>
  <c r="B15646" i="1"/>
  <c r="A15646" i="1"/>
  <c r="F15646" i="1"/>
  <c r="B15647" i="1"/>
  <c r="A15647" i="1"/>
  <c r="F15647" i="1"/>
  <c r="B15648" i="1"/>
  <c r="A15648" i="1"/>
  <c r="F15648" i="1"/>
  <c r="B15649" i="1"/>
  <c r="A15649" i="1"/>
  <c r="F15649" i="1"/>
  <c r="B15650" i="1"/>
  <c r="A15650" i="1"/>
  <c r="F15650" i="1"/>
  <c r="B15651" i="1"/>
  <c r="A15651" i="1"/>
  <c r="F15651" i="1"/>
  <c r="B15652" i="1"/>
  <c r="A15652" i="1"/>
  <c r="F15652" i="1"/>
  <c r="B15653" i="1"/>
  <c r="A15653" i="1"/>
  <c r="F15653" i="1"/>
  <c r="B15654" i="1"/>
  <c r="A15654" i="1"/>
  <c r="F15654" i="1"/>
  <c r="B15655" i="1"/>
  <c r="A15655" i="1"/>
  <c r="F15655" i="1"/>
  <c r="B15656" i="1"/>
  <c r="A15656" i="1"/>
  <c r="F15656" i="1"/>
  <c r="B15657" i="1"/>
  <c r="A15657" i="1"/>
  <c r="F15657" i="1"/>
  <c r="B15658" i="1"/>
  <c r="A15658" i="1"/>
  <c r="F15658" i="1"/>
  <c r="B15659" i="1"/>
  <c r="A15659" i="1"/>
  <c r="F15659" i="1"/>
  <c r="B15660" i="1"/>
  <c r="A15660" i="1"/>
  <c r="F15660" i="1"/>
  <c r="B15661" i="1"/>
  <c r="A15661" i="1"/>
  <c r="F15661" i="1"/>
</calcChain>
</file>

<file path=xl/sharedStrings.xml><?xml version="1.0" encoding="utf-8"?>
<sst xmlns="http://schemas.openxmlformats.org/spreadsheetml/2006/main" count="31329" uniqueCount="19">
  <si>
    <t>IČZ</t>
  </si>
  <si>
    <t>Druh poj.</t>
  </si>
  <si>
    <t>Č.pojištěnce</t>
  </si>
  <si>
    <t>Příjetí</t>
  </si>
  <si>
    <t>Propuštění</t>
  </si>
  <si>
    <t>Ukonč</t>
  </si>
  <si>
    <t>Skupina DRG</t>
  </si>
  <si>
    <t>CASE MIX</t>
  </si>
  <si>
    <t>Vyhl</t>
  </si>
  <si>
    <t>C</t>
  </si>
  <si>
    <t>CZ</t>
  </si>
  <si>
    <t>A</t>
  </si>
  <si>
    <t>D</t>
  </si>
  <si>
    <t>E</t>
  </si>
  <si>
    <t>B</t>
  </si>
  <si>
    <t>H</t>
  </si>
  <si>
    <t>ZAH</t>
  </si>
  <si>
    <t>I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</si>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</sst>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661"/>
  <sheetViews>
    <sheetView tabSelected="1" workbookViewId="0">
      <selection activeCell="G1" sqref="G1"/>
    </sheetView>
  </sheetViews>
  <sheetFormatPr defaultRowHeight="15" x14ac:dyDescent="0.25"/>
  <sheetData>
    <row r="1" spans="1:9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1</v>
      </c>
    </row>
    <row r="2" spans="1:9" x14ac:dyDescent="0.25">
      <c r="A2" t="str">
        <f t="shared" ref="A2:A63" si="0">"89301000"</f>
        <v>89301000</v>
      </c>
      <c r="B2" t="str">
        <f>"0001016147"</f>
        <v>0001016147</v>
      </c>
      <c r="C2" s="1">
        <v>45150</v>
      </c>
      <c r="D2" s="1">
        <v>45152</v>
      </c>
      <c r="E2">
        <v>1</v>
      </c>
      <c r="F2" t="str">
        <f>"08-I03-07"</f>
        <v>08-I03-07</v>
      </c>
      <c r="G2">
        <v>3.3094999999999999</v>
      </c>
      <c r="H2" t="s">
        <v>9</v>
      </c>
      <c r="I2" t="s">
        <v>10</v>
      </c>
    </row>
    <row r="3" spans="1:9" x14ac:dyDescent="0.25">
      <c r="A3" t="str">
        <f t="shared" si="0"/>
        <v>89301000</v>
      </c>
      <c r="B3" t="str">
        <f>"0002255968"</f>
        <v>0002255968</v>
      </c>
      <c r="C3" s="1">
        <v>44985</v>
      </c>
      <c r="D3" s="1">
        <v>44988</v>
      </c>
      <c r="E3">
        <v>1</v>
      </c>
      <c r="F3" t="str">
        <f>"08-M03-04"</f>
        <v>08-M03-04</v>
      </c>
      <c r="G3">
        <v>0.87760000000000005</v>
      </c>
      <c r="H3" t="s">
        <v>11</v>
      </c>
      <c r="I3" t="s">
        <v>10</v>
      </c>
    </row>
    <row r="4" spans="1:9" x14ac:dyDescent="0.25">
      <c r="A4" t="str">
        <f t="shared" si="0"/>
        <v>89301000</v>
      </c>
      <c r="B4" t="str">
        <f>"0003045713"</f>
        <v>0003045713</v>
      </c>
      <c r="C4" s="1">
        <v>44955</v>
      </c>
      <c r="D4" s="1">
        <v>44957</v>
      </c>
      <c r="E4">
        <v>1</v>
      </c>
      <c r="F4" t="str">
        <f>"20-K01-06"</f>
        <v>20-K01-06</v>
      </c>
      <c r="G4">
        <v>0.26919999999999999</v>
      </c>
      <c r="H4" t="s">
        <v>11</v>
      </c>
      <c r="I4" t="s">
        <v>10</v>
      </c>
    </row>
    <row r="5" spans="1:9" x14ac:dyDescent="0.25">
      <c r="A5" t="str">
        <f t="shared" si="0"/>
        <v>89301000</v>
      </c>
      <c r="B5" t="str">
        <f>"0003095708"</f>
        <v>0003095708</v>
      </c>
      <c r="C5" s="1">
        <v>45020</v>
      </c>
      <c r="D5" s="1">
        <v>45022</v>
      </c>
      <c r="E5">
        <v>1</v>
      </c>
      <c r="F5" t="str">
        <f>"08-M03-02"</f>
        <v>08-M03-02</v>
      </c>
      <c r="G5">
        <v>0.91359999999999997</v>
      </c>
      <c r="H5" t="s">
        <v>11</v>
      </c>
      <c r="I5" t="s">
        <v>10</v>
      </c>
    </row>
    <row r="6" spans="1:9" x14ac:dyDescent="0.25">
      <c r="A6" t="str">
        <f t="shared" si="0"/>
        <v>89301000</v>
      </c>
      <c r="B6" t="str">
        <f>"0003296150"</f>
        <v>0003296150</v>
      </c>
      <c r="C6" s="1">
        <v>45279</v>
      </c>
      <c r="D6" s="1">
        <v>45282</v>
      </c>
      <c r="E6">
        <v>1</v>
      </c>
      <c r="F6" t="str">
        <f>"03-K02-02"</f>
        <v>03-K02-02</v>
      </c>
      <c r="G6">
        <v>0.57650000000000001</v>
      </c>
      <c r="H6" t="s">
        <v>11</v>
      </c>
      <c r="I6" t="s">
        <v>10</v>
      </c>
    </row>
    <row r="7" spans="1:9" x14ac:dyDescent="0.25">
      <c r="A7" t="str">
        <f t="shared" si="0"/>
        <v>89301000</v>
      </c>
      <c r="B7" t="str">
        <f>"0004015759"</f>
        <v>0004015759</v>
      </c>
      <c r="C7" s="1">
        <v>45289</v>
      </c>
      <c r="D7" s="1">
        <v>45289</v>
      </c>
      <c r="E7">
        <v>6</v>
      </c>
      <c r="F7" t="str">
        <f>"08-I19-03"</f>
        <v>08-I19-03</v>
      </c>
      <c r="G7">
        <v>0.30530000000000002</v>
      </c>
      <c r="H7" t="s">
        <v>12</v>
      </c>
      <c r="I7" t="s">
        <v>10</v>
      </c>
    </row>
    <row r="8" spans="1:9" x14ac:dyDescent="0.25">
      <c r="A8" t="str">
        <f t="shared" si="0"/>
        <v>89301000</v>
      </c>
      <c r="B8" t="str">
        <f>"0004086148"</f>
        <v>0004086148</v>
      </c>
      <c r="C8" s="1">
        <v>45109</v>
      </c>
      <c r="D8" s="1">
        <v>45111</v>
      </c>
      <c r="E8">
        <v>1</v>
      </c>
      <c r="F8" t="str">
        <f>"03-K12-01"</f>
        <v>03-K12-01</v>
      </c>
      <c r="G8">
        <v>0.37</v>
      </c>
      <c r="H8" t="s">
        <v>11</v>
      </c>
      <c r="I8" t="s">
        <v>10</v>
      </c>
    </row>
    <row r="9" spans="1:9" x14ac:dyDescent="0.25">
      <c r="A9" t="str">
        <f t="shared" si="0"/>
        <v>89301000</v>
      </c>
      <c r="B9" t="str">
        <f>"0004135725"</f>
        <v>0004135725</v>
      </c>
      <c r="C9" s="1">
        <v>45014</v>
      </c>
      <c r="D9" s="1">
        <v>45017</v>
      </c>
      <c r="E9">
        <v>1</v>
      </c>
      <c r="F9" t="str">
        <f>"06-K15-02"</f>
        <v>06-K15-02</v>
      </c>
      <c r="G9">
        <v>0.26319999999999999</v>
      </c>
      <c r="H9" t="s">
        <v>11</v>
      </c>
      <c r="I9" t="s">
        <v>10</v>
      </c>
    </row>
    <row r="10" spans="1:9" x14ac:dyDescent="0.25">
      <c r="A10" t="str">
        <f t="shared" si="0"/>
        <v>89301000</v>
      </c>
      <c r="B10" t="str">
        <f>"0005044468"</f>
        <v>0005044468</v>
      </c>
      <c r="C10" s="1">
        <v>45013</v>
      </c>
      <c r="D10" s="1">
        <v>45015</v>
      </c>
      <c r="E10">
        <v>1</v>
      </c>
      <c r="F10" t="str">
        <f>"08-I24-01"</f>
        <v>08-I24-01</v>
      </c>
      <c r="G10">
        <v>1.1051</v>
      </c>
      <c r="H10" t="s">
        <v>11</v>
      </c>
      <c r="I10" t="s">
        <v>10</v>
      </c>
    </row>
    <row r="11" spans="1:9" x14ac:dyDescent="0.25">
      <c r="A11" t="str">
        <f t="shared" si="0"/>
        <v>89301000</v>
      </c>
      <c r="B11" t="str">
        <f>"0005055710"</f>
        <v>0005055710</v>
      </c>
      <c r="C11" s="1">
        <v>45069</v>
      </c>
      <c r="D11" s="1">
        <v>45069</v>
      </c>
      <c r="E11">
        <v>1</v>
      </c>
      <c r="F11" t="str">
        <f>"20-K01-04"</f>
        <v>20-K01-04</v>
      </c>
      <c r="G11">
        <v>0.20200000000000001</v>
      </c>
      <c r="H11" t="s">
        <v>11</v>
      </c>
      <c r="I11" t="s">
        <v>10</v>
      </c>
    </row>
    <row r="12" spans="1:9" x14ac:dyDescent="0.25">
      <c r="A12" t="str">
        <f t="shared" si="0"/>
        <v>89301000</v>
      </c>
      <c r="B12" t="str">
        <f>"0005225704"</f>
        <v>0005225704</v>
      </c>
      <c r="C12" s="1">
        <v>45235</v>
      </c>
      <c r="D12" s="1">
        <v>45237</v>
      </c>
      <c r="E12">
        <v>1</v>
      </c>
      <c r="F12" t="str">
        <f>"08-M03-05"</f>
        <v>08-M03-05</v>
      </c>
      <c r="G12">
        <v>0.46910000000000002</v>
      </c>
      <c r="H12" t="s">
        <v>11</v>
      </c>
      <c r="I12" t="s">
        <v>10</v>
      </c>
    </row>
    <row r="13" spans="1:9" x14ac:dyDescent="0.25">
      <c r="A13" t="str">
        <f t="shared" si="0"/>
        <v>89301000</v>
      </c>
      <c r="B13" t="str">
        <f>"0005234856"</f>
        <v>0005234856</v>
      </c>
      <c r="C13" s="1">
        <v>45131</v>
      </c>
      <c r="D13" s="1">
        <v>45133</v>
      </c>
      <c r="E13">
        <v>1</v>
      </c>
      <c r="F13" t="str">
        <f>"08-I25-02"</f>
        <v>08-I25-02</v>
      </c>
      <c r="G13">
        <v>0.55279999999999996</v>
      </c>
      <c r="H13" t="s">
        <v>11</v>
      </c>
      <c r="I13" t="s">
        <v>10</v>
      </c>
    </row>
    <row r="14" spans="1:9" x14ac:dyDescent="0.25">
      <c r="A14" t="str">
        <f t="shared" si="0"/>
        <v>89301000</v>
      </c>
      <c r="B14" t="str">
        <f>"0005254865"</f>
        <v>0005254865</v>
      </c>
      <c r="C14" s="1">
        <v>45237</v>
      </c>
      <c r="D14" s="1">
        <v>45239</v>
      </c>
      <c r="E14">
        <v>1</v>
      </c>
      <c r="F14" t="str">
        <f>"06-I16-03"</f>
        <v>06-I16-03</v>
      </c>
      <c r="G14">
        <v>0.83740000000000003</v>
      </c>
      <c r="H14" t="s">
        <v>9</v>
      </c>
      <c r="I14" t="s">
        <v>10</v>
      </c>
    </row>
    <row r="15" spans="1:9" x14ac:dyDescent="0.25">
      <c r="A15" t="str">
        <f t="shared" si="0"/>
        <v>89301000</v>
      </c>
      <c r="B15" t="str">
        <f>"0006101304"</f>
        <v>0006101304</v>
      </c>
      <c r="C15" s="1">
        <v>45046</v>
      </c>
      <c r="D15" s="1">
        <v>45047</v>
      </c>
      <c r="E15">
        <v>1</v>
      </c>
      <c r="F15" t="str">
        <f>"01-K16-06"</f>
        <v>01-K16-06</v>
      </c>
      <c r="G15">
        <v>0.27150000000000002</v>
      </c>
      <c r="H15" t="s">
        <v>11</v>
      </c>
      <c r="I15" t="s">
        <v>10</v>
      </c>
    </row>
    <row r="16" spans="1:9" x14ac:dyDescent="0.25">
      <c r="A16" t="str">
        <f t="shared" si="0"/>
        <v>89301000</v>
      </c>
      <c r="B16" t="str">
        <f>"0006101304"</f>
        <v>0006101304</v>
      </c>
      <c r="C16" s="1">
        <v>45242</v>
      </c>
      <c r="D16" s="1">
        <v>45244</v>
      </c>
      <c r="E16">
        <v>1</v>
      </c>
      <c r="F16" t="str">
        <f>"03-I11-03"</f>
        <v>03-I11-03</v>
      </c>
      <c r="G16">
        <v>1.1267</v>
      </c>
      <c r="H16" t="s">
        <v>12</v>
      </c>
      <c r="I16" t="s">
        <v>10</v>
      </c>
    </row>
    <row r="17" spans="1:9" x14ac:dyDescent="0.25">
      <c r="A17" t="str">
        <f t="shared" si="0"/>
        <v>89301000</v>
      </c>
      <c r="B17" t="str">
        <f>"0006105704"</f>
        <v>0006105704</v>
      </c>
      <c r="C17" s="1">
        <v>45068</v>
      </c>
      <c r="D17" s="1">
        <v>45079</v>
      </c>
      <c r="E17">
        <v>1</v>
      </c>
      <c r="F17" t="str">
        <f>"24-M06-02"</f>
        <v>24-M06-02</v>
      </c>
      <c r="G17">
        <v>1.0699000000000001</v>
      </c>
      <c r="H17" t="s">
        <v>11</v>
      </c>
      <c r="I17" t="s">
        <v>10</v>
      </c>
    </row>
    <row r="18" spans="1:9" x14ac:dyDescent="0.25">
      <c r="A18" t="str">
        <f t="shared" si="0"/>
        <v>89301000</v>
      </c>
      <c r="B18" t="str">
        <f>"0006105704"</f>
        <v>0006105704</v>
      </c>
      <c r="C18" s="1">
        <v>45017</v>
      </c>
      <c r="D18" s="1">
        <v>45021</v>
      </c>
      <c r="E18">
        <v>1</v>
      </c>
      <c r="F18" t="str">
        <f>"08-I14-03"</f>
        <v>08-I14-03</v>
      </c>
      <c r="G18">
        <v>1.5401</v>
      </c>
      <c r="H18" t="s">
        <v>12</v>
      </c>
      <c r="I18" t="s">
        <v>10</v>
      </c>
    </row>
    <row r="19" spans="1:9" x14ac:dyDescent="0.25">
      <c r="A19" t="str">
        <f t="shared" si="0"/>
        <v>89301000</v>
      </c>
      <c r="B19" t="str">
        <f>"0006115703"</f>
        <v>0006115703</v>
      </c>
      <c r="C19" s="1">
        <v>45102</v>
      </c>
      <c r="D19" s="1">
        <v>45104</v>
      </c>
      <c r="E19">
        <v>1</v>
      </c>
      <c r="F19" t="str">
        <f>"08-I14-03"</f>
        <v>08-I14-03</v>
      </c>
      <c r="G19">
        <v>1.5401</v>
      </c>
      <c r="H19" t="s">
        <v>12</v>
      </c>
      <c r="I19" t="s">
        <v>10</v>
      </c>
    </row>
    <row r="20" spans="1:9" x14ac:dyDescent="0.25">
      <c r="A20" t="str">
        <f t="shared" si="0"/>
        <v>89301000</v>
      </c>
      <c r="B20" t="str">
        <f>"0006224856"</f>
        <v>0006224856</v>
      </c>
      <c r="C20" s="1">
        <v>45240</v>
      </c>
      <c r="D20" s="1">
        <v>45241</v>
      </c>
      <c r="E20">
        <v>1</v>
      </c>
      <c r="F20" t="str">
        <f>"12-I14-00"</f>
        <v>12-I14-00</v>
      </c>
      <c r="G20">
        <v>0.42920000000000003</v>
      </c>
      <c r="H20" t="s">
        <v>11</v>
      </c>
      <c r="I20" t="s">
        <v>10</v>
      </c>
    </row>
    <row r="21" spans="1:9" x14ac:dyDescent="0.25">
      <c r="A21" t="str">
        <f t="shared" si="0"/>
        <v>89301000</v>
      </c>
      <c r="B21" t="str">
        <f>"0008143993"</f>
        <v>0008143993</v>
      </c>
      <c r="C21" s="1">
        <v>45139</v>
      </c>
      <c r="D21" s="1">
        <v>45140</v>
      </c>
      <c r="E21">
        <v>1</v>
      </c>
      <c r="F21" t="str">
        <f>"12-I14-00"</f>
        <v>12-I14-00</v>
      </c>
      <c r="G21">
        <v>0.42920000000000003</v>
      </c>
      <c r="H21" t="s">
        <v>11</v>
      </c>
      <c r="I21" t="s">
        <v>10</v>
      </c>
    </row>
    <row r="22" spans="1:9" x14ac:dyDescent="0.25">
      <c r="A22" t="str">
        <f t="shared" si="0"/>
        <v>89301000</v>
      </c>
      <c r="B22" t="str">
        <f>"0008223809"</f>
        <v>0008223809</v>
      </c>
      <c r="C22" s="1">
        <v>45132</v>
      </c>
      <c r="D22" s="1">
        <v>45134</v>
      </c>
      <c r="E22">
        <v>1</v>
      </c>
      <c r="F22" t="str">
        <f>"09-K14-02"</f>
        <v>09-K14-02</v>
      </c>
      <c r="G22">
        <v>0.5</v>
      </c>
      <c r="H22" t="s">
        <v>11</v>
      </c>
      <c r="I22" t="s">
        <v>10</v>
      </c>
    </row>
    <row r="23" spans="1:9" x14ac:dyDescent="0.25">
      <c r="A23" t="str">
        <f t="shared" si="0"/>
        <v>89301000</v>
      </c>
      <c r="B23" t="str">
        <f>"0008245369"</f>
        <v>0008245369</v>
      </c>
      <c r="C23" s="1">
        <v>45067</v>
      </c>
      <c r="D23" s="1">
        <v>45069</v>
      </c>
      <c r="E23">
        <v>1</v>
      </c>
      <c r="F23" t="str">
        <f>"08-M03-02"</f>
        <v>08-M03-02</v>
      </c>
      <c r="G23">
        <v>0.91359999999999997</v>
      </c>
      <c r="H23" t="s">
        <v>11</v>
      </c>
      <c r="I23" t="s">
        <v>10</v>
      </c>
    </row>
    <row r="24" spans="1:9" x14ac:dyDescent="0.25">
      <c r="A24" t="str">
        <f t="shared" si="0"/>
        <v>89301000</v>
      </c>
      <c r="B24" t="str">
        <f>"0008245699"</f>
        <v>0008245699</v>
      </c>
      <c r="C24" s="1">
        <v>45210</v>
      </c>
      <c r="D24" s="1">
        <v>45216</v>
      </c>
      <c r="E24">
        <v>1</v>
      </c>
      <c r="F24" t="str">
        <f>"18-K01-07"</f>
        <v>18-K01-07</v>
      </c>
      <c r="G24">
        <v>1.0281</v>
      </c>
      <c r="H24" t="s">
        <v>11</v>
      </c>
      <c r="I24" t="s">
        <v>10</v>
      </c>
    </row>
    <row r="25" spans="1:9" x14ac:dyDescent="0.25">
      <c r="A25" t="str">
        <f t="shared" si="0"/>
        <v>89301000</v>
      </c>
      <c r="B25" t="str">
        <f>"0008265708"</f>
        <v>0008265708</v>
      </c>
      <c r="C25" s="1">
        <v>44950</v>
      </c>
      <c r="D25" s="1">
        <v>44953</v>
      </c>
      <c r="E25">
        <v>1</v>
      </c>
      <c r="F25" t="str">
        <f>"08-M03-02"</f>
        <v>08-M03-02</v>
      </c>
      <c r="G25">
        <v>0.91359999999999997</v>
      </c>
      <c r="H25" t="s">
        <v>11</v>
      </c>
      <c r="I25" t="s">
        <v>10</v>
      </c>
    </row>
    <row r="26" spans="1:9" x14ac:dyDescent="0.25">
      <c r="A26" t="str">
        <f t="shared" si="0"/>
        <v>89301000</v>
      </c>
      <c r="B26" t="str">
        <f>"0008266181"</f>
        <v>0008266181</v>
      </c>
      <c r="C26" s="1">
        <v>45240</v>
      </c>
      <c r="D26" s="1">
        <v>45241</v>
      </c>
      <c r="E26">
        <v>1</v>
      </c>
      <c r="F26" t="str">
        <f>"12-K03-00"</f>
        <v>12-K03-00</v>
      </c>
      <c r="G26">
        <v>0.27360000000000001</v>
      </c>
      <c r="H26" t="s">
        <v>11</v>
      </c>
      <c r="I26" t="s">
        <v>10</v>
      </c>
    </row>
    <row r="27" spans="1:9" x14ac:dyDescent="0.25">
      <c r="A27" t="str">
        <f t="shared" si="0"/>
        <v>89301000</v>
      </c>
      <c r="B27" t="str">
        <f>"0009114842"</f>
        <v>0009114842</v>
      </c>
      <c r="C27" s="1">
        <v>44929</v>
      </c>
      <c r="D27" s="1">
        <v>44939</v>
      </c>
      <c r="E27">
        <v>5</v>
      </c>
      <c r="F27" t="str">
        <f>"08-I13-02"</f>
        <v>08-I13-02</v>
      </c>
      <c r="G27">
        <v>2.8662000000000001</v>
      </c>
      <c r="H27" t="s">
        <v>12</v>
      </c>
      <c r="I27" t="s">
        <v>10</v>
      </c>
    </row>
    <row r="28" spans="1:9" x14ac:dyDescent="0.25">
      <c r="A28" t="str">
        <f t="shared" si="0"/>
        <v>89301000</v>
      </c>
      <c r="B28" t="str">
        <f>"0009114842"</f>
        <v>0009114842</v>
      </c>
      <c r="C28" s="1">
        <v>44963</v>
      </c>
      <c r="D28" s="1">
        <v>44971</v>
      </c>
      <c r="E28">
        <v>1</v>
      </c>
      <c r="F28" t="str">
        <f>"01-K17-00"</f>
        <v>01-K17-00</v>
      </c>
      <c r="G28">
        <v>0.64229999999999998</v>
      </c>
      <c r="H28" t="s">
        <v>11</v>
      </c>
      <c r="I28" t="s">
        <v>10</v>
      </c>
    </row>
    <row r="29" spans="1:9" x14ac:dyDescent="0.25">
      <c r="A29" t="str">
        <f t="shared" si="0"/>
        <v>89301000</v>
      </c>
      <c r="B29" t="str">
        <f>"0009126205"</f>
        <v>0009126205</v>
      </c>
      <c r="C29" s="1">
        <v>44965</v>
      </c>
      <c r="D29" s="1">
        <v>44973</v>
      </c>
      <c r="E29">
        <v>1</v>
      </c>
      <c r="F29" t="str">
        <f>"06-I07-05"</f>
        <v>06-I07-05</v>
      </c>
      <c r="G29">
        <v>2.7919999999999998</v>
      </c>
      <c r="H29" t="s">
        <v>12</v>
      </c>
      <c r="I29" t="s">
        <v>10</v>
      </c>
    </row>
    <row r="30" spans="1:9" x14ac:dyDescent="0.25">
      <c r="A30" t="str">
        <f t="shared" si="0"/>
        <v>89301000</v>
      </c>
      <c r="B30" t="str">
        <f>"0009235699"</f>
        <v>0009235699</v>
      </c>
      <c r="C30" s="1">
        <v>44978</v>
      </c>
      <c r="D30" s="1">
        <v>44982</v>
      </c>
      <c r="E30">
        <v>1</v>
      </c>
      <c r="F30" t="str">
        <f>"03-I17-00"</f>
        <v>03-I17-00</v>
      </c>
      <c r="G30">
        <v>0.83489999999999998</v>
      </c>
      <c r="H30" t="s">
        <v>9</v>
      </c>
      <c r="I30" t="s">
        <v>10</v>
      </c>
    </row>
    <row r="31" spans="1:9" x14ac:dyDescent="0.25">
      <c r="A31" t="str">
        <f t="shared" si="0"/>
        <v>89301000</v>
      </c>
      <c r="B31" t="str">
        <f>"0009245764"</f>
        <v>0009245764</v>
      </c>
      <c r="C31" s="1">
        <v>45063</v>
      </c>
      <c r="D31" s="1">
        <v>45066</v>
      </c>
      <c r="E31">
        <v>1</v>
      </c>
      <c r="F31" t="str">
        <f>"08-M03-05"</f>
        <v>08-M03-05</v>
      </c>
      <c r="G31">
        <v>0.46910000000000002</v>
      </c>
      <c r="H31" t="s">
        <v>11</v>
      </c>
      <c r="I31" t="s">
        <v>10</v>
      </c>
    </row>
    <row r="32" spans="1:9" x14ac:dyDescent="0.25">
      <c r="A32" t="str">
        <f t="shared" si="0"/>
        <v>89301000</v>
      </c>
      <c r="B32" t="str">
        <f>"0010065715"</f>
        <v>0010065715</v>
      </c>
      <c r="C32" s="1">
        <v>44984</v>
      </c>
      <c r="D32" s="1">
        <v>44985</v>
      </c>
      <c r="E32">
        <v>1</v>
      </c>
      <c r="F32" t="str">
        <f>"08-I18-02"</f>
        <v>08-I18-02</v>
      </c>
      <c r="G32">
        <v>0.62509999999999999</v>
      </c>
      <c r="H32" t="s">
        <v>12</v>
      </c>
      <c r="I32" t="s">
        <v>10</v>
      </c>
    </row>
    <row r="33" spans="1:9" x14ac:dyDescent="0.25">
      <c r="A33" t="str">
        <f t="shared" si="0"/>
        <v>89301000</v>
      </c>
      <c r="B33" t="str">
        <f>"0010126149"</f>
        <v>0010126149</v>
      </c>
      <c r="C33" s="1">
        <v>45055</v>
      </c>
      <c r="D33" s="1">
        <v>45059</v>
      </c>
      <c r="E33">
        <v>1</v>
      </c>
      <c r="F33" t="str">
        <f>"06-K05-02"</f>
        <v>06-K05-02</v>
      </c>
      <c r="G33">
        <v>0.40039999999999998</v>
      </c>
      <c r="H33" t="s">
        <v>11</v>
      </c>
      <c r="I33" t="s">
        <v>10</v>
      </c>
    </row>
    <row r="34" spans="1:9" x14ac:dyDescent="0.25">
      <c r="A34" t="str">
        <f t="shared" si="0"/>
        <v>89301000</v>
      </c>
      <c r="B34" t="str">
        <f>"0010126149"</f>
        <v>0010126149</v>
      </c>
      <c r="C34" s="1">
        <v>45172</v>
      </c>
      <c r="D34" s="1">
        <v>45178</v>
      </c>
      <c r="E34">
        <v>1</v>
      </c>
      <c r="F34" t="str">
        <f>"06-I18-03"</f>
        <v>06-I18-03</v>
      </c>
      <c r="G34">
        <v>1.3418000000000001</v>
      </c>
      <c r="H34" t="s">
        <v>9</v>
      </c>
      <c r="I34" t="s">
        <v>10</v>
      </c>
    </row>
    <row r="35" spans="1:9" x14ac:dyDescent="0.25">
      <c r="A35" t="str">
        <f t="shared" si="0"/>
        <v>89301000</v>
      </c>
      <c r="B35" t="str">
        <f>"0010174846"</f>
        <v>0010174846</v>
      </c>
      <c r="C35" s="1">
        <v>44952</v>
      </c>
      <c r="D35" s="1">
        <v>44956</v>
      </c>
      <c r="E35">
        <v>1</v>
      </c>
      <c r="F35" t="str">
        <f>"03-I19-02"</f>
        <v>03-I19-02</v>
      </c>
      <c r="G35">
        <v>0.71340000000000003</v>
      </c>
      <c r="H35" t="s">
        <v>11</v>
      </c>
      <c r="I35" t="s">
        <v>10</v>
      </c>
    </row>
    <row r="36" spans="1:9" x14ac:dyDescent="0.25">
      <c r="A36" t="str">
        <f t="shared" si="0"/>
        <v>89301000</v>
      </c>
      <c r="B36" t="str">
        <f>"0011035728"</f>
        <v>0011035728</v>
      </c>
      <c r="C36" s="1">
        <v>45102</v>
      </c>
      <c r="D36" s="1">
        <v>45104</v>
      </c>
      <c r="E36">
        <v>1</v>
      </c>
      <c r="F36" t="str">
        <f>"08-I31-04"</f>
        <v>08-I31-04</v>
      </c>
      <c r="G36">
        <v>0.4894</v>
      </c>
      <c r="H36" t="s">
        <v>11</v>
      </c>
      <c r="I36" t="s">
        <v>10</v>
      </c>
    </row>
    <row r="37" spans="1:9" x14ac:dyDescent="0.25">
      <c r="A37" t="str">
        <f t="shared" si="0"/>
        <v>89301000</v>
      </c>
      <c r="B37" t="str">
        <f>"0011085701"</f>
        <v>0011085701</v>
      </c>
      <c r="C37" s="1">
        <v>44964</v>
      </c>
      <c r="D37" s="1">
        <v>44966</v>
      </c>
      <c r="E37">
        <v>1</v>
      </c>
      <c r="F37" t="str">
        <f>"08-M03-04"</f>
        <v>08-M03-04</v>
      </c>
      <c r="G37">
        <v>0.72940000000000005</v>
      </c>
      <c r="H37" t="s">
        <v>11</v>
      </c>
      <c r="I37" t="s">
        <v>10</v>
      </c>
    </row>
    <row r="38" spans="1:9" x14ac:dyDescent="0.25">
      <c r="A38" t="str">
        <f t="shared" si="0"/>
        <v>89301000</v>
      </c>
      <c r="B38" t="str">
        <f>"0011094996"</f>
        <v>0011094996</v>
      </c>
      <c r="C38" s="1">
        <v>44929</v>
      </c>
      <c r="D38" s="1">
        <v>44933</v>
      </c>
      <c r="E38">
        <v>1</v>
      </c>
      <c r="F38" t="str">
        <f>"03-I17-00"</f>
        <v>03-I17-00</v>
      </c>
      <c r="G38">
        <v>0.83489999999999998</v>
      </c>
      <c r="H38" t="s">
        <v>9</v>
      </c>
      <c r="I38" t="s">
        <v>10</v>
      </c>
    </row>
    <row r="39" spans="1:9" x14ac:dyDescent="0.25">
      <c r="A39" t="str">
        <f t="shared" si="0"/>
        <v>89301000</v>
      </c>
      <c r="B39" t="str">
        <f>"0011234872"</f>
        <v>0011234872</v>
      </c>
      <c r="C39" s="1">
        <v>45005</v>
      </c>
      <c r="D39" s="1">
        <v>45006</v>
      </c>
      <c r="E39">
        <v>1</v>
      </c>
      <c r="F39" t="str">
        <f>"01-D01-03"</f>
        <v>01-D01-03</v>
      </c>
      <c r="G39">
        <v>0.16200000000000001</v>
      </c>
      <c r="H39" t="s">
        <v>11</v>
      </c>
      <c r="I39" t="s">
        <v>10</v>
      </c>
    </row>
    <row r="40" spans="1:9" x14ac:dyDescent="0.25">
      <c r="A40" t="str">
        <f t="shared" si="0"/>
        <v>89301000</v>
      </c>
      <c r="B40" t="str">
        <f>"0012105709"</f>
        <v>0012105709</v>
      </c>
      <c r="C40" s="1">
        <v>45180</v>
      </c>
      <c r="D40" s="1">
        <v>45182</v>
      </c>
      <c r="E40">
        <v>1</v>
      </c>
      <c r="F40" t="str">
        <f>"10-K04-04"</f>
        <v>10-K04-04</v>
      </c>
      <c r="G40">
        <v>0.53949999999999998</v>
      </c>
      <c r="H40" t="s">
        <v>11</v>
      </c>
      <c r="I40" t="s">
        <v>10</v>
      </c>
    </row>
    <row r="41" spans="1:9" x14ac:dyDescent="0.25">
      <c r="A41" t="str">
        <f t="shared" si="0"/>
        <v>89301000</v>
      </c>
      <c r="B41" t="str">
        <f>"0012115763"</f>
        <v>0012115763</v>
      </c>
      <c r="C41" s="1">
        <v>45236</v>
      </c>
      <c r="D41" s="1">
        <v>45238</v>
      </c>
      <c r="E41">
        <v>1</v>
      </c>
      <c r="F41" t="str">
        <f>"08-I21-02"</f>
        <v>08-I21-02</v>
      </c>
      <c r="G41">
        <v>1.2658</v>
      </c>
      <c r="H41" t="s">
        <v>12</v>
      </c>
      <c r="I41" t="s">
        <v>10</v>
      </c>
    </row>
    <row r="42" spans="1:9" x14ac:dyDescent="0.25">
      <c r="A42" t="str">
        <f t="shared" si="0"/>
        <v>89301000</v>
      </c>
      <c r="B42" t="str">
        <f>"0012146145"</f>
        <v>0012146145</v>
      </c>
      <c r="C42" s="1">
        <v>44991</v>
      </c>
      <c r="D42" s="1">
        <v>44999</v>
      </c>
      <c r="E42">
        <v>1</v>
      </c>
      <c r="F42" t="str">
        <f>"01-K04-02"</f>
        <v>01-K04-02</v>
      </c>
      <c r="G42">
        <v>0.79990000000000006</v>
      </c>
      <c r="H42" t="s">
        <v>11</v>
      </c>
      <c r="I42" t="s">
        <v>10</v>
      </c>
    </row>
    <row r="43" spans="1:9" x14ac:dyDescent="0.25">
      <c r="A43" t="str">
        <f t="shared" si="0"/>
        <v>89301000</v>
      </c>
      <c r="B43" t="str">
        <f>"0012155704"</f>
        <v>0012155704</v>
      </c>
      <c r="C43" s="1">
        <v>44998</v>
      </c>
      <c r="D43" s="1">
        <v>44999</v>
      </c>
      <c r="E43">
        <v>1</v>
      </c>
      <c r="F43" t="str">
        <f>"12-I14-00"</f>
        <v>12-I14-00</v>
      </c>
      <c r="G43">
        <v>0.42920000000000003</v>
      </c>
      <c r="H43" t="s">
        <v>11</v>
      </c>
      <c r="I43" t="s">
        <v>10</v>
      </c>
    </row>
    <row r="44" spans="1:9" x14ac:dyDescent="0.25">
      <c r="A44" t="str">
        <f t="shared" si="0"/>
        <v>89301000</v>
      </c>
      <c r="B44" t="str">
        <f>"0012284844"</f>
        <v>0012284844</v>
      </c>
      <c r="C44" s="1">
        <v>45187</v>
      </c>
      <c r="D44" s="1">
        <v>45188</v>
      </c>
      <c r="E44">
        <v>1</v>
      </c>
      <c r="F44" t="str">
        <f>"12-I14-00"</f>
        <v>12-I14-00</v>
      </c>
      <c r="G44">
        <v>0.42920000000000003</v>
      </c>
      <c r="H44" t="s">
        <v>11</v>
      </c>
      <c r="I44" t="s">
        <v>10</v>
      </c>
    </row>
    <row r="45" spans="1:9" x14ac:dyDescent="0.25">
      <c r="A45" t="str">
        <f t="shared" si="0"/>
        <v>89301000</v>
      </c>
      <c r="B45" t="str">
        <f>"0012304842"</f>
        <v>0012304842</v>
      </c>
      <c r="C45" s="1">
        <v>45049</v>
      </c>
      <c r="D45" s="1">
        <v>45051</v>
      </c>
      <c r="E45">
        <v>1</v>
      </c>
      <c r="F45" t="str">
        <f>"03-I11-03"</f>
        <v>03-I11-03</v>
      </c>
      <c r="G45">
        <v>1.1267</v>
      </c>
      <c r="H45" t="s">
        <v>12</v>
      </c>
      <c r="I45" t="s">
        <v>10</v>
      </c>
    </row>
    <row r="46" spans="1:9" x14ac:dyDescent="0.25">
      <c r="A46" t="str">
        <f t="shared" si="0"/>
        <v>89301000</v>
      </c>
      <c r="B46" t="str">
        <f>"0051111324"</f>
        <v>0051111324</v>
      </c>
      <c r="C46" s="1">
        <v>45244</v>
      </c>
      <c r="D46" s="1">
        <v>45246</v>
      </c>
      <c r="E46">
        <v>1</v>
      </c>
      <c r="F46" t="str">
        <f>"08-K11-02"</f>
        <v>08-K11-02</v>
      </c>
      <c r="G46">
        <v>0.57420000000000004</v>
      </c>
      <c r="H46" t="s">
        <v>11</v>
      </c>
      <c r="I46" t="s">
        <v>10</v>
      </c>
    </row>
    <row r="47" spans="1:9" x14ac:dyDescent="0.25">
      <c r="A47" t="str">
        <f t="shared" si="0"/>
        <v>89301000</v>
      </c>
      <c r="B47" t="str">
        <f>"0051124777"</f>
        <v>0051124777</v>
      </c>
      <c r="C47" s="1">
        <v>45138</v>
      </c>
      <c r="D47" s="1">
        <v>45152</v>
      </c>
      <c r="E47">
        <v>1</v>
      </c>
      <c r="F47" t="str">
        <f>"01-I06-05"</f>
        <v>01-I06-05</v>
      </c>
      <c r="G47">
        <v>2.6970999999999998</v>
      </c>
      <c r="H47" t="s">
        <v>12</v>
      </c>
      <c r="I47" t="s">
        <v>10</v>
      </c>
    </row>
    <row r="48" spans="1:9" x14ac:dyDescent="0.25">
      <c r="A48" t="str">
        <f t="shared" si="0"/>
        <v>89301000</v>
      </c>
      <c r="B48" t="str">
        <f>"0051216154"</f>
        <v>0051216154</v>
      </c>
      <c r="C48" s="1">
        <v>44951</v>
      </c>
      <c r="D48" s="1">
        <v>44954</v>
      </c>
      <c r="E48">
        <v>1</v>
      </c>
      <c r="F48" t="str">
        <f>"01-K01-02"</f>
        <v>01-K01-02</v>
      </c>
      <c r="G48">
        <v>0.442</v>
      </c>
      <c r="H48" t="s">
        <v>11</v>
      </c>
      <c r="I48" t="s">
        <v>10</v>
      </c>
    </row>
    <row r="49" spans="1:9" x14ac:dyDescent="0.25">
      <c r="A49" t="str">
        <f t="shared" si="0"/>
        <v>89301000</v>
      </c>
      <c r="B49" t="str">
        <f>"0051305705"</f>
        <v>0051305705</v>
      </c>
      <c r="C49" s="1">
        <v>45236</v>
      </c>
      <c r="D49" s="1">
        <v>45240</v>
      </c>
      <c r="E49">
        <v>1</v>
      </c>
      <c r="F49" t="str">
        <f>"09-K04-02"</f>
        <v>09-K04-02</v>
      </c>
      <c r="G49">
        <v>0.64849999999999997</v>
      </c>
      <c r="H49" t="s">
        <v>11</v>
      </c>
      <c r="I49" t="s">
        <v>10</v>
      </c>
    </row>
    <row r="50" spans="1:9" x14ac:dyDescent="0.25">
      <c r="A50" t="str">
        <f t="shared" si="0"/>
        <v>89301000</v>
      </c>
      <c r="B50" t="str">
        <f>"0052026150"</f>
        <v>0052026150</v>
      </c>
      <c r="C50" s="1">
        <v>45140</v>
      </c>
      <c r="D50" s="1">
        <v>45152</v>
      </c>
      <c r="E50">
        <v>1</v>
      </c>
      <c r="F50" t="str">
        <f>"06-I14-02"</f>
        <v>06-I14-02</v>
      </c>
      <c r="G50">
        <v>1.4552</v>
      </c>
      <c r="H50" t="s">
        <v>11</v>
      </c>
      <c r="I50" t="s">
        <v>10</v>
      </c>
    </row>
    <row r="51" spans="1:9" x14ac:dyDescent="0.25">
      <c r="A51" t="str">
        <f t="shared" si="0"/>
        <v>89301000</v>
      </c>
      <c r="B51" t="str">
        <f>"0052045939"</f>
        <v>0052045939</v>
      </c>
      <c r="C51" s="1">
        <v>44963</v>
      </c>
      <c r="D51" s="1">
        <v>44967</v>
      </c>
      <c r="E51">
        <v>1</v>
      </c>
      <c r="F51" t="str">
        <f>"14-M01-05"</f>
        <v>14-M01-05</v>
      </c>
      <c r="G51">
        <v>0.56589999999999996</v>
      </c>
      <c r="H51" t="s">
        <v>13</v>
      </c>
      <c r="I51" t="s">
        <v>10</v>
      </c>
    </row>
    <row r="52" spans="1:9" x14ac:dyDescent="0.25">
      <c r="A52" t="str">
        <f t="shared" si="0"/>
        <v>89301000</v>
      </c>
      <c r="B52" t="str">
        <f>"0052056103"</f>
        <v>0052056103</v>
      </c>
      <c r="C52" s="1">
        <v>45191</v>
      </c>
      <c r="D52" s="1">
        <v>45194</v>
      </c>
      <c r="E52">
        <v>1</v>
      </c>
      <c r="F52" t="str">
        <f>"14-M01-05"</f>
        <v>14-M01-05</v>
      </c>
      <c r="G52">
        <v>0.56289999999999996</v>
      </c>
      <c r="H52" t="s">
        <v>13</v>
      </c>
      <c r="I52" t="s">
        <v>10</v>
      </c>
    </row>
    <row r="53" spans="1:9" x14ac:dyDescent="0.25">
      <c r="A53" t="str">
        <f t="shared" si="0"/>
        <v>89301000</v>
      </c>
      <c r="B53" t="str">
        <f>"0052056169"</f>
        <v>0052056169</v>
      </c>
      <c r="C53" s="1">
        <v>45033</v>
      </c>
      <c r="D53" s="1">
        <v>45034</v>
      </c>
      <c r="E53">
        <v>1</v>
      </c>
      <c r="F53" t="str">
        <f>"13-I19-00"</f>
        <v>13-I19-00</v>
      </c>
      <c r="G53">
        <v>0.28270000000000001</v>
      </c>
      <c r="H53" t="s">
        <v>11</v>
      </c>
      <c r="I53" t="s">
        <v>10</v>
      </c>
    </row>
    <row r="54" spans="1:9" x14ac:dyDescent="0.25">
      <c r="A54" t="str">
        <f t="shared" si="0"/>
        <v>89301000</v>
      </c>
      <c r="B54" t="str">
        <f>"0052126063"</f>
        <v>0052126063</v>
      </c>
      <c r="C54" s="1">
        <v>45027</v>
      </c>
      <c r="D54" s="1">
        <v>45029</v>
      </c>
      <c r="E54">
        <v>1</v>
      </c>
      <c r="F54" t="str">
        <f>"08-M03-05"</f>
        <v>08-M03-05</v>
      </c>
      <c r="G54">
        <v>0.46910000000000002</v>
      </c>
      <c r="H54" t="s">
        <v>11</v>
      </c>
      <c r="I54" t="s">
        <v>10</v>
      </c>
    </row>
    <row r="55" spans="1:9" x14ac:dyDescent="0.25">
      <c r="A55" t="str">
        <f t="shared" si="0"/>
        <v>89301000</v>
      </c>
      <c r="B55" t="str">
        <f>"0052165751"</f>
        <v>0052165751</v>
      </c>
      <c r="C55" s="1">
        <v>45201</v>
      </c>
      <c r="D55" s="1">
        <v>45204</v>
      </c>
      <c r="E55">
        <v>1</v>
      </c>
      <c r="F55" t="str">
        <f>"14-I01-02"</f>
        <v>14-I01-02</v>
      </c>
      <c r="G55">
        <v>1.2935000000000001</v>
      </c>
      <c r="H55" t="s">
        <v>13</v>
      </c>
      <c r="I55" t="s">
        <v>10</v>
      </c>
    </row>
    <row r="56" spans="1:9" x14ac:dyDescent="0.25">
      <c r="A56" t="str">
        <f t="shared" si="0"/>
        <v>89301000</v>
      </c>
      <c r="B56" t="str">
        <f>"0053255708"</f>
        <v>0053255708</v>
      </c>
      <c r="C56" s="1">
        <v>45019</v>
      </c>
      <c r="D56" s="1">
        <v>45021</v>
      </c>
      <c r="E56">
        <v>1</v>
      </c>
      <c r="F56" t="str">
        <f>"14-M01-05"</f>
        <v>14-M01-05</v>
      </c>
      <c r="G56">
        <v>0.56589999999999996</v>
      </c>
      <c r="H56" t="s">
        <v>13</v>
      </c>
      <c r="I56" t="s">
        <v>10</v>
      </c>
    </row>
    <row r="57" spans="1:9" x14ac:dyDescent="0.25">
      <c r="A57" t="str">
        <f t="shared" si="0"/>
        <v>89301000</v>
      </c>
      <c r="B57" t="str">
        <f>"0054054847"</f>
        <v>0054054847</v>
      </c>
      <c r="C57" s="1">
        <v>45195</v>
      </c>
      <c r="D57" s="1">
        <v>45198</v>
      </c>
      <c r="E57">
        <v>1</v>
      </c>
      <c r="F57" t="str">
        <f>"14-M01-05"</f>
        <v>14-M01-05</v>
      </c>
      <c r="G57">
        <v>0.56289999999999996</v>
      </c>
      <c r="H57" t="s">
        <v>13</v>
      </c>
      <c r="I57" t="s">
        <v>10</v>
      </c>
    </row>
    <row r="58" spans="1:9" x14ac:dyDescent="0.25">
      <c r="A58" t="str">
        <f t="shared" si="0"/>
        <v>89301000</v>
      </c>
      <c r="B58" t="str">
        <f>"0054215700"</f>
        <v>0054215700</v>
      </c>
      <c r="C58" s="1">
        <v>45245</v>
      </c>
      <c r="D58" s="1">
        <v>45251</v>
      </c>
      <c r="E58">
        <v>1</v>
      </c>
      <c r="F58" t="str">
        <f>"14-M01-05"</f>
        <v>14-M01-05</v>
      </c>
      <c r="G58">
        <v>0.56289999999999996</v>
      </c>
      <c r="H58" t="s">
        <v>13</v>
      </c>
      <c r="I58" t="s">
        <v>10</v>
      </c>
    </row>
    <row r="59" spans="1:9" x14ac:dyDescent="0.25">
      <c r="A59" t="str">
        <f t="shared" si="0"/>
        <v>89301000</v>
      </c>
      <c r="B59" t="str">
        <f>"0054235731"</f>
        <v>0054235731</v>
      </c>
      <c r="C59" s="1">
        <v>45166</v>
      </c>
      <c r="D59" s="1">
        <v>45176</v>
      </c>
      <c r="E59">
        <v>1</v>
      </c>
      <c r="F59" t="str">
        <f>"14-K03-02"</f>
        <v>14-K03-02</v>
      </c>
      <c r="G59">
        <v>0.49940000000000001</v>
      </c>
      <c r="H59" t="s">
        <v>11</v>
      </c>
      <c r="I59" t="s">
        <v>10</v>
      </c>
    </row>
    <row r="60" spans="1:9" x14ac:dyDescent="0.25">
      <c r="A60" t="str">
        <f t="shared" si="0"/>
        <v>89301000</v>
      </c>
      <c r="B60" t="str">
        <f>"0054275397"</f>
        <v>0054275397</v>
      </c>
      <c r="C60" s="1">
        <v>45269</v>
      </c>
      <c r="D60" s="1">
        <v>45275</v>
      </c>
      <c r="E60">
        <v>1</v>
      </c>
      <c r="F60" t="str">
        <f>"14-K03-02"</f>
        <v>14-K03-02</v>
      </c>
      <c r="G60">
        <v>0.30380000000000001</v>
      </c>
      <c r="H60" t="s">
        <v>11</v>
      </c>
      <c r="I60" t="s">
        <v>10</v>
      </c>
    </row>
    <row r="61" spans="1:9" x14ac:dyDescent="0.25">
      <c r="A61" t="str">
        <f t="shared" si="0"/>
        <v>89301000</v>
      </c>
      <c r="B61" t="str">
        <f>"0054285737"</f>
        <v>0054285737</v>
      </c>
      <c r="C61" s="1">
        <v>45101</v>
      </c>
      <c r="D61" s="1">
        <v>45102</v>
      </c>
      <c r="E61">
        <v>1</v>
      </c>
      <c r="F61" t="str">
        <f>"01-I13-00"</f>
        <v>01-I13-00</v>
      </c>
      <c r="G61">
        <v>0.38400000000000001</v>
      </c>
      <c r="H61" t="s">
        <v>11</v>
      </c>
      <c r="I61" t="s">
        <v>10</v>
      </c>
    </row>
    <row r="62" spans="1:9" x14ac:dyDescent="0.25">
      <c r="A62" t="str">
        <f t="shared" si="0"/>
        <v>89301000</v>
      </c>
      <c r="B62" t="str">
        <f>"0055176143"</f>
        <v>0055176143</v>
      </c>
      <c r="C62" s="1">
        <v>44976</v>
      </c>
      <c r="D62" s="1">
        <v>44980</v>
      </c>
      <c r="E62">
        <v>1</v>
      </c>
      <c r="F62" t="str">
        <f>"14-M01-05"</f>
        <v>14-M01-05</v>
      </c>
      <c r="G62">
        <v>0.56589999999999996</v>
      </c>
      <c r="H62" t="s">
        <v>13</v>
      </c>
      <c r="I62" t="s">
        <v>10</v>
      </c>
    </row>
    <row r="63" spans="1:9" x14ac:dyDescent="0.25">
      <c r="A63" t="str">
        <f t="shared" si="0"/>
        <v>89301000</v>
      </c>
      <c r="B63" t="str">
        <f>"0055185636"</f>
        <v>0055185636</v>
      </c>
      <c r="C63" s="1">
        <v>45110</v>
      </c>
      <c r="D63" s="1">
        <v>45114</v>
      </c>
      <c r="E63">
        <v>1</v>
      </c>
      <c r="F63" t="str">
        <f>"09-K14-02"</f>
        <v>09-K14-02</v>
      </c>
      <c r="G63">
        <v>0.5</v>
      </c>
      <c r="H63" t="s">
        <v>11</v>
      </c>
      <c r="I63" t="s">
        <v>10</v>
      </c>
    </row>
    <row r="64" spans="1:9" x14ac:dyDescent="0.25">
      <c r="A64" t="str">
        <f t="shared" ref="A64:A127" si="1">"89301000"</f>
        <v>89301000</v>
      </c>
      <c r="B64" t="str">
        <f>"0055195723"</f>
        <v>0055195723</v>
      </c>
      <c r="C64" s="1">
        <v>45040</v>
      </c>
      <c r="D64" s="1">
        <v>45042</v>
      </c>
      <c r="E64">
        <v>1</v>
      </c>
      <c r="F64" t="str">
        <f>"08-I15-03"</f>
        <v>08-I15-03</v>
      </c>
      <c r="G64">
        <v>0.94059999999999999</v>
      </c>
      <c r="H64" t="s">
        <v>12</v>
      </c>
      <c r="I64" t="s">
        <v>10</v>
      </c>
    </row>
    <row r="65" spans="1:9" x14ac:dyDescent="0.25">
      <c r="A65" t="str">
        <f t="shared" si="1"/>
        <v>89301000</v>
      </c>
      <c r="B65" t="str">
        <f>"0055244211"</f>
        <v>0055244211</v>
      </c>
      <c r="C65" s="1">
        <v>45156</v>
      </c>
      <c r="D65" s="1">
        <v>45157</v>
      </c>
      <c r="E65">
        <v>6</v>
      </c>
      <c r="F65" t="str">
        <f>"14-M01-05"</f>
        <v>14-M01-05</v>
      </c>
      <c r="G65">
        <v>0.56289999999999996</v>
      </c>
      <c r="H65" t="s">
        <v>13</v>
      </c>
      <c r="I65" t="s">
        <v>10</v>
      </c>
    </row>
    <row r="66" spans="1:9" x14ac:dyDescent="0.25">
      <c r="A66" t="str">
        <f t="shared" si="1"/>
        <v>89301000</v>
      </c>
      <c r="B66" t="str">
        <f>"0055275704"</f>
        <v>0055275704</v>
      </c>
      <c r="C66" s="1">
        <v>44964</v>
      </c>
      <c r="D66" s="1">
        <v>44967</v>
      </c>
      <c r="E66">
        <v>1</v>
      </c>
      <c r="F66" t="str">
        <f>"14-M01-05"</f>
        <v>14-M01-05</v>
      </c>
      <c r="G66">
        <v>0.56289999999999996</v>
      </c>
      <c r="H66" t="s">
        <v>13</v>
      </c>
      <c r="I66" t="s">
        <v>10</v>
      </c>
    </row>
    <row r="67" spans="1:9" x14ac:dyDescent="0.25">
      <c r="A67" t="str">
        <f t="shared" si="1"/>
        <v>89301000</v>
      </c>
      <c r="B67" t="str">
        <f>"0055296065"</f>
        <v>0055296065</v>
      </c>
      <c r="C67" s="1">
        <v>45037</v>
      </c>
      <c r="D67" s="1">
        <v>45044</v>
      </c>
      <c r="E67">
        <v>1</v>
      </c>
      <c r="F67" t="str">
        <f>"10-K13-02"</f>
        <v>10-K13-02</v>
      </c>
      <c r="G67">
        <v>1.0589999999999999</v>
      </c>
      <c r="H67" t="s">
        <v>11</v>
      </c>
      <c r="I67" t="s">
        <v>10</v>
      </c>
    </row>
    <row r="68" spans="1:9" x14ac:dyDescent="0.25">
      <c r="A68" t="str">
        <f t="shared" si="1"/>
        <v>89301000</v>
      </c>
      <c r="B68" t="str">
        <f>"0055610533"</f>
        <v>0055610533</v>
      </c>
      <c r="C68" s="1">
        <v>45283</v>
      </c>
      <c r="D68" s="1">
        <v>45287</v>
      </c>
      <c r="E68">
        <v>1</v>
      </c>
      <c r="F68" t="str">
        <f>"14-M01-05"</f>
        <v>14-M01-05</v>
      </c>
      <c r="G68">
        <v>0.56289999999999996</v>
      </c>
      <c r="H68" t="s">
        <v>13</v>
      </c>
      <c r="I68" t="s">
        <v>10</v>
      </c>
    </row>
    <row r="69" spans="1:9" x14ac:dyDescent="0.25">
      <c r="A69" t="str">
        <f t="shared" si="1"/>
        <v>89301000</v>
      </c>
      <c r="B69" t="str">
        <f>"0056014772"</f>
        <v>0056014772</v>
      </c>
      <c r="C69" s="1">
        <v>45015</v>
      </c>
      <c r="D69" s="1">
        <v>45018</v>
      </c>
      <c r="E69">
        <v>1</v>
      </c>
      <c r="F69" t="str">
        <f>"14-M01-05"</f>
        <v>14-M01-05</v>
      </c>
      <c r="G69">
        <v>0.56289999999999996</v>
      </c>
      <c r="H69" t="s">
        <v>13</v>
      </c>
      <c r="I69" t="s">
        <v>10</v>
      </c>
    </row>
    <row r="70" spans="1:9" x14ac:dyDescent="0.25">
      <c r="A70" t="str">
        <f t="shared" si="1"/>
        <v>89301000</v>
      </c>
      <c r="B70" t="str">
        <f>"0056016224"</f>
        <v>0056016224</v>
      </c>
      <c r="C70" s="1">
        <v>45189</v>
      </c>
      <c r="D70" s="1">
        <v>45195</v>
      </c>
      <c r="E70">
        <v>1</v>
      </c>
      <c r="F70" t="str">
        <f>"02-K02-01"</f>
        <v>02-K02-01</v>
      </c>
      <c r="G70">
        <v>0.91020000000000001</v>
      </c>
      <c r="H70" t="s">
        <v>11</v>
      </c>
      <c r="I70" t="s">
        <v>10</v>
      </c>
    </row>
    <row r="71" spans="1:9" x14ac:dyDescent="0.25">
      <c r="A71" t="str">
        <f t="shared" si="1"/>
        <v>89301000</v>
      </c>
      <c r="B71" t="str">
        <f>"0056065702"</f>
        <v>0056065702</v>
      </c>
      <c r="C71" s="1">
        <v>45193</v>
      </c>
      <c r="D71" s="1">
        <v>45194</v>
      </c>
      <c r="E71">
        <v>1</v>
      </c>
      <c r="F71" t="str">
        <f>"14-K03-02"</f>
        <v>14-K03-02</v>
      </c>
      <c r="G71">
        <v>0.30149999999999999</v>
      </c>
      <c r="H71" t="s">
        <v>11</v>
      </c>
      <c r="I71" t="s">
        <v>10</v>
      </c>
    </row>
    <row r="72" spans="1:9" x14ac:dyDescent="0.25">
      <c r="A72" t="str">
        <f t="shared" si="1"/>
        <v>89301000</v>
      </c>
      <c r="B72" t="str">
        <f>"0056065702"</f>
        <v>0056065702</v>
      </c>
      <c r="C72" s="1">
        <v>45242</v>
      </c>
      <c r="D72" s="1">
        <v>45250</v>
      </c>
      <c r="E72">
        <v>1</v>
      </c>
      <c r="F72" t="str">
        <f>"14-M01-02"</f>
        <v>14-M01-02</v>
      </c>
      <c r="G72">
        <v>0.89459999999999995</v>
      </c>
      <c r="H72" t="s">
        <v>13</v>
      </c>
      <c r="I72" t="s">
        <v>10</v>
      </c>
    </row>
    <row r="73" spans="1:9" x14ac:dyDescent="0.25">
      <c r="A73" t="str">
        <f t="shared" si="1"/>
        <v>89301000</v>
      </c>
      <c r="B73" t="str">
        <f>"0056176142"</f>
        <v>0056176142</v>
      </c>
      <c r="C73" s="1">
        <v>45226</v>
      </c>
      <c r="D73" s="1">
        <v>45230</v>
      </c>
      <c r="E73">
        <v>1</v>
      </c>
      <c r="F73" t="str">
        <f>"09-K05-00"</f>
        <v>09-K05-00</v>
      </c>
      <c r="G73">
        <v>0.8054</v>
      </c>
      <c r="H73" t="s">
        <v>11</v>
      </c>
      <c r="I73" t="s">
        <v>10</v>
      </c>
    </row>
    <row r="74" spans="1:9" x14ac:dyDescent="0.25">
      <c r="A74" t="str">
        <f t="shared" si="1"/>
        <v>89301000</v>
      </c>
      <c r="B74" t="str">
        <f>"0056204841"</f>
        <v>0056204841</v>
      </c>
      <c r="C74" s="1">
        <v>45210</v>
      </c>
      <c r="D74" s="1">
        <v>45213</v>
      </c>
      <c r="E74">
        <v>1</v>
      </c>
      <c r="F74" t="str">
        <f>"14-M01-05"</f>
        <v>14-M01-05</v>
      </c>
      <c r="G74">
        <v>0.56289999999999996</v>
      </c>
      <c r="H74" t="s">
        <v>13</v>
      </c>
      <c r="I74" t="s">
        <v>10</v>
      </c>
    </row>
    <row r="75" spans="1:9" x14ac:dyDescent="0.25">
      <c r="A75" t="str">
        <f t="shared" si="1"/>
        <v>89301000</v>
      </c>
      <c r="B75" t="str">
        <f>"0056226148"</f>
        <v>0056226148</v>
      </c>
      <c r="C75" s="1">
        <v>45133</v>
      </c>
      <c r="D75" s="1">
        <v>45142</v>
      </c>
      <c r="E75">
        <v>1</v>
      </c>
      <c r="F75" t="str">
        <f>"02-I06-03"</f>
        <v>02-I06-03</v>
      </c>
      <c r="G75">
        <v>1.4017999999999999</v>
      </c>
      <c r="H75" t="s">
        <v>12</v>
      </c>
      <c r="I75" t="s">
        <v>10</v>
      </c>
    </row>
    <row r="76" spans="1:9" x14ac:dyDescent="0.25">
      <c r="A76" t="str">
        <f t="shared" si="1"/>
        <v>89301000</v>
      </c>
      <c r="B76" t="str">
        <f>"0056226148"</f>
        <v>0056226148</v>
      </c>
      <c r="C76" s="1">
        <v>45238</v>
      </c>
      <c r="D76" s="1">
        <v>45240</v>
      </c>
      <c r="E76">
        <v>1</v>
      </c>
      <c r="F76" t="str">
        <f>"23-I10-00"</f>
        <v>23-I10-00</v>
      </c>
      <c r="G76">
        <v>0.57010000000000005</v>
      </c>
      <c r="H76" t="s">
        <v>11</v>
      </c>
      <c r="I76" t="s">
        <v>10</v>
      </c>
    </row>
    <row r="77" spans="1:9" x14ac:dyDescent="0.25">
      <c r="A77" t="str">
        <f t="shared" si="1"/>
        <v>89301000</v>
      </c>
      <c r="B77" t="str">
        <f>"0056265748"</f>
        <v>0056265748</v>
      </c>
      <c r="C77" s="1">
        <v>45218</v>
      </c>
      <c r="D77" s="1">
        <v>45220</v>
      </c>
      <c r="E77">
        <v>1</v>
      </c>
      <c r="F77" t="str">
        <f>"09-I08-02"</f>
        <v>09-I08-02</v>
      </c>
      <c r="G77">
        <v>1.0949</v>
      </c>
      <c r="H77" t="s">
        <v>14</v>
      </c>
      <c r="I77" t="s">
        <v>10</v>
      </c>
    </row>
    <row r="78" spans="1:9" x14ac:dyDescent="0.25">
      <c r="A78" t="str">
        <f t="shared" si="1"/>
        <v>89301000</v>
      </c>
      <c r="B78" t="str">
        <f>"0057085699"</f>
        <v>0057085699</v>
      </c>
      <c r="C78" s="1">
        <v>45142</v>
      </c>
      <c r="D78" s="1">
        <v>45144</v>
      </c>
      <c r="E78">
        <v>1</v>
      </c>
      <c r="F78" t="str">
        <f>"14-M01-05"</f>
        <v>14-M01-05</v>
      </c>
      <c r="G78">
        <v>0.56289999999999996</v>
      </c>
      <c r="H78" t="s">
        <v>13</v>
      </c>
      <c r="I78" t="s">
        <v>10</v>
      </c>
    </row>
    <row r="79" spans="1:9" x14ac:dyDescent="0.25">
      <c r="A79" t="str">
        <f t="shared" si="1"/>
        <v>89301000</v>
      </c>
      <c r="B79" t="str">
        <f>"0057125706"</f>
        <v>0057125706</v>
      </c>
      <c r="C79" s="1">
        <v>44942</v>
      </c>
      <c r="D79" s="1">
        <v>44950</v>
      </c>
      <c r="E79">
        <v>1</v>
      </c>
      <c r="F79" t="str">
        <f>"14-I01-01"</f>
        <v>14-I01-01</v>
      </c>
      <c r="G79">
        <v>1.5657000000000001</v>
      </c>
      <c r="H79" t="s">
        <v>13</v>
      </c>
      <c r="I79" t="s">
        <v>10</v>
      </c>
    </row>
    <row r="80" spans="1:9" x14ac:dyDescent="0.25">
      <c r="A80" t="str">
        <f t="shared" si="1"/>
        <v>89301000</v>
      </c>
      <c r="B80" t="str">
        <f>"0057145759"</f>
        <v>0057145759</v>
      </c>
      <c r="C80" s="1">
        <v>44952</v>
      </c>
      <c r="D80" s="1">
        <v>44981</v>
      </c>
      <c r="E80">
        <v>1</v>
      </c>
      <c r="F80" t="str">
        <f>"19-K07-02"</f>
        <v>19-K07-02</v>
      </c>
      <c r="G80">
        <v>2.5350000000000001</v>
      </c>
      <c r="H80" t="s">
        <v>15</v>
      </c>
      <c r="I80" t="s">
        <v>10</v>
      </c>
    </row>
    <row r="81" spans="1:9" x14ac:dyDescent="0.25">
      <c r="A81" t="str">
        <f t="shared" si="1"/>
        <v>89301000</v>
      </c>
      <c r="B81" t="str">
        <f>"0057215301"</f>
        <v>0057215301</v>
      </c>
      <c r="C81" s="1">
        <v>45175</v>
      </c>
      <c r="D81" s="1">
        <v>45181</v>
      </c>
      <c r="E81">
        <v>1</v>
      </c>
      <c r="F81" t="str">
        <f>"06-I07-05"</f>
        <v>06-I07-05</v>
      </c>
      <c r="G81">
        <v>2.7919999999999998</v>
      </c>
      <c r="H81" t="s">
        <v>12</v>
      </c>
      <c r="I81" t="s">
        <v>10</v>
      </c>
    </row>
    <row r="82" spans="1:9" x14ac:dyDescent="0.25">
      <c r="A82" t="str">
        <f t="shared" si="1"/>
        <v>89301000</v>
      </c>
      <c r="B82" t="str">
        <f>"0057235585"</f>
        <v>0057235585</v>
      </c>
      <c r="C82" s="1">
        <v>45194</v>
      </c>
      <c r="D82" s="1">
        <v>45196</v>
      </c>
      <c r="E82">
        <v>1</v>
      </c>
      <c r="F82" t="str">
        <f>"08-K02-03"</f>
        <v>08-K02-03</v>
      </c>
      <c r="G82">
        <v>0.6361</v>
      </c>
      <c r="H82" t="s">
        <v>11</v>
      </c>
      <c r="I82" t="s">
        <v>10</v>
      </c>
    </row>
    <row r="83" spans="1:9" x14ac:dyDescent="0.25">
      <c r="A83" t="str">
        <f t="shared" si="1"/>
        <v>89301000</v>
      </c>
      <c r="B83" t="str">
        <f>"0057266286"</f>
        <v>0057266286</v>
      </c>
      <c r="C83" s="1">
        <v>45077</v>
      </c>
      <c r="D83" s="1">
        <v>45079</v>
      </c>
      <c r="E83">
        <v>1</v>
      </c>
      <c r="F83" t="str">
        <f>"01-K07-03"</f>
        <v>01-K07-03</v>
      </c>
      <c r="G83">
        <v>0.48680000000000001</v>
      </c>
      <c r="H83" t="s">
        <v>11</v>
      </c>
      <c r="I83" t="s">
        <v>10</v>
      </c>
    </row>
    <row r="84" spans="1:9" x14ac:dyDescent="0.25">
      <c r="A84" t="str">
        <f t="shared" si="1"/>
        <v>89301000</v>
      </c>
      <c r="B84" t="str">
        <f>"0057295700"</f>
        <v>0057295700</v>
      </c>
      <c r="C84" s="1">
        <v>45243</v>
      </c>
      <c r="D84" s="1">
        <v>45281</v>
      </c>
      <c r="E84">
        <v>1</v>
      </c>
      <c r="F84" t="str">
        <f>"19-K08-02"</f>
        <v>19-K08-02</v>
      </c>
      <c r="G84">
        <v>4.4416000000000002</v>
      </c>
      <c r="H84" t="s">
        <v>15</v>
      </c>
      <c r="I84" t="s">
        <v>10</v>
      </c>
    </row>
    <row r="85" spans="1:9" x14ac:dyDescent="0.25">
      <c r="A85" t="str">
        <f t="shared" si="1"/>
        <v>89301000</v>
      </c>
      <c r="B85" t="str">
        <f>"0057296074"</f>
        <v>0057296074</v>
      </c>
      <c r="C85" s="1">
        <v>45265</v>
      </c>
      <c r="D85" s="1">
        <v>45267</v>
      </c>
      <c r="E85">
        <v>1</v>
      </c>
      <c r="F85" t="str">
        <f>"06-I18-03"</f>
        <v>06-I18-03</v>
      </c>
      <c r="G85">
        <v>1.3418000000000001</v>
      </c>
      <c r="H85" t="s">
        <v>9</v>
      </c>
      <c r="I85" t="s">
        <v>10</v>
      </c>
    </row>
    <row r="86" spans="1:9" x14ac:dyDescent="0.25">
      <c r="A86" t="str">
        <f t="shared" si="1"/>
        <v>89301000</v>
      </c>
      <c r="B86" t="str">
        <f>"0057790513"</f>
        <v>0057790513</v>
      </c>
      <c r="C86" s="1">
        <v>45036</v>
      </c>
      <c r="D86" s="1">
        <v>45037</v>
      </c>
      <c r="E86">
        <v>6</v>
      </c>
      <c r="F86" t="str">
        <f>"14-M01-05"</f>
        <v>14-M01-05</v>
      </c>
      <c r="G86">
        <v>0.56589999999999996</v>
      </c>
      <c r="H86" t="s">
        <v>13</v>
      </c>
      <c r="I86" t="s">
        <v>16</v>
      </c>
    </row>
    <row r="87" spans="1:9" x14ac:dyDescent="0.25">
      <c r="A87" t="str">
        <f t="shared" si="1"/>
        <v>89301000</v>
      </c>
      <c r="B87" t="str">
        <f>"0058025704"</f>
        <v>0058025704</v>
      </c>
      <c r="C87" s="1">
        <v>45013</v>
      </c>
      <c r="D87" s="1">
        <v>45015</v>
      </c>
      <c r="E87">
        <v>1</v>
      </c>
      <c r="F87" t="str">
        <f>"03-I18-03"</f>
        <v>03-I18-03</v>
      </c>
      <c r="G87">
        <v>0.83940000000000003</v>
      </c>
      <c r="H87" t="s">
        <v>9</v>
      </c>
      <c r="I87" t="s">
        <v>10</v>
      </c>
    </row>
    <row r="88" spans="1:9" x14ac:dyDescent="0.25">
      <c r="A88" t="str">
        <f t="shared" si="1"/>
        <v>89301000</v>
      </c>
      <c r="B88" t="str">
        <f>"0058115750"</f>
        <v>0058115750</v>
      </c>
      <c r="C88" s="1">
        <v>44928</v>
      </c>
      <c r="D88" s="1">
        <v>44933</v>
      </c>
      <c r="E88">
        <v>1</v>
      </c>
      <c r="F88" t="str">
        <f>"13-I14-02"</f>
        <v>13-I14-02</v>
      </c>
      <c r="G88">
        <v>1.4349000000000001</v>
      </c>
      <c r="H88" t="s">
        <v>9</v>
      </c>
      <c r="I88" t="s">
        <v>10</v>
      </c>
    </row>
    <row r="89" spans="1:9" x14ac:dyDescent="0.25">
      <c r="A89" t="str">
        <f t="shared" si="1"/>
        <v>89301000</v>
      </c>
      <c r="B89" t="str">
        <f>"0058265702"</f>
        <v>0058265702</v>
      </c>
      <c r="C89" s="1">
        <v>45245</v>
      </c>
      <c r="D89" s="1">
        <v>45246</v>
      </c>
      <c r="E89">
        <v>1</v>
      </c>
      <c r="F89" t="str">
        <f>"11-M05-02"</f>
        <v>11-M05-02</v>
      </c>
      <c r="G89">
        <v>0.6694</v>
      </c>
      <c r="H89" t="s">
        <v>12</v>
      </c>
      <c r="I89" t="s">
        <v>10</v>
      </c>
    </row>
    <row r="90" spans="1:9" x14ac:dyDescent="0.25">
      <c r="A90" t="str">
        <f t="shared" si="1"/>
        <v>89301000</v>
      </c>
      <c r="B90" t="str">
        <f>"0058265702"</f>
        <v>0058265702</v>
      </c>
      <c r="C90" s="1">
        <v>44969</v>
      </c>
      <c r="D90" s="1">
        <v>44970</v>
      </c>
      <c r="E90">
        <v>1</v>
      </c>
      <c r="F90" t="str">
        <f>"14-K03-02"</f>
        <v>14-K03-02</v>
      </c>
      <c r="G90">
        <v>0.30149999999999999</v>
      </c>
      <c r="H90" t="s">
        <v>11</v>
      </c>
      <c r="I90" t="s">
        <v>10</v>
      </c>
    </row>
    <row r="91" spans="1:9" x14ac:dyDescent="0.25">
      <c r="A91" t="str">
        <f t="shared" si="1"/>
        <v>89301000</v>
      </c>
      <c r="B91" t="str">
        <f>"0059076072"</f>
        <v>0059076072</v>
      </c>
      <c r="C91" s="1">
        <v>45068</v>
      </c>
      <c r="D91" s="1">
        <v>45082</v>
      </c>
      <c r="E91">
        <v>1</v>
      </c>
      <c r="F91" t="str">
        <f>"01-I03-03"</f>
        <v>01-I03-03</v>
      </c>
      <c r="G91">
        <v>2.8252999999999999</v>
      </c>
      <c r="H91" t="s">
        <v>14</v>
      </c>
      <c r="I91" t="s">
        <v>10</v>
      </c>
    </row>
    <row r="92" spans="1:9" x14ac:dyDescent="0.25">
      <c r="A92" t="str">
        <f t="shared" si="1"/>
        <v>89301000</v>
      </c>
      <c r="B92" t="str">
        <f>"0059124021"</f>
        <v>0059124021</v>
      </c>
      <c r="C92" s="1">
        <v>45096</v>
      </c>
      <c r="D92" s="1">
        <v>45099</v>
      </c>
      <c r="E92">
        <v>1</v>
      </c>
      <c r="F92" t="str">
        <f>"14-M01-05"</f>
        <v>14-M01-05</v>
      </c>
      <c r="G92">
        <v>0.56289999999999996</v>
      </c>
      <c r="H92" t="s">
        <v>13</v>
      </c>
      <c r="I92" t="s">
        <v>10</v>
      </c>
    </row>
    <row r="93" spans="1:9" x14ac:dyDescent="0.25">
      <c r="A93" t="str">
        <f t="shared" si="1"/>
        <v>89301000</v>
      </c>
      <c r="B93" t="str">
        <f>"0060065720"</f>
        <v>0060065720</v>
      </c>
      <c r="C93" s="1">
        <v>44965</v>
      </c>
      <c r="D93" s="1">
        <v>44969</v>
      </c>
      <c r="E93">
        <v>1</v>
      </c>
      <c r="F93" t="str">
        <f>"08-M03-04"</f>
        <v>08-M03-04</v>
      </c>
      <c r="G93">
        <v>0.88759999999999994</v>
      </c>
      <c r="H93" t="s">
        <v>11</v>
      </c>
      <c r="I93" t="s">
        <v>10</v>
      </c>
    </row>
    <row r="94" spans="1:9" x14ac:dyDescent="0.25">
      <c r="A94" t="str">
        <f t="shared" si="1"/>
        <v>89301000</v>
      </c>
      <c r="B94" t="str">
        <f>"0060065720"</f>
        <v>0060065720</v>
      </c>
      <c r="C94" s="1">
        <v>45127</v>
      </c>
      <c r="D94" s="1">
        <v>45130</v>
      </c>
      <c r="E94">
        <v>1</v>
      </c>
      <c r="F94" t="str">
        <f>"08-M03-04"</f>
        <v>08-M03-04</v>
      </c>
      <c r="G94">
        <v>0.87760000000000005</v>
      </c>
      <c r="H94" t="s">
        <v>11</v>
      </c>
      <c r="I94" t="s">
        <v>10</v>
      </c>
    </row>
    <row r="95" spans="1:9" x14ac:dyDescent="0.25">
      <c r="A95" t="str">
        <f t="shared" si="1"/>
        <v>89301000</v>
      </c>
      <c r="B95" t="str">
        <f>"0060124086"</f>
        <v>0060124086</v>
      </c>
      <c r="C95" s="1">
        <v>45015</v>
      </c>
      <c r="D95" s="1">
        <v>45017</v>
      </c>
      <c r="E95">
        <v>1</v>
      </c>
      <c r="F95" t="str">
        <f>"08-M03-05"</f>
        <v>08-M03-05</v>
      </c>
      <c r="G95">
        <v>0.46910000000000002</v>
      </c>
      <c r="H95" t="s">
        <v>11</v>
      </c>
      <c r="I95" t="s">
        <v>10</v>
      </c>
    </row>
    <row r="96" spans="1:9" x14ac:dyDescent="0.25">
      <c r="A96" t="str">
        <f t="shared" si="1"/>
        <v>89301000</v>
      </c>
      <c r="B96" t="str">
        <f>"0060174389"</f>
        <v>0060174389</v>
      </c>
      <c r="C96" s="1">
        <v>44970</v>
      </c>
      <c r="D96" s="1">
        <v>44992</v>
      </c>
      <c r="E96">
        <v>1</v>
      </c>
      <c r="F96" t="str">
        <f>"19-K05-02"</f>
        <v>19-K05-02</v>
      </c>
      <c r="G96">
        <v>1.7688999999999999</v>
      </c>
      <c r="H96" t="s">
        <v>15</v>
      </c>
      <c r="I96" t="s">
        <v>10</v>
      </c>
    </row>
    <row r="97" spans="1:9" x14ac:dyDescent="0.25">
      <c r="A97" t="str">
        <f t="shared" si="1"/>
        <v>89301000</v>
      </c>
      <c r="B97" t="str">
        <f>"0060204859"</f>
        <v>0060204859</v>
      </c>
      <c r="C97" s="1">
        <v>45157</v>
      </c>
      <c r="D97" s="1">
        <v>45162</v>
      </c>
      <c r="E97">
        <v>1</v>
      </c>
      <c r="F97" t="str">
        <f>"14-M01-05"</f>
        <v>14-M01-05</v>
      </c>
      <c r="G97">
        <v>0.56289999999999996</v>
      </c>
      <c r="H97" t="s">
        <v>13</v>
      </c>
      <c r="I97" t="s">
        <v>10</v>
      </c>
    </row>
    <row r="98" spans="1:9" x14ac:dyDescent="0.25">
      <c r="A98" t="str">
        <f t="shared" si="1"/>
        <v>89301000</v>
      </c>
      <c r="B98" t="str">
        <f>"0060294850"</f>
        <v>0060294850</v>
      </c>
      <c r="C98" s="1">
        <v>45172</v>
      </c>
      <c r="D98" s="1">
        <v>45175</v>
      </c>
      <c r="E98">
        <v>1</v>
      </c>
      <c r="F98" t="str">
        <f>"06-I18-05"</f>
        <v>06-I18-05</v>
      </c>
      <c r="G98">
        <v>0.82420000000000004</v>
      </c>
      <c r="H98" t="s">
        <v>9</v>
      </c>
      <c r="I98" t="s">
        <v>10</v>
      </c>
    </row>
    <row r="99" spans="1:9" x14ac:dyDescent="0.25">
      <c r="A99" t="str">
        <f t="shared" si="1"/>
        <v>89301000</v>
      </c>
      <c r="B99" t="str">
        <f>"0061045721"</f>
        <v>0061045721</v>
      </c>
      <c r="C99" s="1">
        <v>45152</v>
      </c>
      <c r="D99" s="1">
        <v>45155</v>
      </c>
      <c r="E99">
        <v>1</v>
      </c>
      <c r="F99" t="str">
        <f>"06-I18-05"</f>
        <v>06-I18-05</v>
      </c>
      <c r="G99">
        <v>0.82420000000000004</v>
      </c>
      <c r="H99" t="s">
        <v>9</v>
      </c>
      <c r="I99" t="s">
        <v>10</v>
      </c>
    </row>
    <row r="100" spans="1:9" x14ac:dyDescent="0.25">
      <c r="A100" t="str">
        <f t="shared" si="1"/>
        <v>89301000</v>
      </c>
      <c r="B100" t="str">
        <f>"0061185091"</f>
        <v>0061185091</v>
      </c>
      <c r="C100" s="1">
        <v>45200</v>
      </c>
      <c r="D100" s="1">
        <v>45204</v>
      </c>
      <c r="E100">
        <v>1</v>
      </c>
      <c r="F100" t="str">
        <f>"10-I13-03"</f>
        <v>10-I13-03</v>
      </c>
      <c r="G100">
        <v>0.86270000000000002</v>
      </c>
      <c r="H100" t="s">
        <v>9</v>
      </c>
      <c r="I100" t="s">
        <v>10</v>
      </c>
    </row>
    <row r="101" spans="1:9" x14ac:dyDescent="0.25">
      <c r="A101" t="str">
        <f t="shared" si="1"/>
        <v>89301000</v>
      </c>
      <c r="B101" t="str">
        <f>"0062195749"</f>
        <v>0062195749</v>
      </c>
      <c r="C101" s="1">
        <v>45204</v>
      </c>
      <c r="D101" s="1">
        <v>45206</v>
      </c>
      <c r="E101">
        <v>1</v>
      </c>
      <c r="F101" t="str">
        <f>"08-I32-00"</f>
        <v>08-I32-00</v>
      </c>
      <c r="G101">
        <v>0.4093</v>
      </c>
      <c r="H101" t="s">
        <v>11</v>
      </c>
      <c r="I101" t="s">
        <v>10</v>
      </c>
    </row>
    <row r="102" spans="1:9" x14ac:dyDescent="0.25">
      <c r="A102" t="str">
        <f t="shared" si="1"/>
        <v>89301000</v>
      </c>
      <c r="B102" t="str">
        <f>"0062225724"</f>
        <v>0062225724</v>
      </c>
      <c r="C102" s="1">
        <v>45092</v>
      </c>
      <c r="D102" s="1">
        <v>45094</v>
      </c>
      <c r="E102">
        <v>1</v>
      </c>
      <c r="F102" t="str">
        <f>"08-M03-04"</f>
        <v>08-M03-04</v>
      </c>
      <c r="G102">
        <v>0.87760000000000005</v>
      </c>
      <c r="H102" t="s">
        <v>11</v>
      </c>
      <c r="I102" t="s">
        <v>10</v>
      </c>
    </row>
    <row r="103" spans="1:9" x14ac:dyDescent="0.25">
      <c r="A103" t="str">
        <f t="shared" si="1"/>
        <v>89301000</v>
      </c>
      <c r="B103" t="str">
        <f>"0101035748"</f>
        <v>0101035748</v>
      </c>
      <c r="C103" s="1">
        <v>44981</v>
      </c>
      <c r="D103" s="1">
        <v>44983</v>
      </c>
      <c r="E103">
        <v>1</v>
      </c>
      <c r="F103" t="str">
        <f>"16-I04-01"</f>
        <v>16-I04-01</v>
      </c>
      <c r="G103">
        <v>0.93820000000000003</v>
      </c>
      <c r="H103" t="s">
        <v>12</v>
      </c>
      <c r="I103" t="s">
        <v>10</v>
      </c>
    </row>
    <row r="104" spans="1:9" x14ac:dyDescent="0.25">
      <c r="A104" t="str">
        <f t="shared" si="1"/>
        <v>89301000</v>
      </c>
      <c r="B104" t="str">
        <f>"0101106082"</f>
        <v>0101106082</v>
      </c>
      <c r="C104" s="1">
        <v>45159</v>
      </c>
      <c r="D104" s="1">
        <v>45161</v>
      </c>
      <c r="E104">
        <v>1</v>
      </c>
      <c r="F104" t="str">
        <f>"05-I30-02"</f>
        <v>05-I30-02</v>
      </c>
      <c r="G104">
        <v>0.41699999999999998</v>
      </c>
      <c r="H104" t="s">
        <v>12</v>
      </c>
      <c r="I104" t="s">
        <v>10</v>
      </c>
    </row>
    <row r="105" spans="1:9" x14ac:dyDescent="0.25">
      <c r="A105" t="str">
        <f t="shared" si="1"/>
        <v>89301000</v>
      </c>
      <c r="B105" t="str">
        <f>"0101124848"</f>
        <v>0101124848</v>
      </c>
      <c r="C105" s="1">
        <v>45017</v>
      </c>
      <c r="D105" s="1">
        <v>45022</v>
      </c>
      <c r="E105">
        <v>1</v>
      </c>
      <c r="F105" t="str">
        <f>"23-K04-02"</f>
        <v>23-K04-02</v>
      </c>
      <c r="G105">
        <v>0.38150000000000001</v>
      </c>
      <c r="H105" t="s">
        <v>11</v>
      </c>
      <c r="I105" t="s">
        <v>10</v>
      </c>
    </row>
    <row r="106" spans="1:9" x14ac:dyDescent="0.25">
      <c r="A106" t="str">
        <f t="shared" si="1"/>
        <v>89301000</v>
      </c>
      <c r="B106" t="str">
        <f>"0101125761"</f>
        <v>0101125761</v>
      </c>
      <c r="C106" s="1">
        <v>45061</v>
      </c>
      <c r="D106" s="1">
        <v>45071</v>
      </c>
      <c r="E106">
        <v>1</v>
      </c>
      <c r="F106" t="str">
        <f>"03-I11-03"</f>
        <v>03-I11-03</v>
      </c>
      <c r="G106">
        <v>1.1267</v>
      </c>
      <c r="H106" t="s">
        <v>12</v>
      </c>
      <c r="I106" t="s">
        <v>10</v>
      </c>
    </row>
    <row r="107" spans="1:9" x14ac:dyDescent="0.25">
      <c r="A107" t="str">
        <f t="shared" si="1"/>
        <v>89301000</v>
      </c>
      <c r="B107" t="str">
        <f>"0102065722"</f>
        <v>0102065722</v>
      </c>
      <c r="C107" s="1">
        <v>45278</v>
      </c>
      <c r="D107" s="1">
        <v>45287</v>
      </c>
      <c r="E107">
        <v>1</v>
      </c>
      <c r="F107" t="str">
        <f>"07-M02-01"</f>
        <v>07-M02-01</v>
      </c>
      <c r="G107">
        <v>2.5592000000000001</v>
      </c>
      <c r="H107" t="s">
        <v>12</v>
      </c>
      <c r="I107" t="s">
        <v>10</v>
      </c>
    </row>
    <row r="108" spans="1:9" x14ac:dyDescent="0.25">
      <c r="A108" t="str">
        <f t="shared" si="1"/>
        <v>89301000</v>
      </c>
      <c r="B108" t="str">
        <f>"0102065722"</f>
        <v>0102065722</v>
      </c>
      <c r="C108" s="1">
        <v>45211</v>
      </c>
      <c r="D108" s="1">
        <v>45226</v>
      </c>
      <c r="E108">
        <v>1</v>
      </c>
      <c r="F108" t="str">
        <f>"07-M02-03"</f>
        <v>07-M02-03</v>
      </c>
      <c r="G108">
        <v>1.2942</v>
      </c>
      <c r="H108" t="s">
        <v>12</v>
      </c>
      <c r="I108" t="s">
        <v>10</v>
      </c>
    </row>
    <row r="109" spans="1:9" x14ac:dyDescent="0.25">
      <c r="A109" t="str">
        <f t="shared" si="1"/>
        <v>89301000</v>
      </c>
      <c r="B109" t="str">
        <f>"0102094861"</f>
        <v>0102094861</v>
      </c>
      <c r="C109" s="1">
        <v>44907</v>
      </c>
      <c r="D109" s="1">
        <v>44939</v>
      </c>
      <c r="E109">
        <v>1</v>
      </c>
      <c r="F109" t="str">
        <f>"00-M07-00"</f>
        <v>00-M07-00</v>
      </c>
      <c r="G109">
        <v>9.5532000000000004</v>
      </c>
      <c r="H109" t="s">
        <v>14</v>
      </c>
      <c r="I109" t="s">
        <v>10</v>
      </c>
    </row>
    <row r="110" spans="1:9" x14ac:dyDescent="0.25">
      <c r="A110" t="str">
        <f t="shared" si="1"/>
        <v>89301000</v>
      </c>
      <c r="B110" t="str">
        <f>"0102094861"</f>
        <v>0102094861</v>
      </c>
      <c r="C110" s="1">
        <v>44952</v>
      </c>
      <c r="D110" s="1">
        <v>44960</v>
      </c>
      <c r="E110">
        <v>1</v>
      </c>
      <c r="F110" t="str">
        <f>"17-K05-01"</f>
        <v>17-K05-01</v>
      </c>
      <c r="G110">
        <v>1.9595</v>
      </c>
      <c r="H110" t="s">
        <v>11</v>
      </c>
      <c r="I110" t="s">
        <v>10</v>
      </c>
    </row>
    <row r="111" spans="1:9" x14ac:dyDescent="0.25">
      <c r="A111" t="str">
        <f t="shared" si="1"/>
        <v>89301000</v>
      </c>
      <c r="B111" t="str">
        <f>"0102105707"</f>
        <v>0102105707</v>
      </c>
      <c r="C111" s="1">
        <v>44942</v>
      </c>
      <c r="D111" s="1">
        <v>44956</v>
      </c>
      <c r="E111">
        <v>1</v>
      </c>
      <c r="F111" t="str">
        <f>"03-I16-01"</f>
        <v>03-I16-01</v>
      </c>
      <c r="G111">
        <v>1.7701</v>
      </c>
      <c r="H111" t="s">
        <v>9</v>
      </c>
      <c r="I111" t="s">
        <v>10</v>
      </c>
    </row>
    <row r="112" spans="1:9" x14ac:dyDescent="0.25">
      <c r="A112" t="str">
        <f t="shared" si="1"/>
        <v>89301000</v>
      </c>
      <c r="B112" t="str">
        <f>"0102115706"</f>
        <v>0102115706</v>
      </c>
      <c r="C112" s="1">
        <v>45033</v>
      </c>
      <c r="D112" s="1">
        <v>45036</v>
      </c>
      <c r="E112">
        <v>1</v>
      </c>
      <c r="F112" t="str">
        <f>"08-I21-02"</f>
        <v>08-I21-02</v>
      </c>
      <c r="G112">
        <v>1.2658</v>
      </c>
      <c r="H112" t="s">
        <v>12</v>
      </c>
      <c r="I112" t="s">
        <v>10</v>
      </c>
    </row>
    <row r="113" spans="1:9" x14ac:dyDescent="0.25">
      <c r="A113" t="str">
        <f t="shared" si="1"/>
        <v>89301000</v>
      </c>
      <c r="B113" t="str">
        <f>"0102156153"</f>
        <v>0102156153</v>
      </c>
      <c r="C113" s="1">
        <v>44972</v>
      </c>
      <c r="D113" s="1">
        <v>44973</v>
      </c>
      <c r="E113">
        <v>1</v>
      </c>
      <c r="F113" t="str">
        <f>"12-I13-02"</f>
        <v>12-I13-02</v>
      </c>
      <c r="G113">
        <v>0.53879999999999995</v>
      </c>
      <c r="H113" t="s">
        <v>9</v>
      </c>
      <c r="I113" t="s">
        <v>10</v>
      </c>
    </row>
    <row r="114" spans="1:9" x14ac:dyDescent="0.25">
      <c r="A114" t="str">
        <f t="shared" si="1"/>
        <v>89301000</v>
      </c>
      <c r="B114" t="str">
        <f>"0102226157"</f>
        <v>0102226157</v>
      </c>
      <c r="C114" s="1">
        <v>45065</v>
      </c>
      <c r="D114" s="1">
        <v>45066</v>
      </c>
      <c r="E114">
        <v>1</v>
      </c>
      <c r="F114" t="str">
        <f>"01-K07-03"</f>
        <v>01-K07-03</v>
      </c>
      <c r="G114">
        <v>0.48680000000000001</v>
      </c>
      <c r="H114" t="s">
        <v>11</v>
      </c>
      <c r="I114" t="s">
        <v>10</v>
      </c>
    </row>
    <row r="115" spans="1:9" x14ac:dyDescent="0.25">
      <c r="A115" t="str">
        <f t="shared" si="1"/>
        <v>89301000</v>
      </c>
      <c r="B115" t="str">
        <f>"0103025758"</f>
        <v>0103025758</v>
      </c>
      <c r="C115" s="1">
        <v>45119</v>
      </c>
      <c r="D115" s="1">
        <v>45120</v>
      </c>
      <c r="E115">
        <v>1</v>
      </c>
      <c r="F115" t="str">
        <f>"20-K01-05"</f>
        <v>20-K01-05</v>
      </c>
      <c r="G115">
        <v>0.3952</v>
      </c>
      <c r="H115" t="s">
        <v>11</v>
      </c>
      <c r="I115" t="s">
        <v>10</v>
      </c>
    </row>
    <row r="116" spans="1:9" x14ac:dyDescent="0.25">
      <c r="A116" t="str">
        <f t="shared" si="1"/>
        <v>89301000</v>
      </c>
      <c r="B116" t="str">
        <f>"0103105717"</f>
        <v>0103105717</v>
      </c>
      <c r="C116" s="1">
        <v>45028</v>
      </c>
      <c r="D116" s="1">
        <v>45030</v>
      </c>
      <c r="E116">
        <v>1</v>
      </c>
      <c r="F116" t="str">
        <f>"05-I30-01"</f>
        <v>05-I30-01</v>
      </c>
      <c r="G116">
        <v>0.60309999999999997</v>
      </c>
      <c r="H116" t="s">
        <v>12</v>
      </c>
      <c r="I116" t="s">
        <v>10</v>
      </c>
    </row>
    <row r="117" spans="1:9" x14ac:dyDescent="0.25">
      <c r="A117" t="str">
        <f t="shared" si="1"/>
        <v>89301000</v>
      </c>
      <c r="B117" t="str">
        <f>"0103245703"</f>
        <v>0103245703</v>
      </c>
      <c r="C117" s="1">
        <v>45007</v>
      </c>
      <c r="D117" s="1">
        <v>45010</v>
      </c>
      <c r="E117">
        <v>1</v>
      </c>
      <c r="F117" t="str">
        <f>"07-I10-06"</f>
        <v>07-I10-06</v>
      </c>
      <c r="G117">
        <v>0.98419999999999996</v>
      </c>
      <c r="H117" t="s">
        <v>12</v>
      </c>
      <c r="I117" t="s">
        <v>10</v>
      </c>
    </row>
    <row r="118" spans="1:9" x14ac:dyDescent="0.25">
      <c r="A118" t="str">
        <f t="shared" si="1"/>
        <v>89301000</v>
      </c>
      <c r="B118" t="str">
        <f>"0103304850"</f>
        <v>0103304850</v>
      </c>
      <c r="C118" s="1">
        <v>45124</v>
      </c>
      <c r="D118" s="1">
        <v>45125</v>
      </c>
      <c r="E118">
        <v>1</v>
      </c>
      <c r="F118" t="str">
        <f>"12-I08-03"</f>
        <v>12-I08-03</v>
      </c>
      <c r="G118">
        <v>0.71730000000000005</v>
      </c>
      <c r="H118" t="s">
        <v>11</v>
      </c>
      <c r="I118" t="s">
        <v>10</v>
      </c>
    </row>
    <row r="119" spans="1:9" x14ac:dyDescent="0.25">
      <c r="A119" t="str">
        <f t="shared" si="1"/>
        <v>89301000</v>
      </c>
      <c r="B119" t="str">
        <f>"0104186148"</f>
        <v>0104186148</v>
      </c>
      <c r="C119" s="1">
        <v>45001</v>
      </c>
      <c r="D119" s="1">
        <v>45009</v>
      </c>
      <c r="E119">
        <v>1</v>
      </c>
      <c r="F119" t="str">
        <f>"03-I15-00"</f>
        <v>03-I15-00</v>
      </c>
      <c r="G119">
        <v>1.0006999999999999</v>
      </c>
      <c r="H119" t="s">
        <v>9</v>
      </c>
      <c r="I119" t="s">
        <v>10</v>
      </c>
    </row>
    <row r="120" spans="1:9" x14ac:dyDescent="0.25">
      <c r="A120" t="str">
        <f t="shared" si="1"/>
        <v>89301000</v>
      </c>
      <c r="B120" t="str">
        <f>"0104195707"</f>
        <v>0104195707</v>
      </c>
      <c r="C120" s="1">
        <v>44921</v>
      </c>
      <c r="D120" s="1">
        <v>44931</v>
      </c>
      <c r="E120">
        <v>1</v>
      </c>
      <c r="F120" t="str">
        <f>"06-I07-05"</f>
        <v>06-I07-05</v>
      </c>
      <c r="G120">
        <v>2.7919999999999998</v>
      </c>
      <c r="H120" t="s">
        <v>12</v>
      </c>
      <c r="I120" t="s">
        <v>10</v>
      </c>
    </row>
    <row r="121" spans="1:9" x14ac:dyDescent="0.25">
      <c r="A121" t="str">
        <f t="shared" si="1"/>
        <v>89301000</v>
      </c>
      <c r="B121" t="str">
        <f>"0104195707"</f>
        <v>0104195707</v>
      </c>
      <c r="C121" s="1">
        <v>45209</v>
      </c>
      <c r="D121" s="1">
        <v>45216</v>
      </c>
      <c r="E121">
        <v>1</v>
      </c>
      <c r="F121" t="str">
        <f>"06-I12-03"</f>
        <v>06-I12-03</v>
      </c>
      <c r="G121">
        <v>1.9540999999999999</v>
      </c>
      <c r="H121" t="s">
        <v>11</v>
      </c>
      <c r="I121" t="s">
        <v>10</v>
      </c>
    </row>
    <row r="122" spans="1:9" x14ac:dyDescent="0.25">
      <c r="A122" t="str">
        <f t="shared" si="1"/>
        <v>89301000</v>
      </c>
      <c r="B122" t="str">
        <f>"0105016219"</f>
        <v>0105016219</v>
      </c>
      <c r="C122" s="1">
        <v>45209</v>
      </c>
      <c r="D122" s="1">
        <v>45224</v>
      </c>
      <c r="E122">
        <v>1</v>
      </c>
      <c r="F122" t="str">
        <f>"19-K05-02"</f>
        <v>19-K05-02</v>
      </c>
      <c r="G122">
        <v>1.7688999999999999</v>
      </c>
      <c r="H122" t="s">
        <v>15</v>
      </c>
      <c r="I122" t="s">
        <v>10</v>
      </c>
    </row>
    <row r="123" spans="1:9" x14ac:dyDescent="0.25">
      <c r="A123" t="str">
        <f t="shared" si="1"/>
        <v>89301000</v>
      </c>
      <c r="B123" t="str">
        <f>"0105075740"</f>
        <v>0105075740</v>
      </c>
      <c r="C123" s="1">
        <v>44985</v>
      </c>
      <c r="D123" s="1">
        <v>44995</v>
      </c>
      <c r="E123">
        <v>1</v>
      </c>
      <c r="F123" t="str">
        <f>"19-K04-02"</f>
        <v>19-K04-02</v>
      </c>
      <c r="G123">
        <v>1.3379000000000001</v>
      </c>
      <c r="H123" t="s">
        <v>15</v>
      </c>
      <c r="I123" t="s">
        <v>10</v>
      </c>
    </row>
    <row r="124" spans="1:9" x14ac:dyDescent="0.25">
      <c r="A124" t="str">
        <f t="shared" si="1"/>
        <v>89301000</v>
      </c>
      <c r="B124" t="str">
        <f>"0105125702"</f>
        <v>0105125702</v>
      </c>
      <c r="C124" s="1">
        <v>45266</v>
      </c>
      <c r="D124" s="1">
        <v>45279</v>
      </c>
      <c r="E124">
        <v>4</v>
      </c>
      <c r="F124" t="str">
        <f>"25-I02-01"</f>
        <v>25-I02-01</v>
      </c>
      <c r="G124">
        <v>9.1282999999999994</v>
      </c>
      <c r="H124" t="s">
        <v>14</v>
      </c>
      <c r="I124" t="s">
        <v>10</v>
      </c>
    </row>
    <row r="125" spans="1:9" x14ac:dyDescent="0.25">
      <c r="A125" t="str">
        <f t="shared" si="1"/>
        <v>89301000</v>
      </c>
      <c r="B125" t="str">
        <f>"0106185739"</f>
        <v>0106185739</v>
      </c>
      <c r="C125" s="1">
        <v>45074</v>
      </c>
      <c r="D125" s="1">
        <v>45076</v>
      </c>
      <c r="E125">
        <v>1</v>
      </c>
      <c r="F125" t="str">
        <f>"05-K02-02"</f>
        <v>05-K02-02</v>
      </c>
      <c r="G125">
        <v>0.77410000000000001</v>
      </c>
      <c r="H125" t="s">
        <v>11</v>
      </c>
      <c r="I125" t="s">
        <v>10</v>
      </c>
    </row>
    <row r="126" spans="1:9" x14ac:dyDescent="0.25">
      <c r="A126" t="str">
        <f t="shared" si="1"/>
        <v>89301000</v>
      </c>
      <c r="B126" t="str">
        <f>"0106255710"</f>
        <v>0106255710</v>
      </c>
      <c r="C126" s="1">
        <v>45221</v>
      </c>
      <c r="D126" s="1">
        <v>45236</v>
      </c>
      <c r="E126">
        <v>1</v>
      </c>
      <c r="F126" t="str">
        <f>"20-K04-01"</f>
        <v>20-K04-01</v>
      </c>
      <c r="G126">
        <v>1.5724</v>
      </c>
      <c r="H126" t="s">
        <v>11</v>
      </c>
      <c r="I126" t="s">
        <v>10</v>
      </c>
    </row>
    <row r="127" spans="1:9" x14ac:dyDescent="0.25">
      <c r="A127" t="str">
        <f t="shared" si="1"/>
        <v>89301000</v>
      </c>
      <c r="B127" t="str">
        <f>"0107116174"</f>
        <v>0107116174</v>
      </c>
      <c r="C127" s="1">
        <v>45248</v>
      </c>
      <c r="D127" s="1">
        <v>45254</v>
      </c>
      <c r="E127">
        <v>1</v>
      </c>
      <c r="F127" t="str">
        <f>"19-K03-03"</f>
        <v>19-K03-03</v>
      </c>
      <c r="G127">
        <v>0.90410000000000001</v>
      </c>
      <c r="H127" t="s">
        <v>15</v>
      </c>
      <c r="I127" t="s">
        <v>10</v>
      </c>
    </row>
    <row r="128" spans="1:9" x14ac:dyDescent="0.25">
      <c r="A128" t="str">
        <f t="shared" ref="A128:A191" si="2">"89301000"</f>
        <v>89301000</v>
      </c>
      <c r="B128" t="str">
        <f>"0107285717"</f>
        <v>0107285717</v>
      </c>
      <c r="C128" s="1">
        <v>45084</v>
      </c>
      <c r="D128" s="1">
        <v>45087</v>
      </c>
      <c r="E128">
        <v>1</v>
      </c>
      <c r="F128" t="str">
        <f>"05-M05-02"</f>
        <v>05-M05-02</v>
      </c>
      <c r="G128">
        <v>3.4817999999999998</v>
      </c>
      <c r="H128" t="s">
        <v>14</v>
      </c>
      <c r="I128" t="s">
        <v>10</v>
      </c>
    </row>
    <row r="129" spans="1:9" x14ac:dyDescent="0.25">
      <c r="A129" t="str">
        <f t="shared" si="2"/>
        <v>89301000</v>
      </c>
      <c r="B129" t="str">
        <f>"0108045707"</f>
        <v>0108045707</v>
      </c>
      <c r="C129" s="1">
        <v>45051</v>
      </c>
      <c r="D129" s="1">
        <v>45056</v>
      </c>
      <c r="E129">
        <v>1</v>
      </c>
      <c r="F129" t="str">
        <f>"06-I18-03"</f>
        <v>06-I18-03</v>
      </c>
      <c r="G129">
        <v>1.3418000000000001</v>
      </c>
      <c r="H129" t="s">
        <v>9</v>
      </c>
      <c r="I129" t="s">
        <v>10</v>
      </c>
    </row>
    <row r="130" spans="1:9" x14ac:dyDescent="0.25">
      <c r="A130" t="str">
        <f t="shared" si="2"/>
        <v>89301000</v>
      </c>
      <c r="B130" t="str">
        <f>"0108076155"</f>
        <v>0108076155</v>
      </c>
      <c r="C130" s="1">
        <v>44963</v>
      </c>
      <c r="D130" s="1">
        <v>44966</v>
      </c>
      <c r="E130">
        <v>1</v>
      </c>
      <c r="F130" t="str">
        <f>"01-D01-02"</f>
        <v>01-D01-02</v>
      </c>
      <c r="G130">
        <v>0.4461</v>
      </c>
      <c r="H130" t="s">
        <v>11</v>
      </c>
      <c r="I130" t="s">
        <v>10</v>
      </c>
    </row>
    <row r="131" spans="1:9" x14ac:dyDescent="0.25">
      <c r="A131" t="str">
        <f t="shared" si="2"/>
        <v>89301000</v>
      </c>
      <c r="B131" t="str">
        <f>"0108176167"</f>
        <v>0108176167</v>
      </c>
      <c r="C131" s="1">
        <v>45175</v>
      </c>
      <c r="D131" s="1">
        <v>45177</v>
      </c>
      <c r="E131">
        <v>1</v>
      </c>
      <c r="F131" t="str">
        <f>"08-M03-05"</f>
        <v>08-M03-05</v>
      </c>
      <c r="G131">
        <v>0.46810000000000002</v>
      </c>
      <c r="H131" t="s">
        <v>11</v>
      </c>
      <c r="I131" t="s">
        <v>10</v>
      </c>
    </row>
    <row r="132" spans="1:9" x14ac:dyDescent="0.25">
      <c r="A132" t="str">
        <f t="shared" si="2"/>
        <v>89301000</v>
      </c>
      <c r="B132" t="str">
        <f>"0108295726"</f>
        <v>0108295726</v>
      </c>
      <c r="C132" s="1">
        <v>45176</v>
      </c>
      <c r="D132" s="1">
        <v>45178</v>
      </c>
      <c r="E132">
        <v>1</v>
      </c>
      <c r="F132" t="str">
        <f>"08-I16-04"</f>
        <v>08-I16-04</v>
      </c>
      <c r="G132">
        <v>0.83040000000000003</v>
      </c>
      <c r="H132" t="s">
        <v>12</v>
      </c>
      <c r="I132" t="s">
        <v>10</v>
      </c>
    </row>
    <row r="133" spans="1:9" x14ac:dyDescent="0.25">
      <c r="A133" t="str">
        <f t="shared" si="2"/>
        <v>89301000</v>
      </c>
      <c r="B133" t="str">
        <f>"0109175726"</f>
        <v>0109175726</v>
      </c>
      <c r="C133" s="1">
        <v>45119</v>
      </c>
      <c r="D133" s="1">
        <v>45121</v>
      </c>
      <c r="E133">
        <v>1</v>
      </c>
      <c r="F133" t="str">
        <f>"10-K13-03"</f>
        <v>10-K13-03</v>
      </c>
      <c r="G133">
        <v>0.42780000000000001</v>
      </c>
      <c r="H133" t="s">
        <v>11</v>
      </c>
      <c r="I133" t="s">
        <v>10</v>
      </c>
    </row>
    <row r="134" spans="1:9" x14ac:dyDescent="0.25">
      <c r="A134" t="str">
        <f t="shared" si="2"/>
        <v>89301000</v>
      </c>
      <c r="B134" t="str">
        <f>"0111255716"</f>
        <v>0111255716</v>
      </c>
      <c r="C134" s="1">
        <v>44984</v>
      </c>
      <c r="D134" s="1">
        <v>44985</v>
      </c>
      <c r="E134">
        <v>1</v>
      </c>
      <c r="F134" t="str">
        <f>"12-I14-00"</f>
        <v>12-I14-00</v>
      </c>
      <c r="G134">
        <v>0.42920000000000003</v>
      </c>
      <c r="H134" t="s">
        <v>11</v>
      </c>
      <c r="I134" t="s">
        <v>10</v>
      </c>
    </row>
    <row r="135" spans="1:9" x14ac:dyDescent="0.25">
      <c r="A135" t="str">
        <f t="shared" si="2"/>
        <v>89301000</v>
      </c>
      <c r="B135" t="str">
        <f>"0112015706"</f>
        <v>0112015706</v>
      </c>
      <c r="C135" s="1">
        <v>45236</v>
      </c>
      <c r="D135" s="1">
        <v>45238</v>
      </c>
      <c r="E135">
        <v>1</v>
      </c>
      <c r="F135" t="str">
        <f>"08-M03-05"</f>
        <v>08-M03-05</v>
      </c>
      <c r="G135">
        <v>0.46810000000000002</v>
      </c>
      <c r="H135" t="s">
        <v>11</v>
      </c>
      <c r="I135" t="s">
        <v>10</v>
      </c>
    </row>
    <row r="136" spans="1:9" x14ac:dyDescent="0.25">
      <c r="A136" t="str">
        <f t="shared" si="2"/>
        <v>89301000</v>
      </c>
      <c r="B136" t="str">
        <f>"0112095742"</f>
        <v>0112095742</v>
      </c>
      <c r="C136" s="1">
        <v>44971</v>
      </c>
      <c r="D136" s="1">
        <v>44975</v>
      </c>
      <c r="E136">
        <v>1</v>
      </c>
      <c r="F136" t="str">
        <f>"03-I17-00"</f>
        <v>03-I17-00</v>
      </c>
      <c r="G136">
        <v>0.83489999999999998</v>
      </c>
      <c r="H136" t="s">
        <v>9</v>
      </c>
      <c r="I136" t="s">
        <v>10</v>
      </c>
    </row>
    <row r="137" spans="1:9" x14ac:dyDescent="0.25">
      <c r="A137" t="str">
        <f t="shared" si="2"/>
        <v>89301000</v>
      </c>
      <c r="B137" t="str">
        <f>"0112186140"</f>
        <v>0112186140</v>
      </c>
      <c r="C137" s="1">
        <v>45015</v>
      </c>
      <c r="D137" s="1">
        <v>45019</v>
      </c>
      <c r="E137">
        <v>1</v>
      </c>
      <c r="F137" t="str">
        <f>"23-K04-02"</f>
        <v>23-K04-02</v>
      </c>
      <c r="G137">
        <v>0.38429999999999997</v>
      </c>
      <c r="H137" t="s">
        <v>11</v>
      </c>
      <c r="I137" t="s">
        <v>10</v>
      </c>
    </row>
    <row r="138" spans="1:9" x14ac:dyDescent="0.25">
      <c r="A138" t="str">
        <f t="shared" si="2"/>
        <v>89301000</v>
      </c>
      <c r="B138" t="str">
        <f>"0151125733"</f>
        <v>0151125733</v>
      </c>
      <c r="C138" s="1">
        <v>45142</v>
      </c>
      <c r="D138" s="1">
        <v>45145</v>
      </c>
      <c r="E138">
        <v>1</v>
      </c>
      <c r="F138" t="str">
        <f>"14-M01-05"</f>
        <v>14-M01-05</v>
      </c>
      <c r="G138">
        <v>0.56289999999999996</v>
      </c>
      <c r="H138" t="s">
        <v>13</v>
      </c>
      <c r="I138" t="s">
        <v>10</v>
      </c>
    </row>
    <row r="139" spans="1:9" x14ac:dyDescent="0.25">
      <c r="A139" t="str">
        <f t="shared" si="2"/>
        <v>89301000</v>
      </c>
      <c r="B139" t="str">
        <f>"0151790529"</f>
        <v>0151790529</v>
      </c>
      <c r="C139" s="1">
        <v>45109</v>
      </c>
      <c r="D139" s="1">
        <v>45114</v>
      </c>
      <c r="E139">
        <v>1</v>
      </c>
      <c r="F139" t="str">
        <f>"14-M01-05"</f>
        <v>14-M01-05</v>
      </c>
      <c r="G139">
        <v>0.56589999999999996</v>
      </c>
      <c r="H139" t="s">
        <v>13</v>
      </c>
      <c r="I139" t="s">
        <v>10</v>
      </c>
    </row>
    <row r="140" spans="1:9" x14ac:dyDescent="0.25">
      <c r="A140" t="str">
        <f t="shared" si="2"/>
        <v>89301000</v>
      </c>
      <c r="B140" t="str">
        <f>"0152125721"</f>
        <v>0152125721</v>
      </c>
      <c r="C140" s="1">
        <v>44996</v>
      </c>
      <c r="D140" s="1">
        <v>45002</v>
      </c>
      <c r="E140">
        <v>1</v>
      </c>
      <c r="F140" t="str">
        <f>"09-K04-02"</f>
        <v>09-K04-02</v>
      </c>
      <c r="G140">
        <v>0.64849999999999997</v>
      </c>
      <c r="H140" t="s">
        <v>11</v>
      </c>
      <c r="I140" t="s">
        <v>10</v>
      </c>
    </row>
    <row r="141" spans="1:9" x14ac:dyDescent="0.25">
      <c r="A141" t="str">
        <f t="shared" si="2"/>
        <v>89301000</v>
      </c>
      <c r="B141" t="str">
        <f>"0152146214"</f>
        <v>0152146214</v>
      </c>
      <c r="C141" s="1">
        <v>45249</v>
      </c>
      <c r="D141" s="1">
        <v>45254</v>
      </c>
      <c r="E141">
        <v>1</v>
      </c>
      <c r="F141" t="str">
        <f>"19-K03-03"</f>
        <v>19-K03-03</v>
      </c>
      <c r="G141">
        <v>0.90410000000000001</v>
      </c>
      <c r="H141" t="s">
        <v>15</v>
      </c>
      <c r="I141" t="s">
        <v>10</v>
      </c>
    </row>
    <row r="142" spans="1:9" x14ac:dyDescent="0.25">
      <c r="A142" t="str">
        <f t="shared" si="2"/>
        <v>89301000</v>
      </c>
      <c r="B142" t="str">
        <f>"0153156157"</f>
        <v>0153156157</v>
      </c>
      <c r="C142" s="1">
        <v>45252</v>
      </c>
      <c r="D142" s="1">
        <v>45253</v>
      </c>
      <c r="E142">
        <v>1</v>
      </c>
      <c r="F142" t="str">
        <f>"05-M05-03"</f>
        <v>05-M05-03</v>
      </c>
      <c r="G142">
        <v>2.0312999999999999</v>
      </c>
      <c r="H142" t="s">
        <v>14</v>
      </c>
      <c r="I142" t="s">
        <v>10</v>
      </c>
    </row>
    <row r="143" spans="1:9" x14ac:dyDescent="0.25">
      <c r="A143" t="str">
        <f t="shared" si="2"/>
        <v>89301000</v>
      </c>
      <c r="B143" t="str">
        <f>"0153196142"</f>
        <v>0153196142</v>
      </c>
      <c r="C143" s="1">
        <v>45055</v>
      </c>
      <c r="D143" s="1">
        <v>45056</v>
      </c>
      <c r="E143">
        <v>1</v>
      </c>
      <c r="F143" t="str">
        <f>"14-M01-05"</f>
        <v>14-M01-05</v>
      </c>
      <c r="G143">
        <v>0.56289999999999996</v>
      </c>
      <c r="H143" t="s">
        <v>13</v>
      </c>
      <c r="I143" t="s">
        <v>10</v>
      </c>
    </row>
    <row r="144" spans="1:9" x14ac:dyDescent="0.25">
      <c r="A144" t="str">
        <f t="shared" si="2"/>
        <v>89301000</v>
      </c>
      <c r="B144" t="str">
        <f>"0154095766"</f>
        <v>0154095766</v>
      </c>
      <c r="C144" s="1">
        <v>45006</v>
      </c>
      <c r="D144" s="1">
        <v>45008</v>
      </c>
      <c r="E144">
        <v>1</v>
      </c>
      <c r="F144" t="str">
        <f>"09-I04-02"</f>
        <v>09-I04-02</v>
      </c>
      <c r="G144">
        <v>1.0899000000000001</v>
      </c>
      <c r="H144" t="s">
        <v>12</v>
      </c>
      <c r="I144" t="s">
        <v>10</v>
      </c>
    </row>
    <row r="145" spans="1:9" x14ac:dyDescent="0.25">
      <c r="A145" t="str">
        <f t="shared" si="2"/>
        <v>89301000</v>
      </c>
      <c r="B145" t="str">
        <f>"0154184855"</f>
        <v>0154184855</v>
      </c>
      <c r="C145" s="1">
        <v>45074</v>
      </c>
      <c r="D145" s="1">
        <v>45077</v>
      </c>
      <c r="E145">
        <v>1</v>
      </c>
      <c r="F145" t="str">
        <f>"13-I18-03"</f>
        <v>13-I18-03</v>
      </c>
      <c r="G145">
        <v>0.62870000000000004</v>
      </c>
      <c r="H145" t="s">
        <v>11</v>
      </c>
      <c r="I145" t="s">
        <v>10</v>
      </c>
    </row>
    <row r="146" spans="1:9" x14ac:dyDescent="0.25">
      <c r="A146" t="str">
        <f t="shared" si="2"/>
        <v>89301000</v>
      </c>
      <c r="B146" t="str">
        <f>"0154196108"</f>
        <v>0154196108</v>
      </c>
      <c r="C146" s="1">
        <v>45265</v>
      </c>
      <c r="D146" s="1">
        <v>45272</v>
      </c>
      <c r="E146">
        <v>1</v>
      </c>
      <c r="F146" t="str">
        <f>"14-M01-05"</f>
        <v>14-M01-05</v>
      </c>
      <c r="G146">
        <v>0.63339999999999996</v>
      </c>
      <c r="H146" t="s">
        <v>13</v>
      </c>
      <c r="I146" t="s">
        <v>10</v>
      </c>
    </row>
    <row r="147" spans="1:9" x14ac:dyDescent="0.25">
      <c r="A147" t="str">
        <f t="shared" si="2"/>
        <v>89301000</v>
      </c>
      <c r="B147" t="str">
        <f>"0154236214"</f>
        <v>0154236214</v>
      </c>
      <c r="C147" s="1">
        <v>45158</v>
      </c>
      <c r="D147" s="1">
        <v>45160</v>
      </c>
      <c r="E147">
        <v>1</v>
      </c>
      <c r="F147" t="str">
        <f>"02-I13-02"</f>
        <v>02-I13-02</v>
      </c>
      <c r="G147">
        <v>0.4259</v>
      </c>
      <c r="H147" t="s">
        <v>11</v>
      </c>
      <c r="I147" t="s">
        <v>10</v>
      </c>
    </row>
    <row r="148" spans="1:9" x14ac:dyDescent="0.25">
      <c r="A148" t="str">
        <f t="shared" si="2"/>
        <v>89301000</v>
      </c>
      <c r="B148" t="str">
        <f>"0154245707"</f>
        <v>0154245707</v>
      </c>
      <c r="C148" s="1">
        <v>45219</v>
      </c>
      <c r="D148" s="1">
        <v>45224</v>
      </c>
      <c r="E148">
        <v>1</v>
      </c>
      <c r="F148" t="str">
        <f>"14-M01-05"</f>
        <v>14-M01-05</v>
      </c>
      <c r="G148">
        <v>0.56289999999999996</v>
      </c>
      <c r="H148" t="s">
        <v>13</v>
      </c>
      <c r="I148" t="s">
        <v>10</v>
      </c>
    </row>
    <row r="149" spans="1:9" x14ac:dyDescent="0.25">
      <c r="A149" t="str">
        <f t="shared" si="2"/>
        <v>89301000</v>
      </c>
      <c r="B149" t="str">
        <f>"0154275726"</f>
        <v>0154275726</v>
      </c>
      <c r="C149" s="1">
        <v>45027</v>
      </c>
      <c r="D149" s="1">
        <v>45029</v>
      </c>
      <c r="E149">
        <v>1</v>
      </c>
      <c r="F149" t="str">
        <f>"08-I32-00"</f>
        <v>08-I32-00</v>
      </c>
      <c r="G149">
        <v>0.4093</v>
      </c>
      <c r="H149" t="s">
        <v>11</v>
      </c>
      <c r="I149" t="s">
        <v>10</v>
      </c>
    </row>
    <row r="150" spans="1:9" x14ac:dyDescent="0.25">
      <c r="A150" t="str">
        <f t="shared" si="2"/>
        <v>89301000</v>
      </c>
      <c r="B150" t="str">
        <f>"0155166176"</f>
        <v>0155166176</v>
      </c>
      <c r="C150" s="1">
        <v>45177</v>
      </c>
      <c r="D150" s="1">
        <v>45179</v>
      </c>
      <c r="E150">
        <v>1</v>
      </c>
      <c r="F150" t="str">
        <f>"13-K04-00"</f>
        <v>13-K04-00</v>
      </c>
      <c r="G150">
        <v>0.46960000000000002</v>
      </c>
      <c r="H150" t="s">
        <v>11</v>
      </c>
      <c r="I150" t="s">
        <v>10</v>
      </c>
    </row>
    <row r="151" spans="1:9" x14ac:dyDescent="0.25">
      <c r="A151" t="str">
        <f t="shared" si="2"/>
        <v>89301000</v>
      </c>
      <c r="B151" t="str">
        <f>"0155205721"</f>
        <v>0155205721</v>
      </c>
      <c r="C151" s="1">
        <v>44948</v>
      </c>
      <c r="D151" s="1">
        <v>44952</v>
      </c>
      <c r="E151">
        <v>1</v>
      </c>
      <c r="F151" t="str">
        <f>"14-I01-02"</f>
        <v>14-I01-02</v>
      </c>
      <c r="G151">
        <v>1.2988999999999999</v>
      </c>
      <c r="H151" t="s">
        <v>13</v>
      </c>
      <c r="I151" t="s">
        <v>10</v>
      </c>
    </row>
    <row r="152" spans="1:9" x14ac:dyDescent="0.25">
      <c r="A152" t="str">
        <f t="shared" si="2"/>
        <v>89301000</v>
      </c>
      <c r="B152" t="str">
        <f>"0155216215"</f>
        <v>0155216215</v>
      </c>
      <c r="C152" s="1">
        <v>45098</v>
      </c>
      <c r="D152" s="1">
        <v>45102</v>
      </c>
      <c r="E152">
        <v>1</v>
      </c>
      <c r="F152" t="str">
        <f>"14-M01-05"</f>
        <v>14-M01-05</v>
      </c>
      <c r="G152">
        <v>0.56289999999999996</v>
      </c>
      <c r="H152" t="s">
        <v>13</v>
      </c>
      <c r="I152" t="s">
        <v>10</v>
      </c>
    </row>
    <row r="153" spans="1:9" x14ac:dyDescent="0.25">
      <c r="A153" t="str">
        <f t="shared" si="2"/>
        <v>89301000</v>
      </c>
      <c r="B153" t="str">
        <f>"0155225752"</f>
        <v>0155225752</v>
      </c>
      <c r="C153" s="1">
        <v>45026</v>
      </c>
      <c r="D153" s="1">
        <v>45027</v>
      </c>
      <c r="E153">
        <v>1</v>
      </c>
      <c r="F153" t="str">
        <f>"01-K16-06"</f>
        <v>01-K16-06</v>
      </c>
      <c r="G153">
        <v>0.27150000000000002</v>
      </c>
      <c r="H153" t="s">
        <v>11</v>
      </c>
      <c r="I153" t="s">
        <v>10</v>
      </c>
    </row>
    <row r="154" spans="1:9" x14ac:dyDescent="0.25">
      <c r="A154" t="str">
        <f t="shared" si="2"/>
        <v>89301000</v>
      </c>
      <c r="B154" t="str">
        <f>"0155276143"</f>
        <v>0155276143</v>
      </c>
      <c r="C154" s="1">
        <v>44968</v>
      </c>
      <c r="D154" s="1">
        <v>44978</v>
      </c>
      <c r="E154">
        <v>1</v>
      </c>
      <c r="F154" t="str">
        <f>"06-I13-02"</f>
        <v>06-I13-02</v>
      </c>
      <c r="G154">
        <v>2.1128999999999998</v>
      </c>
      <c r="H154" t="s">
        <v>11</v>
      </c>
      <c r="I154" t="s">
        <v>10</v>
      </c>
    </row>
    <row r="155" spans="1:9" x14ac:dyDescent="0.25">
      <c r="A155" t="str">
        <f t="shared" si="2"/>
        <v>89301000</v>
      </c>
      <c r="B155" t="str">
        <f>"0156075931"</f>
        <v>0156075931</v>
      </c>
      <c r="C155" s="1">
        <v>45081</v>
      </c>
      <c r="D155" s="1">
        <v>45082</v>
      </c>
      <c r="E155">
        <v>1</v>
      </c>
      <c r="F155" t="str">
        <f>"20-K01-06"</f>
        <v>20-K01-06</v>
      </c>
      <c r="G155">
        <v>0.26919999999999999</v>
      </c>
      <c r="H155" t="s">
        <v>11</v>
      </c>
      <c r="I155" t="s">
        <v>10</v>
      </c>
    </row>
    <row r="156" spans="1:9" x14ac:dyDescent="0.25">
      <c r="A156" t="str">
        <f t="shared" si="2"/>
        <v>89301000</v>
      </c>
      <c r="B156" t="str">
        <f>"0156285756"</f>
        <v>0156285756</v>
      </c>
      <c r="C156" s="1">
        <v>45018</v>
      </c>
      <c r="D156" s="1">
        <v>45021</v>
      </c>
      <c r="E156">
        <v>1</v>
      </c>
      <c r="F156" t="str">
        <f>"07-I10-06"</f>
        <v>07-I10-06</v>
      </c>
      <c r="G156">
        <v>0.98419999999999996</v>
      </c>
      <c r="H156" t="s">
        <v>12</v>
      </c>
      <c r="I156" t="s">
        <v>10</v>
      </c>
    </row>
    <row r="157" spans="1:9" x14ac:dyDescent="0.25">
      <c r="A157" t="str">
        <f t="shared" si="2"/>
        <v>89301000</v>
      </c>
      <c r="B157" t="str">
        <f>"0156306293"</f>
        <v>0156306293</v>
      </c>
      <c r="C157" s="1">
        <v>44987</v>
      </c>
      <c r="D157" s="1">
        <v>44992</v>
      </c>
      <c r="E157">
        <v>1</v>
      </c>
      <c r="F157" t="str">
        <f>"14-M01-05"</f>
        <v>14-M01-05</v>
      </c>
      <c r="G157">
        <v>0.56289999999999996</v>
      </c>
      <c r="H157" t="s">
        <v>13</v>
      </c>
      <c r="I157" t="s">
        <v>10</v>
      </c>
    </row>
    <row r="158" spans="1:9" x14ac:dyDescent="0.25">
      <c r="A158" t="str">
        <f t="shared" si="2"/>
        <v>89301000</v>
      </c>
      <c r="B158" t="str">
        <f>"0157740517"</f>
        <v>0157740517</v>
      </c>
      <c r="C158" s="1">
        <v>45167</v>
      </c>
      <c r="D158" s="1">
        <v>45170</v>
      </c>
      <c r="E158">
        <v>1</v>
      </c>
      <c r="F158" t="str">
        <f>"14-M01-05"</f>
        <v>14-M01-05</v>
      </c>
      <c r="G158">
        <v>0.56289999999999996</v>
      </c>
      <c r="H158" t="s">
        <v>13</v>
      </c>
      <c r="I158" t="s">
        <v>10</v>
      </c>
    </row>
    <row r="159" spans="1:9" x14ac:dyDescent="0.25">
      <c r="A159" t="str">
        <f t="shared" si="2"/>
        <v>89301000</v>
      </c>
      <c r="B159" t="str">
        <f>"0158083860"</f>
        <v>0158083860</v>
      </c>
      <c r="C159" s="1">
        <v>44928</v>
      </c>
      <c r="D159" s="1">
        <v>44966</v>
      </c>
      <c r="E159">
        <v>1</v>
      </c>
      <c r="F159" t="str">
        <f>"19-K08-02"</f>
        <v>19-K08-02</v>
      </c>
      <c r="G159">
        <v>4.4416000000000002</v>
      </c>
      <c r="H159" t="s">
        <v>15</v>
      </c>
      <c r="I159" t="s">
        <v>10</v>
      </c>
    </row>
    <row r="160" spans="1:9" x14ac:dyDescent="0.25">
      <c r="A160" t="str">
        <f t="shared" si="2"/>
        <v>89301000</v>
      </c>
      <c r="B160" t="str">
        <f>"0158275777"</f>
        <v>0158275777</v>
      </c>
      <c r="C160" s="1">
        <v>45036</v>
      </c>
      <c r="D160" s="1">
        <v>45039</v>
      </c>
      <c r="E160">
        <v>1</v>
      </c>
      <c r="F160" t="str">
        <f>"17-C05-05"</f>
        <v>17-C05-05</v>
      </c>
      <c r="G160">
        <v>0.66069999999999995</v>
      </c>
      <c r="H160" t="s">
        <v>11</v>
      </c>
      <c r="I160" t="s">
        <v>10</v>
      </c>
    </row>
    <row r="161" spans="1:9" x14ac:dyDescent="0.25">
      <c r="A161" t="str">
        <f t="shared" si="2"/>
        <v>89301000</v>
      </c>
      <c r="B161" t="str">
        <f>"0158315718"</f>
        <v>0158315718</v>
      </c>
      <c r="C161" s="1">
        <v>45073</v>
      </c>
      <c r="D161" s="1">
        <v>45074</v>
      </c>
      <c r="E161">
        <v>1</v>
      </c>
      <c r="F161" t="str">
        <f>"08-K13-02"</f>
        <v>08-K13-02</v>
      </c>
      <c r="G161">
        <v>0.43440000000000001</v>
      </c>
      <c r="H161" t="s">
        <v>11</v>
      </c>
      <c r="I161" t="s">
        <v>10</v>
      </c>
    </row>
    <row r="162" spans="1:9" x14ac:dyDescent="0.25">
      <c r="A162" t="str">
        <f t="shared" si="2"/>
        <v>89301000</v>
      </c>
      <c r="B162" t="str">
        <f>"0159046151"</f>
        <v>0159046151</v>
      </c>
      <c r="C162" s="1">
        <v>45188</v>
      </c>
      <c r="D162" s="1">
        <v>45190</v>
      </c>
      <c r="E162">
        <v>1</v>
      </c>
      <c r="F162" t="str">
        <f>"14-M01-05"</f>
        <v>14-M01-05</v>
      </c>
      <c r="G162">
        <v>0.56289999999999996</v>
      </c>
      <c r="H162" t="s">
        <v>13</v>
      </c>
      <c r="I162" t="s">
        <v>10</v>
      </c>
    </row>
    <row r="163" spans="1:9" x14ac:dyDescent="0.25">
      <c r="A163" t="str">
        <f t="shared" si="2"/>
        <v>89301000</v>
      </c>
      <c r="B163" t="str">
        <f>"0159046151"</f>
        <v>0159046151</v>
      </c>
      <c r="C163" s="1">
        <v>45180</v>
      </c>
      <c r="D163" s="1">
        <v>45181</v>
      </c>
      <c r="E163">
        <v>1</v>
      </c>
      <c r="F163" t="str">
        <f>"14-K03-02"</f>
        <v>14-K03-02</v>
      </c>
      <c r="G163">
        <v>0.30149999999999999</v>
      </c>
      <c r="H163" t="s">
        <v>11</v>
      </c>
      <c r="I163" t="s">
        <v>10</v>
      </c>
    </row>
    <row r="164" spans="1:9" x14ac:dyDescent="0.25">
      <c r="A164" t="str">
        <f t="shared" si="2"/>
        <v>89301000</v>
      </c>
      <c r="B164" t="str">
        <f>"0159095706"</f>
        <v>0159095706</v>
      </c>
      <c r="C164" s="1">
        <v>45014</v>
      </c>
      <c r="D164" s="1">
        <v>45019</v>
      </c>
      <c r="E164">
        <v>1</v>
      </c>
      <c r="F164" t="str">
        <f>"14-I01-05"</f>
        <v>14-I01-05</v>
      </c>
      <c r="G164">
        <v>0.83</v>
      </c>
      <c r="H164" t="s">
        <v>13</v>
      </c>
      <c r="I164" t="s">
        <v>10</v>
      </c>
    </row>
    <row r="165" spans="1:9" x14ac:dyDescent="0.25">
      <c r="A165" t="str">
        <f t="shared" si="2"/>
        <v>89301000</v>
      </c>
      <c r="B165" t="str">
        <f>"0159095728"</f>
        <v>0159095728</v>
      </c>
      <c r="C165" s="1">
        <v>45077</v>
      </c>
      <c r="D165" s="1">
        <v>45078</v>
      </c>
      <c r="E165">
        <v>1</v>
      </c>
      <c r="F165" t="str">
        <f>"08-I17-02"</f>
        <v>08-I17-02</v>
      </c>
      <c r="G165">
        <v>0.89680000000000004</v>
      </c>
      <c r="H165" t="s">
        <v>11</v>
      </c>
      <c r="I165" t="s">
        <v>10</v>
      </c>
    </row>
    <row r="166" spans="1:9" x14ac:dyDescent="0.25">
      <c r="A166" t="str">
        <f t="shared" si="2"/>
        <v>89301000</v>
      </c>
      <c r="B166" t="str">
        <f>"0159196147"</f>
        <v>0159196147</v>
      </c>
      <c r="C166" s="1">
        <v>45086</v>
      </c>
      <c r="D166" s="1">
        <v>45089</v>
      </c>
      <c r="E166">
        <v>1</v>
      </c>
      <c r="F166" t="str">
        <f>"09-K02-00"</f>
        <v>09-K02-00</v>
      </c>
      <c r="G166">
        <v>0.99539999999999995</v>
      </c>
      <c r="H166" t="s">
        <v>11</v>
      </c>
      <c r="I166" t="s">
        <v>10</v>
      </c>
    </row>
    <row r="167" spans="1:9" x14ac:dyDescent="0.25">
      <c r="A167" t="str">
        <f t="shared" si="2"/>
        <v>89301000</v>
      </c>
      <c r="B167" t="str">
        <f>"0160036206"</f>
        <v>0160036206</v>
      </c>
      <c r="C167" s="1">
        <v>45178</v>
      </c>
      <c r="D167" s="1">
        <v>45179</v>
      </c>
      <c r="E167">
        <v>6</v>
      </c>
      <c r="F167" t="str">
        <f>"20-K02-03"</f>
        <v>20-K02-03</v>
      </c>
      <c r="G167">
        <v>0.38350000000000001</v>
      </c>
      <c r="H167" t="s">
        <v>11</v>
      </c>
      <c r="I167" t="s">
        <v>10</v>
      </c>
    </row>
    <row r="168" spans="1:9" x14ac:dyDescent="0.25">
      <c r="A168" t="str">
        <f t="shared" si="2"/>
        <v>89301000</v>
      </c>
      <c r="B168" t="str">
        <f>"0160155721"</f>
        <v>0160155721</v>
      </c>
      <c r="C168" s="1">
        <v>45016</v>
      </c>
      <c r="D168" s="1">
        <v>45017</v>
      </c>
      <c r="E168">
        <v>1</v>
      </c>
      <c r="F168" t="str">
        <f>"13-I19-00"</f>
        <v>13-I19-00</v>
      </c>
      <c r="G168">
        <v>0.28249999999999997</v>
      </c>
      <c r="H168" t="s">
        <v>11</v>
      </c>
      <c r="I168" t="s">
        <v>10</v>
      </c>
    </row>
    <row r="169" spans="1:9" x14ac:dyDescent="0.25">
      <c r="A169" t="str">
        <f t="shared" si="2"/>
        <v>89301000</v>
      </c>
      <c r="B169" t="str">
        <f>"0161034841"</f>
        <v>0161034841</v>
      </c>
      <c r="C169" s="1">
        <v>45068</v>
      </c>
      <c r="D169" s="1">
        <v>45071</v>
      </c>
      <c r="E169">
        <v>1</v>
      </c>
      <c r="F169" t="str">
        <f>"09-K05-00"</f>
        <v>09-K05-00</v>
      </c>
      <c r="G169">
        <v>0.8054</v>
      </c>
      <c r="H169" t="s">
        <v>11</v>
      </c>
      <c r="I169" t="s">
        <v>10</v>
      </c>
    </row>
    <row r="170" spans="1:9" x14ac:dyDescent="0.25">
      <c r="A170" t="str">
        <f t="shared" si="2"/>
        <v>89301000</v>
      </c>
      <c r="B170" t="str">
        <f>"0161054850"</f>
        <v>0161054850</v>
      </c>
      <c r="C170" s="1">
        <v>45132</v>
      </c>
      <c r="D170" s="1">
        <v>45141</v>
      </c>
      <c r="E170">
        <v>1</v>
      </c>
      <c r="F170" t="str">
        <f>"14-I01-01"</f>
        <v>14-I01-01</v>
      </c>
      <c r="G170">
        <v>1.6020000000000001</v>
      </c>
      <c r="H170" t="s">
        <v>13</v>
      </c>
      <c r="I170" t="s">
        <v>10</v>
      </c>
    </row>
    <row r="171" spans="1:9" x14ac:dyDescent="0.25">
      <c r="A171" t="str">
        <f t="shared" si="2"/>
        <v>89301000</v>
      </c>
      <c r="B171" t="str">
        <f>"0162015942"</f>
        <v>0162015942</v>
      </c>
      <c r="C171" s="1">
        <v>45223</v>
      </c>
      <c r="D171" s="1">
        <v>45223</v>
      </c>
      <c r="E171">
        <v>1</v>
      </c>
      <c r="F171" t="str">
        <f>"21-K05-03"</f>
        <v>21-K05-03</v>
      </c>
      <c r="G171">
        <v>0.22869999999999999</v>
      </c>
      <c r="H171" t="s">
        <v>11</v>
      </c>
      <c r="I171" t="s">
        <v>10</v>
      </c>
    </row>
    <row r="172" spans="1:9" x14ac:dyDescent="0.25">
      <c r="A172" t="str">
        <f t="shared" si="2"/>
        <v>89301000</v>
      </c>
      <c r="B172" t="str">
        <f>"0162095714"</f>
        <v>0162095714</v>
      </c>
      <c r="C172" s="1">
        <v>44965</v>
      </c>
      <c r="D172" s="1">
        <v>44970</v>
      </c>
      <c r="E172">
        <v>1</v>
      </c>
      <c r="F172" t="str">
        <f>"03-I16-02"</f>
        <v>03-I16-02</v>
      </c>
      <c r="G172">
        <v>0.92979999999999996</v>
      </c>
      <c r="H172" t="s">
        <v>9</v>
      </c>
      <c r="I172" t="s">
        <v>10</v>
      </c>
    </row>
    <row r="173" spans="1:9" x14ac:dyDescent="0.25">
      <c r="A173" t="str">
        <f t="shared" si="2"/>
        <v>89301000</v>
      </c>
      <c r="B173" t="str">
        <f>"0201075699"</f>
        <v>0201075699</v>
      </c>
      <c r="C173" s="1">
        <v>44991</v>
      </c>
      <c r="D173" s="1">
        <v>44995</v>
      </c>
      <c r="E173">
        <v>1</v>
      </c>
      <c r="F173" t="str">
        <f>"09-K04-02"</f>
        <v>09-K04-02</v>
      </c>
      <c r="G173">
        <v>0.64849999999999997</v>
      </c>
      <c r="H173" t="s">
        <v>11</v>
      </c>
      <c r="I173" t="s">
        <v>10</v>
      </c>
    </row>
    <row r="174" spans="1:9" x14ac:dyDescent="0.25">
      <c r="A174" t="str">
        <f t="shared" si="2"/>
        <v>89301000</v>
      </c>
      <c r="B174" t="str">
        <f>"0202045745"</f>
        <v>0202045745</v>
      </c>
      <c r="C174" s="1">
        <v>44984</v>
      </c>
      <c r="D174" s="1">
        <v>44987</v>
      </c>
      <c r="E174">
        <v>1</v>
      </c>
      <c r="F174" t="str">
        <f>"08-M03-04"</f>
        <v>08-M03-04</v>
      </c>
      <c r="G174">
        <v>0.87760000000000005</v>
      </c>
      <c r="H174" t="s">
        <v>11</v>
      </c>
      <c r="I174" t="s">
        <v>10</v>
      </c>
    </row>
    <row r="175" spans="1:9" x14ac:dyDescent="0.25">
      <c r="A175" t="str">
        <f t="shared" si="2"/>
        <v>89301000</v>
      </c>
      <c r="B175" t="str">
        <f>"0202274501"</f>
        <v>0202274501</v>
      </c>
      <c r="C175" s="1">
        <v>45201</v>
      </c>
      <c r="D175" s="1">
        <v>45202</v>
      </c>
      <c r="E175">
        <v>1</v>
      </c>
      <c r="F175" t="str">
        <f>"08-M03-02"</f>
        <v>08-M03-02</v>
      </c>
      <c r="G175">
        <v>0.91359999999999997</v>
      </c>
      <c r="H175" t="s">
        <v>11</v>
      </c>
      <c r="I175" t="s">
        <v>10</v>
      </c>
    </row>
    <row r="176" spans="1:9" x14ac:dyDescent="0.25">
      <c r="A176" t="str">
        <f t="shared" si="2"/>
        <v>89301000</v>
      </c>
      <c r="B176" t="str">
        <f>"0203025713"</f>
        <v>0203025713</v>
      </c>
      <c r="C176" s="1">
        <v>45026</v>
      </c>
      <c r="D176" s="1">
        <v>45028</v>
      </c>
      <c r="E176">
        <v>1</v>
      </c>
      <c r="F176" t="str">
        <f>"08-I24-02"</f>
        <v>08-I24-02</v>
      </c>
      <c r="G176">
        <v>0.73599999999999999</v>
      </c>
      <c r="H176" t="s">
        <v>11</v>
      </c>
      <c r="I176" t="s">
        <v>10</v>
      </c>
    </row>
    <row r="177" spans="1:9" x14ac:dyDescent="0.25">
      <c r="A177" t="str">
        <f t="shared" si="2"/>
        <v>89301000</v>
      </c>
      <c r="B177" t="str">
        <f>"0203034843"</f>
        <v>0203034843</v>
      </c>
      <c r="C177" s="1">
        <v>45243</v>
      </c>
      <c r="D177" s="1">
        <v>45247</v>
      </c>
      <c r="E177">
        <v>1</v>
      </c>
      <c r="F177" t="str">
        <f>"03-I11-03"</f>
        <v>03-I11-03</v>
      </c>
      <c r="G177">
        <v>1.1267</v>
      </c>
      <c r="H177" t="s">
        <v>12</v>
      </c>
      <c r="I177" t="s">
        <v>10</v>
      </c>
    </row>
    <row r="178" spans="1:9" x14ac:dyDescent="0.25">
      <c r="A178" t="str">
        <f t="shared" si="2"/>
        <v>89301000</v>
      </c>
      <c r="B178" t="str">
        <f>"0203075730"</f>
        <v>0203075730</v>
      </c>
      <c r="C178" s="1">
        <v>45081</v>
      </c>
      <c r="D178" s="1">
        <v>45084</v>
      </c>
      <c r="E178">
        <v>1</v>
      </c>
      <c r="F178" t="str">
        <f>"07-I10-06"</f>
        <v>07-I10-06</v>
      </c>
      <c r="G178">
        <v>0.98419999999999996</v>
      </c>
      <c r="H178" t="s">
        <v>12</v>
      </c>
      <c r="I178" t="s">
        <v>10</v>
      </c>
    </row>
    <row r="179" spans="1:9" x14ac:dyDescent="0.25">
      <c r="A179" t="str">
        <f t="shared" si="2"/>
        <v>89301000</v>
      </c>
      <c r="B179" t="str">
        <f>"0203075730"</f>
        <v>0203075730</v>
      </c>
      <c r="C179" s="1">
        <v>45182</v>
      </c>
      <c r="D179" s="1">
        <v>45187</v>
      </c>
      <c r="E179">
        <v>1</v>
      </c>
      <c r="F179" t="str">
        <f>"19-K03-03"</f>
        <v>19-K03-03</v>
      </c>
      <c r="G179">
        <v>0.90410000000000001</v>
      </c>
      <c r="H179" t="s">
        <v>15</v>
      </c>
      <c r="I179" t="s">
        <v>10</v>
      </c>
    </row>
    <row r="180" spans="1:9" x14ac:dyDescent="0.25">
      <c r="A180" t="str">
        <f t="shared" si="2"/>
        <v>89301000</v>
      </c>
      <c r="B180" t="str">
        <f>"0203075763"</f>
        <v>0203075763</v>
      </c>
      <c r="C180" s="1">
        <v>45004</v>
      </c>
      <c r="D180" s="1">
        <v>45007</v>
      </c>
      <c r="E180">
        <v>1</v>
      </c>
      <c r="F180" t="str">
        <f>"01-K03-08"</f>
        <v>01-K03-08</v>
      </c>
      <c r="G180">
        <v>0.38290000000000002</v>
      </c>
      <c r="H180" t="s">
        <v>11</v>
      </c>
      <c r="I180" t="s">
        <v>10</v>
      </c>
    </row>
    <row r="181" spans="1:9" x14ac:dyDescent="0.25">
      <c r="A181" t="str">
        <f t="shared" si="2"/>
        <v>89301000</v>
      </c>
      <c r="B181" t="str">
        <f>"0203135713"</f>
        <v>0203135713</v>
      </c>
      <c r="C181" s="1">
        <v>44977</v>
      </c>
      <c r="D181" s="1">
        <v>44979</v>
      </c>
      <c r="E181">
        <v>1</v>
      </c>
      <c r="F181" t="str">
        <f>"08-I15-03"</f>
        <v>08-I15-03</v>
      </c>
      <c r="G181">
        <v>0.94059999999999999</v>
      </c>
      <c r="H181" t="s">
        <v>12</v>
      </c>
      <c r="I181" t="s">
        <v>10</v>
      </c>
    </row>
    <row r="182" spans="1:9" x14ac:dyDescent="0.25">
      <c r="A182" t="str">
        <f t="shared" si="2"/>
        <v>89301000</v>
      </c>
      <c r="B182" t="str">
        <f>"0204095727"</f>
        <v>0204095727</v>
      </c>
      <c r="C182" s="1">
        <v>45060</v>
      </c>
      <c r="D182" s="1">
        <v>45062</v>
      </c>
      <c r="E182">
        <v>1</v>
      </c>
      <c r="F182" t="str">
        <f>"06-K11-00"</f>
        <v>06-K11-00</v>
      </c>
      <c r="G182">
        <v>0.34639999999999999</v>
      </c>
      <c r="H182" t="s">
        <v>11</v>
      </c>
      <c r="I182" t="s">
        <v>10</v>
      </c>
    </row>
    <row r="183" spans="1:9" x14ac:dyDescent="0.25">
      <c r="A183" t="str">
        <f t="shared" si="2"/>
        <v>89301000</v>
      </c>
      <c r="B183" t="str">
        <f>"0204095727"</f>
        <v>0204095727</v>
      </c>
      <c r="C183" s="1">
        <v>44962</v>
      </c>
      <c r="D183" s="1">
        <v>44965</v>
      </c>
      <c r="E183">
        <v>1</v>
      </c>
      <c r="F183" t="str">
        <f>"06-I21-03"</f>
        <v>06-I21-03</v>
      </c>
      <c r="G183">
        <v>0.4572</v>
      </c>
      <c r="H183" t="s">
        <v>12</v>
      </c>
      <c r="I183" t="s">
        <v>10</v>
      </c>
    </row>
    <row r="184" spans="1:9" x14ac:dyDescent="0.25">
      <c r="A184" t="str">
        <f t="shared" si="2"/>
        <v>89301000</v>
      </c>
      <c r="B184" t="str">
        <f>"0204205716"</f>
        <v>0204205716</v>
      </c>
      <c r="C184" s="1">
        <v>44942</v>
      </c>
      <c r="D184" s="1">
        <v>44943</v>
      </c>
      <c r="E184">
        <v>1</v>
      </c>
      <c r="F184" t="str">
        <f>"03-K02-03"</f>
        <v>03-K02-03</v>
      </c>
      <c r="G184">
        <v>0.34050000000000002</v>
      </c>
      <c r="H184" t="s">
        <v>11</v>
      </c>
      <c r="I184" t="s">
        <v>10</v>
      </c>
    </row>
    <row r="185" spans="1:9" x14ac:dyDescent="0.25">
      <c r="A185" t="str">
        <f t="shared" si="2"/>
        <v>89301000</v>
      </c>
      <c r="B185" t="str">
        <f>"0204205716"</f>
        <v>0204205716</v>
      </c>
      <c r="C185" s="1">
        <v>45006</v>
      </c>
      <c r="D185" s="1">
        <v>45007</v>
      </c>
      <c r="E185">
        <v>1</v>
      </c>
      <c r="F185" t="str">
        <f>"09-I09-05"</f>
        <v>09-I09-05</v>
      </c>
      <c r="G185">
        <v>0.46870000000000001</v>
      </c>
      <c r="H185" t="s">
        <v>12</v>
      </c>
      <c r="I185" t="s">
        <v>10</v>
      </c>
    </row>
    <row r="186" spans="1:9" x14ac:dyDescent="0.25">
      <c r="A186" t="str">
        <f t="shared" si="2"/>
        <v>89301000</v>
      </c>
      <c r="B186" t="str">
        <f>"0204256107"</f>
        <v>0204256107</v>
      </c>
      <c r="C186" s="1">
        <v>44969</v>
      </c>
      <c r="D186" s="1">
        <v>44974</v>
      </c>
      <c r="E186">
        <v>5</v>
      </c>
      <c r="F186" t="str">
        <f>"08-I13-03"</f>
        <v>08-I13-03</v>
      </c>
      <c r="G186">
        <v>2.8662000000000001</v>
      </c>
      <c r="H186" t="s">
        <v>12</v>
      </c>
      <c r="I186" t="s">
        <v>10</v>
      </c>
    </row>
    <row r="187" spans="1:9" x14ac:dyDescent="0.25">
      <c r="A187" t="str">
        <f t="shared" si="2"/>
        <v>89301000</v>
      </c>
      <c r="B187" t="str">
        <f>"0204286181"</f>
        <v>0204286181</v>
      </c>
      <c r="C187" s="1">
        <v>44991</v>
      </c>
      <c r="D187" s="1">
        <v>44999</v>
      </c>
      <c r="E187">
        <v>1</v>
      </c>
      <c r="F187" t="str">
        <f>"01-K04-02"</f>
        <v>01-K04-02</v>
      </c>
      <c r="G187">
        <v>0.79990000000000006</v>
      </c>
      <c r="H187" t="s">
        <v>11</v>
      </c>
      <c r="I187" t="s">
        <v>10</v>
      </c>
    </row>
    <row r="188" spans="1:9" x14ac:dyDescent="0.25">
      <c r="A188" t="str">
        <f t="shared" si="2"/>
        <v>89301000</v>
      </c>
      <c r="B188" t="str">
        <f>"0205053783"</f>
        <v>0205053783</v>
      </c>
      <c r="C188" s="1">
        <v>45187</v>
      </c>
      <c r="D188" s="1">
        <v>45191</v>
      </c>
      <c r="E188">
        <v>1</v>
      </c>
      <c r="F188" t="str">
        <f>"03-I11-01"</f>
        <v>03-I11-01</v>
      </c>
      <c r="G188">
        <v>2.2117</v>
      </c>
      <c r="H188" t="s">
        <v>12</v>
      </c>
      <c r="I188" t="s">
        <v>10</v>
      </c>
    </row>
    <row r="189" spans="1:9" x14ac:dyDescent="0.25">
      <c r="A189" t="str">
        <f t="shared" si="2"/>
        <v>89301000</v>
      </c>
      <c r="B189" t="str">
        <f>"0205294496"</f>
        <v>0205294496</v>
      </c>
      <c r="C189" s="1">
        <v>45263</v>
      </c>
      <c r="D189" s="1">
        <v>45266</v>
      </c>
      <c r="E189">
        <v>1</v>
      </c>
      <c r="F189" t="str">
        <f>"08-M03-05"</f>
        <v>08-M03-05</v>
      </c>
      <c r="G189">
        <v>0.46810000000000002</v>
      </c>
      <c r="H189" t="s">
        <v>11</v>
      </c>
      <c r="I189" t="s">
        <v>10</v>
      </c>
    </row>
    <row r="190" spans="1:9" x14ac:dyDescent="0.25">
      <c r="A190" t="str">
        <f t="shared" si="2"/>
        <v>89301000</v>
      </c>
      <c r="B190" t="str">
        <f>"0206016140"</f>
        <v>0206016140</v>
      </c>
      <c r="C190" s="1">
        <v>45176</v>
      </c>
      <c r="D190" s="1">
        <v>45177</v>
      </c>
      <c r="E190">
        <v>1</v>
      </c>
      <c r="F190" t="str">
        <f>"19-K02-03"</f>
        <v>19-K02-03</v>
      </c>
      <c r="G190">
        <v>0.47970000000000002</v>
      </c>
      <c r="H190" t="s">
        <v>15</v>
      </c>
      <c r="I190" t="s">
        <v>10</v>
      </c>
    </row>
    <row r="191" spans="1:9" x14ac:dyDescent="0.25">
      <c r="A191" t="str">
        <f t="shared" si="2"/>
        <v>89301000</v>
      </c>
      <c r="B191" t="str">
        <f>"0206215702"</f>
        <v>0206215702</v>
      </c>
      <c r="C191" s="1">
        <v>45181</v>
      </c>
      <c r="D191" s="1">
        <v>45183</v>
      </c>
      <c r="E191">
        <v>1</v>
      </c>
      <c r="F191" t="str">
        <f>"08-I23-02"</f>
        <v>08-I23-02</v>
      </c>
      <c r="G191">
        <v>0.91059999999999997</v>
      </c>
      <c r="H191" t="s">
        <v>12</v>
      </c>
      <c r="I191" t="s">
        <v>10</v>
      </c>
    </row>
    <row r="192" spans="1:9" x14ac:dyDescent="0.25">
      <c r="A192" t="str">
        <f t="shared" ref="A192:A255" si="3">"89301000"</f>
        <v>89301000</v>
      </c>
      <c r="B192" t="str">
        <f>"0207195769"</f>
        <v>0207195769</v>
      </c>
      <c r="C192" s="1">
        <v>45175</v>
      </c>
      <c r="D192" s="1">
        <v>45188</v>
      </c>
      <c r="E192">
        <v>1</v>
      </c>
      <c r="F192" t="str">
        <f>"06-I21-03"</f>
        <v>06-I21-03</v>
      </c>
      <c r="G192">
        <v>1.2084999999999999</v>
      </c>
      <c r="H192" t="s">
        <v>12</v>
      </c>
      <c r="I192" t="s">
        <v>10</v>
      </c>
    </row>
    <row r="193" spans="1:9" x14ac:dyDescent="0.25">
      <c r="A193" t="str">
        <f t="shared" si="3"/>
        <v>89301000</v>
      </c>
      <c r="B193" t="str">
        <f>"0208165100"</f>
        <v>0208165100</v>
      </c>
      <c r="C193" s="1">
        <v>45098</v>
      </c>
      <c r="D193" s="1">
        <v>45101</v>
      </c>
      <c r="E193">
        <v>1</v>
      </c>
      <c r="F193" t="str">
        <f>"07-K01-02"</f>
        <v>07-K01-02</v>
      </c>
      <c r="G193">
        <v>1.0169999999999999</v>
      </c>
      <c r="H193" t="s">
        <v>11</v>
      </c>
      <c r="I193" t="s">
        <v>10</v>
      </c>
    </row>
    <row r="194" spans="1:9" x14ac:dyDescent="0.25">
      <c r="A194" t="str">
        <f t="shared" si="3"/>
        <v>89301000</v>
      </c>
      <c r="B194" t="str">
        <f>"0209026213"</f>
        <v>0209026213</v>
      </c>
      <c r="C194" s="1">
        <v>45118</v>
      </c>
      <c r="D194" s="1">
        <v>45119</v>
      </c>
      <c r="E194">
        <v>1</v>
      </c>
      <c r="F194" t="str">
        <f>"08-I18-02"</f>
        <v>08-I18-02</v>
      </c>
      <c r="G194">
        <v>0.62509999999999999</v>
      </c>
      <c r="H194" t="s">
        <v>12</v>
      </c>
      <c r="I194" t="s">
        <v>10</v>
      </c>
    </row>
    <row r="195" spans="1:9" x14ac:dyDescent="0.25">
      <c r="A195" t="str">
        <f t="shared" si="3"/>
        <v>89301000</v>
      </c>
      <c r="B195" t="str">
        <f>"0209274769"</f>
        <v>0209274769</v>
      </c>
      <c r="C195" s="1">
        <v>44956</v>
      </c>
      <c r="D195" s="1">
        <v>44958</v>
      </c>
      <c r="E195">
        <v>1</v>
      </c>
      <c r="F195" t="str">
        <f>"08-M03-05"</f>
        <v>08-M03-05</v>
      </c>
      <c r="G195">
        <v>0.46810000000000002</v>
      </c>
      <c r="H195" t="s">
        <v>11</v>
      </c>
      <c r="I195" t="s">
        <v>10</v>
      </c>
    </row>
    <row r="196" spans="1:9" x14ac:dyDescent="0.25">
      <c r="A196" t="str">
        <f t="shared" si="3"/>
        <v>89301000</v>
      </c>
      <c r="B196" t="str">
        <f>"0209285725"</f>
        <v>0209285725</v>
      </c>
      <c r="C196" s="1">
        <v>45135</v>
      </c>
      <c r="D196" s="1">
        <v>45138</v>
      </c>
      <c r="E196">
        <v>1</v>
      </c>
      <c r="F196" t="str">
        <f>"02-K09-00"</f>
        <v>02-K09-00</v>
      </c>
      <c r="G196">
        <v>0.49120000000000003</v>
      </c>
      <c r="H196" t="s">
        <v>11</v>
      </c>
      <c r="I196" t="s">
        <v>10</v>
      </c>
    </row>
    <row r="197" spans="1:9" x14ac:dyDescent="0.25">
      <c r="A197" t="str">
        <f t="shared" si="3"/>
        <v>89301000</v>
      </c>
      <c r="B197" t="str">
        <f>"0211185755"</f>
        <v>0211185755</v>
      </c>
      <c r="C197" s="1">
        <v>44985</v>
      </c>
      <c r="D197" s="1">
        <v>44994</v>
      </c>
      <c r="E197">
        <v>1</v>
      </c>
      <c r="F197" t="str">
        <f>"01-K01-02"</f>
        <v>01-K01-02</v>
      </c>
      <c r="G197">
        <v>0.5746</v>
      </c>
      <c r="H197" t="s">
        <v>11</v>
      </c>
      <c r="I197" t="s">
        <v>10</v>
      </c>
    </row>
    <row r="198" spans="1:9" x14ac:dyDescent="0.25">
      <c r="A198" t="str">
        <f t="shared" si="3"/>
        <v>89301000</v>
      </c>
      <c r="B198" t="str">
        <f>"0211185755"</f>
        <v>0211185755</v>
      </c>
      <c r="C198" s="1">
        <v>45005</v>
      </c>
      <c r="D198" s="1">
        <v>45029</v>
      </c>
      <c r="E198">
        <v>1</v>
      </c>
      <c r="F198" t="str">
        <f>"19-K06-02"</f>
        <v>19-K06-02</v>
      </c>
      <c r="G198">
        <v>2.2334999999999998</v>
      </c>
      <c r="H198" t="s">
        <v>15</v>
      </c>
      <c r="I198" t="s">
        <v>10</v>
      </c>
    </row>
    <row r="199" spans="1:9" x14ac:dyDescent="0.25">
      <c r="A199" t="str">
        <f t="shared" si="3"/>
        <v>89301000</v>
      </c>
      <c r="B199" t="str">
        <f>"0211266143"</f>
        <v>0211266143</v>
      </c>
      <c r="C199" s="1">
        <v>45097</v>
      </c>
      <c r="D199" s="1">
        <v>45104</v>
      </c>
      <c r="E199">
        <v>1</v>
      </c>
      <c r="F199" t="str">
        <f>"09-K14-02"</f>
        <v>09-K14-02</v>
      </c>
      <c r="G199">
        <v>0.5</v>
      </c>
      <c r="H199" t="s">
        <v>11</v>
      </c>
      <c r="I199" t="s">
        <v>10</v>
      </c>
    </row>
    <row r="200" spans="1:9" x14ac:dyDescent="0.25">
      <c r="A200" t="str">
        <f t="shared" si="3"/>
        <v>89301000</v>
      </c>
      <c r="B200" t="str">
        <f>"0212045713"</f>
        <v>0212045713</v>
      </c>
      <c r="C200" s="1">
        <v>45247</v>
      </c>
      <c r="D200" s="1">
        <v>45251</v>
      </c>
      <c r="E200">
        <v>1</v>
      </c>
      <c r="F200" t="str">
        <f>"06-I07-05"</f>
        <v>06-I07-05</v>
      </c>
      <c r="G200">
        <v>2.7919999999999998</v>
      </c>
      <c r="H200" t="s">
        <v>12</v>
      </c>
      <c r="I200" t="s">
        <v>10</v>
      </c>
    </row>
    <row r="201" spans="1:9" x14ac:dyDescent="0.25">
      <c r="A201" t="str">
        <f t="shared" si="3"/>
        <v>89301000</v>
      </c>
      <c r="B201" t="str">
        <f>"0212055734"</f>
        <v>0212055734</v>
      </c>
      <c r="C201" s="1">
        <v>45240</v>
      </c>
      <c r="D201" s="1">
        <v>45246</v>
      </c>
      <c r="E201">
        <v>1</v>
      </c>
      <c r="F201" t="str">
        <f>"04-K02-03"</f>
        <v>04-K02-03</v>
      </c>
      <c r="G201">
        <v>1.298</v>
      </c>
      <c r="H201" t="s">
        <v>11</v>
      </c>
      <c r="I201" t="s">
        <v>10</v>
      </c>
    </row>
    <row r="202" spans="1:9" x14ac:dyDescent="0.25">
      <c r="A202" t="str">
        <f t="shared" si="3"/>
        <v>89301000</v>
      </c>
      <c r="B202" t="str">
        <f>"0212074016"</f>
        <v>0212074016</v>
      </c>
      <c r="C202" s="1">
        <v>45078</v>
      </c>
      <c r="D202" s="1">
        <v>45080</v>
      </c>
      <c r="E202">
        <v>1</v>
      </c>
      <c r="F202" t="str">
        <f>"08-I16-04"</f>
        <v>08-I16-04</v>
      </c>
      <c r="G202">
        <v>0.83040000000000003</v>
      </c>
      <c r="H202" t="s">
        <v>12</v>
      </c>
      <c r="I202" t="s">
        <v>10</v>
      </c>
    </row>
    <row r="203" spans="1:9" x14ac:dyDescent="0.25">
      <c r="A203" t="str">
        <f t="shared" si="3"/>
        <v>89301000</v>
      </c>
      <c r="B203" t="str">
        <f>"0251064847"</f>
        <v>0251064847</v>
      </c>
      <c r="C203" s="1">
        <v>44972</v>
      </c>
      <c r="D203" s="1">
        <v>44977</v>
      </c>
      <c r="E203">
        <v>1</v>
      </c>
      <c r="F203" t="str">
        <f>"23-K05-01"</f>
        <v>23-K05-01</v>
      </c>
      <c r="G203">
        <v>0.56269999999999998</v>
      </c>
      <c r="H203" t="s">
        <v>11</v>
      </c>
      <c r="I203" t="s">
        <v>10</v>
      </c>
    </row>
    <row r="204" spans="1:9" x14ac:dyDescent="0.25">
      <c r="A204" t="str">
        <f t="shared" si="3"/>
        <v>89301000</v>
      </c>
      <c r="B204" t="str">
        <f>"0252025730"</f>
        <v>0252025730</v>
      </c>
      <c r="C204" s="1">
        <v>45253</v>
      </c>
      <c r="D204" s="1">
        <v>45254</v>
      </c>
      <c r="E204">
        <v>1</v>
      </c>
      <c r="F204" t="str">
        <f>"01-K07-02"</f>
        <v>01-K07-02</v>
      </c>
      <c r="G204">
        <v>0.6341</v>
      </c>
      <c r="H204" t="s">
        <v>11</v>
      </c>
      <c r="I204" t="s">
        <v>10</v>
      </c>
    </row>
    <row r="205" spans="1:9" x14ac:dyDescent="0.25">
      <c r="A205" t="str">
        <f t="shared" si="3"/>
        <v>89301000</v>
      </c>
      <c r="B205" t="str">
        <f>"0252165705"</f>
        <v>0252165705</v>
      </c>
      <c r="C205" s="1">
        <v>45231</v>
      </c>
      <c r="D205" s="1">
        <v>45235</v>
      </c>
      <c r="E205">
        <v>1</v>
      </c>
      <c r="F205" t="str">
        <f>"14-M01-05"</f>
        <v>14-M01-05</v>
      </c>
      <c r="G205">
        <v>0.56289999999999996</v>
      </c>
      <c r="H205" t="s">
        <v>13</v>
      </c>
      <c r="I205" t="s">
        <v>10</v>
      </c>
    </row>
    <row r="206" spans="1:9" x14ac:dyDescent="0.25">
      <c r="A206" t="str">
        <f t="shared" si="3"/>
        <v>89301000</v>
      </c>
      <c r="B206" t="str">
        <f>"0252165705"</f>
        <v>0252165705</v>
      </c>
      <c r="C206" s="1">
        <v>45168</v>
      </c>
      <c r="D206" s="1">
        <v>45173</v>
      </c>
      <c r="E206">
        <v>1</v>
      </c>
      <c r="F206" t="str">
        <f>"14-K03-02"</f>
        <v>14-K03-02</v>
      </c>
      <c r="G206">
        <v>0.30149999999999999</v>
      </c>
      <c r="H206" t="s">
        <v>11</v>
      </c>
      <c r="I206" t="s">
        <v>10</v>
      </c>
    </row>
    <row r="207" spans="1:9" x14ac:dyDescent="0.25">
      <c r="A207" t="str">
        <f t="shared" si="3"/>
        <v>89301000</v>
      </c>
      <c r="B207" t="str">
        <f>"0252285704"</f>
        <v>0252285704</v>
      </c>
      <c r="C207" s="1">
        <v>45243</v>
      </c>
      <c r="D207" s="1">
        <v>45245</v>
      </c>
      <c r="E207">
        <v>1</v>
      </c>
      <c r="F207" t="str">
        <f>"06-I18-05"</f>
        <v>06-I18-05</v>
      </c>
      <c r="G207">
        <v>0.82420000000000004</v>
      </c>
      <c r="H207" t="s">
        <v>9</v>
      </c>
      <c r="I207" t="s">
        <v>10</v>
      </c>
    </row>
    <row r="208" spans="1:9" x14ac:dyDescent="0.25">
      <c r="A208" t="str">
        <f t="shared" si="3"/>
        <v>89301000</v>
      </c>
      <c r="B208" t="str">
        <f>"0253055737"</f>
        <v>0253055737</v>
      </c>
      <c r="C208" s="1">
        <v>44980</v>
      </c>
      <c r="D208" s="1">
        <v>44982</v>
      </c>
      <c r="E208">
        <v>1</v>
      </c>
      <c r="F208" t="str">
        <f>"13-I14-03"</f>
        <v>13-I14-03</v>
      </c>
      <c r="G208">
        <v>0.87760000000000005</v>
      </c>
      <c r="H208" t="s">
        <v>9</v>
      </c>
      <c r="I208" t="s">
        <v>10</v>
      </c>
    </row>
    <row r="209" spans="1:9" x14ac:dyDescent="0.25">
      <c r="A209" t="str">
        <f t="shared" si="3"/>
        <v>89301000</v>
      </c>
      <c r="B209" t="str">
        <f>"0253165715"</f>
        <v>0253165715</v>
      </c>
      <c r="C209" s="1">
        <v>45125</v>
      </c>
      <c r="D209" s="1">
        <v>45142</v>
      </c>
      <c r="E209">
        <v>1</v>
      </c>
      <c r="F209" t="str">
        <f>"05-I02-02"</f>
        <v>05-I02-02</v>
      </c>
      <c r="G209">
        <v>37.7761</v>
      </c>
      <c r="H209" t="s">
        <v>12</v>
      </c>
      <c r="I209" t="s">
        <v>10</v>
      </c>
    </row>
    <row r="210" spans="1:9" x14ac:dyDescent="0.25">
      <c r="A210" t="str">
        <f t="shared" si="3"/>
        <v>89301000</v>
      </c>
      <c r="B210" t="str">
        <f>"0253285703"</f>
        <v>0253285703</v>
      </c>
      <c r="C210" s="1">
        <v>45248</v>
      </c>
      <c r="D210" s="1">
        <v>45252</v>
      </c>
      <c r="E210">
        <v>1</v>
      </c>
      <c r="F210" t="str">
        <f>"13-I14-03"</f>
        <v>13-I14-03</v>
      </c>
      <c r="G210">
        <v>0.87760000000000005</v>
      </c>
      <c r="H210" t="s">
        <v>9</v>
      </c>
      <c r="I210" t="s">
        <v>10</v>
      </c>
    </row>
    <row r="211" spans="1:9" x14ac:dyDescent="0.25">
      <c r="A211" t="str">
        <f t="shared" si="3"/>
        <v>89301000</v>
      </c>
      <c r="B211" t="str">
        <f>"0253285703"</f>
        <v>0253285703</v>
      </c>
      <c r="C211" s="1">
        <v>45011</v>
      </c>
      <c r="D211" s="1">
        <v>45013</v>
      </c>
      <c r="E211">
        <v>1</v>
      </c>
      <c r="F211" t="str">
        <f>"08-I32-00"</f>
        <v>08-I32-00</v>
      </c>
      <c r="G211">
        <v>0.40870000000000001</v>
      </c>
      <c r="H211" t="s">
        <v>11</v>
      </c>
      <c r="I211" t="s">
        <v>10</v>
      </c>
    </row>
    <row r="212" spans="1:9" x14ac:dyDescent="0.25">
      <c r="A212" t="str">
        <f t="shared" si="3"/>
        <v>89301000</v>
      </c>
      <c r="B212" t="str">
        <f>"0254106171"</f>
        <v>0254106171</v>
      </c>
      <c r="C212" s="1">
        <v>45096</v>
      </c>
      <c r="D212" s="1">
        <v>45098</v>
      </c>
      <c r="E212">
        <v>1</v>
      </c>
      <c r="F212" t="str">
        <f>"08-I31-04"</f>
        <v>08-I31-04</v>
      </c>
      <c r="G212">
        <v>0.4894</v>
      </c>
      <c r="H212" t="s">
        <v>11</v>
      </c>
      <c r="I212" t="s">
        <v>10</v>
      </c>
    </row>
    <row r="213" spans="1:9" x14ac:dyDescent="0.25">
      <c r="A213" t="str">
        <f t="shared" si="3"/>
        <v>89301000</v>
      </c>
      <c r="B213" t="str">
        <f>"0254125762"</f>
        <v>0254125762</v>
      </c>
      <c r="C213" s="1">
        <v>44987</v>
      </c>
      <c r="D213" s="1">
        <v>44988</v>
      </c>
      <c r="E213">
        <v>1</v>
      </c>
      <c r="F213" t="str">
        <f>"09-I13-04"</f>
        <v>09-I13-04</v>
      </c>
      <c r="G213">
        <v>0.54139999999999999</v>
      </c>
      <c r="H213" t="s">
        <v>11</v>
      </c>
      <c r="I213" t="s">
        <v>10</v>
      </c>
    </row>
    <row r="214" spans="1:9" x14ac:dyDescent="0.25">
      <c r="A214" t="str">
        <f t="shared" si="3"/>
        <v>89301000</v>
      </c>
      <c r="B214" t="str">
        <f>"0254156177"</f>
        <v>0254156177</v>
      </c>
      <c r="C214" s="1">
        <v>44925</v>
      </c>
      <c r="D214" s="1">
        <v>44929</v>
      </c>
      <c r="E214">
        <v>1</v>
      </c>
      <c r="F214" t="str">
        <f>"06-I18-05"</f>
        <v>06-I18-05</v>
      </c>
      <c r="G214">
        <v>0.82420000000000004</v>
      </c>
      <c r="H214" t="s">
        <v>9</v>
      </c>
      <c r="I214" t="s">
        <v>10</v>
      </c>
    </row>
    <row r="215" spans="1:9" x14ac:dyDescent="0.25">
      <c r="A215" t="str">
        <f t="shared" si="3"/>
        <v>89301000</v>
      </c>
      <c r="B215" t="str">
        <f>"0254295701"</f>
        <v>0254295701</v>
      </c>
      <c r="C215" s="1">
        <v>44950</v>
      </c>
      <c r="D215" s="1">
        <v>44950</v>
      </c>
      <c r="E215">
        <v>6</v>
      </c>
      <c r="F215" t="str">
        <f>"14-M01-05"</f>
        <v>14-M01-05</v>
      </c>
      <c r="G215">
        <v>0.28149999999999997</v>
      </c>
      <c r="H215" t="s">
        <v>13</v>
      </c>
      <c r="I215" t="s">
        <v>10</v>
      </c>
    </row>
    <row r="216" spans="1:9" x14ac:dyDescent="0.25">
      <c r="A216" t="str">
        <f t="shared" si="3"/>
        <v>89301000</v>
      </c>
      <c r="B216" t="str">
        <f>"0255175459"</f>
        <v>0255175459</v>
      </c>
      <c r="C216" s="1">
        <v>45070</v>
      </c>
      <c r="D216" s="1">
        <v>45072</v>
      </c>
      <c r="E216">
        <v>1</v>
      </c>
      <c r="F216" t="str">
        <f>"08-I25-02"</f>
        <v>08-I25-02</v>
      </c>
      <c r="G216">
        <v>0.64080000000000004</v>
      </c>
      <c r="H216" t="s">
        <v>11</v>
      </c>
      <c r="I216" t="s">
        <v>10</v>
      </c>
    </row>
    <row r="217" spans="1:9" x14ac:dyDescent="0.25">
      <c r="A217" t="str">
        <f t="shared" si="3"/>
        <v>89301000</v>
      </c>
      <c r="B217" t="str">
        <f>"0255205720"</f>
        <v>0255205720</v>
      </c>
      <c r="C217" s="1">
        <v>44953</v>
      </c>
      <c r="D217" s="1">
        <v>44956</v>
      </c>
      <c r="E217">
        <v>1</v>
      </c>
      <c r="F217" t="str">
        <f>"14-M01-05"</f>
        <v>14-M01-05</v>
      </c>
      <c r="G217">
        <v>0.56289999999999996</v>
      </c>
      <c r="H217" t="s">
        <v>13</v>
      </c>
      <c r="I217" t="s">
        <v>10</v>
      </c>
    </row>
    <row r="218" spans="1:9" x14ac:dyDescent="0.25">
      <c r="A218" t="str">
        <f t="shared" si="3"/>
        <v>89301000</v>
      </c>
      <c r="B218" t="str">
        <f>"0255285701"</f>
        <v>0255285701</v>
      </c>
      <c r="C218" s="1">
        <v>45141</v>
      </c>
      <c r="D218" s="1">
        <v>45144</v>
      </c>
      <c r="E218">
        <v>1</v>
      </c>
      <c r="F218" t="str">
        <f>"14-M01-05"</f>
        <v>14-M01-05</v>
      </c>
      <c r="G218">
        <v>0.56289999999999996</v>
      </c>
      <c r="H218" t="s">
        <v>13</v>
      </c>
      <c r="I218" t="s">
        <v>10</v>
      </c>
    </row>
    <row r="219" spans="1:9" x14ac:dyDescent="0.25">
      <c r="A219" t="str">
        <f t="shared" si="3"/>
        <v>89301000</v>
      </c>
      <c r="B219" t="str">
        <f>"0255314862"</f>
        <v>0255314862</v>
      </c>
      <c r="C219" s="1">
        <v>45240</v>
      </c>
      <c r="D219" s="1">
        <v>45243</v>
      </c>
      <c r="E219">
        <v>1</v>
      </c>
      <c r="F219" t="str">
        <f>"14-I01-02"</f>
        <v>14-I01-02</v>
      </c>
      <c r="G219">
        <v>1.2935000000000001</v>
      </c>
      <c r="H219" t="s">
        <v>13</v>
      </c>
      <c r="I219" t="s">
        <v>10</v>
      </c>
    </row>
    <row r="220" spans="1:9" x14ac:dyDescent="0.25">
      <c r="A220" t="str">
        <f t="shared" si="3"/>
        <v>89301000</v>
      </c>
      <c r="B220" t="str">
        <f>"0256215388"</f>
        <v>0256215388</v>
      </c>
      <c r="C220" s="1">
        <v>45277</v>
      </c>
      <c r="D220" s="1">
        <v>45280</v>
      </c>
      <c r="E220">
        <v>1</v>
      </c>
      <c r="F220" t="str">
        <f>"08-M03-02"</f>
        <v>08-M03-02</v>
      </c>
      <c r="G220">
        <v>0.93010000000000004</v>
      </c>
      <c r="H220" t="s">
        <v>11</v>
      </c>
      <c r="I220" t="s">
        <v>10</v>
      </c>
    </row>
    <row r="221" spans="1:9" x14ac:dyDescent="0.25">
      <c r="A221" t="str">
        <f t="shared" si="3"/>
        <v>89301000</v>
      </c>
      <c r="B221" t="str">
        <f>"0257055700"</f>
        <v>0257055700</v>
      </c>
      <c r="C221" s="1">
        <v>45078</v>
      </c>
      <c r="D221" s="1">
        <v>45091</v>
      </c>
      <c r="E221">
        <v>1</v>
      </c>
      <c r="F221" t="str">
        <f>"19-K04-02"</f>
        <v>19-K04-02</v>
      </c>
      <c r="G221">
        <v>1.3379000000000001</v>
      </c>
      <c r="H221" t="s">
        <v>15</v>
      </c>
      <c r="I221" t="s">
        <v>10</v>
      </c>
    </row>
    <row r="222" spans="1:9" x14ac:dyDescent="0.25">
      <c r="A222" t="str">
        <f t="shared" si="3"/>
        <v>89301000</v>
      </c>
      <c r="B222" t="str">
        <f>"0257055700"</f>
        <v>0257055700</v>
      </c>
      <c r="C222" s="1">
        <v>45160</v>
      </c>
      <c r="D222" s="1">
        <v>45196</v>
      </c>
      <c r="E222">
        <v>1</v>
      </c>
      <c r="F222" t="str">
        <f>"19-K08-02"</f>
        <v>19-K08-02</v>
      </c>
      <c r="G222">
        <v>4.4416000000000002</v>
      </c>
      <c r="H222" t="s">
        <v>15</v>
      </c>
      <c r="I222" t="s">
        <v>10</v>
      </c>
    </row>
    <row r="223" spans="1:9" x14ac:dyDescent="0.25">
      <c r="A223" t="str">
        <f t="shared" si="3"/>
        <v>89301000</v>
      </c>
      <c r="B223" t="str">
        <f>"0257055700"</f>
        <v>0257055700</v>
      </c>
      <c r="C223" s="1">
        <v>45003</v>
      </c>
      <c r="D223" s="1">
        <v>45007</v>
      </c>
      <c r="E223">
        <v>1</v>
      </c>
      <c r="F223" t="str">
        <f>"19-K02-03"</f>
        <v>19-K02-03</v>
      </c>
      <c r="G223">
        <v>0.71950000000000003</v>
      </c>
      <c r="H223" t="s">
        <v>15</v>
      </c>
      <c r="I223" t="s">
        <v>10</v>
      </c>
    </row>
    <row r="224" spans="1:9" x14ac:dyDescent="0.25">
      <c r="A224" t="str">
        <f t="shared" si="3"/>
        <v>89301000</v>
      </c>
      <c r="B224" t="str">
        <f>"0257095575"</f>
        <v>0257095575</v>
      </c>
      <c r="C224" s="1">
        <v>45082</v>
      </c>
      <c r="D224" s="1">
        <v>45083</v>
      </c>
      <c r="E224">
        <v>1</v>
      </c>
      <c r="F224" t="str">
        <f>"07-M02-04"</f>
        <v>07-M02-04</v>
      </c>
      <c r="G224">
        <v>0.77949999999999997</v>
      </c>
      <c r="H224" t="s">
        <v>12</v>
      </c>
      <c r="I224" t="s">
        <v>10</v>
      </c>
    </row>
    <row r="225" spans="1:9" x14ac:dyDescent="0.25">
      <c r="A225" t="str">
        <f t="shared" si="3"/>
        <v>89301000</v>
      </c>
      <c r="B225" t="str">
        <f>"0257095575"</f>
        <v>0257095575</v>
      </c>
      <c r="C225" s="1">
        <v>45037</v>
      </c>
      <c r="D225" s="1">
        <v>45046</v>
      </c>
      <c r="E225">
        <v>1</v>
      </c>
      <c r="F225" t="str">
        <f>"07-I08-02"</f>
        <v>07-I08-02</v>
      </c>
      <c r="G225">
        <v>3.2553000000000001</v>
      </c>
      <c r="H225" t="s">
        <v>12</v>
      </c>
      <c r="I225" t="s">
        <v>10</v>
      </c>
    </row>
    <row r="226" spans="1:9" x14ac:dyDescent="0.25">
      <c r="A226" t="str">
        <f t="shared" si="3"/>
        <v>89301000</v>
      </c>
      <c r="B226" t="str">
        <f>"0257095817"</f>
        <v>0257095817</v>
      </c>
      <c r="C226" s="1">
        <v>45076</v>
      </c>
      <c r="D226" s="1">
        <v>45079</v>
      </c>
      <c r="E226">
        <v>1</v>
      </c>
      <c r="F226" t="str">
        <f>"01-K18-03"</f>
        <v>01-K18-03</v>
      </c>
      <c r="G226">
        <v>0.93169999999999997</v>
      </c>
      <c r="H226" t="s">
        <v>11</v>
      </c>
      <c r="I226" t="s">
        <v>10</v>
      </c>
    </row>
    <row r="227" spans="1:9" x14ac:dyDescent="0.25">
      <c r="A227" t="str">
        <f t="shared" si="3"/>
        <v>89301000</v>
      </c>
      <c r="B227" t="str">
        <f>"0257115727"</f>
        <v>0257115727</v>
      </c>
      <c r="C227" s="1">
        <v>44957</v>
      </c>
      <c r="D227" s="1">
        <v>44959</v>
      </c>
      <c r="E227">
        <v>1</v>
      </c>
      <c r="F227" t="str">
        <f>"01-K16-06"</f>
        <v>01-K16-06</v>
      </c>
      <c r="G227">
        <v>0.27150000000000002</v>
      </c>
      <c r="H227" t="s">
        <v>11</v>
      </c>
      <c r="I227" t="s">
        <v>10</v>
      </c>
    </row>
    <row r="228" spans="1:9" x14ac:dyDescent="0.25">
      <c r="A228" t="str">
        <f t="shared" si="3"/>
        <v>89301000</v>
      </c>
      <c r="B228" t="str">
        <f>"0257132645"</f>
        <v>0257132645</v>
      </c>
      <c r="C228" s="1">
        <v>45168</v>
      </c>
      <c r="D228" s="1">
        <v>45176</v>
      </c>
      <c r="E228">
        <v>1</v>
      </c>
      <c r="F228" t="str">
        <f>"08-K08-00"</f>
        <v>08-K08-00</v>
      </c>
      <c r="G228">
        <v>0.5272</v>
      </c>
      <c r="H228" t="s">
        <v>11</v>
      </c>
      <c r="I228" t="s">
        <v>10</v>
      </c>
    </row>
    <row r="229" spans="1:9" x14ac:dyDescent="0.25">
      <c r="A229" t="str">
        <f t="shared" si="3"/>
        <v>89301000</v>
      </c>
      <c r="B229" t="str">
        <f>"0257175919"</f>
        <v>0257175919</v>
      </c>
      <c r="C229" s="1">
        <v>45086</v>
      </c>
      <c r="D229" s="1">
        <v>45091</v>
      </c>
      <c r="E229">
        <v>1</v>
      </c>
      <c r="F229" t="str">
        <f>"06-I18-05"</f>
        <v>06-I18-05</v>
      </c>
      <c r="G229">
        <v>0.82420000000000004</v>
      </c>
      <c r="H229" t="s">
        <v>9</v>
      </c>
      <c r="I229" t="s">
        <v>10</v>
      </c>
    </row>
    <row r="230" spans="1:9" x14ac:dyDescent="0.25">
      <c r="A230" t="str">
        <f t="shared" si="3"/>
        <v>89301000</v>
      </c>
      <c r="B230" t="str">
        <f>"0257215706"</f>
        <v>0257215706</v>
      </c>
      <c r="C230" s="1">
        <v>45200</v>
      </c>
      <c r="D230" s="1">
        <v>45203</v>
      </c>
      <c r="E230">
        <v>1</v>
      </c>
      <c r="F230" t="str">
        <f>"07-K02-03"</f>
        <v>07-K02-03</v>
      </c>
      <c r="G230">
        <v>0.76359999999999995</v>
      </c>
      <c r="H230" t="s">
        <v>11</v>
      </c>
      <c r="I230" t="s">
        <v>10</v>
      </c>
    </row>
    <row r="231" spans="1:9" x14ac:dyDescent="0.25">
      <c r="A231" t="str">
        <f t="shared" si="3"/>
        <v>89301000</v>
      </c>
      <c r="B231" t="str">
        <f>"0257294851"</f>
        <v>0257294851</v>
      </c>
      <c r="C231" s="1">
        <v>45124</v>
      </c>
      <c r="D231" s="1">
        <v>45127</v>
      </c>
      <c r="E231">
        <v>1</v>
      </c>
      <c r="F231" t="str">
        <f>"14-M01-05"</f>
        <v>14-M01-05</v>
      </c>
      <c r="G231">
        <v>0.56289999999999996</v>
      </c>
      <c r="H231" t="s">
        <v>13</v>
      </c>
      <c r="I231" t="s">
        <v>10</v>
      </c>
    </row>
    <row r="232" spans="1:9" x14ac:dyDescent="0.25">
      <c r="A232" t="str">
        <f t="shared" si="3"/>
        <v>89301000</v>
      </c>
      <c r="B232" t="str">
        <f>"0258105386"</f>
        <v>0258105386</v>
      </c>
      <c r="C232" s="1">
        <v>44993</v>
      </c>
      <c r="D232" s="1">
        <v>44995</v>
      </c>
      <c r="E232">
        <v>1</v>
      </c>
      <c r="F232" t="str">
        <f>"19-K02-03"</f>
        <v>19-K02-03</v>
      </c>
      <c r="G232">
        <v>0.71950000000000003</v>
      </c>
      <c r="H232" t="s">
        <v>15</v>
      </c>
      <c r="I232" t="s">
        <v>10</v>
      </c>
    </row>
    <row r="233" spans="1:9" x14ac:dyDescent="0.25">
      <c r="A233" t="str">
        <f t="shared" si="3"/>
        <v>89301000</v>
      </c>
      <c r="B233" t="str">
        <f>"0258105386"</f>
        <v>0258105386</v>
      </c>
      <c r="C233" s="1">
        <v>45039</v>
      </c>
      <c r="D233" s="1">
        <v>45039</v>
      </c>
      <c r="E233">
        <v>1</v>
      </c>
      <c r="F233" t="str">
        <f>"09-K13-02"</f>
        <v>09-K13-02</v>
      </c>
      <c r="G233">
        <v>0.156</v>
      </c>
      <c r="H233" t="s">
        <v>11</v>
      </c>
      <c r="I233" t="s">
        <v>10</v>
      </c>
    </row>
    <row r="234" spans="1:9" x14ac:dyDescent="0.25">
      <c r="A234" t="str">
        <f t="shared" si="3"/>
        <v>89301000</v>
      </c>
      <c r="B234" t="str">
        <f>"0258145723"</f>
        <v>0258145723</v>
      </c>
      <c r="C234" s="1">
        <v>45206</v>
      </c>
      <c r="D234" s="1">
        <v>45279</v>
      </c>
      <c r="E234">
        <v>1</v>
      </c>
      <c r="F234" t="str">
        <f>"19-M01-01"</f>
        <v>19-M01-01</v>
      </c>
      <c r="G234">
        <v>3.5705</v>
      </c>
      <c r="H234" t="s">
        <v>15</v>
      </c>
      <c r="I234" t="s">
        <v>10</v>
      </c>
    </row>
    <row r="235" spans="1:9" x14ac:dyDescent="0.25">
      <c r="A235" t="str">
        <f t="shared" si="3"/>
        <v>89301000</v>
      </c>
      <c r="B235" t="str">
        <f>"0259096178"</f>
        <v>0259096178</v>
      </c>
      <c r="C235" s="1">
        <v>45142</v>
      </c>
      <c r="D235" s="1">
        <v>45167</v>
      </c>
      <c r="E235">
        <v>1</v>
      </c>
      <c r="F235" t="str">
        <f>"14-I01-05"</f>
        <v>14-I01-05</v>
      </c>
      <c r="G235">
        <v>2.2444000000000002</v>
      </c>
      <c r="H235" t="s">
        <v>13</v>
      </c>
      <c r="I235" t="s">
        <v>10</v>
      </c>
    </row>
    <row r="236" spans="1:9" x14ac:dyDescent="0.25">
      <c r="A236" t="str">
        <f t="shared" si="3"/>
        <v>89301000</v>
      </c>
      <c r="B236" t="str">
        <f>"0259135745"</f>
        <v>0259135745</v>
      </c>
      <c r="C236" s="1">
        <v>45204</v>
      </c>
      <c r="D236" s="1">
        <v>45209</v>
      </c>
      <c r="E236">
        <v>1</v>
      </c>
      <c r="F236" t="str">
        <f>"03-I16-02"</f>
        <v>03-I16-02</v>
      </c>
      <c r="G236">
        <v>0.92979999999999996</v>
      </c>
      <c r="H236" t="s">
        <v>9</v>
      </c>
      <c r="I236" t="s">
        <v>10</v>
      </c>
    </row>
    <row r="237" spans="1:9" x14ac:dyDescent="0.25">
      <c r="A237" t="str">
        <f t="shared" si="3"/>
        <v>89301000</v>
      </c>
      <c r="B237" t="str">
        <f>"0259194595"</f>
        <v>0259194595</v>
      </c>
      <c r="C237" s="1">
        <v>45033</v>
      </c>
      <c r="D237" s="1">
        <v>45035</v>
      </c>
      <c r="E237">
        <v>1</v>
      </c>
      <c r="F237" t="str">
        <f>"05-M08-00"</f>
        <v>05-M08-00</v>
      </c>
      <c r="G237">
        <v>1.4540999999999999</v>
      </c>
      <c r="H237" t="s">
        <v>12</v>
      </c>
      <c r="I237" t="s">
        <v>10</v>
      </c>
    </row>
    <row r="238" spans="1:9" x14ac:dyDescent="0.25">
      <c r="A238" t="str">
        <f t="shared" si="3"/>
        <v>89301000</v>
      </c>
      <c r="B238" t="str">
        <f>"0259206156"</f>
        <v>0259206156</v>
      </c>
      <c r="C238" s="1">
        <v>44946</v>
      </c>
      <c r="D238" s="1">
        <v>44964</v>
      </c>
      <c r="E238">
        <v>4</v>
      </c>
      <c r="F238" t="str">
        <f>"19-K05-01"</f>
        <v>19-K05-01</v>
      </c>
      <c r="G238">
        <v>1.9512</v>
      </c>
      <c r="H238" t="s">
        <v>15</v>
      </c>
      <c r="I238" t="s">
        <v>10</v>
      </c>
    </row>
    <row r="239" spans="1:9" x14ac:dyDescent="0.25">
      <c r="A239" t="str">
        <f t="shared" si="3"/>
        <v>89301000</v>
      </c>
      <c r="B239" t="str">
        <f>"0259275720"</f>
        <v>0259275720</v>
      </c>
      <c r="C239" s="1">
        <v>44952</v>
      </c>
      <c r="D239" s="1">
        <v>44956</v>
      </c>
      <c r="E239">
        <v>5</v>
      </c>
      <c r="F239" t="str">
        <f>"05-K05-05"</f>
        <v>05-K05-05</v>
      </c>
      <c r="G239">
        <v>0.35659999999999997</v>
      </c>
      <c r="H239" t="s">
        <v>11</v>
      </c>
      <c r="I239" t="s">
        <v>10</v>
      </c>
    </row>
    <row r="240" spans="1:9" x14ac:dyDescent="0.25">
      <c r="A240" t="str">
        <f t="shared" si="3"/>
        <v>89301000</v>
      </c>
      <c r="B240" t="str">
        <f>"0259275720"</f>
        <v>0259275720</v>
      </c>
      <c r="C240" s="1">
        <v>45110</v>
      </c>
      <c r="D240" s="1">
        <v>45114</v>
      </c>
      <c r="E240">
        <v>1</v>
      </c>
      <c r="F240" t="str">
        <f>"14-I01-05"</f>
        <v>14-I01-05</v>
      </c>
      <c r="G240">
        <v>0.83340000000000003</v>
      </c>
      <c r="H240" t="s">
        <v>13</v>
      </c>
      <c r="I240" t="s">
        <v>10</v>
      </c>
    </row>
    <row r="241" spans="1:9" x14ac:dyDescent="0.25">
      <c r="A241" t="str">
        <f t="shared" si="3"/>
        <v>89301000</v>
      </c>
      <c r="B241" t="str">
        <f>"0260035743"</f>
        <v>0260035743</v>
      </c>
      <c r="C241" s="1">
        <v>44946</v>
      </c>
      <c r="D241" s="1">
        <v>44956</v>
      </c>
      <c r="E241">
        <v>1</v>
      </c>
      <c r="F241" t="str">
        <f>"04-K05-03"</f>
        <v>04-K05-03</v>
      </c>
      <c r="G241">
        <v>0.74039999999999995</v>
      </c>
      <c r="H241" t="s">
        <v>11</v>
      </c>
      <c r="I241" t="s">
        <v>10</v>
      </c>
    </row>
    <row r="242" spans="1:9" x14ac:dyDescent="0.25">
      <c r="A242" t="str">
        <f t="shared" si="3"/>
        <v>89301000</v>
      </c>
      <c r="B242" t="str">
        <f>"0260035743"</f>
        <v>0260035743</v>
      </c>
      <c r="C242" s="1">
        <v>45079</v>
      </c>
      <c r="D242" s="1">
        <v>45083</v>
      </c>
      <c r="E242">
        <v>1</v>
      </c>
      <c r="F242" t="str">
        <f>"14-M01-05"</f>
        <v>14-M01-05</v>
      </c>
      <c r="G242">
        <v>0.56289999999999996</v>
      </c>
      <c r="H242" t="s">
        <v>13</v>
      </c>
      <c r="I242" t="s">
        <v>10</v>
      </c>
    </row>
    <row r="243" spans="1:9" x14ac:dyDescent="0.25">
      <c r="A243" t="str">
        <f t="shared" si="3"/>
        <v>89301000</v>
      </c>
      <c r="B243" t="str">
        <f>"0260055708"</f>
        <v>0260055708</v>
      </c>
      <c r="C243" s="1">
        <v>44978</v>
      </c>
      <c r="D243" s="1">
        <v>44985</v>
      </c>
      <c r="E243">
        <v>1</v>
      </c>
      <c r="F243" t="str">
        <f>"16-K02-02"</f>
        <v>16-K02-02</v>
      </c>
      <c r="G243">
        <v>0.76349999999999996</v>
      </c>
      <c r="H243" t="s">
        <v>11</v>
      </c>
      <c r="I243" t="s">
        <v>10</v>
      </c>
    </row>
    <row r="244" spans="1:9" x14ac:dyDescent="0.25">
      <c r="A244" t="str">
        <f t="shared" si="3"/>
        <v>89301000</v>
      </c>
      <c r="B244" t="str">
        <f>"0260286158"</f>
        <v>0260286158</v>
      </c>
      <c r="C244" s="1">
        <v>45107</v>
      </c>
      <c r="D244" s="1">
        <v>45111</v>
      </c>
      <c r="E244">
        <v>1</v>
      </c>
      <c r="F244" t="str">
        <f>"14-I01-02"</f>
        <v>14-I01-02</v>
      </c>
      <c r="G244">
        <v>1.2988999999999999</v>
      </c>
      <c r="H244" t="s">
        <v>13</v>
      </c>
      <c r="I244" t="s">
        <v>10</v>
      </c>
    </row>
    <row r="245" spans="1:9" x14ac:dyDescent="0.25">
      <c r="A245" t="str">
        <f t="shared" si="3"/>
        <v>89301000</v>
      </c>
      <c r="B245" t="str">
        <f>"0260305705"</f>
        <v>0260305705</v>
      </c>
      <c r="C245" s="1">
        <v>45252</v>
      </c>
      <c r="D245" s="1">
        <v>45253</v>
      </c>
      <c r="E245">
        <v>1</v>
      </c>
      <c r="F245" t="str">
        <f>"08-M03-06"</f>
        <v>08-M03-06</v>
      </c>
      <c r="G245">
        <v>0.3916</v>
      </c>
      <c r="H245" t="s">
        <v>11</v>
      </c>
      <c r="I245" t="s">
        <v>10</v>
      </c>
    </row>
    <row r="246" spans="1:9" x14ac:dyDescent="0.25">
      <c r="A246" t="str">
        <f t="shared" si="3"/>
        <v>89301000</v>
      </c>
      <c r="B246" t="str">
        <f>"0260305914"</f>
        <v>0260305914</v>
      </c>
      <c r="C246" s="1">
        <v>45117</v>
      </c>
      <c r="D246" s="1">
        <v>45119</v>
      </c>
      <c r="E246">
        <v>1</v>
      </c>
      <c r="F246" t="str">
        <f>"08-K10-00"</f>
        <v>08-K10-00</v>
      </c>
      <c r="G246">
        <v>0.70640000000000003</v>
      </c>
      <c r="H246" t="s">
        <v>11</v>
      </c>
      <c r="I246" t="s">
        <v>10</v>
      </c>
    </row>
    <row r="247" spans="1:9" x14ac:dyDescent="0.25">
      <c r="A247" t="str">
        <f t="shared" si="3"/>
        <v>89301000</v>
      </c>
      <c r="B247" t="str">
        <f>"0262046147"</f>
        <v>0262046147</v>
      </c>
      <c r="C247" s="1">
        <v>45205</v>
      </c>
      <c r="D247" s="1">
        <v>45213</v>
      </c>
      <c r="E247">
        <v>1</v>
      </c>
      <c r="F247" t="str">
        <f>"14-M01-05"</f>
        <v>14-M01-05</v>
      </c>
      <c r="G247">
        <v>0.70099999999999996</v>
      </c>
      <c r="H247" t="s">
        <v>13</v>
      </c>
      <c r="I247" t="s">
        <v>10</v>
      </c>
    </row>
    <row r="248" spans="1:9" x14ac:dyDescent="0.25">
      <c r="A248" t="str">
        <f t="shared" si="3"/>
        <v>89301000</v>
      </c>
      <c r="B248" t="str">
        <f>"0262085725"</f>
        <v>0262085725</v>
      </c>
      <c r="C248" s="1">
        <v>45196</v>
      </c>
      <c r="D248" s="1">
        <v>45203</v>
      </c>
      <c r="E248">
        <v>1</v>
      </c>
      <c r="F248" t="str">
        <f>"05-K13-02"</f>
        <v>05-K13-02</v>
      </c>
      <c r="G248">
        <v>0.57220000000000004</v>
      </c>
      <c r="H248" t="s">
        <v>11</v>
      </c>
      <c r="I248" t="s">
        <v>10</v>
      </c>
    </row>
    <row r="249" spans="1:9" x14ac:dyDescent="0.25">
      <c r="A249" t="str">
        <f t="shared" si="3"/>
        <v>89301000</v>
      </c>
      <c r="B249" t="str">
        <f>"0262085725"</f>
        <v>0262085725</v>
      </c>
      <c r="C249" s="1">
        <v>45182</v>
      </c>
      <c r="D249" s="1">
        <v>45185</v>
      </c>
      <c r="E249">
        <v>1</v>
      </c>
      <c r="F249" t="str">
        <f>"06-I18-05"</f>
        <v>06-I18-05</v>
      </c>
      <c r="G249">
        <v>0.82420000000000004</v>
      </c>
      <c r="H249" t="s">
        <v>9</v>
      </c>
      <c r="I249" t="s">
        <v>10</v>
      </c>
    </row>
    <row r="250" spans="1:9" x14ac:dyDescent="0.25">
      <c r="A250" t="str">
        <f t="shared" si="3"/>
        <v>89301000</v>
      </c>
      <c r="B250" t="str">
        <f>"0262255301"</f>
        <v>0262255301</v>
      </c>
      <c r="C250" s="1">
        <v>45243</v>
      </c>
      <c r="D250" s="1">
        <v>45244</v>
      </c>
      <c r="E250">
        <v>1</v>
      </c>
      <c r="F250" t="str">
        <f>"08-M03-05"</f>
        <v>08-M03-05</v>
      </c>
      <c r="G250">
        <v>0.46910000000000002</v>
      </c>
      <c r="H250" t="s">
        <v>11</v>
      </c>
      <c r="I250" t="s">
        <v>10</v>
      </c>
    </row>
    <row r="251" spans="1:9" x14ac:dyDescent="0.25">
      <c r="A251" t="str">
        <f t="shared" si="3"/>
        <v>89301000</v>
      </c>
      <c r="B251" t="str">
        <f>"0301094849"</f>
        <v>0301094849</v>
      </c>
      <c r="C251" s="1">
        <v>45005</v>
      </c>
      <c r="D251" s="1">
        <v>45006</v>
      </c>
      <c r="E251">
        <v>1</v>
      </c>
      <c r="F251" t="str">
        <f>"08-I17-02"</f>
        <v>08-I17-02</v>
      </c>
      <c r="G251">
        <v>0.89680000000000004</v>
      </c>
      <c r="H251" t="s">
        <v>11</v>
      </c>
      <c r="I251" t="s">
        <v>10</v>
      </c>
    </row>
    <row r="252" spans="1:9" x14ac:dyDescent="0.25">
      <c r="A252" t="str">
        <f t="shared" si="3"/>
        <v>89301000</v>
      </c>
      <c r="B252" t="str">
        <f>"0301094849"</f>
        <v>0301094849</v>
      </c>
      <c r="C252" s="1">
        <v>44956</v>
      </c>
      <c r="D252" s="1">
        <v>44958</v>
      </c>
      <c r="E252">
        <v>1</v>
      </c>
      <c r="F252" t="str">
        <f>"08-I32-00"</f>
        <v>08-I32-00</v>
      </c>
      <c r="G252">
        <v>0.4093</v>
      </c>
      <c r="H252" t="s">
        <v>11</v>
      </c>
      <c r="I252" t="s">
        <v>10</v>
      </c>
    </row>
    <row r="253" spans="1:9" x14ac:dyDescent="0.25">
      <c r="A253" t="str">
        <f t="shared" si="3"/>
        <v>89301000</v>
      </c>
      <c r="B253" t="str">
        <f>"0301235759"</f>
        <v>0301235759</v>
      </c>
      <c r="C253" s="1">
        <v>44990</v>
      </c>
      <c r="D253" s="1">
        <v>44992</v>
      </c>
      <c r="E253">
        <v>1</v>
      </c>
      <c r="F253" t="str">
        <f>"08-I24-01"</f>
        <v>08-I24-01</v>
      </c>
      <c r="G253">
        <v>1.1051</v>
      </c>
      <c r="H253" t="s">
        <v>11</v>
      </c>
      <c r="I253" t="s">
        <v>10</v>
      </c>
    </row>
    <row r="254" spans="1:9" x14ac:dyDescent="0.25">
      <c r="A254" t="str">
        <f t="shared" si="3"/>
        <v>89301000</v>
      </c>
      <c r="B254" t="str">
        <f>"0302035712"</f>
        <v>0302035712</v>
      </c>
      <c r="C254" s="1">
        <v>45172</v>
      </c>
      <c r="D254" s="1">
        <v>45173</v>
      </c>
      <c r="E254">
        <v>1</v>
      </c>
      <c r="F254" t="str">
        <f>"01-K16-06"</f>
        <v>01-K16-06</v>
      </c>
      <c r="G254">
        <v>0.27150000000000002</v>
      </c>
      <c r="H254" t="s">
        <v>11</v>
      </c>
      <c r="I254" t="s">
        <v>10</v>
      </c>
    </row>
    <row r="255" spans="1:9" x14ac:dyDescent="0.25">
      <c r="A255" t="str">
        <f t="shared" si="3"/>
        <v>89301000</v>
      </c>
      <c r="B255" t="str">
        <f>"0302104847"</f>
        <v>0302104847</v>
      </c>
      <c r="C255" s="1">
        <v>45030</v>
      </c>
      <c r="D255" s="1">
        <v>45033</v>
      </c>
      <c r="E255">
        <v>1</v>
      </c>
      <c r="F255" t="str">
        <f>"03-K03-02"</f>
        <v>03-K03-02</v>
      </c>
      <c r="G255">
        <v>0.51949999999999996</v>
      </c>
      <c r="H255" t="s">
        <v>11</v>
      </c>
      <c r="I255" t="s">
        <v>10</v>
      </c>
    </row>
    <row r="256" spans="1:9" x14ac:dyDescent="0.25">
      <c r="A256" t="str">
        <f t="shared" ref="A256:A319" si="4">"89301000"</f>
        <v>89301000</v>
      </c>
      <c r="B256" t="str">
        <f>"0302145943"</f>
        <v>0302145943</v>
      </c>
      <c r="C256" s="1">
        <v>45148</v>
      </c>
      <c r="D256" s="1">
        <v>45150</v>
      </c>
      <c r="E256">
        <v>1</v>
      </c>
      <c r="F256" t="str">
        <f>"01-K16-06"</f>
        <v>01-K16-06</v>
      </c>
      <c r="G256">
        <v>0.27150000000000002</v>
      </c>
      <c r="H256" t="s">
        <v>11</v>
      </c>
      <c r="I256" t="s">
        <v>10</v>
      </c>
    </row>
    <row r="257" spans="1:9" x14ac:dyDescent="0.25">
      <c r="A257" t="str">
        <f t="shared" si="4"/>
        <v>89301000</v>
      </c>
      <c r="B257" t="str">
        <f>"0302245713"</f>
        <v>0302245713</v>
      </c>
      <c r="C257" s="1">
        <v>45188</v>
      </c>
      <c r="D257" s="1">
        <v>45190</v>
      </c>
      <c r="E257">
        <v>1</v>
      </c>
      <c r="F257" t="str">
        <f>"12-I13-01"</f>
        <v>12-I13-01</v>
      </c>
      <c r="G257">
        <v>0.78059999999999996</v>
      </c>
      <c r="H257" t="s">
        <v>9</v>
      </c>
      <c r="I257" t="s">
        <v>10</v>
      </c>
    </row>
    <row r="258" spans="1:9" x14ac:dyDescent="0.25">
      <c r="A258" t="str">
        <f t="shared" si="4"/>
        <v>89301000</v>
      </c>
      <c r="B258" t="str">
        <f>"0303085706"</f>
        <v>0303085706</v>
      </c>
      <c r="C258" s="1">
        <v>45197</v>
      </c>
      <c r="D258" s="1">
        <v>45198</v>
      </c>
      <c r="E258">
        <v>1</v>
      </c>
      <c r="F258" t="str">
        <f>"01-K16-06"</f>
        <v>01-K16-06</v>
      </c>
      <c r="G258">
        <v>0.27150000000000002</v>
      </c>
      <c r="H258" t="s">
        <v>11</v>
      </c>
      <c r="I258" t="s">
        <v>10</v>
      </c>
    </row>
    <row r="259" spans="1:9" x14ac:dyDescent="0.25">
      <c r="A259" t="str">
        <f t="shared" si="4"/>
        <v>89301000</v>
      </c>
      <c r="B259" t="str">
        <f>"0303124470"</f>
        <v>0303124470</v>
      </c>
      <c r="C259" s="1">
        <v>45066</v>
      </c>
      <c r="D259" s="1">
        <v>45070</v>
      </c>
      <c r="E259">
        <v>1</v>
      </c>
      <c r="F259" t="str">
        <f>"08-I13-06"</f>
        <v>08-I13-06</v>
      </c>
      <c r="G259">
        <v>1.9452</v>
      </c>
      <c r="H259" t="s">
        <v>12</v>
      </c>
      <c r="I259" t="s">
        <v>10</v>
      </c>
    </row>
    <row r="260" spans="1:9" x14ac:dyDescent="0.25">
      <c r="A260" t="str">
        <f t="shared" si="4"/>
        <v>89301000</v>
      </c>
      <c r="B260" t="str">
        <f>"0303275742"</f>
        <v>0303275742</v>
      </c>
      <c r="C260" s="1">
        <v>45109</v>
      </c>
      <c r="D260" s="1">
        <v>45117</v>
      </c>
      <c r="E260">
        <v>1</v>
      </c>
      <c r="F260" t="str">
        <f>"06-I18-05"</f>
        <v>06-I18-05</v>
      </c>
      <c r="G260">
        <v>0.99080000000000001</v>
      </c>
      <c r="H260" t="s">
        <v>9</v>
      </c>
      <c r="I260" t="s">
        <v>10</v>
      </c>
    </row>
    <row r="261" spans="1:9" x14ac:dyDescent="0.25">
      <c r="A261" t="str">
        <f t="shared" si="4"/>
        <v>89301000</v>
      </c>
      <c r="B261" t="str">
        <f>"0304196211"</f>
        <v>0304196211</v>
      </c>
      <c r="C261" s="1">
        <v>45040</v>
      </c>
      <c r="D261" s="1">
        <v>45042</v>
      </c>
      <c r="E261">
        <v>1</v>
      </c>
      <c r="F261" t="str">
        <f>"09-I09-04"</f>
        <v>09-I09-04</v>
      </c>
      <c r="G261">
        <v>0.82010000000000005</v>
      </c>
      <c r="H261" t="s">
        <v>12</v>
      </c>
      <c r="I261" t="s">
        <v>10</v>
      </c>
    </row>
    <row r="262" spans="1:9" x14ac:dyDescent="0.25">
      <c r="A262" t="str">
        <f t="shared" si="4"/>
        <v>89301000</v>
      </c>
      <c r="B262" t="str">
        <f>"0304215714"</f>
        <v>0304215714</v>
      </c>
      <c r="C262" s="1">
        <v>45074</v>
      </c>
      <c r="D262" s="1">
        <v>45082</v>
      </c>
      <c r="E262">
        <v>1</v>
      </c>
      <c r="F262" t="str">
        <f>"04-I03-03"</f>
        <v>04-I03-03</v>
      </c>
      <c r="G262">
        <v>2.5461</v>
      </c>
      <c r="H262" t="s">
        <v>14</v>
      </c>
      <c r="I262" t="s">
        <v>10</v>
      </c>
    </row>
    <row r="263" spans="1:9" x14ac:dyDescent="0.25">
      <c r="A263" t="str">
        <f t="shared" si="4"/>
        <v>89301000</v>
      </c>
      <c r="B263" t="str">
        <f>"0304235712"</f>
        <v>0304235712</v>
      </c>
      <c r="C263" s="1">
        <v>44946</v>
      </c>
      <c r="D263" s="1">
        <v>44951</v>
      </c>
      <c r="E263">
        <v>1</v>
      </c>
      <c r="F263" t="str">
        <f>"06-I18-05"</f>
        <v>06-I18-05</v>
      </c>
      <c r="G263">
        <v>0.82420000000000004</v>
      </c>
      <c r="H263" t="s">
        <v>9</v>
      </c>
      <c r="I263" t="s">
        <v>10</v>
      </c>
    </row>
    <row r="264" spans="1:9" x14ac:dyDescent="0.25">
      <c r="A264" t="str">
        <f t="shared" si="4"/>
        <v>89301000</v>
      </c>
      <c r="B264" t="str">
        <f>"0304255699"</f>
        <v>0304255699</v>
      </c>
      <c r="C264" s="1">
        <v>44941</v>
      </c>
      <c r="D264" s="1">
        <v>44942</v>
      </c>
      <c r="E264">
        <v>1</v>
      </c>
      <c r="F264" t="str">
        <f>"16-K03-03"</f>
        <v>16-K03-03</v>
      </c>
      <c r="G264">
        <v>0.62470000000000003</v>
      </c>
      <c r="H264" t="s">
        <v>11</v>
      </c>
      <c r="I264" t="s">
        <v>10</v>
      </c>
    </row>
    <row r="265" spans="1:9" x14ac:dyDescent="0.25">
      <c r="A265" t="str">
        <f t="shared" si="4"/>
        <v>89301000</v>
      </c>
      <c r="B265" t="str">
        <f>"0304304847"</f>
        <v>0304304847</v>
      </c>
      <c r="C265" s="1">
        <v>45001</v>
      </c>
      <c r="D265" s="1">
        <v>45005</v>
      </c>
      <c r="E265">
        <v>1</v>
      </c>
      <c r="F265" t="str">
        <f>"05-K01-03"</f>
        <v>05-K01-03</v>
      </c>
      <c r="G265">
        <v>0.73540000000000005</v>
      </c>
      <c r="H265" t="s">
        <v>11</v>
      </c>
      <c r="I265" t="s">
        <v>10</v>
      </c>
    </row>
    <row r="266" spans="1:9" x14ac:dyDescent="0.25">
      <c r="A266" t="str">
        <f t="shared" si="4"/>
        <v>89301000</v>
      </c>
      <c r="B266" t="str">
        <f>"0305015755"</f>
        <v>0305015755</v>
      </c>
      <c r="C266" s="1">
        <v>45016</v>
      </c>
      <c r="D266" s="1">
        <v>45028</v>
      </c>
      <c r="E266">
        <v>1</v>
      </c>
      <c r="F266" t="str">
        <f>"19-K04-01"</f>
        <v>19-K04-01</v>
      </c>
      <c r="G266">
        <v>1.5724</v>
      </c>
      <c r="H266" t="s">
        <v>15</v>
      </c>
      <c r="I266" t="s">
        <v>10</v>
      </c>
    </row>
    <row r="267" spans="1:9" x14ac:dyDescent="0.25">
      <c r="A267" t="str">
        <f t="shared" si="4"/>
        <v>89301000</v>
      </c>
      <c r="B267" t="str">
        <f>"0305125711"</f>
        <v>0305125711</v>
      </c>
      <c r="C267" s="1">
        <v>45080</v>
      </c>
      <c r="D267" s="1">
        <v>45083</v>
      </c>
      <c r="E267">
        <v>1</v>
      </c>
      <c r="F267" t="str">
        <f>"03-I19-02"</f>
        <v>03-I19-02</v>
      </c>
      <c r="G267">
        <v>0.71340000000000003</v>
      </c>
      <c r="H267" t="s">
        <v>11</v>
      </c>
      <c r="I267" t="s">
        <v>10</v>
      </c>
    </row>
    <row r="268" spans="1:9" x14ac:dyDescent="0.25">
      <c r="A268" t="str">
        <f t="shared" si="4"/>
        <v>89301000</v>
      </c>
      <c r="B268" t="str">
        <f>"0305195737"</f>
        <v>0305195737</v>
      </c>
      <c r="C268" s="1">
        <v>45158</v>
      </c>
      <c r="D268" s="1">
        <v>45160</v>
      </c>
      <c r="E268">
        <v>1</v>
      </c>
      <c r="F268" t="str">
        <f>"08-M03-02"</f>
        <v>08-M03-02</v>
      </c>
      <c r="G268">
        <v>0.91359999999999997</v>
      </c>
      <c r="H268" t="s">
        <v>11</v>
      </c>
      <c r="I268" t="s">
        <v>10</v>
      </c>
    </row>
    <row r="269" spans="1:9" x14ac:dyDescent="0.25">
      <c r="A269" t="str">
        <f t="shared" si="4"/>
        <v>89301000</v>
      </c>
      <c r="B269" t="str">
        <f>"0305245699"</f>
        <v>0305245699</v>
      </c>
      <c r="C269" s="1">
        <v>45028</v>
      </c>
      <c r="D269" s="1">
        <v>45029</v>
      </c>
      <c r="E269">
        <v>1</v>
      </c>
      <c r="F269" t="str">
        <f>"08-I18-02"</f>
        <v>08-I18-02</v>
      </c>
      <c r="G269">
        <v>0.62509999999999999</v>
      </c>
      <c r="H269" t="s">
        <v>12</v>
      </c>
      <c r="I269" t="s">
        <v>10</v>
      </c>
    </row>
    <row r="270" spans="1:9" x14ac:dyDescent="0.25">
      <c r="A270" t="str">
        <f t="shared" si="4"/>
        <v>89301000</v>
      </c>
      <c r="B270" t="str">
        <f>"0305305704"</f>
        <v>0305305704</v>
      </c>
      <c r="C270" s="1">
        <v>44982</v>
      </c>
      <c r="D270" s="1">
        <v>44984</v>
      </c>
      <c r="E270">
        <v>1</v>
      </c>
      <c r="F270" t="str">
        <f>"06-K17-01"</f>
        <v>06-K17-01</v>
      </c>
      <c r="G270">
        <v>0.66149999999999998</v>
      </c>
      <c r="H270" t="s">
        <v>11</v>
      </c>
      <c r="I270" t="s">
        <v>10</v>
      </c>
    </row>
    <row r="271" spans="1:9" x14ac:dyDescent="0.25">
      <c r="A271" t="str">
        <f t="shared" si="4"/>
        <v>89301000</v>
      </c>
      <c r="B271" t="str">
        <f>"0305305715"</f>
        <v>0305305715</v>
      </c>
      <c r="C271" s="1">
        <v>45202</v>
      </c>
      <c r="D271" s="1">
        <v>45238</v>
      </c>
      <c r="E271">
        <v>1</v>
      </c>
      <c r="F271" t="str">
        <f>"19-K08-02"</f>
        <v>19-K08-02</v>
      </c>
      <c r="G271">
        <v>4.4416000000000002</v>
      </c>
      <c r="H271" t="s">
        <v>15</v>
      </c>
      <c r="I271" t="s">
        <v>10</v>
      </c>
    </row>
    <row r="272" spans="1:9" x14ac:dyDescent="0.25">
      <c r="A272" t="str">
        <f t="shared" si="4"/>
        <v>89301000</v>
      </c>
      <c r="B272" t="str">
        <f>"0306065716"</f>
        <v>0306065716</v>
      </c>
      <c r="C272" s="1">
        <v>45287</v>
      </c>
      <c r="D272" s="1">
        <v>45290</v>
      </c>
      <c r="E272">
        <v>1</v>
      </c>
      <c r="F272" t="str">
        <f>"03-I11-03"</f>
        <v>03-I11-03</v>
      </c>
      <c r="G272">
        <v>1.1267</v>
      </c>
      <c r="H272" t="s">
        <v>12</v>
      </c>
      <c r="I272" t="s">
        <v>10</v>
      </c>
    </row>
    <row r="273" spans="1:9" x14ac:dyDescent="0.25">
      <c r="A273" t="str">
        <f t="shared" si="4"/>
        <v>89301000</v>
      </c>
      <c r="B273" t="str">
        <f>"0306215734"</f>
        <v>0306215734</v>
      </c>
      <c r="C273" s="1">
        <v>45116</v>
      </c>
      <c r="D273" s="1">
        <v>45118</v>
      </c>
      <c r="E273">
        <v>1</v>
      </c>
      <c r="F273" t="str">
        <f>"03-K06-01"</f>
        <v>03-K06-01</v>
      </c>
      <c r="G273">
        <v>0.4713</v>
      </c>
      <c r="H273" t="s">
        <v>11</v>
      </c>
      <c r="I273" t="s">
        <v>10</v>
      </c>
    </row>
    <row r="274" spans="1:9" x14ac:dyDescent="0.25">
      <c r="A274" t="str">
        <f t="shared" si="4"/>
        <v>89301000</v>
      </c>
      <c r="B274" t="str">
        <f>"0306245720"</f>
        <v>0306245720</v>
      </c>
      <c r="C274" s="1">
        <v>45189</v>
      </c>
      <c r="D274" s="1">
        <v>45190</v>
      </c>
      <c r="E274">
        <v>1</v>
      </c>
      <c r="F274" t="str">
        <f>"01-K16-06"</f>
        <v>01-K16-06</v>
      </c>
      <c r="G274">
        <v>0.27150000000000002</v>
      </c>
      <c r="H274" t="s">
        <v>11</v>
      </c>
      <c r="I274" t="s">
        <v>10</v>
      </c>
    </row>
    <row r="275" spans="1:9" x14ac:dyDescent="0.25">
      <c r="A275" t="str">
        <f t="shared" si="4"/>
        <v>89301000</v>
      </c>
      <c r="B275" t="str">
        <f>"0306305769"</f>
        <v>0306305769</v>
      </c>
      <c r="C275" s="1">
        <v>44935</v>
      </c>
      <c r="D275" s="1">
        <v>44938</v>
      </c>
      <c r="E275">
        <v>1</v>
      </c>
      <c r="F275" t="str">
        <f>"08-K04-03"</f>
        <v>08-K04-03</v>
      </c>
      <c r="G275">
        <v>0.41799999999999998</v>
      </c>
      <c r="H275" t="s">
        <v>11</v>
      </c>
      <c r="I275" t="s">
        <v>10</v>
      </c>
    </row>
    <row r="276" spans="1:9" x14ac:dyDescent="0.25">
      <c r="A276" t="str">
        <f t="shared" si="4"/>
        <v>89301000</v>
      </c>
      <c r="B276" t="str">
        <f>"0307125720"</f>
        <v>0307125720</v>
      </c>
      <c r="C276" s="1">
        <v>45112</v>
      </c>
      <c r="D276" s="1">
        <v>45117</v>
      </c>
      <c r="E276">
        <v>1</v>
      </c>
      <c r="F276" t="str">
        <f>"05-K02-02"</f>
        <v>05-K02-02</v>
      </c>
      <c r="G276">
        <v>0.76439999999999997</v>
      </c>
      <c r="H276" t="s">
        <v>11</v>
      </c>
      <c r="I276" t="s">
        <v>10</v>
      </c>
    </row>
    <row r="277" spans="1:9" x14ac:dyDescent="0.25">
      <c r="A277" t="str">
        <f t="shared" si="4"/>
        <v>89301000</v>
      </c>
      <c r="B277" t="str">
        <f>"0307125742"</f>
        <v>0307125742</v>
      </c>
      <c r="C277" s="1">
        <v>45254</v>
      </c>
      <c r="D277" s="1">
        <v>45257</v>
      </c>
      <c r="E277">
        <v>1</v>
      </c>
      <c r="F277" t="str">
        <f>"06-K11-00"</f>
        <v>06-K11-00</v>
      </c>
      <c r="G277">
        <v>0.34639999999999999</v>
      </c>
      <c r="H277" t="s">
        <v>11</v>
      </c>
      <c r="I277" t="s">
        <v>10</v>
      </c>
    </row>
    <row r="278" spans="1:9" x14ac:dyDescent="0.25">
      <c r="A278" t="str">
        <f t="shared" si="4"/>
        <v>89301000</v>
      </c>
      <c r="B278" t="str">
        <f>"0308094842"</f>
        <v>0308094842</v>
      </c>
      <c r="C278" s="1">
        <v>44953</v>
      </c>
      <c r="D278" s="1">
        <v>44957</v>
      </c>
      <c r="E278">
        <v>1</v>
      </c>
      <c r="F278" t="str">
        <f>"01-K18-04"</f>
        <v>01-K18-04</v>
      </c>
      <c r="G278">
        <v>0.54610000000000003</v>
      </c>
      <c r="H278" t="s">
        <v>11</v>
      </c>
      <c r="I278" t="s">
        <v>10</v>
      </c>
    </row>
    <row r="279" spans="1:9" x14ac:dyDescent="0.25">
      <c r="A279" t="str">
        <f t="shared" si="4"/>
        <v>89301000</v>
      </c>
      <c r="B279" t="str">
        <f>"0308105732"</f>
        <v>0308105732</v>
      </c>
      <c r="C279" s="1">
        <v>44951</v>
      </c>
      <c r="D279" s="1">
        <v>44954</v>
      </c>
      <c r="E279">
        <v>1</v>
      </c>
      <c r="F279" t="str">
        <f>"08-M03-05"</f>
        <v>08-M03-05</v>
      </c>
      <c r="G279">
        <v>0.46910000000000002</v>
      </c>
      <c r="H279" t="s">
        <v>11</v>
      </c>
      <c r="I279" t="s">
        <v>10</v>
      </c>
    </row>
    <row r="280" spans="1:9" x14ac:dyDescent="0.25">
      <c r="A280" t="str">
        <f t="shared" si="4"/>
        <v>89301000</v>
      </c>
      <c r="B280" t="str">
        <f>"0308125719"</f>
        <v>0308125719</v>
      </c>
      <c r="C280" s="1">
        <v>44928</v>
      </c>
      <c r="D280" s="1">
        <v>44929</v>
      </c>
      <c r="E280">
        <v>1</v>
      </c>
      <c r="F280" t="str">
        <f>"08-I18-02"</f>
        <v>08-I18-02</v>
      </c>
      <c r="G280">
        <v>0.62509999999999999</v>
      </c>
      <c r="H280" t="s">
        <v>12</v>
      </c>
      <c r="I280" t="s">
        <v>10</v>
      </c>
    </row>
    <row r="281" spans="1:9" x14ac:dyDescent="0.25">
      <c r="A281" t="str">
        <f t="shared" si="4"/>
        <v>89301000</v>
      </c>
      <c r="B281" t="str">
        <f>"0309125707"</f>
        <v>0309125707</v>
      </c>
      <c r="C281" s="1">
        <v>45286</v>
      </c>
      <c r="D281" s="1">
        <v>45288</v>
      </c>
      <c r="E281">
        <v>1</v>
      </c>
      <c r="F281" t="str">
        <f>"06-K02-03"</f>
        <v>06-K02-03</v>
      </c>
      <c r="G281">
        <v>0.50470000000000004</v>
      </c>
      <c r="H281" t="s">
        <v>11</v>
      </c>
      <c r="I281" t="s">
        <v>10</v>
      </c>
    </row>
    <row r="282" spans="1:9" x14ac:dyDescent="0.25">
      <c r="A282" t="str">
        <f t="shared" si="4"/>
        <v>89301000</v>
      </c>
      <c r="B282" t="str">
        <f>"0309225752"</f>
        <v>0309225752</v>
      </c>
      <c r="C282" s="1">
        <v>45147</v>
      </c>
      <c r="D282" s="1">
        <v>45148</v>
      </c>
      <c r="E282">
        <v>1</v>
      </c>
      <c r="F282" t="str">
        <f>"12-I14-00"</f>
        <v>12-I14-00</v>
      </c>
      <c r="G282">
        <v>0.42920000000000003</v>
      </c>
      <c r="H282" t="s">
        <v>11</v>
      </c>
      <c r="I282" t="s">
        <v>10</v>
      </c>
    </row>
    <row r="283" spans="1:9" x14ac:dyDescent="0.25">
      <c r="A283" t="str">
        <f t="shared" si="4"/>
        <v>89301000</v>
      </c>
      <c r="B283" t="str">
        <f>"0309275703"</f>
        <v>0309275703</v>
      </c>
      <c r="C283" s="1">
        <v>45201</v>
      </c>
      <c r="D283" s="1">
        <v>45210</v>
      </c>
      <c r="E283">
        <v>1</v>
      </c>
      <c r="F283" t="str">
        <f>"06-I05-04"</f>
        <v>06-I05-04</v>
      </c>
      <c r="G283">
        <v>3.2768999999999999</v>
      </c>
      <c r="H283" t="s">
        <v>12</v>
      </c>
      <c r="I283" t="s">
        <v>10</v>
      </c>
    </row>
    <row r="284" spans="1:9" x14ac:dyDescent="0.25">
      <c r="A284" t="str">
        <f t="shared" si="4"/>
        <v>89301000</v>
      </c>
      <c r="B284" t="str">
        <f>"0309295723"</f>
        <v>0309295723</v>
      </c>
      <c r="C284" s="1">
        <v>45157</v>
      </c>
      <c r="D284" s="1">
        <v>45159</v>
      </c>
      <c r="E284">
        <v>1</v>
      </c>
      <c r="F284" t="str">
        <f>"06-I18-05"</f>
        <v>06-I18-05</v>
      </c>
      <c r="G284">
        <v>0.82420000000000004</v>
      </c>
      <c r="H284" t="s">
        <v>9</v>
      </c>
      <c r="I284" t="s">
        <v>10</v>
      </c>
    </row>
    <row r="285" spans="1:9" x14ac:dyDescent="0.25">
      <c r="A285" t="str">
        <f t="shared" si="4"/>
        <v>89301000</v>
      </c>
      <c r="B285" t="str">
        <f>"0310035715"</f>
        <v>0310035715</v>
      </c>
      <c r="C285" s="1">
        <v>45054</v>
      </c>
      <c r="D285" s="1">
        <v>45056</v>
      </c>
      <c r="E285">
        <v>1</v>
      </c>
      <c r="F285" t="str">
        <f>"08-I31-04"</f>
        <v>08-I31-04</v>
      </c>
      <c r="G285">
        <v>0.4894</v>
      </c>
      <c r="H285" t="s">
        <v>11</v>
      </c>
      <c r="I285" t="s">
        <v>10</v>
      </c>
    </row>
    <row r="286" spans="1:9" x14ac:dyDescent="0.25">
      <c r="A286" t="str">
        <f t="shared" si="4"/>
        <v>89301000</v>
      </c>
      <c r="B286" t="str">
        <f>"0310055735"</f>
        <v>0310055735</v>
      </c>
      <c r="C286" s="1">
        <v>45159</v>
      </c>
      <c r="D286" s="1">
        <v>45170</v>
      </c>
      <c r="E286">
        <v>1</v>
      </c>
      <c r="F286" t="str">
        <f>"19-K04-01"</f>
        <v>19-K04-01</v>
      </c>
      <c r="G286">
        <v>1.5724</v>
      </c>
      <c r="H286" t="s">
        <v>15</v>
      </c>
      <c r="I286" t="s">
        <v>10</v>
      </c>
    </row>
    <row r="287" spans="1:9" x14ac:dyDescent="0.25">
      <c r="A287" t="str">
        <f t="shared" si="4"/>
        <v>89301000</v>
      </c>
      <c r="B287" t="str">
        <f>"0310086139"</f>
        <v>0310086139</v>
      </c>
      <c r="C287" s="1">
        <v>44943</v>
      </c>
      <c r="D287" s="1">
        <v>44946</v>
      </c>
      <c r="E287">
        <v>1</v>
      </c>
      <c r="F287" t="str">
        <f>"03-I11-02"</f>
        <v>03-I11-02</v>
      </c>
      <c r="G287">
        <v>1.1355</v>
      </c>
      <c r="H287" t="s">
        <v>12</v>
      </c>
      <c r="I287" t="s">
        <v>10</v>
      </c>
    </row>
    <row r="288" spans="1:9" x14ac:dyDescent="0.25">
      <c r="A288" t="str">
        <f t="shared" si="4"/>
        <v>89301000</v>
      </c>
      <c r="B288" t="str">
        <f>"0311035384"</f>
        <v>0311035384</v>
      </c>
      <c r="C288" s="1">
        <v>44959</v>
      </c>
      <c r="D288" s="1">
        <v>44962</v>
      </c>
      <c r="E288">
        <v>1</v>
      </c>
      <c r="F288" t="str">
        <f>"08-M03-02"</f>
        <v>08-M03-02</v>
      </c>
      <c r="G288">
        <v>0.91359999999999997</v>
      </c>
      <c r="H288" t="s">
        <v>11</v>
      </c>
      <c r="I288" t="s">
        <v>10</v>
      </c>
    </row>
    <row r="289" spans="1:9" x14ac:dyDescent="0.25">
      <c r="A289" t="str">
        <f t="shared" si="4"/>
        <v>89301000</v>
      </c>
      <c r="B289" t="str">
        <f>"0311074841"</f>
        <v>0311074841</v>
      </c>
      <c r="C289" s="1">
        <v>45117</v>
      </c>
      <c r="D289" s="1">
        <v>45122</v>
      </c>
      <c r="E289">
        <v>1</v>
      </c>
      <c r="F289" t="str">
        <f>"11-I10-01"</f>
        <v>11-I10-01</v>
      </c>
      <c r="G289">
        <v>3.0842000000000001</v>
      </c>
      <c r="H289" t="s">
        <v>12</v>
      </c>
      <c r="I289" t="s">
        <v>10</v>
      </c>
    </row>
    <row r="290" spans="1:9" x14ac:dyDescent="0.25">
      <c r="A290" t="str">
        <f t="shared" si="4"/>
        <v>89301000</v>
      </c>
      <c r="B290" t="str">
        <f>"0312025703"</f>
        <v>0312025703</v>
      </c>
      <c r="C290" s="1">
        <v>45024</v>
      </c>
      <c r="D290" s="1">
        <v>45029</v>
      </c>
      <c r="E290">
        <v>1</v>
      </c>
      <c r="F290" t="str">
        <f>"06-K02-04"</f>
        <v>06-K02-04</v>
      </c>
      <c r="G290">
        <v>0.37659999999999999</v>
      </c>
      <c r="H290" t="s">
        <v>11</v>
      </c>
      <c r="I290" t="s">
        <v>10</v>
      </c>
    </row>
    <row r="291" spans="1:9" x14ac:dyDescent="0.25">
      <c r="A291" t="str">
        <f t="shared" si="4"/>
        <v>89301000</v>
      </c>
      <c r="B291" t="str">
        <f>"0312085719"</f>
        <v>0312085719</v>
      </c>
      <c r="C291" s="1">
        <v>45282</v>
      </c>
      <c r="D291" s="1">
        <v>45284</v>
      </c>
      <c r="E291">
        <v>1</v>
      </c>
      <c r="F291" t="str">
        <f>"06-K10-03"</f>
        <v>06-K10-03</v>
      </c>
      <c r="G291">
        <v>0.43519999999999998</v>
      </c>
      <c r="H291" t="s">
        <v>11</v>
      </c>
      <c r="I291" t="s">
        <v>10</v>
      </c>
    </row>
    <row r="292" spans="1:9" x14ac:dyDescent="0.25">
      <c r="A292" t="str">
        <f t="shared" si="4"/>
        <v>89301000</v>
      </c>
      <c r="B292" t="str">
        <f>"0312236067"</f>
        <v>0312236067</v>
      </c>
      <c r="C292" s="1">
        <v>45090</v>
      </c>
      <c r="D292" s="1">
        <v>45093</v>
      </c>
      <c r="E292">
        <v>1</v>
      </c>
      <c r="F292" t="str">
        <f>"08-I25-02"</f>
        <v>08-I25-02</v>
      </c>
      <c r="G292">
        <v>0.55279999999999996</v>
      </c>
      <c r="H292" t="s">
        <v>11</v>
      </c>
      <c r="I292" t="s">
        <v>10</v>
      </c>
    </row>
    <row r="293" spans="1:9" x14ac:dyDescent="0.25">
      <c r="A293" t="str">
        <f t="shared" si="4"/>
        <v>89301000</v>
      </c>
      <c r="B293" t="str">
        <f>"0312236078"</f>
        <v>0312236078</v>
      </c>
      <c r="C293" s="1">
        <v>45090</v>
      </c>
      <c r="D293" s="1">
        <v>45093</v>
      </c>
      <c r="E293">
        <v>1</v>
      </c>
      <c r="F293" t="str">
        <f>"08-I23-02"</f>
        <v>08-I23-02</v>
      </c>
      <c r="G293">
        <v>0.91059999999999997</v>
      </c>
      <c r="H293" t="s">
        <v>12</v>
      </c>
      <c r="I293" t="s">
        <v>10</v>
      </c>
    </row>
    <row r="294" spans="1:9" x14ac:dyDescent="0.25">
      <c r="A294" t="str">
        <f t="shared" si="4"/>
        <v>89301000</v>
      </c>
      <c r="B294" t="str">
        <f>"0312304487"</f>
        <v>0312304487</v>
      </c>
      <c r="C294" s="1">
        <v>45105</v>
      </c>
      <c r="D294" s="1">
        <v>45106</v>
      </c>
      <c r="E294">
        <v>1</v>
      </c>
      <c r="F294" t="str">
        <f>"08-I15-03"</f>
        <v>08-I15-03</v>
      </c>
      <c r="G294">
        <v>0.94059999999999999</v>
      </c>
      <c r="H294" t="s">
        <v>12</v>
      </c>
      <c r="I294" t="s">
        <v>10</v>
      </c>
    </row>
    <row r="295" spans="1:9" x14ac:dyDescent="0.25">
      <c r="A295" t="str">
        <f t="shared" si="4"/>
        <v>89301000</v>
      </c>
      <c r="B295" t="str">
        <f>"0351045717"</f>
        <v>0351045717</v>
      </c>
      <c r="C295" s="1">
        <v>44953</v>
      </c>
      <c r="D295" s="1">
        <v>44956</v>
      </c>
      <c r="E295">
        <v>1</v>
      </c>
      <c r="F295" t="str">
        <f>"14-M01-05"</f>
        <v>14-M01-05</v>
      </c>
      <c r="G295">
        <v>0.56289999999999996</v>
      </c>
      <c r="H295" t="s">
        <v>13</v>
      </c>
      <c r="I295" t="s">
        <v>10</v>
      </c>
    </row>
    <row r="296" spans="1:9" x14ac:dyDescent="0.25">
      <c r="A296" t="str">
        <f t="shared" si="4"/>
        <v>89301000</v>
      </c>
      <c r="B296" t="str">
        <f>"0352055704"</f>
        <v>0352055704</v>
      </c>
      <c r="C296" s="1">
        <v>45028</v>
      </c>
      <c r="D296" s="1">
        <v>45032</v>
      </c>
      <c r="E296">
        <v>1</v>
      </c>
      <c r="F296" t="str">
        <f>"14-M01-05"</f>
        <v>14-M01-05</v>
      </c>
      <c r="G296">
        <v>0.56589999999999996</v>
      </c>
      <c r="H296" t="s">
        <v>13</v>
      </c>
      <c r="I296" t="s">
        <v>10</v>
      </c>
    </row>
    <row r="297" spans="1:9" x14ac:dyDescent="0.25">
      <c r="A297" t="str">
        <f t="shared" si="4"/>
        <v>89301000</v>
      </c>
      <c r="B297" t="str">
        <f>"0352176209"</f>
        <v>0352176209</v>
      </c>
      <c r="C297" s="1">
        <v>44978</v>
      </c>
      <c r="D297" s="1">
        <v>44981</v>
      </c>
      <c r="E297">
        <v>1</v>
      </c>
      <c r="F297" t="str">
        <f>"09-K04-02"</f>
        <v>09-K04-02</v>
      </c>
      <c r="G297">
        <v>0.64849999999999997</v>
      </c>
      <c r="H297" t="s">
        <v>11</v>
      </c>
      <c r="I297" t="s">
        <v>10</v>
      </c>
    </row>
    <row r="298" spans="1:9" x14ac:dyDescent="0.25">
      <c r="A298" t="str">
        <f t="shared" si="4"/>
        <v>89301000</v>
      </c>
      <c r="B298" t="str">
        <f>"0352250899"</f>
        <v>0352250899</v>
      </c>
      <c r="C298" s="1">
        <v>45190</v>
      </c>
      <c r="D298" s="1">
        <v>45193</v>
      </c>
      <c r="E298">
        <v>1</v>
      </c>
      <c r="F298" t="str">
        <f>"08-I22-02"</f>
        <v>08-I22-02</v>
      </c>
      <c r="G298">
        <v>1.131</v>
      </c>
      <c r="H298" t="s">
        <v>12</v>
      </c>
      <c r="I298" t="s">
        <v>10</v>
      </c>
    </row>
    <row r="299" spans="1:9" x14ac:dyDescent="0.25">
      <c r="A299" t="str">
        <f t="shared" si="4"/>
        <v>89301000</v>
      </c>
      <c r="B299" t="str">
        <f>"0353090155"</f>
        <v>0353090155</v>
      </c>
      <c r="C299" s="1">
        <v>45269</v>
      </c>
      <c r="D299" s="1">
        <v>45279</v>
      </c>
      <c r="E299">
        <v>1</v>
      </c>
      <c r="F299" t="str">
        <f>"16-C07-02"</f>
        <v>16-C07-02</v>
      </c>
      <c r="G299">
        <v>1.2703</v>
      </c>
      <c r="H299" t="s">
        <v>11</v>
      </c>
      <c r="I299" t="s">
        <v>10</v>
      </c>
    </row>
    <row r="300" spans="1:9" x14ac:dyDescent="0.25">
      <c r="A300" t="str">
        <f t="shared" si="4"/>
        <v>89301000</v>
      </c>
      <c r="B300" t="str">
        <f>"0353090155"</f>
        <v>0353090155</v>
      </c>
      <c r="C300" s="1">
        <v>45084</v>
      </c>
      <c r="D300" s="1">
        <v>45100</v>
      </c>
      <c r="E300">
        <v>1</v>
      </c>
      <c r="F300" t="str">
        <f>"16-C07-02"</f>
        <v>16-C07-02</v>
      </c>
      <c r="G300">
        <v>1.5073000000000001</v>
      </c>
      <c r="H300" t="s">
        <v>11</v>
      </c>
      <c r="I300" t="s">
        <v>10</v>
      </c>
    </row>
    <row r="301" spans="1:9" x14ac:dyDescent="0.25">
      <c r="A301" t="str">
        <f t="shared" si="4"/>
        <v>89301000</v>
      </c>
      <c r="B301" t="str">
        <f>"0353216182"</f>
        <v>0353216182</v>
      </c>
      <c r="C301" s="1">
        <v>44991</v>
      </c>
      <c r="D301" s="1">
        <v>44996</v>
      </c>
      <c r="E301">
        <v>1</v>
      </c>
      <c r="F301" t="str">
        <f>"14-I01-02"</f>
        <v>14-I01-02</v>
      </c>
      <c r="G301">
        <v>1.2988999999999999</v>
      </c>
      <c r="H301" t="s">
        <v>13</v>
      </c>
      <c r="I301" t="s">
        <v>10</v>
      </c>
    </row>
    <row r="302" spans="1:9" x14ac:dyDescent="0.25">
      <c r="A302" t="str">
        <f t="shared" si="4"/>
        <v>89301000</v>
      </c>
      <c r="B302" t="str">
        <f>"0354146155"</f>
        <v>0354146155</v>
      </c>
      <c r="C302" s="1">
        <v>44977</v>
      </c>
      <c r="D302" s="1">
        <v>44979</v>
      </c>
      <c r="E302">
        <v>1</v>
      </c>
      <c r="F302" t="str">
        <f>"03-I24-00"</f>
        <v>03-I24-00</v>
      </c>
      <c r="G302">
        <v>0.40899999999999997</v>
      </c>
      <c r="H302" t="s">
        <v>11</v>
      </c>
      <c r="I302" t="s">
        <v>10</v>
      </c>
    </row>
    <row r="303" spans="1:9" x14ac:dyDescent="0.25">
      <c r="A303" t="str">
        <f t="shared" si="4"/>
        <v>89301000</v>
      </c>
      <c r="B303" t="str">
        <f>"0354265703"</f>
        <v>0354265703</v>
      </c>
      <c r="C303" s="1">
        <v>45270</v>
      </c>
      <c r="D303" s="1">
        <v>45273</v>
      </c>
      <c r="E303">
        <v>6</v>
      </c>
      <c r="F303" t="str">
        <f>"14-K03-02"</f>
        <v>14-K03-02</v>
      </c>
      <c r="G303">
        <v>0.30230000000000001</v>
      </c>
      <c r="H303" t="s">
        <v>11</v>
      </c>
      <c r="I303" t="s">
        <v>10</v>
      </c>
    </row>
    <row r="304" spans="1:9" x14ac:dyDescent="0.25">
      <c r="A304" t="str">
        <f t="shared" si="4"/>
        <v>89301000</v>
      </c>
      <c r="B304" t="str">
        <f>"0355015727"</f>
        <v>0355015727</v>
      </c>
      <c r="C304" s="1">
        <v>45005</v>
      </c>
      <c r="D304" s="1">
        <v>45006</v>
      </c>
      <c r="E304">
        <v>1</v>
      </c>
      <c r="F304" t="str">
        <f>"06-M01-01"</f>
        <v>06-M01-01</v>
      </c>
      <c r="G304">
        <v>1.2325999999999999</v>
      </c>
      <c r="H304" t="s">
        <v>11</v>
      </c>
      <c r="I304" t="s">
        <v>10</v>
      </c>
    </row>
    <row r="305" spans="1:9" x14ac:dyDescent="0.25">
      <c r="A305" t="str">
        <f t="shared" si="4"/>
        <v>89301000</v>
      </c>
      <c r="B305" t="str">
        <f>"0355015727"</f>
        <v>0355015727</v>
      </c>
      <c r="C305" s="1">
        <v>44945</v>
      </c>
      <c r="D305" s="1">
        <v>44946</v>
      </c>
      <c r="E305">
        <v>1</v>
      </c>
      <c r="F305" t="str">
        <f>"07-M02-04"</f>
        <v>07-M02-04</v>
      </c>
      <c r="G305">
        <v>0.77339999999999998</v>
      </c>
      <c r="H305" t="s">
        <v>12</v>
      </c>
      <c r="I305" t="s">
        <v>10</v>
      </c>
    </row>
    <row r="306" spans="1:9" x14ac:dyDescent="0.25">
      <c r="A306" t="str">
        <f t="shared" si="4"/>
        <v>89301000</v>
      </c>
      <c r="B306" t="str">
        <f>"0355015727"</f>
        <v>0355015727</v>
      </c>
      <c r="C306" s="1">
        <v>45264</v>
      </c>
      <c r="D306" s="1">
        <v>45266</v>
      </c>
      <c r="E306">
        <v>1</v>
      </c>
      <c r="F306" t="str">
        <f>"08-I31-04"</f>
        <v>08-I31-04</v>
      </c>
      <c r="G306">
        <v>0.49170000000000003</v>
      </c>
      <c r="H306" t="s">
        <v>11</v>
      </c>
      <c r="I306" t="s">
        <v>10</v>
      </c>
    </row>
    <row r="307" spans="1:9" x14ac:dyDescent="0.25">
      <c r="A307" t="str">
        <f t="shared" si="4"/>
        <v>89301000</v>
      </c>
      <c r="B307" t="str">
        <f>"0355105740"</f>
        <v>0355105740</v>
      </c>
      <c r="C307" s="1">
        <v>45182</v>
      </c>
      <c r="D307" s="1">
        <v>45184</v>
      </c>
      <c r="E307">
        <v>1</v>
      </c>
      <c r="F307" t="str">
        <f>"06-I18-05"</f>
        <v>06-I18-05</v>
      </c>
      <c r="G307">
        <v>0.82420000000000004</v>
      </c>
      <c r="H307" t="s">
        <v>9</v>
      </c>
      <c r="I307" t="s">
        <v>10</v>
      </c>
    </row>
    <row r="308" spans="1:9" x14ac:dyDescent="0.25">
      <c r="A308" t="str">
        <f t="shared" si="4"/>
        <v>89301000</v>
      </c>
      <c r="B308" t="str">
        <f>"0356065226"</f>
        <v>0356065226</v>
      </c>
      <c r="C308" s="1">
        <v>45258</v>
      </c>
      <c r="D308" s="1">
        <v>45266</v>
      </c>
      <c r="E308">
        <v>1</v>
      </c>
      <c r="F308" t="str">
        <f>"09-K04-02"</f>
        <v>09-K04-02</v>
      </c>
      <c r="G308">
        <v>0.64849999999999997</v>
      </c>
      <c r="H308" t="s">
        <v>11</v>
      </c>
      <c r="I308" t="s">
        <v>10</v>
      </c>
    </row>
    <row r="309" spans="1:9" x14ac:dyDescent="0.25">
      <c r="A309" t="str">
        <f t="shared" si="4"/>
        <v>89301000</v>
      </c>
      <c r="B309" t="str">
        <f>"0357105716"</f>
        <v>0357105716</v>
      </c>
      <c r="C309" s="1">
        <v>45099</v>
      </c>
      <c r="D309" s="1">
        <v>45102</v>
      </c>
      <c r="E309">
        <v>1</v>
      </c>
      <c r="F309" t="str">
        <f>"14-M01-05"</f>
        <v>14-M01-05</v>
      </c>
      <c r="G309">
        <v>0.56289999999999996</v>
      </c>
      <c r="H309" t="s">
        <v>13</v>
      </c>
      <c r="I309" t="s">
        <v>10</v>
      </c>
    </row>
    <row r="310" spans="1:9" x14ac:dyDescent="0.25">
      <c r="A310" t="str">
        <f t="shared" si="4"/>
        <v>89301000</v>
      </c>
      <c r="B310" t="str">
        <f>"0357116144"</f>
        <v>0357116144</v>
      </c>
      <c r="C310" s="1">
        <v>45077</v>
      </c>
      <c r="D310" s="1">
        <v>45083</v>
      </c>
      <c r="E310">
        <v>1</v>
      </c>
      <c r="F310" t="str">
        <f>"04-K15-01"</f>
        <v>04-K15-01</v>
      </c>
      <c r="G310">
        <v>2.5966999999999998</v>
      </c>
      <c r="H310" t="s">
        <v>11</v>
      </c>
      <c r="I310" t="s">
        <v>10</v>
      </c>
    </row>
    <row r="311" spans="1:9" x14ac:dyDescent="0.25">
      <c r="A311" t="str">
        <f t="shared" si="4"/>
        <v>89301000</v>
      </c>
      <c r="B311" t="str">
        <f>"0357116144"</f>
        <v>0357116144</v>
      </c>
      <c r="C311" s="1">
        <v>45037</v>
      </c>
      <c r="D311" s="1">
        <v>45051</v>
      </c>
      <c r="E311">
        <v>4</v>
      </c>
      <c r="F311" t="str">
        <f>"04-I05-02"</f>
        <v>04-I05-02</v>
      </c>
      <c r="G311">
        <v>4.1867999999999999</v>
      </c>
      <c r="H311" t="s">
        <v>14</v>
      </c>
      <c r="I311" t="s">
        <v>10</v>
      </c>
    </row>
    <row r="312" spans="1:9" x14ac:dyDescent="0.25">
      <c r="A312" t="str">
        <f t="shared" si="4"/>
        <v>89301000</v>
      </c>
      <c r="B312" t="str">
        <f>"0358035711"</f>
        <v>0358035711</v>
      </c>
      <c r="C312" s="1">
        <v>45089</v>
      </c>
      <c r="D312" s="1">
        <v>45092</v>
      </c>
      <c r="E312">
        <v>1</v>
      </c>
      <c r="F312" t="str">
        <f>"08-K11-02"</f>
        <v>08-K11-02</v>
      </c>
      <c r="G312">
        <v>0.57420000000000004</v>
      </c>
      <c r="H312" t="s">
        <v>11</v>
      </c>
      <c r="I312" t="s">
        <v>10</v>
      </c>
    </row>
    <row r="313" spans="1:9" x14ac:dyDescent="0.25">
      <c r="A313" t="str">
        <f t="shared" si="4"/>
        <v>89301000</v>
      </c>
      <c r="B313" t="str">
        <f>"0358035733"</f>
        <v>0358035733</v>
      </c>
      <c r="C313" s="1">
        <v>45238</v>
      </c>
      <c r="D313" s="1">
        <v>45241</v>
      </c>
      <c r="E313">
        <v>1</v>
      </c>
      <c r="F313" t="str">
        <f>"14-M01-05"</f>
        <v>14-M01-05</v>
      </c>
      <c r="G313">
        <v>0.56289999999999996</v>
      </c>
      <c r="H313" t="s">
        <v>13</v>
      </c>
      <c r="I313" t="s">
        <v>10</v>
      </c>
    </row>
    <row r="314" spans="1:9" x14ac:dyDescent="0.25">
      <c r="A314" t="str">
        <f t="shared" si="4"/>
        <v>89301000</v>
      </c>
      <c r="B314" t="str">
        <f>"0358055720"</f>
        <v>0358055720</v>
      </c>
      <c r="C314" s="1">
        <v>44957</v>
      </c>
      <c r="D314" s="1">
        <v>44960</v>
      </c>
      <c r="E314">
        <v>1</v>
      </c>
      <c r="F314" t="str">
        <f>"06-I18-05"</f>
        <v>06-I18-05</v>
      </c>
      <c r="G314">
        <v>0.82420000000000004</v>
      </c>
      <c r="H314" t="s">
        <v>9</v>
      </c>
      <c r="I314" t="s">
        <v>10</v>
      </c>
    </row>
    <row r="315" spans="1:9" x14ac:dyDescent="0.25">
      <c r="A315" t="str">
        <f t="shared" si="4"/>
        <v>89301000</v>
      </c>
      <c r="B315" t="str">
        <f>"0358104769"</f>
        <v>0358104769</v>
      </c>
      <c r="C315" s="1">
        <v>44932</v>
      </c>
      <c r="D315" s="1">
        <v>44936</v>
      </c>
      <c r="E315">
        <v>1</v>
      </c>
      <c r="F315" t="str">
        <f>"13-K02-00"</f>
        <v>13-K02-00</v>
      </c>
      <c r="G315">
        <v>0.2611</v>
      </c>
      <c r="H315" t="s">
        <v>11</v>
      </c>
      <c r="I315" t="s">
        <v>10</v>
      </c>
    </row>
    <row r="316" spans="1:9" x14ac:dyDescent="0.25">
      <c r="A316" t="str">
        <f t="shared" si="4"/>
        <v>89301000</v>
      </c>
      <c r="B316" t="str">
        <f>"0358125702"</f>
        <v>0358125702</v>
      </c>
      <c r="C316" s="1">
        <v>44995</v>
      </c>
      <c r="D316" s="1">
        <v>44998</v>
      </c>
      <c r="E316">
        <v>1</v>
      </c>
      <c r="F316" t="str">
        <f>"06-K02-03"</f>
        <v>06-K02-03</v>
      </c>
      <c r="G316">
        <v>0.50470000000000004</v>
      </c>
      <c r="H316" t="s">
        <v>11</v>
      </c>
      <c r="I316" t="s">
        <v>10</v>
      </c>
    </row>
    <row r="317" spans="1:9" x14ac:dyDescent="0.25">
      <c r="A317" t="str">
        <f t="shared" si="4"/>
        <v>89301000</v>
      </c>
      <c r="B317" t="str">
        <f>"0358135723"</f>
        <v>0358135723</v>
      </c>
      <c r="C317" s="1">
        <v>45076</v>
      </c>
      <c r="D317" s="1">
        <v>45078</v>
      </c>
      <c r="E317">
        <v>1</v>
      </c>
      <c r="F317" t="str">
        <f>"01-K07-03"</f>
        <v>01-K07-03</v>
      </c>
      <c r="G317">
        <v>0.48680000000000001</v>
      </c>
      <c r="H317" t="s">
        <v>11</v>
      </c>
      <c r="I317" t="s">
        <v>10</v>
      </c>
    </row>
    <row r="318" spans="1:9" x14ac:dyDescent="0.25">
      <c r="A318" t="str">
        <f t="shared" si="4"/>
        <v>89301000</v>
      </c>
      <c r="B318" t="str">
        <f>"0358255722"</f>
        <v>0358255722</v>
      </c>
      <c r="C318" s="1">
        <v>44942</v>
      </c>
      <c r="D318" s="1">
        <v>44944</v>
      </c>
      <c r="E318">
        <v>1</v>
      </c>
      <c r="F318" t="str">
        <f>"13-I14-03"</f>
        <v>13-I14-03</v>
      </c>
      <c r="G318">
        <v>0.87760000000000005</v>
      </c>
      <c r="H318" t="s">
        <v>9</v>
      </c>
      <c r="I318" t="s">
        <v>10</v>
      </c>
    </row>
    <row r="319" spans="1:9" x14ac:dyDescent="0.25">
      <c r="A319" t="str">
        <f t="shared" si="4"/>
        <v>89301000</v>
      </c>
      <c r="B319" t="str">
        <f>"0358255733"</f>
        <v>0358255733</v>
      </c>
      <c r="C319" s="1">
        <v>45258</v>
      </c>
      <c r="D319" s="1">
        <v>45264</v>
      </c>
      <c r="E319">
        <v>1</v>
      </c>
      <c r="F319" t="str">
        <f>"19-K03-03"</f>
        <v>19-K03-03</v>
      </c>
      <c r="G319">
        <v>0.90410000000000001</v>
      </c>
      <c r="H319" t="s">
        <v>15</v>
      </c>
      <c r="I319" t="s">
        <v>10</v>
      </c>
    </row>
    <row r="320" spans="1:9" x14ac:dyDescent="0.25">
      <c r="A320" t="str">
        <f t="shared" ref="A320:A383" si="5">"89301000"</f>
        <v>89301000</v>
      </c>
      <c r="B320" t="str">
        <f>"0358256140"</f>
        <v>0358256140</v>
      </c>
      <c r="C320" s="1">
        <v>45124</v>
      </c>
      <c r="D320" s="1">
        <v>45128</v>
      </c>
      <c r="E320">
        <v>1</v>
      </c>
      <c r="F320" t="str">
        <f>"19-K02-03"</f>
        <v>19-K02-03</v>
      </c>
      <c r="G320">
        <v>0.71950000000000003</v>
      </c>
      <c r="H320" t="s">
        <v>15</v>
      </c>
      <c r="I320" t="s">
        <v>10</v>
      </c>
    </row>
    <row r="321" spans="1:9" x14ac:dyDescent="0.25">
      <c r="A321" t="str">
        <f t="shared" si="5"/>
        <v>89301000</v>
      </c>
      <c r="B321" t="str">
        <f>"0358286148"</f>
        <v>0358286148</v>
      </c>
      <c r="C321" s="1">
        <v>45208</v>
      </c>
      <c r="D321" s="1">
        <v>45209</v>
      </c>
      <c r="E321">
        <v>1</v>
      </c>
      <c r="F321" t="str">
        <f>"14-K03-02"</f>
        <v>14-K03-02</v>
      </c>
      <c r="G321">
        <v>0.30149999999999999</v>
      </c>
      <c r="H321" t="s">
        <v>11</v>
      </c>
      <c r="I321" t="s">
        <v>10</v>
      </c>
    </row>
    <row r="322" spans="1:9" x14ac:dyDescent="0.25">
      <c r="A322" t="str">
        <f t="shared" si="5"/>
        <v>89301000</v>
      </c>
      <c r="B322" t="str">
        <f>"0359104768"</f>
        <v>0359104768</v>
      </c>
      <c r="C322" s="1">
        <v>45151</v>
      </c>
      <c r="D322" s="1">
        <v>45153</v>
      </c>
      <c r="E322">
        <v>1</v>
      </c>
      <c r="F322" t="str">
        <f>"05-D01-03"</f>
        <v>05-D01-03</v>
      </c>
      <c r="G322">
        <v>1.0057</v>
      </c>
      <c r="H322" t="s">
        <v>11</v>
      </c>
      <c r="I322" t="s">
        <v>10</v>
      </c>
    </row>
    <row r="323" spans="1:9" x14ac:dyDescent="0.25">
      <c r="A323" t="str">
        <f t="shared" si="5"/>
        <v>89301000</v>
      </c>
      <c r="B323" t="str">
        <f>"0359104867"</f>
        <v>0359104867</v>
      </c>
      <c r="C323" s="1">
        <v>45085</v>
      </c>
      <c r="D323" s="1">
        <v>45110</v>
      </c>
      <c r="E323">
        <v>4</v>
      </c>
      <c r="F323" t="str">
        <f>"19-K07-02"</f>
        <v>19-K07-02</v>
      </c>
      <c r="G323">
        <v>2.5350000000000001</v>
      </c>
      <c r="H323" t="s">
        <v>15</v>
      </c>
      <c r="I323" t="s">
        <v>10</v>
      </c>
    </row>
    <row r="324" spans="1:9" x14ac:dyDescent="0.25">
      <c r="A324" t="str">
        <f t="shared" si="5"/>
        <v>89301000</v>
      </c>
      <c r="B324" t="str">
        <f>"0359194242"</f>
        <v>0359194242</v>
      </c>
      <c r="C324" s="1">
        <v>45172</v>
      </c>
      <c r="D324" s="1">
        <v>45176</v>
      </c>
      <c r="E324">
        <v>1</v>
      </c>
      <c r="F324" t="str">
        <f>"14-I01-05"</f>
        <v>14-I01-05</v>
      </c>
      <c r="G324">
        <v>0.83340000000000003</v>
      </c>
      <c r="H324" t="s">
        <v>13</v>
      </c>
      <c r="I324" t="s">
        <v>10</v>
      </c>
    </row>
    <row r="325" spans="1:9" x14ac:dyDescent="0.25">
      <c r="A325" t="str">
        <f t="shared" si="5"/>
        <v>89301000</v>
      </c>
      <c r="B325" t="str">
        <f>"0360085748"</f>
        <v>0360085748</v>
      </c>
      <c r="C325" s="1">
        <v>45243</v>
      </c>
      <c r="D325" s="1">
        <v>45281</v>
      </c>
      <c r="E325">
        <v>1</v>
      </c>
      <c r="F325" t="str">
        <f>"19-K08-02"</f>
        <v>19-K08-02</v>
      </c>
      <c r="G325">
        <v>4.4416000000000002</v>
      </c>
      <c r="H325" t="s">
        <v>15</v>
      </c>
      <c r="I325" t="s">
        <v>10</v>
      </c>
    </row>
    <row r="326" spans="1:9" x14ac:dyDescent="0.25">
      <c r="A326" t="str">
        <f t="shared" si="5"/>
        <v>89301000</v>
      </c>
      <c r="B326" t="str">
        <f>"0360155994"</f>
        <v>0360155994</v>
      </c>
      <c r="C326" s="1">
        <v>45146</v>
      </c>
      <c r="D326" s="1">
        <v>45151</v>
      </c>
      <c r="E326">
        <v>1</v>
      </c>
      <c r="F326" t="str">
        <f>"19-K02-01"</f>
        <v>19-K02-01</v>
      </c>
      <c r="G326">
        <v>1.0766</v>
      </c>
      <c r="H326" t="s">
        <v>15</v>
      </c>
      <c r="I326" t="s">
        <v>10</v>
      </c>
    </row>
    <row r="327" spans="1:9" x14ac:dyDescent="0.25">
      <c r="A327" t="str">
        <f t="shared" si="5"/>
        <v>89301000</v>
      </c>
      <c r="B327" t="str">
        <f>"0361125710"</f>
        <v>0361125710</v>
      </c>
      <c r="C327" s="1">
        <v>45096</v>
      </c>
      <c r="D327" s="1">
        <v>45134</v>
      </c>
      <c r="E327">
        <v>1</v>
      </c>
      <c r="F327" t="str">
        <f>"19-K08-02"</f>
        <v>19-K08-02</v>
      </c>
      <c r="G327">
        <v>4.4416000000000002</v>
      </c>
      <c r="H327" t="s">
        <v>15</v>
      </c>
      <c r="I327" t="s">
        <v>10</v>
      </c>
    </row>
    <row r="328" spans="1:9" x14ac:dyDescent="0.25">
      <c r="A328" t="str">
        <f t="shared" si="5"/>
        <v>89301000</v>
      </c>
      <c r="B328" t="str">
        <f>"0361165706"</f>
        <v>0361165706</v>
      </c>
      <c r="C328" s="1">
        <v>45083</v>
      </c>
      <c r="D328" s="1">
        <v>45089</v>
      </c>
      <c r="E328">
        <v>1</v>
      </c>
      <c r="F328" t="str">
        <f>"01-C01-02"</f>
        <v>01-C01-02</v>
      </c>
      <c r="G328">
        <v>3.5868000000000002</v>
      </c>
      <c r="H328" t="s">
        <v>11</v>
      </c>
      <c r="I328" t="s">
        <v>10</v>
      </c>
    </row>
    <row r="329" spans="1:9" x14ac:dyDescent="0.25">
      <c r="A329" t="str">
        <f t="shared" si="5"/>
        <v>89301000</v>
      </c>
      <c r="B329" t="str">
        <f>"0361165706"</f>
        <v>0361165706</v>
      </c>
      <c r="C329" s="1">
        <v>45208</v>
      </c>
      <c r="D329" s="1">
        <v>45210</v>
      </c>
      <c r="E329">
        <v>1</v>
      </c>
      <c r="F329" t="str">
        <f>"01-C01-03"</f>
        <v>01-C01-03</v>
      </c>
      <c r="G329">
        <v>1.66</v>
      </c>
      <c r="H329" t="s">
        <v>11</v>
      </c>
      <c r="I329" t="s">
        <v>10</v>
      </c>
    </row>
    <row r="330" spans="1:9" x14ac:dyDescent="0.25">
      <c r="A330" t="str">
        <f t="shared" si="5"/>
        <v>89301000</v>
      </c>
      <c r="B330" t="str">
        <f>"0361165706"</f>
        <v>0361165706</v>
      </c>
      <c r="C330" s="1">
        <v>45049</v>
      </c>
      <c r="D330" s="1">
        <v>45051</v>
      </c>
      <c r="E330">
        <v>1</v>
      </c>
      <c r="F330" t="str">
        <f>"01-K09-02"</f>
        <v>01-K09-02</v>
      </c>
      <c r="G330">
        <v>0.64290000000000003</v>
      </c>
      <c r="H330" t="s">
        <v>11</v>
      </c>
      <c r="I330" t="s">
        <v>10</v>
      </c>
    </row>
    <row r="331" spans="1:9" x14ac:dyDescent="0.25">
      <c r="A331" t="str">
        <f t="shared" si="5"/>
        <v>89301000</v>
      </c>
      <c r="B331" t="str">
        <f>"0361185451"</f>
        <v>0361185451</v>
      </c>
      <c r="C331" s="1">
        <v>44942</v>
      </c>
      <c r="D331" s="1">
        <v>44944</v>
      </c>
      <c r="E331">
        <v>1</v>
      </c>
      <c r="F331" t="str">
        <f>"08-I31-04"</f>
        <v>08-I31-04</v>
      </c>
      <c r="G331">
        <v>0.49170000000000003</v>
      </c>
      <c r="H331" t="s">
        <v>11</v>
      </c>
      <c r="I331" t="s">
        <v>10</v>
      </c>
    </row>
    <row r="332" spans="1:9" x14ac:dyDescent="0.25">
      <c r="A332" t="str">
        <f t="shared" si="5"/>
        <v>89301000</v>
      </c>
      <c r="B332" t="str">
        <f>"0362264848"</f>
        <v>0362264848</v>
      </c>
      <c r="C332" s="1">
        <v>45130</v>
      </c>
      <c r="D332" s="1">
        <v>45142</v>
      </c>
      <c r="E332">
        <v>1</v>
      </c>
      <c r="F332" t="str">
        <f>"19-K04-02"</f>
        <v>19-K04-02</v>
      </c>
      <c r="G332">
        <v>1.3379000000000001</v>
      </c>
      <c r="H332" t="s">
        <v>15</v>
      </c>
      <c r="I332" t="s">
        <v>10</v>
      </c>
    </row>
    <row r="333" spans="1:9" x14ac:dyDescent="0.25">
      <c r="A333" t="str">
        <f t="shared" si="5"/>
        <v>89301000</v>
      </c>
      <c r="B333" t="str">
        <f>"0401024360"</f>
        <v>0401024360</v>
      </c>
      <c r="C333" s="1">
        <v>45110</v>
      </c>
      <c r="D333" s="1">
        <v>45113</v>
      </c>
      <c r="E333">
        <v>1</v>
      </c>
      <c r="F333" t="str">
        <f>"06-K02-04"</f>
        <v>06-K02-04</v>
      </c>
      <c r="G333">
        <v>0.37659999999999999</v>
      </c>
      <c r="H333" t="s">
        <v>11</v>
      </c>
      <c r="I333" t="s">
        <v>10</v>
      </c>
    </row>
    <row r="334" spans="1:9" x14ac:dyDescent="0.25">
      <c r="A334" t="str">
        <f t="shared" si="5"/>
        <v>89301000</v>
      </c>
      <c r="B334" t="str">
        <f>"0401164357"</f>
        <v>0401164357</v>
      </c>
      <c r="C334" s="1">
        <v>44998</v>
      </c>
      <c r="D334" s="1">
        <v>44999</v>
      </c>
      <c r="E334">
        <v>1</v>
      </c>
      <c r="F334" t="str">
        <f>"12-I14-00"</f>
        <v>12-I14-00</v>
      </c>
      <c r="G334">
        <v>0.42920000000000003</v>
      </c>
      <c r="H334" t="s">
        <v>11</v>
      </c>
      <c r="I334" t="s">
        <v>10</v>
      </c>
    </row>
    <row r="335" spans="1:9" x14ac:dyDescent="0.25">
      <c r="A335" t="str">
        <f t="shared" si="5"/>
        <v>89301000</v>
      </c>
      <c r="B335" t="str">
        <f>"0401257340"</f>
        <v>0401257340</v>
      </c>
      <c r="C335" s="1">
        <v>45091</v>
      </c>
      <c r="D335" s="1">
        <v>45092</v>
      </c>
      <c r="E335">
        <v>1</v>
      </c>
      <c r="F335" t="str">
        <f>"12-I13-01"</f>
        <v>12-I13-01</v>
      </c>
      <c r="G335">
        <v>0.78059999999999996</v>
      </c>
      <c r="H335" t="s">
        <v>9</v>
      </c>
      <c r="I335" t="s">
        <v>10</v>
      </c>
    </row>
    <row r="336" spans="1:9" x14ac:dyDescent="0.25">
      <c r="A336" t="str">
        <f t="shared" si="5"/>
        <v>89301000</v>
      </c>
      <c r="B336" t="str">
        <f>"0402072506"</f>
        <v>0402072506</v>
      </c>
      <c r="C336" s="1">
        <v>45133</v>
      </c>
      <c r="D336" s="1">
        <v>45138</v>
      </c>
      <c r="E336">
        <v>1</v>
      </c>
      <c r="F336" t="str">
        <f>"08-I17-02"</f>
        <v>08-I17-02</v>
      </c>
      <c r="G336">
        <v>0.89680000000000004</v>
      </c>
      <c r="H336" t="s">
        <v>11</v>
      </c>
      <c r="I336" t="s">
        <v>10</v>
      </c>
    </row>
    <row r="337" spans="1:9" x14ac:dyDescent="0.25">
      <c r="A337" t="str">
        <f t="shared" si="5"/>
        <v>89301000</v>
      </c>
      <c r="B337" t="str">
        <f>"0402072506"</f>
        <v>0402072506</v>
      </c>
      <c r="C337" s="1">
        <v>45123</v>
      </c>
      <c r="D337" s="1">
        <v>45125</v>
      </c>
      <c r="E337">
        <v>1</v>
      </c>
      <c r="F337" t="str">
        <f>"08-I16-02"</f>
        <v>08-I16-02</v>
      </c>
      <c r="G337">
        <v>1.8476999999999999</v>
      </c>
      <c r="H337" t="s">
        <v>12</v>
      </c>
      <c r="I337" t="s">
        <v>10</v>
      </c>
    </row>
    <row r="338" spans="1:9" x14ac:dyDescent="0.25">
      <c r="A338" t="str">
        <f t="shared" si="5"/>
        <v>89301000</v>
      </c>
      <c r="B338" t="str">
        <f>"0402088665"</f>
        <v>0402088665</v>
      </c>
      <c r="C338" s="1">
        <v>45271</v>
      </c>
      <c r="D338" s="1">
        <v>45274</v>
      </c>
      <c r="E338">
        <v>1</v>
      </c>
      <c r="F338" t="str">
        <f>"08-M03-05"</f>
        <v>08-M03-05</v>
      </c>
      <c r="G338">
        <v>0.46910000000000002</v>
      </c>
      <c r="H338" t="s">
        <v>11</v>
      </c>
      <c r="I338" t="s">
        <v>10</v>
      </c>
    </row>
    <row r="339" spans="1:9" x14ac:dyDescent="0.25">
      <c r="A339" t="str">
        <f t="shared" si="5"/>
        <v>89301000</v>
      </c>
      <c r="B339" t="str">
        <f>"0402174377"</f>
        <v>0402174377</v>
      </c>
      <c r="C339" s="1">
        <v>45181</v>
      </c>
      <c r="D339" s="1">
        <v>45183</v>
      </c>
      <c r="E339">
        <v>1</v>
      </c>
      <c r="F339" t="str">
        <f>"08-I19-01"</f>
        <v>08-I19-01</v>
      </c>
      <c r="G339">
        <v>0.91039999999999999</v>
      </c>
      <c r="H339" t="s">
        <v>12</v>
      </c>
      <c r="I339" t="s">
        <v>10</v>
      </c>
    </row>
    <row r="340" spans="1:9" x14ac:dyDescent="0.25">
      <c r="A340" t="str">
        <f t="shared" si="5"/>
        <v>89301000</v>
      </c>
      <c r="B340" t="str">
        <f>"0402214362"</f>
        <v>0402214362</v>
      </c>
      <c r="C340" s="1">
        <v>45109</v>
      </c>
      <c r="D340" s="1">
        <v>45111</v>
      </c>
      <c r="E340">
        <v>1</v>
      </c>
      <c r="F340" t="str">
        <f>"01-K16-02"</f>
        <v>01-K16-02</v>
      </c>
      <c r="G340">
        <v>1.0049999999999999</v>
      </c>
      <c r="H340" t="s">
        <v>11</v>
      </c>
      <c r="I340" t="s">
        <v>10</v>
      </c>
    </row>
    <row r="341" spans="1:9" x14ac:dyDescent="0.25">
      <c r="A341" t="str">
        <f t="shared" si="5"/>
        <v>89301000</v>
      </c>
      <c r="B341" t="str">
        <f>"0402217189"</f>
        <v>0402217189</v>
      </c>
      <c r="C341" s="1">
        <v>45235</v>
      </c>
      <c r="D341" s="1">
        <v>45237</v>
      </c>
      <c r="E341">
        <v>1</v>
      </c>
      <c r="F341" t="str">
        <f>"08-M03-04"</f>
        <v>08-M03-04</v>
      </c>
      <c r="G341">
        <v>0.87760000000000005</v>
      </c>
      <c r="H341" t="s">
        <v>11</v>
      </c>
      <c r="I341" t="s">
        <v>10</v>
      </c>
    </row>
    <row r="342" spans="1:9" x14ac:dyDescent="0.25">
      <c r="A342" t="str">
        <f t="shared" si="5"/>
        <v>89301000</v>
      </c>
      <c r="B342" t="str">
        <f>"0402247208"</f>
        <v>0402247208</v>
      </c>
      <c r="C342" s="1">
        <v>45055</v>
      </c>
      <c r="D342" s="1">
        <v>45056</v>
      </c>
      <c r="E342">
        <v>1</v>
      </c>
      <c r="F342" t="str">
        <f>"09-I10-02"</f>
        <v>09-I10-02</v>
      </c>
      <c r="G342">
        <v>0.87580000000000002</v>
      </c>
      <c r="H342" t="s">
        <v>12</v>
      </c>
      <c r="I342" t="s">
        <v>10</v>
      </c>
    </row>
    <row r="343" spans="1:9" x14ac:dyDescent="0.25">
      <c r="A343" t="str">
        <f t="shared" si="5"/>
        <v>89301000</v>
      </c>
      <c r="B343" t="str">
        <f>"0403107265"</f>
        <v>0403107265</v>
      </c>
      <c r="C343" s="1">
        <v>45093</v>
      </c>
      <c r="D343" s="1">
        <v>45096</v>
      </c>
      <c r="E343">
        <v>1</v>
      </c>
      <c r="F343" t="str">
        <f>"04-K14-02"</f>
        <v>04-K14-02</v>
      </c>
      <c r="G343">
        <v>1.1142000000000001</v>
      </c>
      <c r="H343" t="s">
        <v>11</v>
      </c>
      <c r="I343" t="s">
        <v>10</v>
      </c>
    </row>
    <row r="344" spans="1:9" x14ac:dyDescent="0.25">
      <c r="A344" t="str">
        <f t="shared" si="5"/>
        <v>89301000</v>
      </c>
      <c r="B344" t="str">
        <f>"0403124381"</f>
        <v>0403124381</v>
      </c>
      <c r="C344" s="1">
        <v>45161</v>
      </c>
      <c r="D344" s="1">
        <v>45163</v>
      </c>
      <c r="E344">
        <v>1</v>
      </c>
      <c r="F344" t="str">
        <f>"03-I14-02"</f>
        <v>03-I14-02</v>
      </c>
      <c r="G344">
        <v>1.0793999999999999</v>
      </c>
      <c r="H344" t="s">
        <v>11</v>
      </c>
      <c r="I344" t="s">
        <v>10</v>
      </c>
    </row>
    <row r="345" spans="1:9" x14ac:dyDescent="0.25">
      <c r="A345" t="str">
        <f t="shared" si="5"/>
        <v>89301000</v>
      </c>
      <c r="B345" t="str">
        <f>"0403224393"</f>
        <v>0403224393</v>
      </c>
      <c r="C345" s="1">
        <v>45028</v>
      </c>
      <c r="D345" s="1">
        <v>45029</v>
      </c>
      <c r="E345">
        <v>1</v>
      </c>
      <c r="F345" t="str">
        <f>"12-I14-00"</f>
        <v>12-I14-00</v>
      </c>
      <c r="G345">
        <v>0.42920000000000003</v>
      </c>
      <c r="H345" t="s">
        <v>11</v>
      </c>
      <c r="I345" t="s">
        <v>10</v>
      </c>
    </row>
    <row r="346" spans="1:9" x14ac:dyDescent="0.25">
      <c r="A346" t="str">
        <f t="shared" si="5"/>
        <v>89301000</v>
      </c>
      <c r="B346" t="str">
        <f>"0403740513"</f>
        <v>0403740513</v>
      </c>
      <c r="C346" s="1">
        <v>45168</v>
      </c>
      <c r="D346" s="1">
        <v>45175</v>
      </c>
      <c r="E346">
        <v>1</v>
      </c>
      <c r="F346" t="str">
        <f>"09-K14-02"</f>
        <v>09-K14-02</v>
      </c>
      <c r="G346">
        <v>0.5</v>
      </c>
      <c r="H346" t="s">
        <v>11</v>
      </c>
      <c r="I346" t="s">
        <v>10</v>
      </c>
    </row>
    <row r="347" spans="1:9" x14ac:dyDescent="0.25">
      <c r="A347" t="str">
        <f t="shared" si="5"/>
        <v>89301000</v>
      </c>
      <c r="B347" t="str">
        <f>"0405083250"</f>
        <v>0405083250</v>
      </c>
      <c r="C347" s="1">
        <v>45033</v>
      </c>
      <c r="D347" s="1">
        <v>45042</v>
      </c>
      <c r="E347">
        <v>1</v>
      </c>
      <c r="F347" t="str">
        <f>"03-I16-02"</f>
        <v>03-I16-02</v>
      </c>
      <c r="G347">
        <v>0.92979999999999996</v>
      </c>
      <c r="H347" t="s">
        <v>9</v>
      </c>
      <c r="I347" t="s">
        <v>10</v>
      </c>
    </row>
    <row r="348" spans="1:9" x14ac:dyDescent="0.25">
      <c r="A348" t="str">
        <f t="shared" si="5"/>
        <v>89301000</v>
      </c>
      <c r="B348" t="str">
        <f>"0405213237"</f>
        <v>0405213237</v>
      </c>
      <c r="C348" s="1">
        <v>44931</v>
      </c>
      <c r="D348" s="1">
        <v>44933</v>
      </c>
      <c r="E348">
        <v>1</v>
      </c>
      <c r="F348" t="str">
        <f>"06-I16-04"</f>
        <v>06-I16-04</v>
      </c>
      <c r="G348">
        <v>0.68920000000000003</v>
      </c>
      <c r="H348" t="s">
        <v>9</v>
      </c>
      <c r="I348" t="s">
        <v>10</v>
      </c>
    </row>
    <row r="349" spans="1:9" x14ac:dyDescent="0.25">
      <c r="A349" t="str">
        <f t="shared" si="5"/>
        <v>89301000</v>
      </c>
      <c r="B349" t="str">
        <f>"0406147500"</f>
        <v>0406147500</v>
      </c>
      <c r="C349" s="1">
        <v>45052</v>
      </c>
      <c r="D349" s="1">
        <v>45064</v>
      </c>
      <c r="E349">
        <v>5</v>
      </c>
      <c r="F349" t="str">
        <f>"00-M01-04"</f>
        <v>00-M01-04</v>
      </c>
      <c r="G349">
        <v>7.2366999999999999</v>
      </c>
      <c r="H349" t="s">
        <v>11</v>
      </c>
      <c r="I349" t="s">
        <v>10</v>
      </c>
    </row>
    <row r="350" spans="1:9" x14ac:dyDescent="0.25">
      <c r="A350" t="str">
        <f t="shared" si="5"/>
        <v>89301000</v>
      </c>
      <c r="B350" t="str">
        <f>"0406156069"</f>
        <v>0406156069</v>
      </c>
      <c r="C350" s="1">
        <v>45182</v>
      </c>
      <c r="D350" s="1">
        <v>45187</v>
      </c>
      <c r="E350">
        <v>1</v>
      </c>
      <c r="F350" t="str">
        <f>"10-I13-02"</f>
        <v>10-I13-02</v>
      </c>
      <c r="G350">
        <v>1.1227</v>
      </c>
      <c r="H350" t="s">
        <v>9</v>
      </c>
      <c r="I350" t="s">
        <v>10</v>
      </c>
    </row>
    <row r="351" spans="1:9" x14ac:dyDescent="0.25">
      <c r="A351" t="str">
        <f t="shared" si="5"/>
        <v>89301000</v>
      </c>
      <c r="B351" t="str">
        <f>"0406162218"</f>
        <v>0406162218</v>
      </c>
      <c r="C351" s="1">
        <v>45253</v>
      </c>
      <c r="D351" s="1">
        <v>45256</v>
      </c>
      <c r="E351">
        <v>1</v>
      </c>
      <c r="F351" t="str">
        <f>"03-I19-02"</f>
        <v>03-I19-02</v>
      </c>
      <c r="G351">
        <v>0.71340000000000003</v>
      </c>
      <c r="H351" t="s">
        <v>11</v>
      </c>
      <c r="I351" t="s">
        <v>10</v>
      </c>
    </row>
    <row r="352" spans="1:9" x14ac:dyDescent="0.25">
      <c r="A352" t="str">
        <f t="shared" si="5"/>
        <v>89301000</v>
      </c>
      <c r="B352" t="str">
        <f>"0406205338"</f>
        <v>0406205338</v>
      </c>
      <c r="C352" s="1">
        <v>45062</v>
      </c>
      <c r="D352" s="1">
        <v>45065</v>
      </c>
      <c r="E352">
        <v>1</v>
      </c>
      <c r="F352" t="str">
        <f>"09-K02-00"</f>
        <v>09-K02-00</v>
      </c>
      <c r="G352">
        <v>0.99539999999999995</v>
      </c>
      <c r="H352" t="s">
        <v>11</v>
      </c>
      <c r="I352" t="s">
        <v>10</v>
      </c>
    </row>
    <row r="353" spans="1:9" x14ac:dyDescent="0.25">
      <c r="A353" t="str">
        <f t="shared" si="5"/>
        <v>89301000</v>
      </c>
      <c r="B353" t="str">
        <f>"0407065351"</f>
        <v>0407065351</v>
      </c>
      <c r="C353" s="1">
        <v>44939</v>
      </c>
      <c r="D353" s="1">
        <v>44942</v>
      </c>
      <c r="E353">
        <v>1</v>
      </c>
      <c r="F353" t="str">
        <f>"02-K09-00"</f>
        <v>02-K09-00</v>
      </c>
      <c r="G353">
        <v>0.49120000000000003</v>
      </c>
      <c r="H353" t="s">
        <v>11</v>
      </c>
      <c r="I353" t="s">
        <v>10</v>
      </c>
    </row>
    <row r="354" spans="1:9" x14ac:dyDescent="0.25">
      <c r="A354" t="str">
        <f t="shared" si="5"/>
        <v>89301000</v>
      </c>
      <c r="B354" t="str">
        <f>"0407175285"</f>
        <v>0407175285</v>
      </c>
      <c r="C354" s="1">
        <v>44995</v>
      </c>
      <c r="D354" s="1">
        <v>45001</v>
      </c>
      <c r="E354">
        <v>1</v>
      </c>
      <c r="F354" t="str">
        <f>"09-K01-04"</f>
        <v>09-K01-04</v>
      </c>
      <c r="G354">
        <v>0.59330000000000005</v>
      </c>
      <c r="H354" t="s">
        <v>11</v>
      </c>
      <c r="I354" t="s">
        <v>10</v>
      </c>
    </row>
    <row r="355" spans="1:9" x14ac:dyDescent="0.25">
      <c r="A355" t="str">
        <f t="shared" si="5"/>
        <v>89301000</v>
      </c>
      <c r="B355" t="str">
        <f>"0407223234"</f>
        <v>0407223234</v>
      </c>
      <c r="C355" s="1">
        <v>45005</v>
      </c>
      <c r="D355" s="1">
        <v>45018</v>
      </c>
      <c r="E355">
        <v>1</v>
      </c>
      <c r="F355" t="str">
        <f>"25-K01-02"</f>
        <v>25-K01-02</v>
      </c>
      <c r="G355">
        <v>2.3247</v>
      </c>
      <c r="H355" t="s">
        <v>14</v>
      </c>
      <c r="I355" t="s">
        <v>10</v>
      </c>
    </row>
    <row r="356" spans="1:9" x14ac:dyDescent="0.25">
      <c r="A356" t="str">
        <f t="shared" si="5"/>
        <v>89301000</v>
      </c>
      <c r="B356" t="str">
        <f>"0407236071"</f>
        <v>0407236071</v>
      </c>
      <c r="C356" s="1">
        <v>45015</v>
      </c>
      <c r="D356" s="1">
        <v>45019</v>
      </c>
      <c r="E356">
        <v>1</v>
      </c>
      <c r="F356" t="str">
        <f>"01-K03-08"</f>
        <v>01-K03-08</v>
      </c>
      <c r="G356">
        <v>0.38290000000000002</v>
      </c>
      <c r="H356" t="s">
        <v>11</v>
      </c>
      <c r="I356" t="s">
        <v>10</v>
      </c>
    </row>
    <row r="357" spans="1:9" x14ac:dyDescent="0.25">
      <c r="A357" t="str">
        <f t="shared" si="5"/>
        <v>89301000</v>
      </c>
      <c r="B357" t="str">
        <f>"0407246070"</f>
        <v>0407246070</v>
      </c>
      <c r="C357" s="1">
        <v>45230</v>
      </c>
      <c r="D357" s="1">
        <v>45232</v>
      </c>
      <c r="E357">
        <v>1</v>
      </c>
      <c r="F357" t="str">
        <f>"12-I13-02"</f>
        <v>12-I13-02</v>
      </c>
      <c r="G357">
        <v>0.53879999999999995</v>
      </c>
      <c r="H357" t="s">
        <v>9</v>
      </c>
      <c r="I357" t="s">
        <v>10</v>
      </c>
    </row>
    <row r="358" spans="1:9" x14ac:dyDescent="0.25">
      <c r="A358" t="str">
        <f t="shared" si="5"/>
        <v>89301000</v>
      </c>
      <c r="B358" t="str">
        <f>"0407248160"</f>
        <v>0407248160</v>
      </c>
      <c r="C358" s="1">
        <v>45110</v>
      </c>
      <c r="D358" s="1">
        <v>45110</v>
      </c>
      <c r="E358">
        <v>6</v>
      </c>
      <c r="F358" t="str">
        <f>"08-K11-02"</f>
        <v>08-K11-02</v>
      </c>
      <c r="G358">
        <v>0.28520000000000001</v>
      </c>
      <c r="H358" t="s">
        <v>11</v>
      </c>
      <c r="I358" t="s">
        <v>10</v>
      </c>
    </row>
    <row r="359" spans="1:9" x14ac:dyDescent="0.25">
      <c r="A359" t="str">
        <f t="shared" si="5"/>
        <v>89301000</v>
      </c>
      <c r="B359" t="str">
        <f>"0407293238"</f>
        <v>0407293238</v>
      </c>
      <c r="C359" s="1">
        <v>45254</v>
      </c>
      <c r="D359" s="1">
        <v>45257</v>
      </c>
      <c r="E359">
        <v>1</v>
      </c>
      <c r="F359" t="str">
        <f>"01-D01-03"</f>
        <v>01-D01-03</v>
      </c>
      <c r="G359">
        <v>0.21060000000000001</v>
      </c>
      <c r="H359" t="s">
        <v>11</v>
      </c>
      <c r="I359" t="s">
        <v>10</v>
      </c>
    </row>
    <row r="360" spans="1:9" x14ac:dyDescent="0.25">
      <c r="A360" t="str">
        <f t="shared" si="5"/>
        <v>89301000</v>
      </c>
      <c r="B360" t="str">
        <f>"0408066087"</f>
        <v>0408066087</v>
      </c>
      <c r="C360" s="1">
        <v>45113</v>
      </c>
      <c r="D360" s="1">
        <v>45115</v>
      </c>
      <c r="E360">
        <v>1</v>
      </c>
      <c r="F360" t="str">
        <f>"08-I18-02"</f>
        <v>08-I18-02</v>
      </c>
      <c r="G360">
        <v>0.62509999999999999</v>
      </c>
      <c r="H360" t="s">
        <v>12</v>
      </c>
      <c r="I360" t="s">
        <v>10</v>
      </c>
    </row>
    <row r="361" spans="1:9" x14ac:dyDescent="0.25">
      <c r="A361" t="str">
        <f t="shared" si="5"/>
        <v>89301000</v>
      </c>
      <c r="B361" t="str">
        <f>"0408136069"</f>
        <v>0408136069</v>
      </c>
      <c r="C361" s="1">
        <v>45022</v>
      </c>
      <c r="D361" s="1">
        <v>45026</v>
      </c>
      <c r="E361">
        <v>1</v>
      </c>
      <c r="F361" t="str">
        <f>"03-K13-02"</f>
        <v>03-K13-02</v>
      </c>
      <c r="G361">
        <v>0.24610000000000001</v>
      </c>
      <c r="H361" t="s">
        <v>11</v>
      </c>
      <c r="I361" t="s">
        <v>10</v>
      </c>
    </row>
    <row r="362" spans="1:9" x14ac:dyDescent="0.25">
      <c r="A362" t="str">
        <f t="shared" si="5"/>
        <v>89301000</v>
      </c>
      <c r="B362" t="str">
        <f>"0408136069"</f>
        <v>0408136069</v>
      </c>
      <c r="C362" s="1">
        <v>45012</v>
      </c>
      <c r="D362" s="1">
        <v>45017</v>
      </c>
      <c r="E362">
        <v>1</v>
      </c>
      <c r="F362" t="str">
        <f>"03-I16-02"</f>
        <v>03-I16-02</v>
      </c>
      <c r="G362">
        <v>0.92979999999999996</v>
      </c>
      <c r="H362" t="s">
        <v>9</v>
      </c>
      <c r="I362" t="s">
        <v>10</v>
      </c>
    </row>
    <row r="363" spans="1:9" x14ac:dyDescent="0.25">
      <c r="A363" t="str">
        <f t="shared" si="5"/>
        <v>89301000</v>
      </c>
      <c r="B363" t="str">
        <f>"0408137081"</f>
        <v>0408137081</v>
      </c>
      <c r="C363" s="1">
        <v>44972</v>
      </c>
      <c r="D363" s="1">
        <v>44974</v>
      </c>
      <c r="E363">
        <v>1</v>
      </c>
      <c r="F363" t="str">
        <f>"01-K03-08"</f>
        <v>01-K03-08</v>
      </c>
      <c r="G363">
        <v>0.38290000000000002</v>
      </c>
      <c r="H363" t="s">
        <v>11</v>
      </c>
      <c r="I363" t="s">
        <v>10</v>
      </c>
    </row>
    <row r="364" spans="1:9" x14ac:dyDescent="0.25">
      <c r="A364" t="str">
        <f t="shared" si="5"/>
        <v>89301000</v>
      </c>
      <c r="B364" t="str">
        <f>"0408233232"</f>
        <v>0408233232</v>
      </c>
      <c r="C364" s="1">
        <v>44967</v>
      </c>
      <c r="D364" s="1">
        <v>44970</v>
      </c>
      <c r="E364">
        <v>1</v>
      </c>
      <c r="F364" t="str">
        <f>"01-K01-02"</f>
        <v>01-K01-02</v>
      </c>
      <c r="G364">
        <v>0.442</v>
      </c>
      <c r="H364" t="s">
        <v>11</v>
      </c>
      <c r="I364" t="s">
        <v>10</v>
      </c>
    </row>
    <row r="365" spans="1:9" x14ac:dyDescent="0.25">
      <c r="A365" t="str">
        <f t="shared" si="5"/>
        <v>89301000</v>
      </c>
      <c r="B365" t="str">
        <f>"0408261381"</f>
        <v>0408261381</v>
      </c>
      <c r="C365" s="1">
        <v>45221</v>
      </c>
      <c r="D365" s="1">
        <v>45225</v>
      </c>
      <c r="E365">
        <v>1</v>
      </c>
      <c r="F365" t="str">
        <f>"10-I13-02"</f>
        <v>10-I13-02</v>
      </c>
      <c r="G365">
        <v>1.1124000000000001</v>
      </c>
      <c r="H365" t="s">
        <v>9</v>
      </c>
      <c r="I365" t="s">
        <v>10</v>
      </c>
    </row>
    <row r="366" spans="1:9" x14ac:dyDescent="0.25">
      <c r="A366" t="str">
        <f t="shared" si="5"/>
        <v>89301000</v>
      </c>
      <c r="B366" t="str">
        <f>"0409143251"</f>
        <v>0409143251</v>
      </c>
      <c r="C366" s="1">
        <v>45244</v>
      </c>
      <c r="D366" s="1">
        <v>45247</v>
      </c>
      <c r="E366">
        <v>1</v>
      </c>
      <c r="F366" t="str">
        <f>"08-I19-03"</f>
        <v>08-I19-03</v>
      </c>
      <c r="G366">
        <v>0.72289999999999999</v>
      </c>
      <c r="H366" t="s">
        <v>12</v>
      </c>
      <c r="I366" t="s">
        <v>10</v>
      </c>
    </row>
    <row r="367" spans="1:9" x14ac:dyDescent="0.25">
      <c r="A367" t="str">
        <f t="shared" si="5"/>
        <v>89301000</v>
      </c>
      <c r="B367" t="str">
        <f>"0409153228"</f>
        <v>0409153228</v>
      </c>
      <c r="C367" s="1">
        <v>45082</v>
      </c>
      <c r="D367" s="1">
        <v>45085</v>
      </c>
      <c r="E367">
        <v>1</v>
      </c>
      <c r="F367" t="str">
        <f>"12-I13-01"</f>
        <v>12-I13-01</v>
      </c>
      <c r="G367">
        <v>0.78059999999999996</v>
      </c>
      <c r="H367" t="s">
        <v>9</v>
      </c>
      <c r="I367" t="s">
        <v>10</v>
      </c>
    </row>
    <row r="368" spans="1:9" x14ac:dyDescent="0.25">
      <c r="A368" t="str">
        <f t="shared" si="5"/>
        <v>89301000</v>
      </c>
      <c r="B368" t="str">
        <f>"0409196062"</f>
        <v>0409196062</v>
      </c>
      <c r="C368" s="1">
        <v>45274</v>
      </c>
      <c r="D368" s="1">
        <v>45276</v>
      </c>
      <c r="E368">
        <v>1</v>
      </c>
      <c r="F368" t="str">
        <f>"08-M03-02"</f>
        <v>08-M03-02</v>
      </c>
      <c r="G368">
        <v>0.91359999999999997</v>
      </c>
      <c r="H368" t="s">
        <v>11</v>
      </c>
      <c r="I368" t="s">
        <v>10</v>
      </c>
    </row>
    <row r="369" spans="1:9" x14ac:dyDescent="0.25">
      <c r="A369" t="str">
        <f t="shared" si="5"/>
        <v>89301000</v>
      </c>
      <c r="B369" t="str">
        <f>"0410035263"</f>
        <v>0410035263</v>
      </c>
      <c r="C369" s="1">
        <v>44957</v>
      </c>
      <c r="D369" s="1">
        <v>44958</v>
      </c>
      <c r="E369">
        <v>1</v>
      </c>
      <c r="F369" t="str">
        <f>"12-I14-00"</f>
        <v>12-I14-00</v>
      </c>
      <c r="G369">
        <v>0.42920000000000003</v>
      </c>
      <c r="H369" t="s">
        <v>11</v>
      </c>
      <c r="I369" t="s">
        <v>10</v>
      </c>
    </row>
    <row r="370" spans="1:9" x14ac:dyDescent="0.25">
      <c r="A370" t="str">
        <f t="shared" si="5"/>
        <v>89301000</v>
      </c>
      <c r="B370" t="str">
        <f>"0410130380"</f>
        <v>0410130380</v>
      </c>
      <c r="C370" s="1">
        <v>45008</v>
      </c>
      <c r="D370" s="1">
        <v>45011</v>
      </c>
      <c r="E370">
        <v>1</v>
      </c>
      <c r="F370" t="str">
        <f>"08-M03-04"</f>
        <v>08-M03-04</v>
      </c>
      <c r="G370">
        <v>0.87760000000000005</v>
      </c>
      <c r="H370" t="s">
        <v>11</v>
      </c>
      <c r="I370" t="s">
        <v>10</v>
      </c>
    </row>
    <row r="371" spans="1:9" x14ac:dyDescent="0.25">
      <c r="A371" t="str">
        <f t="shared" si="5"/>
        <v>89301000</v>
      </c>
      <c r="B371" t="str">
        <f>"0410213232"</f>
        <v>0410213232</v>
      </c>
      <c r="C371" s="1">
        <v>44971</v>
      </c>
      <c r="D371" s="1">
        <v>44973</v>
      </c>
      <c r="E371">
        <v>1</v>
      </c>
      <c r="F371" t="str">
        <f>"08-I32-00"</f>
        <v>08-I32-00</v>
      </c>
      <c r="G371">
        <v>0.4093</v>
      </c>
      <c r="H371" t="s">
        <v>11</v>
      </c>
      <c r="I371" t="s">
        <v>10</v>
      </c>
    </row>
    <row r="372" spans="1:9" x14ac:dyDescent="0.25">
      <c r="A372" t="str">
        <f t="shared" si="5"/>
        <v>89301000</v>
      </c>
      <c r="B372" t="str">
        <f>"0410297327"</f>
        <v>0410297327</v>
      </c>
      <c r="C372" s="1">
        <v>44956</v>
      </c>
      <c r="D372" s="1">
        <v>44958</v>
      </c>
      <c r="E372">
        <v>5</v>
      </c>
      <c r="F372" t="str">
        <f>"06-K02-02"</f>
        <v>06-K02-02</v>
      </c>
      <c r="G372">
        <v>0.85289999999999999</v>
      </c>
      <c r="H372" t="s">
        <v>11</v>
      </c>
      <c r="I372" t="s">
        <v>10</v>
      </c>
    </row>
    <row r="373" spans="1:9" x14ac:dyDescent="0.25">
      <c r="A373" t="str">
        <f t="shared" si="5"/>
        <v>89301000</v>
      </c>
      <c r="B373" t="str">
        <f>"0411088458"</f>
        <v>0411088458</v>
      </c>
      <c r="C373" s="1">
        <v>45170</v>
      </c>
      <c r="D373" s="1">
        <v>45175</v>
      </c>
      <c r="E373">
        <v>1</v>
      </c>
      <c r="F373" t="str">
        <f>"19-K03-03"</f>
        <v>19-K03-03</v>
      </c>
      <c r="G373">
        <v>0.90410000000000001</v>
      </c>
      <c r="H373" t="s">
        <v>15</v>
      </c>
      <c r="I373" t="s">
        <v>10</v>
      </c>
    </row>
    <row r="374" spans="1:9" x14ac:dyDescent="0.25">
      <c r="A374" t="str">
        <f t="shared" si="5"/>
        <v>89301000</v>
      </c>
      <c r="B374" t="str">
        <f>"0411146065"</f>
        <v>0411146065</v>
      </c>
      <c r="C374" s="1">
        <v>45215</v>
      </c>
      <c r="D374" s="1">
        <v>45217</v>
      </c>
      <c r="E374">
        <v>1</v>
      </c>
      <c r="F374" t="str">
        <f>"12-I13-02"</f>
        <v>12-I13-02</v>
      </c>
      <c r="G374">
        <v>0.53879999999999995</v>
      </c>
      <c r="H374" t="s">
        <v>9</v>
      </c>
      <c r="I374" t="s">
        <v>10</v>
      </c>
    </row>
    <row r="375" spans="1:9" x14ac:dyDescent="0.25">
      <c r="A375" t="str">
        <f t="shared" si="5"/>
        <v>89301000</v>
      </c>
      <c r="B375" t="str">
        <f>"0411265800"</f>
        <v>0411265800</v>
      </c>
      <c r="C375" s="1">
        <v>44983</v>
      </c>
      <c r="D375" s="1">
        <v>44985</v>
      </c>
      <c r="E375">
        <v>1</v>
      </c>
      <c r="F375" t="str">
        <f>"21-K05-03"</f>
        <v>21-K05-03</v>
      </c>
      <c r="G375">
        <v>0.45729999999999998</v>
      </c>
      <c r="H375" t="s">
        <v>11</v>
      </c>
      <c r="I375" t="s">
        <v>10</v>
      </c>
    </row>
    <row r="376" spans="1:9" x14ac:dyDescent="0.25">
      <c r="A376" t="str">
        <f t="shared" si="5"/>
        <v>89301000</v>
      </c>
      <c r="B376" t="str">
        <f>"0412235263"</f>
        <v>0412235263</v>
      </c>
      <c r="C376" s="1">
        <v>45251</v>
      </c>
      <c r="D376" s="1">
        <v>45252</v>
      </c>
      <c r="E376">
        <v>1</v>
      </c>
      <c r="F376" t="str">
        <f>"12-I13-01"</f>
        <v>12-I13-01</v>
      </c>
      <c r="G376">
        <v>0.78059999999999996</v>
      </c>
      <c r="H376" t="s">
        <v>9</v>
      </c>
      <c r="I376" t="s">
        <v>10</v>
      </c>
    </row>
    <row r="377" spans="1:9" x14ac:dyDescent="0.25">
      <c r="A377" t="str">
        <f t="shared" si="5"/>
        <v>89301000</v>
      </c>
      <c r="B377" t="str">
        <f>"0451237204"</f>
        <v>0451237204</v>
      </c>
      <c r="C377" s="1">
        <v>45274</v>
      </c>
      <c r="D377" s="1">
        <v>45278</v>
      </c>
      <c r="E377">
        <v>1</v>
      </c>
      <c r="F377" t="str">
        <f>"09-K14-02"</f>
        <v>09-K14-02</v>
      </c>
      <c r="G377">
        <v>0.5</v>
      </c>
      <c r="H377" t="s">
        <v>11</v>
      </c>
      <c r="I377" t="s">
        <v>10</v>
      </c>
    </row>
    <row r="378" spans="1:9" x14ac:dyDescent="0.25">
      <c r="A378" t="str">
        <f t="shared" si="5"/>
        <v>89301000</v>
      </c>
      <c r="B378" t="str">
        <f>"0452107260"</f>
        <v>0452107260</v>
      </c>
      <c r="C378" s="1">
        <v>45098</v>
      </c>
      <c r="D378" s="1">
        <v>45099</v>
      </c>
      <c r="E378">
        <v>1</v>
      </c>
      <c r="F378" t="str">
        <f>"04-K14-03"</f>
        <v>04-K14-03</v>
      </c>
      <c r="G378">
        <v>0.76649999999999996</v>
      </c>
      <c r="H378" t="s">
        <v>11</v>
      </c>
      <c r="I378" t="s">
        <v>10</v>
      </c>
    </row>
    <row r="379" spans="1:9" x14ac:dyDescent="0.25">
      <c r="A379" t="str">
        <f t="shared" si="5"/>
        <v>89301000</v>
      </c>
      <c r="B379" t="str">
        <f>"0452140876"</f>
        <v>0452140876</v>
      </c>
      <c r="C379" s="1">
        <v>45102</v>
      </c>
      <c r="D379" s="1">
        <v>45107</v>
      </c>
      <c r="E379">
        <v>1</v>
      </c>
      <c r="F379" t="str">
        <f>"02-I04-00"</f>
        <v>02-I04-00</v>
      </c>
      <c r="G379">
        <v>0.97260000000000002</v>
      </c>
      <c r="H379" t="s">
        <v>12</v>
      </c>
      <c r="I379" t="s">
        <v>10</v>
      </c>
    </row>
    <row r="380" spans="1:9" x14ac:dyDescent="0.25">
      <c r="A380" t="str">
        <f t="shared" si="5"/>
        <v>89301000</v>
      </c>
      <c r="B380" t="str">
        <f>"0452294392"</f>
        <v>0452294392</v>
      </c>
      <c r="C380" s="1">
        <v>45155</v>
      </c>
      <c r="D380" s="1">
        <v>45159</v>
      </c>
      <c r="E380">
        <v>1</v>
      </c>
      <c r="F380" t="str">
        <f>"01-I06-04"</f>
        <v>01-I06-04</v>
      </c>
      <c r="G380">
        <v>3.6478999999999999</v>
      </c>
      <c r="H380" t="s">
        <v>12</v>
      </c>
      <c r="I380" t="s">
        <v>10</v>
      </c>
    </row>
    <row r="381" spans="1:9" x14ac:dyDescent="0.25">
      <c r="A381" t="str">
        <f t="shared" si="5"/>
        <v>89301000</v>
      </c>
      <c r="B381" t="str">
        <f>"0452294392"</f>
        <v>0452294392</v>
      </c>
      <c r="C381" s="1">
        <v>45131</v>
      </c>
      <c r="D381" s="1">
        <v>45134</v>
      </c>
      <c r="E381">
        <v>1</v>
      </c>
      <c r="F381" t="str">
        <f>"01-K13-02"</f>
        <v>01-K13-02</v>
      </c>
      <c r="G381">
        <v>0.73899999999999999</v>
      </c>
      <c r="H381" t="s">
        <v>11</v>
      </c>
      <c r="I381" t="s">
        <v>10</v>
      </c>
    </row>
    <row r="382" spans="1:9" x14ac:dyDescent="0.25">
      <c r="A382" t="str">
        <f t="shared" si="5"/>
        <v>89301000</v>
      </c>
      <c r="B382" t="str">
        <f>"0453047716"</f>
        <v>0453047716</v>
      </c>
      <c r="C382" s="1">
        <v>45090</v>
      </c>
      <c r="D382" s="1">
        <v>45093</v>
      </c>
      <c r="E382">
        <v>1</v>
      </c>
      <c r="F382" t="str">
        <f>"08-I22-02"</f>
        <v>08-I22-02</v>
      </c>
      <c r="G382">
        <v>1.131</v>
      </c>
      <c r="H382" t="s">
        <v>12</v>
      </c>
      <c r="I382" t="s">
        <v>10</v>
      </c>
    </row>
    <row r="383" spans="1:9" x14ac:dyDescent="0.25">
      <c r="A383" t="str">
        <f t="shared" si="5"/>
        <v>89301000</v>
      </c>
      <c r="B383" t="str">
        <f>"0453076382"</f>
        <v>0453076382</v>
      </c>
      <c r="C383" s="1">
        <v>45020</v>
      </c>
      <c r="D383" s="1">
        <v>45033</v>
      </c>
      <c r="E383">
        <v>1</v>
      </c>
      <c r="F383" t="str">
        <f>"19-K04-02"</f>
        <v>19-K04-02</v>
      </c>
      <c r="G383">
        <v>1.3379000000000001</v>
      </c>
      <c r="H383" t="s">
        <v>15</v>
      </c>
      <c r="I383" t="s">
        <v>10</v>
      </c>
    </row>
    <row r="384" spans="1:9" x14ac:dyDescent="0.25">
      <c r="A384" t="str">
        <f t="shared" ref="A384:A447" si="6">"89301000"</f>
        <v>89301000</v>
      </c>
      <c r="B384" t="str">
        <f>"0453177197"</f>
        <v>0453177197</v>
      </c>
      <c r="C384" s="1">
        <v>45267</v>
      </c>
      <c r="D384" s="1">
        <v>45272</v>
      </c>
      <c r="E384">
        <v>1</v>
      </c>
      <c r="F384" t="str">
        <f>"19-K03-03"</f>
        <v>19-K03-03</v>
      </c>
      <c r="G384">
        <v>0.90410000000000001</v>
      </c>
      <c r="H384" t="s">
        <v>15</v>
      </c>
      <c r="I384" t="s">
        <v>10</v>
      </c>
    </row>
    <row r="385" spans="1:9" x14ac:dyDescent="0.25">
      <c r="A385" t="str">
        <f t="shared" si="6"/>
        <v>89301000</v>
      </c>
      <c r="B385" t="str">
        <f>"0454243273"</f>
        <v>0454243273</v>
      </c>
      <c r="C385" s="1">
        <v>44998</v>
      </c>
      <c r="D385" s="1">
        <v>45000</v>
      </c>
      <c r="E385">
        <v>1</v>
      </c>
      <c r="F385" t="str">
        <f>"10-M01-00"</f>
        <v>10-M01-00</v>
      </c>
      <c r="G385">
        <v>0.43469999999999998</v>
      </c>
      <c r="H385" t="s">
        <v>11</v>
      </c>
      <c r="I385" t="s">
        <v>10</v>
      </c>
    </row>
    <row r="386" spans="1:9" x14ac:dyDescent="0.25">
      <c r="A386" t="str">
        <f t="shared" si="6"/>
        <v>89301000</v>
      </c>
      <c r="B386" t="str">
        <f>"0455087083"</f>
        <v>0455087083</v>
      </c>
      <c r="C386" s="1">
        <v>45161</v>
      </c>
      <c r="D386" s="1">
        <v>45184</v>
      </c>
      <c r="E386">
        <v>1</v>
      </c>
      <c r="F386" t="str">
        <f>"19-K06-02"</f>
        <v>19-K06-02</v>
      </c>
      <c r="G386">
        <v>2.2334999999999998</v>
      </c>
      <c r="H386" t="s">
        <v>15</v>
      </c>
      <c r="I386" t="s">
        <v>10</v>
      </c>
    </row>
    <row r="387" spans="1:9" x14ac:dyDescent="0.25">
      <c r="A387" t="str">
        <f t="shared" si="6"/>
        <v>89301000</v>
      </c>
      <c r="B387" t="str">
        <f>"0455133382"</f>
        <v>0455133382</v>
      </c>
      <c r="C387" s="1">
        <v>45264</v>
      </c>
      <c r="D387" s="1">
        <v>45267</v>
      </c>
      <c r="E387">
        <v>1</v>
      </c>
      <c r="F387" t="str">
        <f>"08-K02-03"</f>
        <v>08-K02-03</v>
      </c>
      <c r="G387">
        <v>0.6361</v>
      </c>
      <c r="H387" t="s">
        <v>11</v>
      </c>
      <c r="I387" t="s">
        <v>10</v>
      </c>
    </row>
    <row r="388" spans="1:9" x14ac:dyDescent="0.25">
      <c r="A388" t="str">
        <f t="shared" si="6"/>
        <v>89301000</v>
      </c>
      <c r="B388" t="str">
        <f>"0455136165"</f>
        <v>0455136165</v>
      </c>
      <c r="C388" s="1">
        <v>45018</v>
      </c>
      <c r="D388" s="1">
        <v>45022</v>
      </c>
      <c r="E388">
        <v>1</v>
      </c>
      <c r="F388" t="str">
        <f>"08-K08-00"</f>
        <v>08-K08-00</v>
      </c>
      <c r="G388">
        <v>0.52949999999999997</v>
      </c>
      <c r="H388" t="s">
        <v>11</v>
      </c>
      <c r="I388" t="s">
        <v>10</v>
      </c>
    </row>
    <row r="389" spans="1:9" x14ac:dyDescent="0.25">
      <c r="A389" t="str">
        <f t="shared" si="6"/>
        <v>89301000</v>
      </c>
      <c r="B389" t="str">
        <f>"0455311384"</f>
        <v>0455311384</v>
      </c>
      <c r="C389" s="1">
        <v>44927</v>
      </c>
      <c r="D389" s="1">
        <v>44931</v>
      </c>
      <c r="E389">
        <v>1</v>
      </c>
      <c r="F389" t="str">
        <f>"08-M03-02"</f>
        <v>08-M03-02</v>
      </c>
      <c r="G389">
        <v>0.91359999999999997</v>
      </c>
      <c r="H389" t="s">
        <v>11</v>
      </c>
      <c r="I389" t="s">
        <v>10</v>
      </c>
    </row>
    <row r="390" spans="1:9" x14ac:dyDescent="0.25">
      <c r="A390" t="str">
        <f t="shared" si="6"/>
        <v>89301000</v>
      </c>
      <c r="B390" t="str">
        <f>"0456056150"</f>
        <v>0456056150</v>
      </c>
      <c r="C390" s="1">
        <v>45040</v>
      </c>
      <c r="D390" s="1">
        <v>45041</v>
      </c>
      <c r="E390">
        <v>1</v>
      </c>
      <c r="F390" t="str">
        <f>"05-K14-03"</f>
        <v>05-K14-03</v>
      </c>
      <c r="G390">
        <v>0.3962</v>
      </c>
      <c r="H390" t="s">
        <v>11</v>
      </c>
      <c r="I390" t="s">
        <v>10</v>
      </c>
    </row>
    <row r="391" spans="1:9" x14ac:dyDescent="0.25">
      <c r="A391" t="str">
        <f t="shared" si="6"/>
        <v>89301000</v>
      </c>
      <c r="B391" t="str">
        <f>"0456056150"</f>
        <v>0456056150</v>
      </c>
      <c r="C391" s="1">
        <v>45162</v>
      </c>
      <c r="D391" s="1">
        <v>45163</v>
      </c>
      <c r="E391">
        <v>1</v>
      </c>
      <c r="F391" t="str">
        <f>"05-K14-03"</f>
        <v>05-K14-03</v>
      </c>
      <c r="G391">
        <v>0.57240000000000002</v>
      </c>
      <c r="H391" t="s">
        <v>11</v>
      </c>
      <c r="I391" t="s">
        <v>10</v>
      </c>
    </row>
    <row r="392" spans="1:9" x14ac:dyDescent="0.25">
      <c r="A392" t="str">
        <f t="shared" si="6"/>
        <v>89301000</v>
      </c>
      <c r="B392" t="str">
        <f>"0456056150"</f>
        <v>0456056150</v>
      </c>
      <c r="C392" s="1">
        <v>44959</v>
      </c>
      <c r="D392" s="1">
        <v>44960</v>
      </c>
      <c r="E392">
        <v>1</v>
      </c>
      <c r="F392" t="str">
        <f>"05-K14-03"</f>
        <v>05-K14-03</v>
      </c>
      <c r="G392">
        <v>0.3997</v>
      </c>
      <c r="H392" t="s">
        <v>11</v>
      </c>
      <c r="I392" t="s">
        <v>10</v>
      </c>
    </row>
    <row r="393" spans="1:9" x14ac:dyDescent="0.25">
      <c r="A393" t="str">
        <f t="shared" si="6"/>
        <v>89301000</v>
      </c>
      <c r="B393" t="str">
        <f>"0456056150"</f>
        <v>0456056150</v>
      </c>
      <c r="C393" s="1">
        <v>44987</v>
      </c>
      <c r="D393" s="1">
        <v>44988</v>
      </c>
      <c r="E393">
        <v>1</v>
      </c>
      <c r="F393" t="str">
        <f>"05-K14-03"</f>
        <v>05-K14-03</v>
      </c>
      <c r="G393">
        <v>0.3997</v>
      </c>
      <c r="H393" t="s">
        <v>11</v>
      </c>
      <c r="I393" t="s">
        <v>10</v>
      </c>
    </row>
    <row r="394" spans="1:9" x14ac:dyDescent="0.25">
      <c r="A394" t="str">
        <f t="shared" si="6"/>
        <v>89301000</v>
      </c>
      <c r="B394" t="str">
        <f>"0456056183"</f>
        <v>0456056183</v>
      </c>
      <c r="C394" s="1">
        <v>45096</v>
      </c>
      <c r="D394" s="1">
        <v>45128</v>
      </c>
      <c r="E394">
        <v>1</v>
      </c>
      <c r="F394" t="str">
        <f>"19-K07-02"</f>
        <v>19-K07-02</v>
      </c>
      <c r="G394">
        <v>2.5350000000000001</v>
      </c>
      <c r="H394" t="s">
        <v>15</v>
      </c>
      <c r="I394" t="s">
        <v>10</v>
      </c>
    </row>
    <row r="395" spans="1:9" x14ac:dyDescent="0.25">
      <c r="A395" t="str">
        <f t="shared" si="6"/>
        <v>89301000</v>
      </c>
      <c r="B395" t="str">
        <f>"0456056183"</f>
        <v>0456056183</v>
      </c>
      <c r="C395" s="1">
        <v>45237</v>
      </c>
      <c r="D395" s="1">
        <v>45249</v>
      </c>
      <c r="E395">
        <v>1</v>
      </c>
      <c r="F395" t="str">
        <f>"19-K04-02"</f>
        <v>19-K04-02</v>
      </c>
      <c r="G395">
        <v>1.3379000000000001</v>
      </c>
      <c r="H395" t="s">
        <v>15</v>
      </c>
      <c r="I395" t="s">
        <v>10</v>
      </c>
    </row>
    <row r="396" spans="1:9" x14ac:dyDescent="0.25">
      <c r="A396" t="str">
        <f t="shared" si="6"/>
        <v>89301000</v>
      </c>
      <c r="B396" t="str">
        <f>"0456183244"</f>
        <v>0456183244</v>
      </c>
      <c r="C396" s="1">
        <v>45000</v>
      </c>
      <c r="D396" s="1">
        <v>45005</v>
      </c>
      <c r="E396">
        <v>1</v>
      </c>
      <c r="F396" t="str">
        <f>"09-K04-02"</f>
        <v>09-K04-02</v>
      </c>
      <c r="G396">
        <v>0.64849999999999997</v>
      </c>
      <c r="H396" t="s">
        <v>11</v>
      </c>
      <c r="I396" t="s">
        <v>10</v>
      </c>
    </row>
    <row r="397" spans="1:9" x14ac:dyDescent="0.25">
      <c r="A397" t="str">
        <f t="shared" si="6"/>
        <v>89301000</v>
      </c>
      <c r="B397" t="str">
        <f>"0456244448"</f>
        <v>0456244448</v>
      </c>
      <c r="C397" s="1">
        <v>45008</v>
      </c>
      <c r="D397" s="1">
        <v>45019</v>
      </c>
      <c r="E397">
        <v>1</v>
      </c>
      <c r="F397" t="str">
        <f>"03-I16-02"</f>
        <v>03-I16-02</v>
      </c>
      <c r="G397">
        <v>1.115</v>
      </c>
      <c r="H397" t="s">
        <v>9</v>
      </c>
      <c r="I397" t="s">
        <v>10</v>
      </c>
    </row>
    <row r="398" spans="1:9" x14ac:dyDescent="0.25">
      <c r="A398" t="str">
        <f t="shared" si="6"/>
        <v>89301000</v>
      </c>
      <c r="B398" t="str">
        <f>"0456257076"</f>
        <v>0456257076</v>
      </c>
      <c r="C398" s="1">
        <v>45215</v>
      </c>
      <c r="D398" s="1">
        <v>45219</v>
      </c>
      <c r="E398">
        <v>1</v>
      </c>
      <c r="F398" t="str">
        <f>"09-K04-02"</f>
        <v>09-K04-02</v>
      </c>
      <c r="G398">
        <v>0.64849999999999997</v>
      </c>
      <c r="H398" t="s">
        <v>11</v>
      </c>
      <c r="I398" t="s">
        <v>10</v>
      </c>
    </row>
    <row r="399" spans="1:9" x14ac:dyDescent="0.25">
      <c r="A399" t="str">
        <f t="shared" si="6"/>
        <v>89301000</v>
      </c>
      <c r="B399" t="str">
        <f>"0457206211"</f>
        <v>0457206211</v>
      </c>
      <c r="C399" s="1">
        <v>45028</v>
      </c>
      <c r="D399" s="1">
        <v>45031</v>
      </c>
      <c r="E399">
        <v>1</v>
      </c>
      <c r="F399" t="str">
        <f>"08-I25-01"</f>
        <v>08-I25-01</v>
      </c>
      <c r="G399">
        <v>0.95720000000000005</v>
      </c>
      <c r="H399" t="s">
        <v>11</v>
      </c>
      <c r="I399" t="s">
        <v>10</v>
      </c>
    </row>
    <row r="400" spans="1:9" x14ac:dyDescent="0.25">
      <c r="A400" t="str">
        <f t="shared" si="6"/>
        <v>89301000</v>
      </c>
      <c r="B400" t="str">
        <f>"0458216066"</f>
        <v>0458216066</v>
      </c>
      <c r="C400" s="1">
        <v>45083</v>
      </c>
      <c r="D400" s="1">
        <v>45084</v>
      </c>
      <c r="E400">
        <v>1</v>
      </c>
      <c r="F400" t="str">
        <f>"05-K15-02"</f>
        <v>05-K15-02</v>
      </c>
      <c r="G400">
        <v>0.45369999999999999</v>
      </c>
      <c r="H400" t="s">
        <v>11</v>
      </c>
      <c r="I400" t="s">
        <v>10</v>
      </c>
    </row>
    <row r="401" spans="1:9" x14ac:dyDescent="0.25">
      <c r="A401" t="str">
        <f t="shared" si="6"/>
        <v>89301000</v>
      </c>
      <c r="B401" t="str">
        <f>"0458246074"</f>
        <v>0458246074</v>
      </c>
      <c r="C401" s="1">
        <v>45210</v>
      </c>
      <c r="D401" s="1">
        <v>45213</v>
      </c>
      <c r="E401">
        <v>1</v>
      </c>
      <c r="F401" t="str">
        <f>"13-I14-03"</f>
        <v>13-I14-03</v>
      </c>
      <c r="G401">
        <v>0.87760000000000005</v>
      </c>
      <c r="H401" t="s">
        <v>9</v>
      </c>
      <c r="I401" t="s">
        <v>10</v>
      </c>
    </row>
    <row r="402" spans="1:9" x14ac:dyDescent="0.25">
      <c r="A402" t="str">
        <f t="shared" si="6"/>
        <v>89301000</v>
      </c>
      <c r="B402" t="str">
        <f>"0459103238"</f>
        <v>0459103238</v>
      </c>
      <c r="C402" s="1">
        <v>45061</v>
      </c>
      <c r="D402" s="1">
        <v>45062</v>
      </c>
      <c r="E402">
        <v>1</v>
      </c>
      <c r="F402" t="str">
        <f>"09-K04-02"</f>
        <v>09-K04-02</v>
      </c>
      <c r="G402">
        <v>0.64849999999999997</v>
      </c>
      <c r="H402" t="s">
        <v>11</v>
      </c>
      <c r="I402" t="s">
        <v>10</v>
      </c>
    </row>
    <row r="403" spans="1:9" x14ac:dyDescent="0.25">
      <c r="A403" t="str">
        <f t="shared" si="6"/>
        <v>89301000</v>
      </c>
      <c r="B403" t="str">
        <f>"0459256171"</f>
        <v>0459256171</v>
      </c>
      <c r="C403" s="1">
        <v>45270</v>
      </c>
      <c r="D403" s="1">
        <v>45275</v>
      </c>
      <c r="E403">
        <v>1</v>
      </c>
      <c r="F403" t="str">
        <f>"14-M01-05"</f>
        <v>14-M01-05</v>
      </c>
      <c r="G403">
        <v>0.61770000000000003</v>
      </c>
      <c r="H403" t="s">
        <v>13</v>
      </c>
      <c r="I403" t="s">
        <v>10</v>
      </c>
    </row>
    <row r="404" spans="1:9" x14ac:dyDescent="0.25">
      <c r="A404" t="str">
        <f t="shared" si="6"/>
        <v>89301000</v>
      </c>
      <c r="B404" t="str">
        <f>"0459265268"</f>
        <v>0459265268</v>
      </c>
      <c r="C404" s="1">
        <v>45244</v>
      </c>
      <c r="D404" s="1">
        <v>45281</v>
      </c>
      <c r="E404">
        <v>1</v>
      </c>
      <c r="F404" t="str">
        <f>"19-K08-02"</f>
        <v>19-K08-02</v>
      </c>
      <c r="G404">
        <v>4.4416000000000002</v>
      </c>
      <c r="H404" t="s">
        <v>15</v>
      </c>
      <c r="I404" t="s">
        <v>10</v>
      </c>
    </row>
    <row r="405" spans="1:9" x14ac:dyDescent="0.25">
      <c r="A405" t="str">
        <f t="shared" si="6"/>
        <v>89301000</v>
      </c>
      <c r="B405" t="str">
        <f>"0460155267"</f>
        <v>0460155267</v>
      </c>
      <c r="C405" s="1">
        <v>45193</v>
      </c>
      <c r="D405" s="1">
        <v>45196</v>
      </c>
      <c r="E405">
        <v>1</v>
      </c>
      <c r="F405" t="str">
        <f>"08-M03-04"</f>
        <v>08-M03-04</v>
      </c>
      <c r="G405">
        <v>1.0164</v>
      </c>
      <c r="H405" t="s">
        <v>11</v>
      </c>
      <c r="I405" t="s">
        <v>10</v>
      </c>
    </row>
    <row r="406" spans="1:9" x14ac:dyDescent="0.25">
      <c r="A406" t="str">
        <f t="shared" si="6"/>
        <v>89301000</v>
      </c>
      <c r="B406" t="str">
        <f>"0460196077"</f>
        <v>0460196077</v>
      </c>
      <c r="C406" s="1">
        <v>45271</v>
      </c>
      <c r="D406" s="1">
        <v>45272</v>
      </c>
      <c r="E406">
        <v>1</v>
      </c>
      <c r="F406" t="str">
        <f>"08-I14-03"</f>
        <v>08-I14-03</v>
      </c>
      <c r="G406">
        <v>1.5401</v>
      </c>
      <c r="H406" t="s">
        <v>12</v>
      </c>
      <c r="I406" t="s">
        <v>10</v>
      </c>
    </row>
    <row r="407" spans="1:9" x14ac:dyDescent="0.25">
      <c r="A407" t="str">
        <f t="shared" si="6"/>
        <v>89301000</v>
      </c>
      <c r="B407" t="str">
        <f>"0462015356"</f>
        <v>0462015356</v>
      </c>
      <c r="C407" s="1">
        <v>44978</v>
      </c>
      <c r="D407" s="1">
        <v>44984</v>
      </c>
      <c r="E407">
        <v>1</v>
      </c>
      <c r="F407" t="str">
        <f>"09-K04-02"</f>
        <v>09-K04-02</v>
      </c>
      <c r="G407">
        <v>0.64849999999999997</v>
      </c>
      <c r="H407" t="s">
        <v>11</v>
      </c>
      <c r="I407" t="s">
        <v>10</v>
      </c>
    </row>
    <row r="408" spans="1:9" x14ac:dyDescent="0.25">
      <c r="A408" t="str">
        <f t="shared" si="6"/>
        <v>89301000</v>
      </c>
      <c r="B408" t="str">
        <f>"0462065274"</f>
        <v>0462065274</v>
      </c>
      <c r="C408" s="1">
        <v>45076</v>
      </c>
      <c r="D408" s="1">
        <v>45078</v>
      </c>
      <c r="E408">
        <v>1</v>
      </c>
      <c r="F408" t="str">
        <f>"19-K01-03"</f>
        <v>19-K01-03</v>
      </c>
      <c r="G408">
        <v>0.55910000000000004</v>
      </c>
      <c r="H408" t="s">
        <v>15</v>
      </c>
      <c r="I408" t="s">
        <v>10</v>
      </c>
    </row>
    <row r="409" spans="1:9" x14ac:dyDescent="0.25">
      <c r="A409" t="str">
        <f t="shared" si="6"/>
        <v>89301000</v>
      </c>
      <c r="B409" t="str">
        <f>"0462090365"</f>
        <v>0462090365</v>
      </c>
      <c r="C409" s="1">
        <v>44929</v>
      </c>
      <c r="D409" s="1">
        <v>44966</v>
      </c>
      <c r="E409">
        <v>1</v>
      </c>
      <c r="F409" t="str">
        <f>"19-K08-02"</f>
        <v>19-K08-02</v>
      </c>
      <c r="G409">
        <v>4.4416000000000002</v>
      </c>
      <c r="H409" t="s">
        <v>15</v>
      </c>
      <c r="I409" t="s">
        <v>10</v>
      </c>
    </row>
    <row r="410" spans="1:9" x14ac:dyDescent="0.25">
      <c r="A410" t="str">
        <f t="shared" si="6"/>
        <v>89301000</v>
      </c>
      <c r="B410" t="str">
        <f>"0462293238"</f>
        <v>0462293238</v>
      </c>
      <c r="C410" s="1">
        <v>45204</v>
      </c>
      <c r="D410" s="1">
        <v>45206</v>
      </c>
      <c r="E410">
        <v>1</v>
      </c>
      <c r="F410" t="str">
        <f>"16-K02-01"</f>
        <v>16-K02-01</v>
      </c>
      <c r="G410">
        <v>1.3922000000000001</v>
      </c>
      <c r="H410" t="s">
        <v>11</v>
      </c>
      <c r="I410" t="s">
        <v>10</v>
      </c>
    </row>
    <row r="411" spans="1:9" x14ac:dyDescent="0.25">
      <c r="A411" t="str">
        <f t="shared" si="6"/>
        <v>89301000</v>
      </c>
      <c r="B411" t="str">
        <f>"0501066181"</f>
        <v>0501066181</v>
      </c>
      <c r="C411" s="1">
        <v>45031</v>
      </c>
      <c r="D411" s="1">
        <v>45041</v>
      </c>
      <c r="E411">
        <v>1</v>
      </c>
      <c r="F411" t="str">
        <f>"05-K01-03"</f>
        <v>05-K01-03</v>
      </c>
      <c r="G411">
        <v>0.73540000000000005</v>
      </c>
      <c r="H411" t="s">
        <v>11</v>
      </c>
      <c r="I411" t="s">
        <v>10</v>
      </c>
    </row>
    <row r="412" spans="1:9" x14ac:dyDescent="0.25">
      <c r="A412" t="str">
        <f t="shared" si="6"/>
        <v>89301000</v>
      </c>
      <c r="B412" t="str">
        <f>"0501166072"</f>
        <v>0501166072</v>
      </c>
      <c r="C412" s="1">
        <v>45189</v>
      </c>
      <c r="D412" s="1">
        <v>45191</v>
      </c>
      <c r="E412">
        <v>1</v>
      </c>
      <c r="F412" t="str">
        <f>"08-M03-04"</f>
        <v>08-M03-04</v>
      </c>
      <c r="G412">
        <v>0.87760000000000005</v>
      </c>
      <c r="H412" t="s">
        <v>11</v>
      </c>
      <c r="I412" t="s">
        <v>10</v>
      </c>
    </row>
    <row r="413" spans="1:9" x14ac:dyDescent="0.25">
      <c r="A413" t="str">
        <f t="shared" si="6"/>
        <v>89301000</v>
      </c>
      <c r="B413" t="str">
        <f>"0501203230"</f>
        <v>0501203230</v>
      </c>
      <c r="C413" s="1">
        <v>44979</v>
      </c>
      <c r="D413" s="1">
        <v>44981</v>
      </c>
      <c r="E413">
        <v>1</v>
      </c>
      <c r="F413" t="str">
        <f>"12-I14-00"</f>
        <v>12-I14-00</v>
      </c>
      <c r="G413">
        <v>0.42920000000000003</v>
      </c>
      <c r="H413" t="s">
        <v>11</v>
      </c>
      <c r="I413" t="s">
        <v>10</v>
      </c>
    </row>
    <row r="414" spans="1:9" x14ac:dyDescent="0.25">
      <c r="A414" t="str">
        <f t="shared" si="6"/>
        <v>89301000</v>
      </c>
      <c r="B414" t="str">
        <f>"0502053244"</f>
        <v>0502053244</v>
      </c>
      <c r="C414" s="1">
        <v>45223</v>
      </c>
      <c r="D414" s="1">
        <v>45226</v>
      </c>
      <c r="E414">
        <v>1</v>
      </c>
      <c r="F414" t="str">
        <f>"06-I18-05"</f>
        <v>06-I18-05</v>
      </c>
      <c r="G414">
        <v>0.82420000000000004</v>
      </c>
      <c r="H414" t="s">
        <v>9</v>
      </c>
      <c r="I414" t="s">
        <v>10</v>
      </c>
    </row>
    <row r="415" spans="1:9" x14ac:dyDescent="0.25">
      <c r="A415" t="str">
        <f t="shared" si="6"/>
        <v>89301000</v>
      </c>
      <c r="B415" t="str">
        <f>"0502087333"</f>
        <v>0502087333</v>
      </c>
      <c r="C415" s="1">
        <v>44992</v>
      </c>
      <c r="D415" s="1">
        <v>44994</v>
      </c>
      <c r="E415">
        <v>1</v>
      </c>
      <c r="F415" t="str">
        <f>"03-I24-00"</f>
        <v>03-I24-00</v>
      </c>
      <c r="G415">
        <v>0.40670000000000001</v>
      </c>
      <c r="H415" t="s">
        <v>11</v>
      </c>
      <c r="I415" t="s">
        <v>10</v>
      </c>
    </row>
    <row r="416" spans="1:9" x14ac:dyDescent="0.25">
      <c r="A416" t="str">
        <f t="shared" si="6"/>
        <v>89301000</v>
      </c>
      <c r="B416" t="str">
        <f>"0503126063"</f>
        <v>0503126063</v>
      </c>
      <c r="C416" s="1">
        <v>44938</v>
      </c>
      <c r="D416" s="1">
        <v>44941</v>
      </c>
      <c r="E416">
        <v>1</v>
      </c>
      <c r="F416" t="str">
        <f>"12-I08-03"</f>
        <v>12-I08-03</v>
      </c>
      <c r="G416">
        <v>0.7258</v>
      </c>
      <c r="H416" t="s">
        <v>11</v>
      </c>
      <c r="I416" t="s">
        <v>10</v>
      </c>
    </row>
    <row r="417" spans="1:9" x14ac:dyDescent="0.25">
      <c r="A417" t="str">
        <f t="shared" si="6"/>
        <v>89301000</v>
      </c>
      <c r="B417" t="str">
        <f>"0504113291"</f>
        <v>0504113291</v>
      </c>
      <c r="C417" s="1">
        <v>44993</v>
      </c>
      <c r="D417" s="1">
        <v>44995</v>
      </c>
      <c r="E417">
        <v>1</v>
      </c>
      <c r="F417" t="str">
        <f>"12-I14-00"</f>
        <v>12-I14-00</v>
      </c>
      <c r="G417">
        <v>0.42920000000000003</v>
      </c>
      <c r="H417" t="s">
        <v>11</v>
      </c>
      <c r="I417" t="s">
        <v>10</v>
      </c>
    </row>
    <row r="418" spans="1:9" x14ac:dyDescent="0.25">
      <c r="A418" t="str">
        <f t="shared" si="6"/>
        <v>89301000</v>
      </c>
      <c r="B418" t="str">
        <f>"0504296199"</f>
        <v>0504296199</v>
      </c>
      <c r="C418" s="1">
        <v>45194</v>
      </c>
      <c r="D418" s="1">
        <v>45196</v>
      </c>
      <c r="E418">
        <v>1</v>
      </c>
      <c r="F418" t="str">
        <f>"10-K04-04"</f>
        <v>10-K04-04</v>
      </c>
      <c r="G418">
        <v>0.53949999999999998</v>
      </c>
      <c r="H418" t="s">
        <v>11</v>
      </c>
      <c r="I418" t="s">
        <v>10</v>
      </c>
    </row>
    <row r="419" spans="1:9" x14ac:dyDescent="0.25">
      <c r="A419" t="str">
        <f t="shared" si="6"/>
        <v>89301000</v>
      </c>
      <c r="B419" t="str">
        <f>"0505066067"</f>
        <v>0505066067</v>
      </c>
      <c r="C419" s="1">
        <v>44963</v>
      </c>
      <c r="D419" s="1">
        <v>44967</v>
      </c>
      <c r="E419">
        <v>1</v>
      </c>
      <c r="F419" t="str">
        <f>"24-M05-02"</f>
        <v>24-M05-02</v>
      </c>
      <c r="G419">
        <v>0.58660000000000001</v>
      </c>
      <c r="H419" t="s">
        <v>11</v>
      </c>
      <c r="I419" t="s">
        <v>10</v>
      </c>
    </row>
    <row r="420" spans="1:9" x14ac:dyDescent="0.25">
      <c r="A420" t="str">
        <f t="shared" si="6"/>
        <v>89301000</v>
      </c>
      <c r="B420" t="str">
        <f>"0505166222"</f>
        <v>0505166222</v>
      </c>
      <c r="C420" s="1">
        <v>45033</v>
      </c>
      <c r="D420" s="1">
        <v>45035</v>
      </c>
      <c r="E420">
        <v>1</v>
      </c>
      <c r="F420" t="str">
        <f>"12-I13-02"</f>
        <v>12-I13-02</v>
      </c>
      <c r="G420">
        <v>0.53879999999999995</v>
      </c>
      <c r="H420" t="s">
        <v>9</v>
      </c>
      <c r="I420" t="s">
        <v>10</v>
      </c>
    </row>
    <row r="421" spans="1:9" x14ac:dyDescent="0.25">
      <c r="A421" t="str">
        <f t="shared" si="6"/>
        <v>89301000</v>
      </c>
      <c r="B421" t="str">
        <f>"0505255278"</f>
        <v>0505255278</v>
      </c>
      <c r="C421" s="1">
        <v>45049</v>
      </c>
      <c r="D421" s="1">
        <v>45051</v>
      </c>
      <c r="E421">
        <v>1</v>
      </c>
      <c r="F421" t="str">
        <f>"12-I13-02"</f>
        <v>12-I13-02</v>
      </c>
      <c r="G421">
        <v>0.53879999999999995</v>
      </c>
      <c r="H421" t="s">
        <v>9</v>
      </c>
      <c r="I421" t="s">
        <v>10</v>
      </c>
    </row>
    <row r="422" spans="1:9" x14ac:dyDescent="0.25">
      <c r="A422" t="str">
        <f t="shared" si="6"/>
        <v>89301000</v>
      </c>
      <c r="B422" t="str">
        <f>"0506046079"</f>
        <v>0506046079</v>
      </c>
      <c r="C422" s="1">
        <v>45084</v>
      </c>
      <c r="D422" s="1">
        <v>45087</v>
      </c>
      <c r="E422">
        <v>1</v>
      </c>
      <c r="F422" t="str">
        <f>"08-M03-04"</f>
        <v>08-M03-04</v>
      </c>
      <c r="G422">
        <v>0.87760000000000005</v>
      </c>
      <c r="H422" t="s">
        <v>11</v>
      </c>
      <c r="I422" t="s">
        <v>10</v>
      </c>
    </row>
    <row r="423" spans="1:9" x14ac:dyDescent="0.25">
      <c r="A423" t="str">
        <f t="shared" si="6"/>
        <v>89301000</v>
      </c>
      <c r="B423" t="str">
        <f>"0506046079"</f>
        <v>0506046079</v>
      </c>
      <c r="C423" s="1">
        <v>45208</v>
      </c>
      <c r="D423" s="1">
        <v>45211</v>
      </c>
      <c r="E423">
        <v>3</v>
      </c>
      <c r="F423" t="str">
        <f>"08-M03-05"</f>
        <v>08-M03-05</v>
      </c>
      <c r="G423">
        <v>0.46910000000000002</v>
      </c>
      <c r="H423" t="s">
        <v>11</v>
      </c>
      <c r="I423" t="s">
        <v>10</v>
      </c>
    </row>
    <row r="424" spans="1:9" x14ac:dyDescent="0.25">
      <c r="A424" t="str">
        <f t="shared" si="6"/>
        <v>89301000</v>
      </c>
      <c r="B424" t="str">
        <f>"0506046079"</f>
        <v>0506046079</v>
      </c>
      <c r="C424" s="1">
        <v>45211</v>
      </c>
      <c r="D424" s="1">
        <v>45223</v>
      </c>
      <c r="E424">
        <v>1</v>
      </c>
      <c r="F424" t="str">
        <f>"24-M05-02"</f>
        <v>24-M05-02</v>
      </c>
      <c r="G424">
        <v>0.67469999999999997</v>
      </c>
      <c r="H424" t="s">
        <v>11</v>
      </c>
      <c r="I424" t="s">
        <v>10</v>
      </c>
    </row>
    <row r="425" spans="1:9" x14ac:dyDescent="0.25">
      <c r="A425" t="str">
        <f t="shared" si="6"/>
        <v>89301000</v>
      </c>
      <c r="B425" t="str">
        <f>"0506047487"</f>
        <v>0506047487</v>
      </c>
      <c r="C425" s="1">
        <v>45090</v>
      </c>
      <c r="D425" s="1">
        <v>45092</v>
      </c>
      <c r="E425">
        <v>1</v>
      </c>
      <c r="F425" t="str">
        <f>"07-K04-04"</f>
        <v>07-K04-04</v>
      </c>
      <c r="G425">
        <v>0.59309999999999996</v>
      </c>
      <c r="H425" t="s">
        <v>11</v>
      </c>
      <c r="I425" t="s">
        <v>10</v>
      </c>
    </row>
    <row r="426" spans="1:9" x14ac:dyDescent="0.25">
      <c r="A426" t="str">
        <f t="shared" si="6"/>
        <v>89301000</v>
      </c>
      <c r="B426" t="str">
        <f>"0506153263"</f>
        <v>0506153263</v>
      </c>
      <c r="C426" s="1">
        <v>45187</v>
      </c>
      <c r="D426" s="1">
        <v>45188</v>
      </c>
      <c r="E426">
        <v>1</v>
      </c>
      <c r="F426" t="str">
        <f>"08-I16-04"</f>
        <v>08-I16-04</v>
      </c>
      <c r="G426">
        <v>0.83040000000000003</v>
      </c>
      <c r="H426" t="s">
        <v>12</v>
      </c>
      <c r="I426" t="s">
        <v>10</v>
      </c>
    </row>
    <row r="427" spans="1:9" x14ac:dyDescent="0.25">
      <c r="A427" t="str">
        <f t="shared" si="6"/>
        <v>89301000</v>
      </c>
      <c r="B427" t="str">
        <f>"0506185339"</f>
        <v>0506185339</v>
      </c>
      <c r="C427" s="1">
        <v>45247</v>
      </c>
      <c r="D427" s="1">
        <v>45250</v>
      </c>
      <c r="E427">
        <v>1</v>
      </c>
      <c r="F427" t="str">
        <f>"01-K07-03"</f>
        <v>01-K07-03</v>
      </c>
      <c r="G427">
        <v>0.48680000000000001</v>
      </c>
      <c r="H427" t="s">
        <v>11</v>
      </c>
      <c r="I427" t="s">
        <v>10</v>
      </c>
    </row>
    <row r="428" spans="1:9" x14ac:dyDescent="0.25">
      <c r="A428" t="str">
        <f t="shared" si="6"/>
        <v>89301000</v>
      </c>
      <c r="B428" t="str">
        <f>"0507023385"</f>
        <v>0507023385</v>
      </c>
      <c r="C428" s="1">
        <v>45060</v>
      </c>
      <c r="D428" s="1">
        <v>45062</v>
      </c>
      <c r="E428">
        <v>1</v>
      </c>
      <c r="F428" t="str">
        <f>"08-I19-03"</f>
        <v>08-I19-03</v>
      </c>
      <c r="G428">
        <v>0.57210000000000005</v>
      </c>
      <c r="H428" t="s">
        <v>12</v>
      </c>
      <c r="I428" t="s">
        <v>10</v>
      </c>
    </row>
    <row r="429" spans="1:9" x14ac:dyDescent="0.25">
      <c r="A429" t="str">
        <f t="shared" si="6"/>
        <v>89301000</v>
      </c>
      <c r="B429" t="str">
        <f>"0507045264"</f>
        <v>0507045264</v>
      </c>
      <c r="C429" s="1">
        <v>45251</v>
      </c>
      <c r="D429" s="1">
        <v>45260</v>
      </c>
      <c r="E429">
        <v>1</v>
      </c>
      <c r="F429" t="str">
        <f>"04-I05-03"</f>
        <v>04-I05-03</v>
      </c>
      <c r="G429">
        <v>2.1093999999999999</v>
      </c>
      <c r="H429" t="s">
        <v>14</v>
      </c>
      <c r="I429" t="s">
        <v>10</v>
      </c>
    </row>
    <row r="430" spans="1:9" x14ac:dyDescent="0.25">
      <c r="A430" t="str">
        <f t="shared" si="6"/>
        <v>89301000</v>
      </c>
      <c r="B430" t="str">
        <f>"0507077010"</f>
        <v>0507077010</v>
      </c>
      <c r="C430" s="1">
        <v>45104</v>
      </c>
      <c r="D430" s="1">
        <v>45106</v>
      </c>
      <c r="E430">
        <v>1</v>
      </c>
      <c r="F430" t="str">
        <f>"08-I32-00"</f>
        <v>08-I32-00</v>
      </c>
      <c r="G430">
        <v>0.4093</v>
      </c>
      <c r="H430" t="s">
        <v>11</v>
      </c>
      <c r="I430" t="s">
        <v>10</v>
      </c>
    </row>
    <row r="431" spans="1:9" x14ac:dyDescent="0.25">
      <c r="A431" t="str">
        <f t="shared" si="6"/>
        <v>89301000</v>
      </c>
      <c r="B431" t="str">
        <f>"0507086063"</f>
        <v>0507086063</v>
      </c>
      <c r="C431" s="1">
        <v>45219</v>
      </c>
      <c r="D431" s="1">
        <v>45244</v>
      </c>
      <c r="E431">
        <v>1</v>
      </c>
      <c r="F431" t="str">
        <f>"08-I21-01"</f>
        <v>08-I21-01</v>
      </c>
      <c r="G431">
        <v>2.6945999999999999</v>
      </c>
      <c r="H431" t="s">
        <v>12</v>
      </c>
      <c r="I431" t="s">
        <v>10</v>
      </c>
    </row>
    <row r="432" spans="1:9" x14ac:dyDescent="0.25">
      <c r="A432" t="str">
        <f t="shared" si="6"/>
        <v>89301000</v>
      </c>
      <c r="B432" t="str">
        <f>"0507086063"</f>
        <v>0507086063</v>
      </c>
      <c r="C432" s="1">
        <v>45203</v>
      </c>
      <c r="D432" s="1">
        <v>45207</v>
      </c>
      <c r="E432">
        <v>1</v>
      </c>
      <c r="F432" t="str">
        <f>"06-I18-05"</f>
        <v>06-I18-05</v>
      </c>
      <c r="G432">
        <v>0.82420000000000004</v>
      </c>
      <c r="H432" t="s">
        <v>9</v>
      </c>
      <c r="I432" t="s">
        <v>10</v>
      </c>
    </row>
    <row r="433" spans="1:9" x14ac:dyDescent="0.25">
      <c r="A433" t="str">
        <f t="shared" si="6"/>
        <v>89301000</v>
      </c>
      <c r="B433" t="str">
        <f>"0507093235"</f>
        <v>0507093235</v>
      </c>
      <c r="C433" s="1">
        <v>45156</v>
      </c>
      <c r="D433" s="1">
        <v>45161</v>
      </c>
      <c r="E433">
        <v>1</v>
      </c>
      <c r="F433" t="str">
        <f>"06-I18-05"</f>
        <v>06-I18-05</v>
      </c>
      <c r="G433">
        <v>0.82420000000000004</v>
      </c>
      <c r="H433" t="s">
        <v>9</v>
      </c>
      <c r="I433" t="s">
        <v>10</v>
      </c>
    </row>
    <row r="434" spans="1:9" x14ac:dyDescent="0.25">
      <c r="A434" t="str">
        <f t="shared" si="6"/>
        <v>89301000</v>
      </c>
      <c r="B434" t="str">
        <f>"0507135266"</f>
        <v>0507135266</v>
      </c>
      <c r="C434" s="1">
        <v>45237</v>
      </c>
      <c r="D434" s="1">
        <v>45239</v>
      </c>
      <c r="E434">
        <v>1</v>
      </c>
      <c r="F434" t="str">
        <f>"12-I13-01"</f>
        <v>12-I13-01</v>
      </c>
      <c r="G434">
        <v>0.78059999999999996</v>
      </c>
      <c r="H434" t="s">
        <v>9</v>
      </c>
      <c r="I434" t="s">
        <v>10</v>
      </c>
    </row>
    <row r="435" spans="1:9" x14ac:dyDescent="0.25">
      <c r="A435" t="str">
        <f t="shared" si="6"/>
        <v>89301000</v>
      </c>
      <c r="B435" t="str">
        <f>"0507143241"</f>
        <v>0507143241</v>
      </c>
      <c r="C435" s="1">
        <v>45176</v>
      </c>
      <c r="D435" s="1">
        <v>45178</v>
      </c>
      <c r="E435">
        <v>1</v>
      </c>
      <c r="F435" t="str">
        <f>"04-I11-00"</f>
        <v>04-I11-00</v>
      </c>
      <c r="G435">
        <v>0.73519999999999996</v>
      </c>
      <c r="H435" t="s">
        <v>9</v>
      </c>
      <c r="I435" t="s">
        <v>10</v>
      </c>
    </row>
    <row r="436" spans="1:9" x14ac:dyDescent="0.25">
      <c r="A436" t="str">
        <f t="shared" si="6"/>
        <v>89301000</v>
      </c>
      <c r="B436" t="str">
        <f>"0507166077"</f>
        <v>0507166077</v>
      </c>
      <c r="C436" s="1">
        <v>45230</v>
      </c>
      <c r="D436" s="1">
        <v>45239</v>
      </c>
      <c r="E436">
        <v>1</v>
      </c>
      <c r="F436" t="str">
        <f>"24-M06-02"</f>
        <v>24-M06-02</v>
      </c>
      <c r="G436">
        <v>1.0699000000000001</v>
      </c>
      <c r="H436" t="s">
        <v>11</v>
      </c>
      <c r="I436" t="s">
        <v>10</v>
      </c>
    </row>
    <row r="437" spans="1:9" x14ac:dyDescent="0.25">
      <c r="A437" t="str">
        <f t="shared" si="6"/>
        <v>89301000</v>
      </c>
      <c r="B437" t="str">
        <f>"0507166077"</f>
        <v>0507166077</v>
      </c>
      <c r="C437" s="1">
        <v>45224</v>
      </c>
      <c r="D437" s="1">
        <v>45227</v>
      </c>
      <c r="E437">
        <v>1</v>
      </c>
      <c r="F437" t="str">
        <f>"08-M03-05"</f>
        <v>08-M03-05</v>
      </c>
      <c r="G437">
        <v>0.46910000000000002</v>
      </c>
      <c r="H437" t="s">
        <v>11</v>
      </c>
      <c r="I437" t="s">
        <v>10</v>
      </c>
    </row>
    <row r="438" spans="1:9" x14ac:dyDescent="0.25">
      <c r="A438" t="str">
        <f t="shared" si="6"/>
        <v>89301000</v>
      </c>
      <c r="B438" t="str">
        <f>"0507166077"</f>
        <v>0507166077</v>
      </c>
      <c r="C438" s="1">
        <v>45008</v>
      </c>
      <c r="D438" s="1">
        <v>45011</v>
      </c>
      <c r="E438">
        <v>1</v>
      </c>
      <c r="F438" t="str">
        <f>"08-M03-04"</f>
        <v>08-M03-04</v>
      </c>
      <c r="G438">
        <v>0.87760000000000005</v>
      </c>
      <c r="H438" t="s">
        <v>11</v>
      </c>
      <c r="I438" t="s">
        <v>10</v>
      </c>
    </row>
    <row r="439" spans="1:9" x14ac:dyDescent="0.25">
      <c r="A439" t="str">
        <f t="shared" si="6"/>
        <v>89301000</v>
      </c>
      <c r="B439" t="str">
        <f>"0507213234"</f>
        <v>0507213234</v>
      </c>
      <c r="C439" s="1">
        <v>45229</v>
      </c>
      <c r="D439" s="1">
        <v>45237</v>
      </c>
      <c r="E439">
        <v>1</v>
      </c>
      <c r="F439" t="str">
        <f>"20-K03-03"</f>
        <v>20-K03-03</v>
      </c>
      <c r="G439">
        <v>0.94020000000000004</v>
      </c>
      <c r="H439" t="s">
        <v>11</v>
      </c>
      <c r="I439" t="s">
        <v>10</v>
      </c>
    </row>
    <row r="440" spans="1:9" x14ac:dyDescent="0.25">
      <c r="A440" t="str">
        <f t="shared" si="6"/>
        <v>89301000</v>
      </c>
      <c r="B440" t="str">
        <f>"0507258466"</f>
        <v>0507258466</v>
      </c>
      <c r="C440" s="1">
        <v>45233</v>
      </c>
      <c r="D440" s="1">
        <v>45236</v>
      </c>
      <c r="E440">
        <v>1</v>
      </c>
      <c r="F440" t="str">
        <f>"01-K07-03"</f>
        <v>01-K07-03</v>
      </c>
      <c r="G440">
        <v>0.48680000000000001</v>
      </c>
      <c r="H440" t="s">
        <v>11</v>
      </c>
      <c r="I440" t="s">
        <v>10</v>
      </c>
    </row>
    <row r="441" spans="1:9" x14ac:dyDescent="0.25">
      <c r="A441" t="str">
        <f t="shared" si="6"/>
        <v>89301000</v>
      </c>
      <c r="B441" t="str">
        <f>"0507263251"</f>
        <v>0507263251</v>
      </c>
      <c r="C441" s="1">
        <v>45043</v>
      </c>
      <c r="D441" s="1">
        <v>45049</v>
      </c>
      <c r="E441">
        <v>2</v>
      </c>
      <c r="F441" t="str">
        <f>"08-K07-00"</f>
        <v>08-K07-00</v>
      </c>
      <c r="G441">
        <v>0.97599999999999998</v>
      </c>
      <c r="H441" t="s">
        <v>11</v>
      </c>
      <c r="I441" t="s">
        <v>10</v>
      </c>
    </row>
    <row r="442" spans="1:9" x14ac:dyDescent="0.25">
      <c r="A442" t="str">
        <f t="shared" si="6"/>
        <v>89301000</v>
      </c>
      <c r="B442" t="str">
        <f>"0508055339"</f>
        <v>0508055339</v>
      </c>
      <c r="C442" s="1">
        <v>45242</v>
      </c>
      <c r="D442" s="1">
        <v>45244</v>
      </c>
      <c r="E442">
        <v>1</v>
      </c>
      <c r="F442" t="str">
        <f>"08-I32-00"</f>
        <v>08-I32-00</v>
      </c>
      <c r="G442">
        <v>0.40870000000000001</v>
      </c>
      <c r="H442" t="s">
        <v>11</v>
      </c>
      <c r="I442" t="s">
        <v>10</v>
      </c>
    </row>
    <row r="443" spans="1:9" x14ac:dyDescent="0.25">
      <c r="A443" t="str">
        <f t="shared" si="6"/>
        <v>89301000</v>
      </c>
      <c r="B443" t="str">
        <f>"0508076151"</f>
        <v>0508076151</v>
      </c>
      <c r="C443" s="1">
        <v>45257</v>
      </c>
      <c r="D443" s="1">
        <v>45268</v>
      </c>
      <c r="E443">
        <v>1</v>
      </c>
      <c r="F443" t="str">
        <f>"04-K11-01"</f>
        <v>04-K11-01</v>
      </c>
      <c r="G443">
        <v>1.744</v>
      </c>
      <c r="H443" t="s">
        <v>11</v>
      </c>
      <c r="I443" t="s">
        <v>10</v>
      </c>
    </row>
    <row r="444" spans="1:9" x14ac:dyDescent="0.25">
      <c r="A444" t="str">
        <f t="shared" si="6"/>
        <v>89301000</v>
      </c>
      <c r="B444" t="str">
        <f>"0508076151"</f>
        <v>0508076151</v>
      </c>
      <c r="C444" s="1">
        <v>45071</v>
      </c>
      <c r="D444" s="1">
        <v>45075</v>
      </c>
      <c r="E444">
        <v>1</v>
      </c>
      <c r="F444" t="str">
        <f>"04-K11-01"</f>
        <v>04-K11-01</v>
      </c>
      <c r="G444">
        <v>1.6203000000000001</v>
      </c>
      <c r="H444" t="s">
        <v>11</v>
      </c>
      <c r="I444" t="s">
        <v>10</v>
      </c>
    </row>
    <row r="445" spans="1:9" x14ac:dyDescent="0.25">
      <c r="A445" t="str">
        <f t="shared" si="6"/>
        <v>89301000</v>
      </c>
      <c r="B445" t="str">
        <f>"0508076151"</f>
        <v>0508076151</v>
      </c>
      <c r="C445" s="1">
        <v>44939</v>
      </c>
      <c r="D445" s="1">
        <v>44956</v>
      </c>
      <c r="E445">
        <v>1</v>
      </c>
      <c r="F445" t="str">
        <f>"04-K02-02"</f>
        <v>04-K02-02</v>
      </c>
      <c r="G445">
        <v>2.8616999999999999</v>
      </c>
      <c r="H445" t="s">
        <v>11</v>
      </c>
      <c r="I445" t="s">
        <v>10</v>
      </c>
    </row>
    <row r="446" spans="1:9" x14ac:dyDescent="0.25">
      <c r="A446" t="str">
        <f t="shared" si="6"/>
        <v>89301000</v>
      </c>
      <c r="B446" t="str">
        <f>"0508127092"</f>
        <v>0508127092</v>
      </c>
      <c r="C446" s="1">
        <v>44935</v>
      </c>
      <c r="D446" s="1">
        <v>44937</v>
      </c>
      <c r="E446">
        <v>1</v>
      </c>
      <c r="F446" t="str">
        <f>"08-I22-02"</f>
        <v>08-I22-02</v>
      </c>
      <c r="G446">
        <v>1.131</v>
      </c>
      <c r="H446" t="s">
        <v>12</v>
      </c>
      <c r="I446" t="s">
        <v>10</v>
      </c>
    </row>
    <row r="447" spans="1:9" x14ac:dyDescent="0.25">
      <c r="A447" t="str">
        <f t="shared" si="6"/>
        <v>89301000</v>
      </c>
      <c r="B447" t="str">
        <f>"0508136079"</f>
        <v>0508136079</v>
      </c>
      <c r="C447" s="1">
        <v>44999</v>
      </c>
      <c r="D447" s="1">
        <v>45000</v>
      </c>
      <c r="E447">
        <v>1</v>
      </c>
      <c r="F447" t="str">
        <f>"06-K22-03"</f>
        <v>06-K22-03</v>
      </c>
      <c r="G447">
        <v>0.31819999999999998</v>
      </c>
      <c r="H447" t="s">
        <v>11</v>
      </c>
      <c r="I447" t="s">
        <v>10</v>
      </c>
    </row>
    <row r="448" spans="1:9" x14ac:dyDescent="0.25">
      <c r="A448" t="str">
        <f t="shared" ref="A448:A511" si="7">"89301000"</f>
        <v>89301000</v>
      </c>
      <c r="B448" t="str">
        <f>"0508136079"</f>
        <v>0508136079</v>
      </c>
      <c r="C448" s="1">
        <v>45103</v>
      </c>
      <c r="D448" s="1">
        <v>45106</v>
      </c>
      <c r="E448">
        <v>1</v>
      </c>
      <c r="F448" t="str">
        <f>"16-K04-02"</f>
        <v>16-K04-02</v>
      </c>
      <c r="G448">
        <v>0.92759999999999998</v>
      </c>
      <c r="H448" t="s">
        <v>11</v>
      </c>
      <c r="I448" t="s">
        <v>10</v>
      </c>
    </row>
    <row r="449" spans="1:9" x14ac:dyDescent="0.25">
      <c r="A449" t="str">
        <f t="shared" si="7"/>
        <v>89301000</v>
      </c>
      <c r="B449" t="str">
        <f>"0508283226"</f>
        <v>0508283226</v>
      </c>
      <c r="C449" s="1">
        <v>45181</v>
      </c>
      <c r="D449" s="1">
        <v>45184</v>
      </c>
      <c r="E449">
        <v>1</v>
      </c>
      <c r="F449" t="str">
        <f>"01-K03-08"</f>
        <v>01-K03-08</v>
      </c>
      <c r="G449">
        <v>0.38429999999999997</v>
      </c>
      <c r="H449" t="s">
        <v>11</v>
      </c>
      <c r="I449" t="s">
        <v>10</v>
      </c>
    </row>
    <row r="450" spans="1:9" x14ac:dyDescent="0.25">
      <c r="A450" t="str">
        <f t="shared" si="7"/>
        <v>89301000</v>
      </c>
      <c r="B450" t="str">
        <f>"0508315302"</f>
        <v>0508315302</v>
      </c>
      <c r="C450" s="1">
        <v>45210</v>
      </c>
      <c r="D450" s="1">
        <v>45232</v>
      </c>
      <c r="E450">
        <v>1</v>
      </c>
      <c r="F450" t="str">
        <f>"02-K11-01"</f>
        <v>02-K11-01</v>
      </c>
      <c r="G450">
        <v>1.9440999999999999</v>
      </c>
      <c r="H450" t="s">
        <v>11</v>
      </c>
      <c r="I450" t="s">
        <v>10</v>
      </c>
    </row>
    <row r="451" spans="1:9" x14ac:dyDescent="0.25">
      <c r="A451" t="str">
        <f t="shared" si="7"/>
        <v>89301000</v>
      </c>
      <c r="B451" t="str">
        <f>"0509056075"</f>
        <v>0509056075</v>
      </c>
      <c r="C451" s="1">
        <v>45099</v>
      </c>
      <c r="D451" s="1">
        <v>45119</v>
      </c>
      <c r="E451">
        <v>1</v>
      </c>
      <c r="F451" t="str">
        <f>"25-K01-02"</f>
        <v>25-K01-02</v>
      </c>
      <c r="G451">
        <v>2.4209000000000001</v>
      </c>
      <c r="H451" t="s">
        <v>14</v>
      </c>
      <c r="I451" t="s">
        <v>10</v>
      </c>
    </row>
    <row r="452" spans="1:9" x14ac:dyDescent="0.25">
      <c r="A452" t="str">
        <f t="shared" si="7"/>
        <v>89301000</v>
      </c>
      <c r="B452" t="str">
        <f>"0509086204"</f>
        <v>0509086204</v>
      </c>
      <c r="C452" s="1">
        <v>45062</v>
      </c>
      <c r="D452" s="1">
        <v>45064</v>
      </c>
      <c r="E452">
        <v>1</v>
      </c>
      <c r="F452" t="str">
        <f>"06-K04-03"</f>
        <v>06-K04-03</v>
      </c>
      <c r="G452">
        <v>0.38019999999999998</v>
      </c>
      <c r="H452" t="s">
        <v>11</v>
      </c>
      <c r="I452" t="s">
        <v>10</v>
      </c>
    </row>
    <row r="453" spans="1:9" x14ac:dyDescent="0.25">
      <c r="A453" t="str">
        <f t="shared" si="7"/>
        <v>89301000</v>
      </c>
      <c r="B453" t="str">
        <f>"0509086204"</f>
        <v>0509086204</v>
      </c>
      <c r="C453" s="1">
        <v>45127</v>
      </c>
      <c r="D453" s="1">
        <v>45129</v>
      </c>
      <c r="E453">
        <v>1</v>
      </c>
      <c r="F453" t="str">
        <f>"11-K03-01"</f>
        <v>11-K03-01</v>
      </c>
      <c r="G453">
        <v>1.2496</v>
      </c>
      <c r="H453" t="s">
        <v>11</v>
      </c>
      <c r="I453" t="s">
        <v>10</v>
      </c>
    </row>
    <row r="454" spans="1:9" x14ac:dyDescent="0.25">
      <c r="A454" t="str">
        <f t="shared" si="7"/>
        <v>89301000</v>
      </c>
      <c r="B454" t="str">
        <f>"0509086204"</f>
        <v>0509086204</v>
      </c>
      <c r="C454" s="1">
        <v>45148</v>
      </c>
      <c r="D454" s="1">
        <v>45155</v>
      </c>
      <c r="E454">
        <v>1</v>
      </c>
      <c r="F454" t="str">
        <f>"06-K20-03"</f>
        <v>06-K20-03</v>
      </c>
      <c r="G454">
        <v>0.41199999999999998</v>
      </c>
      <c r="H454" t="s">
        <v>11</v>
      </c>
      <c r="I454" t="s">
        <v>10</v>
      </c>
    </row>
    <row r="455" spans="1:9" x14ac:dyDescent="0.25">
      <c r="A455" t="str">
        <f t="shared" si="7"/>
        <v>89301000</v>
      </c>
      <c r="B455" t="str">
        <f>"0509094520"</f>
        <v>0509094520</v>
      </c>
      <c r="C455" s="1">
        <v>44935</v>
      </c>
      <c r="D455" s="1">
        <v>44937</v>
      </c>
      <c r="E455">
        <v>1</v>
      </c>
      <c r="F455" t="str">
        <f>"06-K06-02"</f>
        <v>06-K06-02</v>
      </c>
      <c r="G455">
        <v>0.64170000000000005</v>
      </c>
      <c r="H455" t="s">
        <v>11</v>
      </c>
      <c r="I455" t="s">
        <v>10</v>
      </c>
    </row>
    <row r="456" spans="1:9" x14ac:dyDescent="0.25">
      <c r="A456" t="str">
        <f t="shared" si="7"/>
        <v>89301000</v>
      </c>
      <c r="B456" t="str">
        <f>"0509107005"</f>
        <v>0509107005</v>
      </c>
      <c r="C456" s="1">
        <v>45154</v>
      </c>
      <c r="D456" s="1">
        <v>45157</v>
      </c>
      <c r="E456">
        <v>1</v>
      </c>
      <c r="F456" t="str">
        <f>"08-I25-02"</f>
        <v>08-I25-02</v>
      </c>
      <c r="G456">
        <v>0.55279999999999996</v>
      </c>
      <c r="H456" t="s">
        <v>11</v>
      </c>
      <c r="I456" t="s">
        <v>10</v>
      </c>
    </row>
    <row r="457" spans="1:9" x14ac:dyDescent="0.25">
      <c r="A457" t="str">
        <f t="shared" si="7"/>
        <v>89301000</v>
      </c>
      <c r="B457" t="str">
        <f>"0509213243"</f>
        <v>0509213243</v>
      </c>
      <c r="C457" s="1">
        <v>45256</v>
      </c>
      <c r="D457" s="1">
        <v>45258</v>
      </c>
      <c r="E457">
        <v>1</v>
      </c>
      <c r="F457" t="str">
        <f>"08-I31-03"</f>
        <v>08-I31-03</v>
      </c>
      <c r="G457">
        <v>0.64759999999999995</v>
      </c>
      <c r="H457" t="s">
        <v>11</v>
      </c>
      <c r="I457" t="s">
        <v>10</v>
      </c>
    </row>
    <row r="458" spans="1:9" x14ac:dyDescent="0.25">
      <c r="A458" t="str">
        <f t="shared" si="7"/>
        <v>89301000</v>
      </c>
      <c r="B458" t="str">
        <f>"0509296073"</f>
        <v>0509296073</v>
      </c>
      <c r="C458" s="1">
        <v>44978</v>
      </c>
      <c r="D458" s="1">
        <v>44984</v>
      </c>
      <c r="E458">
        <v>1</v>
      </c>
      <c r="F458" t="str">
        <f>"06-I18-04"</f>
        <v>06-I18-04</v>
      </c>
      <c r="G458">
        <v>1.1088</v>
      </c>
      <c r="H458" t="s">
        <v>9</v>
      </c>
      <c r="I458" t="s">
        <v>10</v>
      </c>
    </row>
    <row r="459" spans="1:9" x14ac:dyDescent="0.25">
      <c r="A459" t="str">
        <f t="shared" si="7"/>
        <v>89301000</v>
      </c>
      <c r="B459" t="str">
        <f>"0510066249"</f>
        <v>0510066249</v>
      </c>
      <c r="C459" s="1">
        <v>44943</v>
      </c>
      <c r="D459" s="1">
        <v>44948</v>
      </c>
      <c r="E459">
        <v>1</v>
      </c>
      <c r="F459" t="str">
        <f>"05-I30-01"</f>
        <v>05-I30-01</v>
      </c>
      <c r="G459">
        <v>0.84470000000000001</v>
      </c>
      <c r="H459" t="s">
        <v>12</v>
      </c>
      <c r="I459" t="s">
        <v>10</v>
      </c>
    </row>
    <row r="460" spans="1:9" x14ac:dyDescent="0.25">
      <c r="A460" t="str">
        <f t="shared" si="7"/>
        <v>89301000</v>
      </c>
      <c r="B460" t="str">
        <f>"0510113230"</f>
        <v>0510113230</v>
      </c>
      <c r="C460" s="1">
        <v>45148</v>
      </c>
      <c r="D460" s="1">
        <v>45150</v>
      </c>
      <c r="E460">
        <v>1</v>
      </c>
      <c r="F460" t="str">
        <f>"03-I14-02"</f>
        <v>03-I14-02</v>
      </c>
      <c r="G460">
        <v>1.0793999999999999</v>
      </c>
      <c r="H460" t="s">
        <v>11</v>
      </c>
      <c r="I460" t="s">
        <v>10</v>
      </c>
    </row>
    <row r="461" spans="1:9" x14ac:dyDescent="0.25">
      <c r="A461" t="str">
        <f t="shared" si="7"/>
        <v>89301000</v>
      </c>
      <c r="B461" t="str">
        <f>"0510126067"</f>
        <v>0510126067</v>
      </c>
      <c r="C461" s="1">
        <v>44958</v>
      </c>
      <c r="D461" s="1">
        <v>44961</v>
      </c>
      <c r="E461">
        <v>1</v>
      </c>
      <c r="F461" t="str">
        <f>"12-I13-01"</f>
        <v>12-I13-01</v>
      </c>
      <c r="G461">
        <v>0.66</v>
      </c>
      <c r="H461" t="s">
        <v>9</v>
      </c>
      <c r="I461" t="s">
        <v>10</v>
      </c>
    </row>
    <row r="462" spans="1:9" x14ac:dyDescent="0.25">
      <c r="A462" t="str">
        <f t="shared" si="7"/>
        <v>89301000</v>
      </c>
      <c r="B462" t="str">
        <f>"0511086191"</f>
        <v>0511086191</v>
      </c>
      <c r="C462" s="1">
        <v>45120</v>
      </c>
      <c r="D462" s="1">
        <v>45135</v>
      </c>
      <c r="E462">
        <v>1</v>
      </c>
      <c r="F462" t="str">
        <f>"19-K05-02"</f>
        <v>19-K05-02</v>
      </c>
      <c r="G462">
        <v>1.7688999999999999</v>
      </c>
      <c r="H462" t="s">
        <v>15</v>
      </c>
      <c r="I462" t="s">
        <v>10</v>
      </c>
    </row>
    <row r="463" spans="1:9" x14ac:dyDescent="0.25">
      <c r="A463" t="str">
        <f t="shared" si="7"/>
        <v>89301000</v>
      </c>
      <c r="B463" t="str">
        <f>"0511086191"</f>
        <v>0511086191</v>
      </c>
      <c r="C463" s="1">
        <v>45062</v>
      </c>
      <c r="D463" s="1">
        <v>45071</v>
      </c>
      <c r="E463">
        <v>1</v>
      </c>
      <c r="F463" t="str">
        <f>"19-K03-01"</f>
        <v>19-K03-01</v>
      </c>
      <c r="G463">
        <v>1.2786</v>
      </c>
      <c r="H463" t="s">
        <v>15</v>
      </c>
      <c r="I463" t="s">
        <v>10</v>
      </c>
    </row>
    <row r="464" spans="1:9" x14ac:dyDescent="0.25">
      <c r="A464" t="str">
        <f t="shared" si="7"/>
        <v>89301000</v>
      </c>
      <c r="B464" t="str">
        <f>"0511086191"</f>
        <v>0511086191</v>
      </c>
      <c r="C464" s="1">
        <v>45146</v>
      </c>
      <c r="D464" s="1">
        <v>45168</v>
      </c>
      <c r="E464">
        <v>1</v>
      </c>
      <c r="F464" t="str">
        <f>"17-I09-01"</f>
        <v>17-I09-01</v>
      </c>
      <c r="G464">
        <v>3.8046000000000002</v>
      </c>
      <c r="H464" t="s">
        <v>11</v>
      </c>
      <c r="I464" t="s">
        <v>10</v>
      </c>
    </row>
    <row r="465" spans="1:9" x14ac:dyDescent="0.25">
      <c r="A465" t="str">
        <f t="shared" si="7"/>
        <v>89301000</v>
      </c>
      <c r="B465" t="str">
        <f>"0511102218"</f>
        <v>0511102218</v>
      </c>
      <c r="C465" s="1">
        <v>45102</v>
      </c>
      <c r="D465" s="1">
        <v>45105</v>
      </c>
      <c r="E465">
        <v>1</v>
      </c>
      <c r="F465" t="str">
        <f>"08-M03-02"</f>
        <v>08-M03-02</v>
      </c>
      <c r="G465">
        <v>0.91359999999999997</v>
      </c>
      <c r="H465" t="s">
        <v>11</v>
      </c>
      <c r="I465" t="s">
        <v>10</v>
      </c>
    </row>
    <row r="466" spans="1:9" x14ac:dyDescent="0.25">
      <c r="A466" t="str">
        <f t="shared" si="7"/>
        <v>89301000</v>
      </c>
      <c r="B466" t="str">
        <f>"0511143226"</f>
        <v>0511143226</v>
      </c>
      <c r="C466" s="1">
        <v>45164</v>
      </c>
      <c r="D466" s="1">
        <v>45165</v>
      </c>
      <c r="E466">
        <v>1</v>
      </c>
      <c r="F466" t="str">
        <f>"12-I10-02"</f>
        <v>12-I10-02</v>
      </c>
      <c r="G466">
        <v>0.51700000000000002</v>
      </c>
      <c r="H466" t="s">
        <v>9</v>
      </c>
      <c r="I466" t="s">
        <v>10</v>
      </c>
    </row>
    <row r="467" spans="1:9" x14ac:dyDescent="0.25">
      <c r="A467" t="str">
        <f t="shared" si="7"/>
        <v>89301000</v>
      </c>
      <c r="B467" t="str">
        <f>"0511151377"</f>
        <v>0511151377</v>
      </c>
      <c r="C467" s="1">
        <v>45071</v>
      </c>
      <c r="D467" s="1">
        <v>45074</v>
      </c>
      <c r="E467">
        <v>1</v>
      </c>
      <c r="F467" t="str">
        <f>"08-K03-03"</f>
        <v>08-K03-03</v>
      </c>
      <c r="G467">
        <v>0.7903</v>
      </c>
      <c r="H467" t="s">
        <v>11</v>
      </c>
      <c r="I467" t="s">
        <v>10</v>
      </c>
    </row>
    <row r="468" spans="1:9" x14ac:dyDescent="0.25">
      <c r="A468" t="str">
        <f t="shared" si="7"/>
        <v>89301000</v>
      </c>
      <c r="B468" t="str">
        <f>"0511151377"</f>
        <v>0511151377</v>
      </c>
      <c r="C468" s="1">
        <v>45180</v>
      </c>
      <c r="D468" s="1">
        <v>45183</v>
      </c>
      <c r="E468">
        <v>1</v>
      </c>
      <c r="F468" t="str">
        <f>"08-K03-03"</f>
        <v>08-K03-03</v>
      </c>
      <c r="G468">
        <v>0.7903</v>
      </c>
      <c r="H468" t="s">
        <v>11</v>
      </c>
      <c r="I468" t="s">
        <v>10</v>
      </c>
    </row>
    <row r="469" spans="1:9" x14ac:dyDescent="0.25">
      <c r="A469" t="str">
        <f t="shared" si="7"/>
        <v>89301000</v>
      </c>
      <c r="B469" t="str">
        <f>"0511151377"</f>
        <v>0511151377</v>
      </c>
      <c r="C469" s="1">
        <v>44966</v>
      </c>
      <c r="D469" s="1">
        <v>44969</v>
      </c>
      <c r="E469">
        <v>1</v>
      </c>
      <c r="F469" t="str">
        <f>"08-K03-03"</f>
        <v>08-K03-03</v>
      </c>
      <c r="G469">
        <v>0.76259999999999994</v>
      </c>
      <c r="H469" t="s">
        <v>11</v>
      </c>
      <c r="I469" t="s">
        <v>10</v>
      </c>
    </row>
    <row r="470" spans="1:9" x14ac:dyDescent="0.25">
      <c r="A470" t="str">
        <f t="shared" si="7"/>
        <v>89301000</v>
      </c>
      <c r="B470" t="str">
        <f>"0511173234"</f>
        <v>0511173234</v>
      </c>
      <c r="C470" s="1">
        <v>45054</v>
      </c>
      <c r="D470" s="1">
        <v>45056</v>
      </c>
      <c r="E470">
        <v>1</v>
      </c>
      <c r="F470" t="str">
        <f>"12-I14-00"</f>
        <v>12-I14-00</v>
      </c>
      <c r="G470">
        <v>0.42920000000000003</v>
      </c>
      <c r="H470" t="s">
        <v>11</v>
      </c>
      <c r="I470" t="s">
        <v>10</v>
      </c>
    </row>
    <row r="471" spans="1:9" x14ac:dyDescent="0.25">
      <c r="A471" t="str">
        <f t="shared" si="7"/>
        <v>89301000</v>
      </c>
      <c r="B471" t="str">
        <f>"0511203242"</f>
        <v>0511203242</v>
      </c>
      <c r="C471" s="1">
        <v>45219</v>
      </c>
      <c r="D471" s="1">
        <v>45224</v>
      </c>
      <c r="E471">
        <v>1</v>
      </c>
      <c r="F471" t="str">
        <f>"07-K11-02"</f>
        <v>07-K11-02</v>
      </c>
      <c r="G471">
        <v>0.74919999999999998</v>
      </c>
      <c r="H471" t="s">
        <v>11</v>
      </c>
      <c r="I471" t="s">
        <v>10</v>
      </c>
    </row>
    <row r="472" spans="1:9" x14ac:dyDescent="0.25">
      <c r="A472" t="str">
        <f t="shared" si="7"/>
        <v>89301000</v>
      </c>
      <c r="B472" t="str">
        <f>"0511203242"</f>
        <v>0511203242</v>
      </c>
      <c r="C472" s="1">
        <v>45188</v>
      </c>
      <c r="D472" s="1">
        <v>45194</v>
      </c>
      <c r="E472">
        <v>6</v>
      </c>
      <c r="F472" t="str">
        <f>"05-K07-01"</f>
        <v>05-K07-01</v>
      </c>
      <c r="G472">
        <v>3.5926</v>
      </c>
      <c r="H472" t="s">
        <v>11</v>
      </c>
      <c r="I472" t="s">
        <v>10</v>
      </c>
    </row>
    <row r="473" spans="1:9" x14ac:dyDescent="0.25">
      <c r="A473" t="str">
        <f t="shared" si="7"/>
        <v>89301000</v>
      </c>
      <c r="B473" t="str">
        <f>"0511203242"</f>
        <v>0511203242</v>
      </c>
      <c r="C473" s="1">
        <v>45168</v>
      </c>
      <c r="D473" s="1">
        <v>45173</v>
      </c>
      <c r="E473">
        <v>6</v>
      </c>
      <c r="F473" t="str">
        <f>"05-K11-02"</f>
        <v>05-K11-02</v>
      </c>
      <c r="G473">
        <v>0.70030000000000003</v>
      </c>
      <c r="H473" t="s">
        <v>11</v>
      </c>
      <c r="I473" t="s">
        <v>10</v>
      </c>
    </row>
    <row r="474" spans="1:9" x14ac:dyDescent="0.25">
      <c r="A474" t="str">
        <f t="shared" si="7"/>
        <v>89301000</v>
      </c>
      <c r="B474" t="str">
        <f>"0511203242"</f>
        <v>0511203242</v>
      </c>
      <c r="C474" s="1">
        <v>45156</v>
      </c>
      <c r="D474" s="1">
        <v>45157</v>
      </c>
      <c r="E474">
        <v>6</v>
      </c>
      <c r="F474" t="str">
        <f>"06-K02-04"</f>
        <v>06-K02-04</v>
      </c>
      <c r="G474">
        <v>0.37809999999999999</v>
      </c>
      <c r="H474" t="s">
        <v>11</v>
      </c>
      <c r="I474" t="s">
        <v>10</v>
      </c>
    </row>
    <row r="475" spans="1:9" x14ac:dyDescent="0.25">
      <c r="A475" t="str">
        <f t="shared" si="7"/>
        <v>89301000</v>
      </c>
      <c r="B475" t="str">
        <f>"0511203242"</f>
        <v>0511203242</v>
      </c>
      <c r="C475" s="1">
        <v>45238</v>
      </c>
      <c r="D475" s="1">
        <v>45244</v>
      </c>
      <c r="E475">
        <v>1</v>
      </c>
      <c r="F475" t="str">
        <f>"05-K11-02"</f>
        <v>05-K11-02</v>
      </c>
      <c r="G475">
        <v>0.82950000000000002</v>
      </c>
      <c r="H475" t="s">
        <v>11</v>
      </c>
      <c r="I475" t="s">
        <v>10</v>
      </c>
    </row>
    <row r="476" spans="1:9" x14ac:dyDescent="0.25">
      <c r="A476" t="str">
        <f t="shared" si="7"/>
        <v>89301000</v>
      </c>
      <c r="B476" t="str">
        <f>"0511223405"</f>
        <v>0511223405</v>
      </c>
      <c r="C476" s="1">
        <v>45082</v>
      </c>
      <c r="D476" s="1">
        <v>45084</v>
      </c>
      <c r="E476">
        <v>1</v>
      </c>
      <c r="F476" t="str">
        <f>"12-I14-00"</f>
        <v>12-I14-00</v>
      </c>
      <c r="G476">
        <v>0.42920000000000003</v>
      </c>
      <c r="H476" t="s">
        <v>11</v>
      </c>
      <c r="I476" t="s">
        <v>10</v>
      </c>
    </row>
    <row r="477" spans="1:9" x14ac:dyDescent="0.25">
      <c r="A477" t="str">
        <f t="shared" si="7"/>
        <v>89301000</v>
      </c>
      <c r="B477" t="str">
        <f>"0512206079"</f>
        <v>0512206079</v>
      </c>
      <c r="C477" s="1">
        <v>45040</v>
      </c>
      <c r="D477" s="1">
        <v>45043</v>
      </c>
      <c r="E477">
        <v>1</v>
      </c>
      <c r="F477" t="str">
        <f>"12-I14-00"</f>
        <v>12-I14-00</v>
      </c>
      <c r="G477">
        <v>0.42920000000000003</v>
      </c>
      <c r="H477" t="s">
        <v>11</v>
      </c>
      <c r="I477" t="s">
        <v>10</v>
      </c>
    </row>
    <row r="478" spans="1:9" x14ac:dyDescent="0.25">
      <c r="A478" t="str">
        <f t="shared" si="7"/>
        <v>89301000</v>
      </c>
      <c r="B478" t="str">
        <f>"0512221886"</f>
        <v>0512221886</v>
      </c>
      <c r="C478" s="1">
        <v>45139</v>
      </c>
      <c r="D478" s="1">
        <v>45142</v>
      </c>
      <c r="E478">
        <v>1</v>
      </c>
      <c r="F478" t="str">
        <f>"08-I03-07"</f>
        <v>08-I03-07</v>
      </c>
      <c r="G478">
        <v>3.3094999999999999</v>
      </c>
      <c r="H478" t="s">
        <v>9</v>
      </c>
      <c r="I478" t="s">
        <v>10</v>
      </c>
    </row>
    <row r="479" spans="1:9" x14ac:dyDescent="0.25">
      <c r="A479" t="str">
        <f t="shared" si="7"/>
        <v>89301000</v>
      </c>
      <c r="B479" t="str">
        <f>"0551031382"</f>
        <v>0551031382</v>
      </c>
      <c r="C479" s="1">
        <v>45251</v>
      </c>
      <c r="D479" s="1">
        <v>45253</v>
      </c>
      <c r="E479">
        <v>1</v>
      </c>
      <c r="F479" t="str">
        <f>"14-I08-03"</f>
        <v>14-I08-03</v>
      </c>
      <c r="G479">
        <v>0.2414</v>
      </c>
      <c r="H479" t="s">
        <v>11</v>
      </c>
      <c r="I479" t="s">
        <v>10</v>
      </c>
    </row>
    <row r="480" spans="1:9" x14ac:dyDescent="0.25">
      <c r="A480" t="str">
        <f t="shared" si="7"/>
        <v>89301000</v>
      </c>
      <c r="B480" t="str">
        <f>"0551031382"</f>
        <v>0551031382</v>
      </c>
      <c r="C480" s="1">
        <v>45196</v>
      </c>
      <c r="D480" s="1">
        <v>45198</v>
      </c>
      <c r="E480">
        <v>1</v>
      </c>
      <c r="F480" t="str">
        <f>"10-K05-02"</f>
        <v>10-K05-02</v>
      </c>
      <c r="G480">
        <v>0.4597</v>
      </c>
      <c r="H480" t="s">
        <v>11</v>
      </c>
      <c r="I480" t="s">
        <v>10</v>
      </c>
    </row>
    <row r="481" spans="1:9" x14ac:dyDescent="0.25">
      <c r="A481" t="str">
        <f t="shared" si="7"/>
        <v>89301000</v>
      </c>
      <c r="B481" t="str">
        <f>"0551031382"</f>
        <v>0551031382</v>
      </c>
      <c r="C481" s="1">
        <v>45003</v>
      </c>
      <c r="D481" s="1">
        <v>45004</v>
      </c>
      <c r="E481">
        <v>1</v>
      </c>
      <c r="F481" t="str">
        <f>"06-K22-02"</f>
        <v>06-K22-02</v>
      </c>
      <c r="G481">
        <v>0.50229999999999997</v>
      </c>
      <c r="H481" t="s">
        <v>11</v>
      </c>
      <c r="I481" t="s">
        <v>10</v>
      </c>
    </row>
    <row r="482" spans="1:9" x14ac:dyDescent="0.25">
      <c r="A482" t="str">
        <f t="shared" si="7"/>
        <v>89301000</v>
      </c>
      <c r="B482" t="str">
        <f>"0551031382"</f>
        <v>0551031382</v>
      </c>
      <c r="C482" s="1">
        <v>44937</v>
      </c>
      <c r="D482" s="1">
        <v>44944</v>
      </c>
      <c r="E482">
        <v>1</v>
      </c>
      <c r="F482" t="str">
        <f>"19-K03-02"</f>
        <v>19-K03-02</v>
      </c>
      <c r="G482">
        <v>1.2786</v>
      </c>
      <c r="H482" t="s">
        <v>15</v>
      </c>
      <c r="I482" t="s">
        <v>10</v>
      </c>
    </row>
    <row r="483" spans="1:9" x14ac:dyDescent="0.25">
      <c r="A483" t="str">
        <f t="shared" si="7"/>
        <v>89301000</v>
      </c>
      <c r="B483" t="str">
        <f>"0551065262"</f>
        <v>0551065262</v>
      </c>
      <c r="C483" s="1">
        <v>44958</v>
      </c>
      <c r="D483" s="1">
        <v>44961</v>
      </c>
      <c r="E483">
        <v>1</v>
      </c>
      <c r="F483" t="str">
        <f>"14-M01-01"</f>
        <v>14-M01-01</v>
      </c>
      <c r="G483">
        <v>0.79259999999999997</v>
      </c>
      <c r="H483" t="s">
        <v>13</v>
      </c>
      <c r="I483" t="s">
        <v>10</v>
      </c>
    </row>
    <row r="484" spans="1:9" x14ac:dyDescent="0.25">
      <c r="A484" t="str">
        <f t="shared" si="7"/>
        <v>89301000</v>
      </c>
      <c r="B484" t="str">
        <f>"0551076064"</f>
        <v>0551076064</v>
      </c>
      <c r="C484" s="1">
        <v>45221</v>
      </c>
      <c r="D484" s="1">
        <v>45223</v>
      </c>
      <c r="E484">
        <v>1</v>
      </c>
      <c r="F484" t="str">
        <f>"20-K01-05"</f>
        <v>20-K01-05</v>
      </c>
      <c r="G484">
        <v>0.3952</v>
      </c>
      <c r="H484" t="s">
        <v>11</v>
      </c>
      <c r="I484" t="s">
        <v>10</v>
      </c>
    </row>
    <row r="485" spans="1:9" x14ac:dyDescent="0.25">
      <c r="A485" t="str">
        <f t="shared" si="7"/>
        <v>89301000</v>
      </c>
      <c r="B485" t="str">
        <f>"0551126070"</f>
        <v>0551126070</v>
      </c>
      <c r="C485" s="1">
        <v>44972</v>
      </c>
      <c r="D485" s="1">
        <v>44977</v>
      </c>
      <c r="E485">
        <v>1</v>
      </c>
      <c r="F485" t="str">
        <f>"11-I17-03"</f>
        <v>11-I17-03</v>
      </c>
      <c r="G485">
        <v>0.50139999999999996</v>
      </c>
      <c r="H485" t="s">
        <v>11</v>
      </c>
      <c r="I485" t="s">
        <v>10</v>
      </c>
    </row>
    <row r="486" spans="1:9" x14ac:dyDescent="0.25">
      <c r="A486" t="str">
        <f t="shared" si="7"/>
        <v>89301000</v>
      </c>
      <c r="B486" t="str">
        <f>"0552095269"</f>
        <v>0552095269</v>
      </c>
      <c r="C486" s="1">
        <v>45182</v>
      </c>
      <c r="D486" s="1">
        <v>45183</v>
      </c>
      <c r="E486">
        <v>1</v>
      </c>
      <c r="F486" t="str">
        <f>"03-I24-00"</f>
        <v>03-I24-00</v>
      </c>
      <c r="G486">
        <v>0.40670000000000001</v>
      </c>
      <c r="H486" t="s">
        <v>11</v>
      </c>
      <c r="I486" t="s">
        <v>10</v>
      </c>
    </row>
    <row r="487" spans="1:9" x14ac:dyDescent="0.25">
      <c r="A487" t="str">
        <f t="shared" si="7"/>
        <v>89301000</v>
      </c>
      <c r="B487" t="str">
        <f>"0552122219"</f>
        <v>0552122219</v>
      </c>
      <c r="C487" s="1">
        <v>44969</v>
      </c>
      <c r="D487" s="1">
        <v>44973</v>
      </c>
      <c r="E487">
        <v>1</v>
      </c>
      <c r="F487" t="str">
        <f>"10-I13-02"</f>
        <v>10-I13-02</v>
      </c>
      <c r="G487">
        <v>1.1124000000000001</v>
      </c>
      <c r="H487" t="s">
        <v>9</v>
      </c>
      <c r="I487" t="s">
        <v>10</v>
      </c>
    </row>
    <row r="488" spans="1:9" x14ac:dyDescent="0.25">
      <c r="A488" t="str">
        <f t="shared" si="7"/>
        <v>89301000</v>
      </c>
      <c r="B488" t="str">
        <f>"0552122219"</f>
        <v>0552122219</v>
      </c>
      <c r="C488" s="1">
        <v>45068</v>
      </c>
      <c r="D488" s="1">
        <v>45076</v>
      </c>
      <c r="E488">
        <v>1</v>
      </c>
      <c r="F488" t="str">
        <f>"10-R02-01"</f>
        <v>10-R02-01</v>
      </c>
      <c r="G488">
        <v>0.92279999999999995</v>
      </c>
      <c r="H488" t="s">
        <v>9</v>
      </c>
      <c r="I488" t="s">
        <v>10</v>
      </c>
    </row>
    <row r="489" spans="1:9" x14ac:dyDescent="0.25">
      <c r="A489" t="str">
        <f t="shared" si="7"/>
        <v>89301000</v>
      </c>
      <c r="B489" t="str">
        <f>"0552145341"</f>
        <v>0552145341</v>
      </c>
      <c r="C489" s="1">
        <v>45144</v>
      </c>
      <c r="D489" s="1">
        <v>45147</v>
      </c>
      <c r="E489">
        <v>1</v>
      </c>
      <c r="F489" t="str">
        <f>"08-I26-02"</f>
        <v>08-I26-02</v>
      </c>
      <c r="G489">
        <v>0.83779999999999999</v>
      </c>
      <c r="H489" t="s">
        <v>11</v>
      </c>
      <c r="I489" t="s">
        <v>10</v>
      </c>
    </row>
    <row r="490" spans="1:9" x14ac:dyDescent="0.25">
      <c r="A490" t="str">
        <f t="shared" si="7"/>
        <v>89301000</v>
      </c>
      <c r="B490" t="str">
        <f>"0552176207"</f>
        <v>0552176207</v>
      </c>
      <c r="C490" s="1">
        <v>45052</v>
      </c>
      <c r="D490" s="1">
        <v>45058</v>
      </c>
      <c r="E490">
        <v>1</v>
      </c>
      <c r="F490" t="str">
        <f>"02-K09-00"</f>
        <v>02-K09-00</v>
      </c>
      <c r="G490">
        <v>0.49120000000000003</v>
      </c>
      <c r="H490" t="s">
        <v>11</v>
      </c>
      <c r="I490" t="s">
        <v>10</v>
      </c>
    </row>
    <row r="491" spans="1:9" x14ac:dyDescent="0.25">
      <c r="A491" t="str">
        <f t="shared" si="7"/>
        <v>89301000</v>
      </c>
      <c r="B491" t="str">
        <f>"0553026144"</f>
        <v>0553026144</v>
      </c>
      <c r="C491" s="1">
        <v>45253</v>
      </c>
      <c r="D491" s="1">
        <v>45254</v>
      </c>
      <c r="E491">
        <v>1</v>
      </c>
      <c r="F491" t="str">
        <f>"13-K04-00"</f>
        <v>13-K04-00</v>
      </c>
      <c r="G491">
        <v>0.46870000000000001</v>
      </c>
      <c r="H491" t="s">
        <v>11</v>
      </c>
      <c r="I491" t="s">
        <v>10</v>
      </c>
    </row>
    <row r="492" spans="1:9" x14ac:dyDescent="0.25">
      <c r="A492" t="str">
        <f t="shared" si="7"/>
        <v>89301000</v>
      </c>
      <c r="B492" t="str">
        <f>"0553026144"</f>
        <v>0553026144</v>
      </c>
      <c r="C492" s="1">
        <v>45096</v>
      </c>
      <c r="D492" s="1">
        <v>45134</v>
      </c>
      <c r="E492">
        <v>1</v>
      </c>
      <c r="F492" t="str">
        <f>"19-K08-02"</f>
        <v>19-K08-02</v>
      </c>
      <c r="G492">
        <v>4.4416000000000002</v>
      </c>
      <c r="H492" t="s">
        <v>15</v>
      </c>
      <c r="I492" t="s">
        <v>10</v>
      </c>
    </row>
    <row r="493" spans="1:9" x14ac:dyDescent="0.25">
      <c r="A493" t="str">
        <f t="shared" si="7"/>
        <v>89301000</v>
      </c>
      <c r="B493" t="str">
        <f>"0553093255"</f>
        <v>0553093255</v>
      </c>
      <c r="C493" s="1">
        <v>44943</v>
      </c>
      <c r="D493" s="1">
        <v>44949</v>
      </c>
      <c r="E493">
        <v>1</v>
      </c>
      <c r="F493" t="str">
        <f>"06-I18-04"</f>
        <v>06-I18-04</v>
      </c>
      <c r="G493">
        <v>1.1088</v>
      </c>
      <c r="H493" t="s">
        <v>9</v>
      </c>
      <c r="I493" t="s">
        <v>10</v>
      </c>
    </row>
    <row r="494" spans="1:9" x14ac:dyDescent="0.25">
      <c r="A494" t="str">
        <f t="shared" si="7"/>
        <v>89301000</v>
      </c>
      <c r="B494" t="str">
        <f>"0553102165"</f>
        <v>0553102165</v>
      </c>
      <c r="C494" s="1">
        <v>45012</v>
      </c>
      <c r="D494" s="1">
        <v>45014</v>
      </c>
      <c r="E494">
        <v>1</v>
      </c>
      <c r="F494" t="str">
        <f>"08-K08-00"</f>
        <v>08-K08-00</v>
      </c>
      <c r="G494">
        <v>0.5272</v>
      </c>
      <c r="H494" t="s">
        <v>11</v>
      </c>
      <c r="I494" t="s">
        <v>10</v>
      </c>
    </row>
    <row r="495" spans="1:9" x14ac:dyDescent="0.25">
      <c r="A495" t="str">
        <f t="shared" si="7"/>
        <v>89301000</v>
      </c>
      <c r="B495" t="str">
        <f>"0553133240"</f>
        <v>0553133240</v>
      </c>
      <c r="C495" s="1">
        <v>45241</v>
      </c>
      <c r="D495" s="1">
        <v>45246</v>
      </c>
      <c r="E495">
        <v>1</v>
      </c>
      <c r="F495" t="str">
        <f>"14-M01-05"</f>
        <v>14-M01-05</v>
      </c>
      <c r="G495">
        <v>0.56589999999999996</v>
      </c>
      <c r="H495" t="s">
        <v>13</v>
      </c>
      <c r="I495" t="s">
        <v>10</v>
      </c>
    </row>
    <row r="496" spans="1:9" x14ac:dyDescent="0.25">
      <c r="A496" t="str">
        <f t="shared" si="7"/>
        <v>89301000</v>
      </c>
      <c r="B496" t="str">
        <f>"0553135308"</f>
        <v>0553135308</v>
      </c>
      <c r="C496" s="1">
        <v>45033</v>
      </c>
      <c r="D496" s="1">
        <v>45034</v>
      </c>
      <c r="E496">
        <v>1</v>
      </c>
      <c r="F496" t="str">
        <f>"19-K02-03"</f>
        <v>19-K02-03</v>
      </c>
      <c r="G496">
        <v>0.47970000000000002</v>
      </c>
      <c r="H496" t="s">
        <v>15</v>
      </c>
      <c r="I496" t="s">
        <v>10</v>
      </c>
    </row>
    <row r="497" spans="1:9" x14ac:dyDescent="0.25">
      <c r="A497" t="str">
        <f t="shared" si="7"/>
        <v>89301000</v>
      </c>
      <c r="B497" t="str">
        <f>"0553283236"</f>
        <v>0553283236</v>
      </c>
      <c r="C497" s="1">
        <v>45055</v>
      </c>
      <c r="D497" s="1">
        <v>45092</v>
      </c>
      <c r="E497">
        <v>1</v>
      </c>
      <c r="F497" t="str">
        <f>"19-K08-02"</f>
        <v>19-K08-02</v>
      </c>
      <c r="G497">
        <v>4.4416000000000002</v>
      </c>
      <c r="H497" t="s">
        <v>15</v>
      </c>
      <c r="I497" t="s">
        <v>10</v>
      </c>
    </row>
    <row r="498" spans="1:9" x14ac:dyDescent="0.25">
      <c r="A498" t="str">
        <f t="shared" si="7"/>
        <v>89301000</v>
      </c>
      <c r="B498" t="str">
        <f>"0553303256"</f>
        <v>0553303256</v>
      </c>
      <c r="C498" s="1">
        <v>45147</v>
      </c>
      <c r="D498" s="1">
        <v>45149</v>
      </c>
      <c r="E498">
        <v>1</v>
      </c>
      <c r="F498" t="str">
        <f>"05-K13-02"</f>
        <v>05-K13-02</v>
      </c>
      <c r="G498">
        <v>0.57220000000000004</v>
      </c>
      <c r="H498" t="s">
        <v>11</v>
      </c>
      <c r="I498" t="s">
        <v>10</v>
      </c>
    </row>
    <row r="499" spans="1:9" x14ac:dyDescent="0.25">
      <c r="A499" t="str">
        <f t="shared" si="7"/>
        <v>89301000</v>
      </c>
      <c r="B499" t="str">
        <f>"0554023250"</f>
        <v>0554023250</v>
      </c>
      <c r="C499" s="1">
        <v>44967</v>
      </c>
      <c r="D499" s="1">
        <v>44979</v>
      </c>
      <c r="E499">
        <v>1</v>
      </c>
      <c r="F499" t="str">
        <f>"02-K01-02"</f>
        <v>02-K01-02</v>
      </c>
      <c r="G499">
        <v>0.91149999999999998</v>
      </c>
      <c r="H499" t="s">
        <v>11</v>
      </c>
      <c r="I499" t="s">
        <v>10</v>
      </c>
    </row>
    <row r="500" spans="1:9" x14ac:dyDescent="0.25">
      <c r="A500" t="str">
        <f t="shared" si="7"/>
        <v>89301000</v>
      </c>
      <c r="B500" t="str">
        <f>"0554193233"</f>
        <v>0554193233</v>
      </c>
      <c r="C500" s="1">
        <v>45099</v>
      </c>
      <c r="D500" s="1">
        <v>45110</v>
      </c>
      <c r="E500">
        <v>1</v>
      </c>
      <c r="F500" t="str">
        <f>"06-K03-01"</f>
        <v>06-K03-01</v>
      </c>
      <c r="G500">
        <v>2.6850000000000001</v>
      </c>
      <c r="H500" t="s">
        <v>11</v>
      </c>
      <c r="I500" t="s">
        <v>10</v>
      </c>
    </row>
    <row r="501" spans="1:9" x14ac:dyDescent="0.25">
      <c r="A501" t="str">
        <f t="shared" si="7"/>
        <v>89301000</v>
      </c>
      <c r="B501" t="str">
        <f>"0554211229"</f>
        <v>0554211229</v>
      </c>
      <c r="C501" s="1">
        <v>45055</v>
      </c>
      <c r="D501" s="1">
        <v>45092</v>
      </c>
      <c r="E501">
        <v>1</v>
      </c>
      <c r="F501" t="str">
        <f>"19-K08-02"</f>
        <v>19-K08-02</v>
      </c>
      <c r="G501">
        <v>4.4416000000000002</v>
      </c>
      <c r="H501" t="s">
        <v>15</v>
      </c>
      <c r="I501" t="s">
        <v>10</v>
      </c>
    </row>
    <row r="502" spans="1:9" x14ac:dyDescent="0.25">
      <c r="A502" t="str">
        <f t="shared" si="7"/>
        <v>89301000</v>
      </c>
      <c r="B502" t="str">
        <f>"0554216080"</f>
        <v>0554216080</v>
      </c>
      <c r="C502" s="1">
        <v>45273</v>
      </c>
      <c r="D502" s="1">
        <v>45276</v>
      </c>
      <c r="E502">
        <v>1</v>
      </c>
      <c r="F502" t="str">
        <f>"03-I11-03"</f>
        <v>03-I11-03</v>
      </c>
      <c r="G502">
        <v>1.1267</v>
      </c>
      <c r="H502" t="s">
        <v>12</v>
      </c>
      <c r="I502" t="s">
        <v>10</v>
      </c>
    </row>
    <row r="503" spans="1:9" x14ac:dyDescent="0.25">
      <c r="A503" t="str">
        <f t="shared" si="7"/>
        <v>89301000</v>
      </c>
      <c r="B503" t="str">
        <f>"0554283235"</f>
        <v>0554283235</v>
      </c>
      <c r="C503" s="1">
        <v>45260</v>
      </c>
      <c r="D503" s="1">
        <v>45268</v>
      </c>
      <c r="E503">
        <v>1</v>
      </c>
      <c r="F503" t="str">
        <f>"19-K03-03"</f>
        <v>19-K03-03</v>
      </c>
      <c r="G503">
        <v>0.90410000000000001</v>
      </c>
      <c r="H503" t="s">
        <v>15</v>
      </c>
      <c r="I503" t="s">
        <v>10</v>
      </c>
    </row>
    <row r="504" spans="1:9" x14ac:dyDescent="0.25">
      <c r="A504" t="str">
        <f t="shared" si="7"/>
        <v>89301000</v>
      </c>
      <c r="B504" t="str">
        <f>"0554283235"</f>
        <v>0554283235</v>
      </c>
      <c r="C504" s="1">
        <v>44994</v>
      </c>
      <c r="D504" s="1">
        <v>44998</v>
      </c>
      <c r="E504">
        <v>1</v>
      </c>
      <c r="F504" t="str">
        <f>"13-I14-03"</f>
        <v>13-I14-03</v>
      </c>
      <c r="G504">
        <v>0.87760000000000005</v>
      </c>
      <c r="H504" t="s">
        <v>9</v>
      </c>
      <c r="I504" t="s">
        <v>10</v>
      </c>
    </row>
    <row r="505" spans="1:9" x14ac:dyDescent="0.25">
      <c r="A505" t="str">
        <f t="shared" si="7"/>
        <v>89301000</v>
      </c>
      <c r="B505" t="str">
        <f>"0554760525"</f>
        <v>0554760525</v>
      </c>
      <c r="C505" s="1">
        <v>45132</v>
      </c>
      <c r="D505" s="1">
        <v>45134</v>
      </c>
      <c r="E505">
        <v>1</v>
      </c>
      <c r="F505" t="str">
        <f>"13-I14-03"</f>
        <v>13-I14-03</v>
      </c>
      <c r="G505">
        <v>0.87760000000000005</v>
      </c>
      <c r="H505" t="s">
        <v>9</v>
      </c>
      <c r="I505" t="s">
        <v>10</v>
      </c>
    </row>
    <row r="506" spans="1:9" x14ac:dyDescent="0.25">
      <c r="A506" t="str">
        <f t="shared" si="7"/>
        <v>89301000</v>
      </c>
      <c r="B506" t="str">
        <f>"0555123239"</f>
        <v>0555123239</v>
      </c>
      <c r="C506" s="1">
        <v>45020</v>
      </c>
      <c r="D506" s="1">
        <v>45022</v>
      </c>
      <c r="E506">
        <v>1</v>
      </c>
      <c r="F506" t="str">
        <f>"03-K08-00"</f>
        <v>03-K08-00</v>
      </c>
      <c r="G506">
        <v>0.45639999999999997</v>
      </c>
      <c r="H506" t="s">
        <v>11</v>
      </c>
      <c r="I506" t="s">
        <v>10</v>
      </c>
    </row>
    <row r="507" spans="1:9" x14ac:dyDescent="0.25">
      <c r="A507" t="str">
        <f t="shared" si="7"/>
        <v>89301000</v>
      </c>
      <c r="B507" t="str">
        <f>"0555135284"</f>
        <v>0555135284</v>
      </c>
      <c r="C507" s="1">
        <v>45081</v>
      </c>
      <c r="D507" s="1">
        <v>45084</v>
      </c>
      <c r="E507">
        <v>1</v>
      </c>
      <c r="F507" t="str">
        <f>"14-M01-05"</f>
        <v>14-M01-05</v>
      </c>
      <c r="G507">
        <v>0.56589999999999996</v>
      </c>
      <c r="H507" t="s">
        <v>13</v>
      </c>
      <c r="I507" t="s">
        <v>10</v>
      </c>
    </row>
    <row r="508" spans="1:9" x14ac:dyDescent="0.25">
      <c r="A508" t="str">
        <f t="shared" si="7"/>
        <v>89301000</v>
      </c>
      <c r="B508" t="str">
        <f>"0555206069"</f>
        <v>0555206069</v>
      </c>
      <c r="C508" s="1">
        <v>45278</v>
      </c>
      <c r="D508" s="1">
        <v>45281</v>
      </c>
      <c r="E508">
        <v>1</v>
      </c>
      <c r="F508" t="str">
        <f>"03-I19-03"</f>
        <v>03-I19-03</v>
      </c>
      <c r="G508">
        <v>0.53420000000000001</v>
      </c>
      <c r="H508" t="s">
        <v>11</v>
      </c>
      <c r="I508" t="s">
        <v>10</v>
      </c>
    </row>
    <row r="509" spans="1:9" x14ac:dyDescent="0.25">
      <c r="A509" t="str">
        <f t="shared" si="7"/>
        <v>89301000</v>
      </c>
      <c r="B509" t="str">
        <f>"0555263225"</f>
        <v>0555263225</v>
      </c>
      <c r="C509" s="1">
        <v>45106</v>
      </c>
      <c r="D509" s="1">
        <v>45107</v>
      </c>
      <c r="E509">
        <v>1</v>
      </c>
      <c r="F509" t="str">
        <f>"21-K04-00"</f>
        <v>21-K04-00</v>
      </c>
      <c r="G509">
        <v>0.2397</v>
      </c>
      <c r="H509" t="s">
        <v>11</v>
      </c>
      <c r="I509" t="s">
        <v>10</v>
      </c>
    </row>
    <row r="510" spans="1:9" x14ac:dyDescent="0.25">
      <c r="A510" t="str">
        <f t="shared" si="7"/>
        <v>89301000</v>
      </c>
      <c r="B510" t="str">
        <f>"0556193253"</f>
        <v>0556193253</v>
      </c>
      <c r="C510" s="1">
        <v>45067</v>
      </c>
      <c r="D510" s="1">
        <v>45069</v>
      </c>
      <c r="E510">
        <v>1</v>
      </c>
      <c r="F510" t="str">
        <f>"21-K05-03"</f>
        <v>21-K05-03</v>
      </c>
      <c r="G510">
        <v>0.45729999999999998</v>
      </c>
      <c r="H510" t="s">
        <v>11</v>
      </c>
      <c r="I510" t="s">
        <v>10</v>
      </c>
    </row>
    <row r="511" spans="1:9" x14ac:dyDescent="0.25">
      <c r="A511" t="str">
        <f t="shared" si="7"/>
        <v>89301000</v>
      </c>
      <c r="B511" t="str">
        <f>"0556265336"</f>
        <v>0556265336</v>
      </c>
      <c r="C511" s="1">
        <v>44990</v>
      </c>
      <c r="D511" s="1">
        <v>44992</v>
      </c>
      <c r="E511">
        <v>1</v>
      </c>
      <c r="F511" t="str">
        <f>"08-I17-02"</f>
        <v>08-I17-02</v>
      </c>
      <c r="G511">
        <v>0.89680000000000004</v>
      </c>
      <c r="H511" t="s">
        <v>11</v>
      </c>
      <c r="I511" t="s">
        <v>10</v>
      </c>
    </row>
    <row r="512" spans="1:9" x14ac:dyDescent="0.25">
      <c r="A512" t="str">
        <f t="shared" ref="A512:A575" si="8">"89301000"</f>
        <v>89301000</v>
      </c>
      <c r="B512" t="str">
        <f>"0556286071"</f>
        <v>0556286071</v>
      </c>
      <c r="C512" s="1">
        <v>44943</v>
      </c>
      <c r="D512" s="1">
        <v>44946</v>
      </c>
      <c r="E512">
        <v>1</v>
      </c>
      <c r="F512" t="str">
        <f>"14-M01-05"</f>
        <v>14-M01-05</v>
      </c>
      <c r="G512">
        <v>0.56289999999999996</v>
      </c>
      <c r="H512" t="s">
        <v>13</v>
      </c>
      <c r="I512" t="s">
        <v>10</v>
      </c>
    </row>
    <row r="513" spans="1:9" x14ac:dyDescent="0.25">
      <c r="A513" t="str">
        <f t="shared" si="8"/>
        <v>89301000</v>
      </c>
      <c r="B513" t="str">
        <f>"0557283232"</f>
        <v>0557283232</v>
      </c>
      <c r="C513" s="1">
        <v>45134</v>
      </c>
      <c r="D513" s="1">
        <v>45136</v>
      </c>
      <c r="E513">
        <v>1</v>
      </c>
      <c r="F513" t="str">
        <f>"06-K02-04"</f>
        <v>06-K02-04</v>
      </c>
      <c r="G513">
        <v>0.37659999999999999</v>
      </c>
      <c r="H513" t="s">
        <v>11</v>
      </c>
      <c r="I513" t="s">
        <v>10</v>
      </c>
    </row>
    <row r="514" spans="1:9" x14ac:dyDescent="0.25">
      <c r="A514" t="str">
        <f t="shared" si="8"/>
        <v>89301000</v>
      </c>
      <c r="B514" t="str">
        <f>"0557303252"</f>
        <v>0557303252</v>
      </c>
      <c r="C514" s="1">
        <v>45042</v>
      </c>
      <c r="D514" s="1">
        <v>45044</v>
      </c>
      <c r="E514">
        <v>1</v>
      </c>
      <c r="F514" t="str">
        <f>"01-K07-03"</f>
        <v>01-K07-03</v>
      </c>
      <c r="G514">
        <v>0.48680000000000001</v>
      </c>
      <c r="H514" t="s">
        <v>11</v>
      </c>
      <c r="I514" t="s">
        <v>10</v>
      </c>
    </row>
    <row r="515" spans="1:9" x14ac:dyDescent="0.25">
      <c r="A515" t="str">
        <f t="shared" si="8"/>
        <v>89301000</v>
      </c>
      <c r="B515" t="str">
        <f>"0558013225"</f>
        <v>0558013225</v>
      </c>
      <c r="C515" s="1">
        <v>44922</v>
      </c>
      <c r="D515" s="1">
        <v>44930</v>
      </c>
      <c r="E515">
        <v>4</v>
      </c>
      <c r="F515" t="str">
        <f>"20-K03-03"</f>
        <v>20-K03-03</v>
      </c>
      <c r="G515">
        <v>0.94020000000000004</v>
      </c>
      <c r="H515" t="s">
        <v>11</v>
      </c>
      <c r="I515" t="s">
        <v>10</v>
      </c>
    </row>
    <row r="516" spans="1:9" x14ac:dyDescent="0.25">
      <c r="A516" t="str">
        <f t="shared" si="8"/>
        <v>89301000</v>
      </c>
      <c r="B516" t="str">
        <f>"0558086067"</f>
        <v>0558086067</v>
      </c>
      <c r="C516" s="1">
        <v>45062</v>
      </c>
      <c r="D516" s="1">
        <v>45079</v>
      </c>
      <c r="E516">
        <v>1</v>
      </c>
      <c r="F516" t="str">
        <f>"19-K05-02"</f>
        <v>19-K05-02</v>
      </c>
      <c r="G516">
        <v>1.7688999999999999</v>
      </c>
      <c r="H516" t="s">
        <v>15</v>
      </c>
      <c r="I516" t="s">
        <v>10</v>
      </c>
    </row>
    <row r="517" spans="1:9" x14ac:dyDescent="0.25">
      <c r="A517" t="str">
        <f t="shared" si="8"/>
        <v>89301000</v>
      </c>
      <c r="B517" t="str">
        <f>"0558086067"</f>
        <v>0558086067</v>
      </c>
      <c r="C517" s="1">
        <v>45243</v>
      </c>
      <c r="D517" s="1">
        <v>45281</v>
      </c>
      <c r="E517">
        <v>1</v>
      </c>
      <c r="F517" t="str">
        <f>"19-K08-02"</f>
        <v>19-K08-02</v>
      </c>
      <c r="G517">
        <v>4.4416000000000002</v>
      </c>
      <c r="H517" t="s">
        <v>15</v>
      </c>
      <c r="I517" t="s">
        <v>10</v>
      </c>
    </row>
    <row r="518" spans="1:9" x14ac:dyDescent="0.25">
      <c r="A518" t="str">
        <f t="shared" si="8"/>
        <v>89301000</v>
      </c>
      <c r="B518" t="str">
        <f>"0558175277"</f>
        <v>0558175277</v>
      </c>
      <c r="C518" s="1">
        <v>45145</v>
      </c>
      <c r="D518" s="1">
        <v>45156</v>
      </c>
      <c r="E518">
        <v>1</v>
      </c>
      <c r="F518" t="str">
        <f>"24-M06-02"</f>
        <v>24-M06-02</v>
      </c>
      <c r="G518">
        <v>1.0699000000000001</v>
      </c>
      <c r="H518" t="s">
        <v>11</v>
      </c>
      <c r="I518" t="s">
        <v>10</v>
      </c>
    </row>
    <row r="519" spans="1:9" x14ac:dyDescent="0.25">
      <c r="A519" t="str">
        <f t="shared" si="8"/>
        <v>89301000</v>
      </c>
      <c r="B519" t="str">
        <f>"0558243246"</f>
        <v>0558243246</v>
      </c>
      <c r="C519" s="1">
        <v>44991</v>
      </c>
      <c r="D519" s="1">
        <v>44995</v>
      </c>
      <c r="E519">
        <v>1</v>
      </c>
      <c r="F519" t="str">
        <f>"09-K14-02"</f>
        <v>09-K14-02</v>
      </c>
      <c r="G519">
        <v>0.5</v>
      </c>
      <c r="H519" t="s">
        <v>11</v>
      </c>
      <c r="I519" t="s">
        <v>10</v>
      </c>
    </row>
    <row r="520" spans="1:9" x14ac:dyDescent="0.25">
      <c r="A520" t="str">
        <f t="shared" si="8"/>
        <v>89301000</v>
      </c>
      <c r="B520" t="str">
        <f>"0559213259"</f>
        <v>0559213259</v>
      </c>
      <c r="C520" s="1">
        <v>44981</v>
      </c>
      <c r="D520" s="1">
        <v>44982</v>
      </c>
      <c r="E520">
        <v>1</v>
      </c>
      <c r="F520" t="str">
        <f>"09-I09-05"</f>
        <v>09-I09-05</v>
      </c>
      <c r="G520">
        <v>0.4667</v>
      </c>
      <c r="H520" t="s">
        <v>12</v>
      </c>
      <c r="I520" t="s">
        <v>10</v>
      </c>
    </row>
    <row r="521" spans="1:9" x14ac:dyDescent="0.25">
      <c r="A521" t="str">
        <f t="shared" si="8"/>
        <v>89301000</v>
      </c>
      <c r="B521" t="str">
        <f>"0559236084"</f>
        <v>0559236084</v>
      </c>
      <c r="C521" s="1">
        <v>44982</v>
      </c>
      <c r="D521" s="1">
        <v>44984</v>
      </c>
      <c r="E521">
        <v>6</v>
      </c>
      <c r="F521" t="str">
        <f>"20-K01-05"</f>
        <v>20-K01-05</v>
      </c>
      <c r="G521">
        <v>0.3952</v>
      </c>
      <c r="H521" t="s">
        <v>11</v>
      </c>
      <c r="I521" t="s">
        <v>10</v>
      </c>
    </row>
    <row r="522" spans="1:9" x14ac:dyDescent="0.25">
      <c r="A522" t="str">
        <f t="shared" si="8"/>
        <v>89301000</v>
      </c>
      <c r="B522" t="str">
        <f>"0559276179"</f>
        <v>0559276179</v>
      </c>
      <c r="C522" s="1">
        <v>45006</v>
      </c>
      <c r="D522" s="1">
        <v>45011</v>
      </c>
      <c r="E522">
        <v>1</v>
      </c>
      <c r="F522" t="str">
        <f>"08-K04-02"</f>
        <v>08-K04-02</v>
      </c>
      <c r="G522">
        <v>0.54300000000000004</v>
      </c>
      <c r="H522" t="s">
        <v>11</v>
      </c>
      <c r="I522" t="s">
        <v>10</v>
      </c>
    </row>
    <row r="523" spans="1:9" x14ac:dyDescent="0.25">
      <c r="A523" t="str">
        <f t="shared" si="8"/>
        <v>89301000</v>
      </c>
      <c r="B523" t="str">
        <f>"0560276167"</f>
        <v>0560276167</v>
      </c>
      <c r="C523" s="1">
        <v>44944</v>
      </c>
      <c r="D523" s="1">
        <v>44949</v>
      </c>
      <c r="E523">
        <v>1</v>
      </c>
      <c r="F523" t="str">
        <f>"16-I01-01"</f>
        <v>16-I01-01</v>
      </c>
      <c r="G523">
        <v>3.4620000000000002</v>
      </c>
      <c r="H523" t="s">
        <v>12</v>
      </c>
      <c r="I523" t="s">
        <v>10</v>
      </c>
    </row>
    <row r="524" spans="1:9" x14ac:dyDescent="0.25">
      <c r="A524" t="str">
        <f t="shared" si="8"/>
        <v>89301000</v>
      </c>
      <c r="B524" t="str">
        <f>"0560313237"</f>
        <v>0560313237</v>
      </c>
      <c r="C524" s="1">
        <v>45075</v>
      </c>
      <c r="D524" s="1">
        <v>45078</v>
      </c>
      <c r="E524">
        <v>1</v>
      </c>
      <c r="F524" t="str">
        <f>"08-I23-02"</f>
        <v>08-I23-02</v>
      </c>
      <c r="G524">
        <v>0.91059999999999997</v>
      </c>
      <c r="H524" t="s">
        <v>12</v>
      </c>
      <c r="I524" t="s">
        <v>10</v>
      </c>
    </row>
    <row r="525" spans="1:9" x14ac:dyDescent="0.25">
      <c r="A525" t="str">
        <f t="shared" si="8"/>
        <v>89301000</v>
      </c>
      <c r="B525" t="str">
        <f>"0561035266"</f>
        <v>0561035266</v>
      </c>
      <c r="C525" s="1">
        <v>45025</v>
      </c>
      <c r="D525" s="1">
        <v>45028</v>
      </c>
      <c r="E525">
        <v>1</v>
      </c>
      <c r="F525" t="str">
        <f>"11-K01-03"</f>
        <v>11-K01-03</v>
      </c>
      <c r="G525">
        <v>0.68789999999999996</v>
      </c>
      <c r="H525" t="s">
        <v>11</v>
      </c>
      <c r="I525" t="s">
        <v>10</v>
      </c>
    </row>
    <row r="526" spans="1:9" x14ac:dyDescent="0.25">
      <c r="A526" t="str">
        <f t="shared" si="8"/>
        <v>89301000</v>
      </c>
      <c r="B526" t="str">
        <f>"0561053229"</f>
        <v>0561053229</v>
      </c>
      <c r="C526" s="1">
        <v>44977</v>
      </c>
      <c r="D526" s="1">
        <v>44981</v>
      </c>
      <c r="E526">
        <v>1</v>
      </c>
      <c r="F526" t="str">
        <f>"09-K14-02"</f>
        <v>09-K14-02</v>
      </c>
      <c r="G526">
        <v>0.5</v>
      </c>
      <c r="H526" t="s">
        <v>11</v>
      </c>
      <c r="I526" t="s">
        <v>10</v>
      </c>
    </row>
    <row r="527" spans="1:9" x14ac:dyDescent="0.25">
      <c r="A527" t="str">
        <f t="shared" si="8"/>
        <v>89301000</v>
      </c>
      <c r="B527" t="str">
        <f>"0561213224"</f>
        <v>0561213224</v>
      </c>
      <c r="C527" s="1">
        <v>45040</v>
      </c>
      <c r="D527" s="1">
        <v>45043</v>
      </c>
      <c r="E527">
        <v>1</v>
      </c>
      <c r="F527" t="str">
        <f>"18-K02-05"</f>
        <v>18-K02-05</v>
      </c>
      <c r="G527">
        <v>0.48089999999999999</v>
      </c>
      <c r="H527" t="s">
        <v>11</v>
      </c>
      <c r="I527" t="s">
        <v>10</v>
      </c>
    </row>
    <row r="528" spans="1:9" x14ac:dyDescent="0.25">
      <c r="A528" t="str">
        <f t="shared" si="8"/>
        <v>89301000</v>
      </c>
      <c r="B528" t="str">
        <f>"0562033659"</f>
        <v>0562033659</v>
      </c>
      <c r="C528" s="1">
        <v>45268</v>
      </c>
      <c r="D528" s="1">
        <v>45271</v>
      </c>
      <c r="E528">
        <v>1</v>
      </c>
      <c r="F528" t="str">
        <f>"01-K03-08"</f>
        <v>01-K03-08</v>
      </c>
      <c r="G528">
        <v>0.38290000000000002</v>
      </c>
      <c r="H528" t="s">
        <v>11</v>
      </c>
      <c r="I528" t="s">
        <v>10</v>
      </c>
    </row>
    <row r="529" spans="1:9" x14ac:dyDescent="0.25">
      <c r="A529" t="str">
        <f t="shared" si="8"/>
        <v>89301000</v>
      </c>
      <c r="B529" t="str">
        <f>"0562213234"</f>
        <v>0562213234</v>
      </c>
      <c r="C529" s="1">
        <v>45206</v>
      </c>
      <c r="D529" s="1">
        <v>45208</v>
      </c>
      <c r="E529">
        <v>1</v>
      </c>
      <c r="F529" t="str">
        <f>"09-K13-02"</f>
        <v>09-K13-02</v>
      </c>
      <c r="G529">
        <v>0.31190000000000001</v>
      </c>
      <c r="H529" t="s">
        <v>11</v>
      </c>
      <c r="I529" t="s">
        <v>10</v>
      </c>
    </row>
    <row r="530" spans="1:9" x14ac:dyDescent="0.25">
      <c r="A530" t="str">
        <f t="shared" si="8"/>
        <v>89301000</v>
      </c>
      <c r="B530" t="str">
        <f>"0601043234"</f>
        <v>0601043234</v>
      </c>
      <c r="C530" s="1">
        <v>45014</v>
      </c>
      <c r="D530" s="1">
        <v>45018</v>
      </c>
      <c r="E530">
        <v>1</v>
      </c>
      <c r="F530" t="str">
        <f>"03-I17-00"</f>
        <v>03-I17-00</v>
      </c>
      <c r="G530">
        <v>0.83489999999999998</v>
      </c>
      <c r="H530" t="s">
        <v>9</v>
      </c>
      <c r="I530" t="s">
        <v>10</v>
      </c>
    </row>
    <row r="531" spans="1:9" x14ac:dyDescent="0.25">
      <c r="A531" t="str">
        <f t="shared" si="8"/>
        <v>89301000</v>
      </c>
      <c r="B531" t="str">
        <f>"0601047458"</f>
        <v>0601047458</v>
      </c>
      <c r="C531" s="1">
        <v>45229</v>
      </c>
      <c r="D531" s="1">
        <v>45232</v>
      </c>
      <c r="E531">
        <v>1</v>
      </c>
      <c r="F531" t="str">
        <f>"12-I13-01"</f>
        <v>12-I13-01</v>
      </c>
      <c r="G531">
        <v>0.78059999999999996</v>
      </c>
      <c r="H531" t="s">
        <v>9</v>
      </c>
      <c r="I531" t="s">
        <v>10</v>
      </c>
    </row>
    <row r="532" spans="1:9" x14ac:dyDescent="0.25">
      <c r="A532" t="str">
        <f t="shared" si="8"/>
        <v>89301000</v>
      </c>
      <c r="B532" t="str">
        <f>"0601193241"</f>
        <v>0601193241</v>
      </c>
      <c r="C532" s="1">
        <v>45102</v>
      </c>
      <c r="D532" s="1">
        <v>45104</v>
      </c>
      <c r="E532">
        <v>1</v>
      </c>
      <c r="F532" t="str">
        <f>"08-I17-02"</f>
        <v>08-I17-02</v>
      </c>
      <c r="G532">
        <v>0.89680000000000004</v>
      </c>
      <c r="H532" t="s">
        <v>11</v>
      </c>
      <c r="I532" t="s">
        <v>10</v>
      </c>
    </row>
    <row r="533" spans="1:9" x14ac:dyDescent="0.25">
      <c r="A533" t="str">
        <f t="shared" si="8"/>
        <v>89301000</v>
      </c>
      <c r="B533" t="str">
        <f>"0601216066"</f>
        <v>0601216066</v>
      </c>
      <c r="C533" s="1">
        <v>44999</v>
      </c>
      <c r="D533" s="1">
        <v>45002</v>
      </c>
      <c r="E533">
        <v>1</v>
      </c>
      <c r="F533" t="str">
        <f>"01-K07-01"</f>
        <v>01-K07-01</v>
      </c>
      <c r="G533">
        <v>1.3108</v>
      </c>
      <c r="H533" t="s">
        <v>11</v>
      </c>
      <c r="I533" t="s">
        <v>10</v>
      </c>
    </row>
    <row r="534" spans="1:9" x14ac:dyDescent="0.25">
      <c r="A534" t="str">
        <f t="shared" si="8"/>
        <v>89301000</v>
      </c>
      <c r="B534" t="str">
        <f>"0601253235"</f>
        <v>0601253235</v>
      </c>
      <c r="C534" s="1">
        <v>45217</v>
      </c>
      <c r="D534" s="1">
        <v>45220</v>
      </c>
      <c r="E534">
        <v>1</v>
      </c>
      <c r="F534" t="str">
        <f>"12-I13-01"</f>
        <v>12-I13-01</v>
      </c>
      <c r="G534">
        <v>0.78059999999999996</v>
      </c>
      <c r="H534" t="s">
        <v>9</v>
      </c>
      <c r="I534" t="s">
        <v>10</v>
      </c>
    </row>
    <row r="535" spans="1:9" x14ac:dyDescent="0.25">
      <c r="A535" t="str">
        <f t="shared" si="8"/>
        <v>89301000</v>
      </c>
      <c r="B535" t="str">
        <f>"0601255281"</f>
        <v>0601255281</v>
      </c>
      <c r="C535" s="1">
        <v>45276</v>
      </c>
      <c r="D535" s="1">
        <v>45281</v>
      </c>
      <c r="E535">
        <v>1</v>
      </c>
      <c r="F535" t="str">
        <f>"08-K13-02"</f>
        <v>08-K13-02</v>
      </c>
      <c r="G535">
        <v>0.43440000000000001</v>
      </c>
      <c r="H535" t="s">
        <v>11</v>
      </c>
      <c r="I535" t="s">
        <v>10</v>
      </c>
    </row>
    <row r="536" spans="1:9" x14ac:dyDescent="0.25">
      <c r="A536" t="str">
        <f t="shared" si="8"/>
        <v>89301000</v>
      </c>
      <c r="B536" t="str">
        <f>"0602083581"</f>
        <v>0602083581</v>
      </c>
      <c r="C536" s="1">
        <v>44999</v>
      </c>
      <c r="D536" s="1">
        <v>45000</v>
      </c>
      <c r="E536">
        <v>1</v>
      </c>
      <c r="F536" t="str">
        <f>"06-K06-02"</f>
        <v>06-K06-02</v>
      </c>
      <c r="G536">
        <v>0.64170000000000005</v>
      </c>
      <c r="H536" t="s">
        <v>11</v>
      </c>
      <c r="I536" t="s">
        <v>10</v>
      </c>
    </row>
    <row r="537" spans="1:9" x14ac:dyDescent="0.25">
      <c r="A537" t="str">
        <f t="shared" si="8"/>
        <v>89301000</v>
      </c>
      <c r="B537" t="str">
        <f>"0602113226"</f>
        <v>0602113226</v>
      </c>
      <c r="C537" s="1">
        <v>45272</v>
      </c>
      <c r="D537" s="1">
        <v>45273</v>
      </c>
      <c r="E537">
        <v>1</v>
      </c>
      <c r="F537" t="str">
        <f>"08-K11-03"</f>
        <v>08-K11-03</v>
      </c>
      <c r="G537">
        <v>0.37030000000000002</v>
      </c>
      <c r="H537" t="s">
        <v>11</v>
      </c>
      <c r="I537" t="s">
        <v>10</v>
      </c>
    </row>
    <row r="538" spans="1:9" x14ac:dyDescent="0.25">
      <c r="A538" t="str">
        <f t="shared" si="8"/>
        <v>89301000</v>
      </c>
      <c r="B538" t="str">
        <f>"0602198916"</f>
        <v>0602198916</v>
      </c>
      <c r="C538" s="1">
        <v>44987</v>
      </c>
      <c r="D538" s="1">
        <v>44991</v>
      </c>
      <c r="E538">
        <v>1</v>
      </c>
      <c r="F538" t="str">
        <f>"03-I11-03"</f>
        <v>03-I11-03</v>
      </c>
      <c r="G538">
        <v>1.1267</v>
      </c>
      <c r="H538" t="s">
        <v>12</v>
      </c>
      <c r="I538" t="s">
        <v>10</v>
      </c>
    </row>
    <row r="539" spans="1:9" x14ac:dyDescent="0.25">
      <c r="A539" t="str">
        <f t="shared" si="8"/>
        <v>89301000</v>
      </c>
      <c r="B539" t="str">
        <f>"0602610514"</f>
        <v>0602610514</v>
      </c>
      <c r="C539" s="1">
        <v>45236</v>
      </c>
      <c r="D539" s="1">
        <v>45239</v>
      </c>
      <c r="E539">
        <v>1</v>
      </c>
      <c r="F539" t="str">
        <f>"08-M03-04"</f>
        <v>08-M03-04</v>
      </c>
      <c r="G539">
        <v>0.87760000000000005</v>
      </c>
      <c r="H539" t="s">
        <v>11</v>
      </c>
      <c r="I539" t="s">
        <v>10</v>
      </c>
    </row>
    <row r="540" spans="1:9" x14ac:dyDescent="0.25">
      <c r="A540" t="str">
        <f t="shared" si="8"/>
        <v>89301000</v>
      </c>
      <c r="B540" t="str">
        <f>"0602610514"</f>
        <v>0602610514</v>
      </c>
      <c r="C540" s="1">
        <v>44978</v>
      </c>
      <c r="D540" s="1">
        <v>44982</v>
      </c>
      <c r="E540">
        <v>1</v>
      </c>
      <c r="F540" t="str">
        <f>"08-M03-04"</f>
        <v>08-M03-04</v>
      </c>
      <c r="G540">
        <v>0.87760000000000005</v>
      </c>
      <c r="H540" t="s">
        <v>11</v>
      </c>
      <c r="I540" t="s">
        <v>10</v>
      </c>
    </row>
    <row r="541" spans="1:9" x14ac:dyDescent="0.25">
      <c r="A541" t="str">
        <f t="shared" si="8"/>
        <v>89301000</v>
      </c>
      <c r="B541" t="str">
        <f>"0603016062"</f>
        <v>0603016062</v>
      </c>
      <c r="C541" s="1">
        <v>45183</v>
      </c>
      <c r="D541" s="1">
        <v>45189</v>
      </c>
      <c r="E541">
        <v>1</v>
      </c>
      <c r="F541" t="str">
        <f>"05-K13-02"</f>
        <v>05-K13-02</v>
      </c>
      <c r="G541">
        <v>0.58079999999999998</v>
      </c>
      <c r="H541" t="s">
        <v>11</v>
      </c>
      <c r="I541" t="s">
        <v>10</v>
      </c>
    </row>
    <row r="542" spans="1:9" x14ac:dyDescent="0.25">
      <c r="A542" t="str">
        <f t="shared" si="8"/>
        <v>89301000</v>
      </c>
      <c r="B542" t="str">
        <f>"0603045355"</f>
        <v>0603045355</v>
      </c>
      <c r="C542" s="1">
        <v>44963</v>
      </c>
      <c r="D542" s="1">
        <v>44967</v>
      </c>
      <c r="E542">
        <v>1</v>
      </c>
      <c r="F542" t="str">
        <f>"09-K14-02"</f>
        <v>09-K14-02</v>
      </c>
      <c r="G542">
        <v>0.5</v>
      </c>
      <c r="H542" t="s">
        <v>11</v>
      </c>
      <c r="I542" t="s">
        <v>10</v>
      </c>
    </row>
    <row r="543" spans="1:9" x14ac:dyDescent="0.25">
      <c r="A543" t="str">
        <f t="shared" si="8"/>
        <v>89301000</v>
      </c>
      <c r="B543" t="str">
        <f>"0603066068"</f>
        <v>0603066068</v>
      </c>
      <c r="C543" s="1">
        <v>45088</v>
      </c>
      <c r="D543" s="1">
        <v>45103</v>
      </c>
      <c r="E543">
        <v>1</v>
      </c>
      <c r="F543" t="str">
        <f>"05-K01-01"</f>
        <v>05-K01-01</v>
      </c>
      <c r="G543">
        <v>1.8303</v>
      </c>
      <c r="H543" t="s">
        <v>11</v>
      </c>
      <c r="I543" t="s">
        <v>10</v>
      </c>
    </row>
    <row r="544" spans="1:9" x14ac:dyDescent="0.25">
      <c r="A544" t="str">
        <f t="shared" si="8"/>
        <v>89301000</v>
      </c>
      <c r="B544" t="str">
        <f>"0603067003"</f>
        <v>0603067003</v>
      </c>
      <c r="C544" s="1">
        <v>45207</v>
      </c>
      <c r="D544" s="1">
        <v>45208</v>
      </c>
      <c r="E544">
        <v>1</v>
      </c>
      <c r="F544" t="str">
        <f>"09-I13-04"</f>
        <v>09-I13-04</v>
      </c>
      <c r="G544">
        <v>0.54139999999999999</v>
      </c>
      <c r="H544" t="s">
        <v>11</v>
      </c>
      <c r="I544" t="s">
        <v>10</v>
      </c>
    </row>
    <row r="545" spans="1:9" x14ac:dyDescent="0.25">
      <c r="A545" t="str">
        <f t="shared" si="8"/>
        <v>89301000</v>
      </c>
      <c r="B545" t="str">
        <f>"0603145279"</f>
        <v>0603145279</v>
      </c>
      <c r="C545" s="1">
        <v>45208</v>
      </c>
      <c r="D545" s="1">
        <v>45210</v>
      </c>
      <c r="E545">
        <v>1</v>
      </c>
      <c r="F545" t="str">
        <f>"06-I16-04"</f>
        <v>06-I16-04</v>
      </c>
      <c r="G545">
        <v>0.67010000000000003</v>
      </c>
      <c r="H545" t="s">
        <v>9</v>
      </c>
      <c r="I545" t="s">
        <v>10</v>
      </c>
    </row>
    <row r="546" spans="1:9" x14ac:dyDescent="0.25">
      <c r="A546" t="str">
        <f t="shared" si="8"/>
        <v>89301000</v>
      </c>
      <c r="B546" t="str">
        <f>"0603277444"</f>
        <v>0603277444</v>
      </c>
      <c r="C546" s="1">
        <v>45271</v>
      </c>
      <c r="D546" s="1">
        <v>45273</v>
      </c>
      <c r="E546">
        <v>1</v>
      </c>
      <c r="F546" t="str">
        <f>"08-I32-00"</f>
        <v>08-I32-00</v>
      </c>
      <c r="G546">
        <v>0.4093</v>
      </c>
      <c r="H546" t="s">
        <v>11</v>
      </c>
      <c r="I546" t="s">
        <v>10</v>
      </c>
    </row>
    <row r="547" spans="1:9" x14ac:dyDescent="0.25">
      <c r="A547" t="str">
        <f t="shared" si="8"/>
        <v>89301000</v>
      </c>
      <c r="B547" t="str">
        <f>"0604035289"</f>
        <v>0604035289</v>
      </c>
      <c r="C547" s="1">
        <v>45075</v>
      </c>
      <c r="D547" s="1">
        <v>45077</v>
      </c>
      <c r="E547">
        <v>1</v>
      </c>
      <c r="F547" t="str">
        <f>"08-I24-02"</f>
        <v>08-I24-02</v>
      </c>
      <c r="G547">
        <v>0.73599999999999999</v>
      </c>
      <c r="H547" t="s">
        <v>11</v>
      </c>
      <c r="I547" t="s">
        <v>10</v>
      </c>
    </row>
    <row r="548" spans="1:9" x14ac:dyDescent="0.25">
      <c r="A548" t="str">
        <f t="shared" si="8"/>
        <v>89301000</v>
      </c>
      <c r="B548" t="str">
        <f>"0604063262"</f>
        <v>0604063262</v>
      </c>
      <c r="C548" s="1">
        <v>44952</v>
      </c>
      <c r="D548" s="1">
        <v>44956</v>
      </c>
      <c r="E548">
        <v>1</v>
      </c>
      <c r="F548" t="str">
        <f>"08-K08-00"</f>
        <v>08-K08-00</v>
      </c>
      <c r="G548">
        <v>0.5272</v>
      </c>
      <c r="H548" t="s">
        <v>11</v>
      </c>
      <c r="I548" t="s">
        <v>10</v>
      </c>
    </row>
    <row r="549" spans="1:9" x14ac:dyDescent="0.25">
      <c r="A549" t="str">
        <f t="shared" si="8"/>
        <v>89301000</v>
      </c>
      <c r="B549" t="str">
        <f>"0604066122"</f>
        <v>0604066122</v>
      </c>
      <c r="C549" s="1">
        <v>45175</v>
      </c>
      <c r="D549" s="1">
        <v>45178</v>
      </c>
      <c r="E549">
        <v>1</v>
      </c>
      <c r="F549" t="str">
        <f>"01-K16-06"</f>
        <v>01-K16-06</v>
      </c>
      <c r="G549">
        <v>0.2727</v>
      </c>
      <c r="H549" t="s">
        <v>11</v>
      </c>
      <c r="I549" t="s">
        <v>10</v>
      </c>
    </row>
    <row r="550" spans="1:9" x14ac:dyDescent="0.25">
      <c r="A550" t="str">
        <f t="shared" si="8"/>
        <v>89301000</v>
      </c>
      <c r="B550" t="str">
        <f>"0604073294"</f>
        <v>0604073294</v>
      </c>
      <c r="C550" s="1">
        <v>44938</v>
      </c>
      <c r="D550" s="1">
        <v>44939</v>
      </c>
      <c r="E550">
        <v>1</v>
      </c>
      <c r="F550" t="str">
        <f>"01-K03-07"</f>
        <v>01-K03-07</v>
      </c>
      <c r="G550">
        <v>0.5988</v>
      </c>
      <c r="H550" t="s">
        <v>11</v>
      </c>
      <c r="I550" t="s">
        <v>10</v>
      </c>
    </row>
    <row r="551" spans="1:9" x14ac:dyDescent="0.25">
      <c r="A551" t="str">
        <f t="shared" si="8"/>
        <v>89301000</v>
      </c>
      <c r="B551" t="str">
        <f>"0604173229"</f>
        <v>0604173229</v>
      </c>
      <c r="C551" s="1">
        <v>45259</v>
      </c>
      <c r="D551" s="1">
        <v>45268</v>
      </c>
      <c r="E551">
        <v>1</v>
      </c>
      <c r="F551" t="str">
        <f>"08-K08-00"</f>
        <v>08-K08-00</v>
      </c>
      <c r="G551">
        <v>0.52980000000000005</v>
      </c>
      <c r="H551" t="s">
        <v>11</v>
      </c>
      <c r="I551" t="s">
        <v>10</v>
      </c>
    </row>
    <row r="552" spans="1:9" x14ac:dyDescent="0.25">
      <c r="A552" t="str">
        <f t="shared" si="8"/>
        <v>89301000</v>
      </c>
      <c r="B552" t="str">
        <f>"0605013233"</f>
        <v>0605013233</v>
      </c>
      <c r="C552" s="1">
        <v>45032</v>
      </c>
      <c r="D552" s="1">
        <v>45033</v>
      </c>
      <c r="E552">
        <v>1</v>
      </c>
      <c r="F552" t="str">
        <f>"08-I19-03"</f>
        <v>08-I19-03</v>
      </c>
      <c r="G552">
        <v>0.57210000000000005</v>
      </c>
      <c r="H552" t="s">
        <v>12</v>
      </c>
      <c r="I552" t="s">
        <v>10</v>
      </c>
    </row>
    <row r="553" spans="1:9" x14ac:dyDescent="0.25">
      <c r="A553" t="str">
        <f t="shared" si="8"/>
        <v>89301000</v>
      </c>
      <c r="B553" t="str">
        <f>"0605103268"</f>
        <v>0605103268</v>
      </c>
      <c r="C553" s="1">
        <v>44979</v>
      </c>
      <c r="D553" s="1">
        <v>44983</v>
      </c>
      <c r="E553">
        <v>1</v>
      </c>
      <c r="F553" t="str">
        <f>"10-I13-02"</f>
        <v>10-I13-02</v>
      </c>
      <c r="G553">
        <v>1.1124000000000001</v>
      </c>
      <c r="H553" t="s">
        <v>9</v>
      </c>
      <c r="I553" t="s">
        <v>10</v>
      </c>
    </row>
    <row r="554" spans="1:9" x14ac:dyDescent="0.25">
      <c r="A554" t="str">
        <f t="shared" si="8"/>
        <v>89301000</v>
      </c>
      <c r="B554" t="str">
        <f>"0606013243"</f>
        <v>0606013243</v>
      </c>
      <c r="C554" s="1">
        <v>45257</v>
      </c>
      <c r="D554" s="1">
        <v>45259</v>
      </c>
      <c r="E554">
        <v>1</v>
      </c>
      <c r="F554" t="str">
        <f>"12-I08-03"</f>
        <v>12-I08-03</v>
      </c>
      <c r="G554">
        <v>0.75490000000000002</v>
      </c>
      <c r="H554" t="s">
        <v>11</v>
      </c>
      <c r="I554" t="s">
        <v>10</v>
      </c>
    </row>
    <row r="555" spans="1:9" x14ac:dyDescent="0.25">
      <c r="A555" t="str">
        <f t="shared" si="8"/>
        <v>89301000</v>
      </c>
      <c r="B555" t="str">
        <f>"0606014981"</f>
        <v>0606014981</v>
      </c>
      <c r="C555" s="1">
        <v>45068</v>
      </c>
      <c r="D555" s="1">
        <v>45070</v>
      </c>
      <c r="E555">
        <v>1</v>
      </c>
      <c r="F555" t="str">
        <f>"12-I13-01"</f>
        <v>12-I13-01</v>
      </c>
      <c r="G555">
        <v>0.83850000000000002</v>
      </c>
      <c r="H555" t="s">
        <v>9</v>
      </c>
      <c r="I555" t="s">
        <v>10</v>
      </c>
    </row>
    <row r="556" spans="1:9" x14ac:dyDescent="0.25">
      <c r="A556" t="str">
        <f t="shared" si="8"/>
        <v>89301000</v>
      </c>
      <c r="B556" t="str">
        <f>"0606066186"</f>
        <v>0606066186</v>
      </c>
      <c r="C556" s="1">
        <v>44985</v>
      </c>
      <c r="D556" s="1">
        <v>44986</v>
      </c>
      <c r="E556">
        <v>1</v>
      </c>
      <c r="F556" t="str">
        <f>"08-I16-04"</f>
        <v>08-I16-04</v>
      </c>
      <c r="G556">
        <v>0.83040000000000003</v>
      </c>
      <c r="H556" t="s">
        <v>12</v>
      </c>
      <c r="I556" t="s">
        <v>10</v>
      </c>
    </row>
    <row r="557" spans="1:9" x14ac:dyDescent="0.25">
      <c r="A557" t="str">
        <f t="shared" si="8"/>
        <v>89301000</v>
      </c>
      <c r="B557" t="str">
        <f>"0606113266"</f>
        <v>0606113266</v>
      </c>
      <c r="C557" s="1">
        <v>45096</v>
      </c>
      <c r="D557" s="1">
        <v>45098</v>
      </c>
      <c r="E557">
        <v>1</v>
      </c>
      <c r="F557" t="str">
        <f>"01-K03-07"</f>
        <v>01-K03-07</v>
      </c>
      <c r="G557">
        <v>0.5988</v>
      </c>
      <c r="H557" t="s">
        <v>11</v>
      </c>
      <c r="I557" t="s">
        <v>10</v>
      </c>
    </row>
    <row r="558" spans="1:9" x14ac:dyDescent="0.25">
      <c r="A558" t="str">
        <f t="shared" si="8"/>
        <v>89301000</v>
      </c>
      <c r="B558" t="str">
        <f>"0606143263"</f>
        <v>0606143263</v>
      </c>
      <c r="C558" s="1">
        <v>45113</v>
      </c>
      <c r="D558" s="1">
        <v>45114</v>
      </c>
      <c r="E558">
        <v>1</v>
      </c>
      <c r="F558" t="str">
        <f>"05-K15-02"</f>
        <v>05-K15-02</v>
      </c>
      <c r="G558">
        <v>0.45569999999999999</v>
      </c>
      <c r="H558" t="s">
        <v>11</v>
      </c>
      <c r="I558" t="s">
        <v>10</v>
      </c>
    </row>
    <row r="559" spans="1:9" x14ac:dyDescent="0.25">
      <c r="A559" t="str">
        <f t="shared" si="8"/>
        <v>89301000</v>
      </c>
      <c r="B559" t="str">
        <f>"0606196085"</f>
        <v>0606196085</v>
      </c>
      <c r="C559" s="1">
        <v>45018</v>
      </c>
      <c r="D559" s="1">
        <v>45023</v>
      </c>
      <c r="E559">
        <v>1</v>
      </c>
      <c r="F559" t="str">
        <f>"11-K12-01"</f>
        <v>11-K12-01</v>
      </c>
      <c r="G559">
        <v>2.1867999999999999</v>
      </c>
      <c r="H559" t="s">
        <v>11</v>
      </c>
      <c r="I559" t="s">
        <v>10</v>
      </c>
    </row>
    <row r="560" spans="1:9" x14ac:dyDescent="0.25">
      <c r="A560" t="str">
        <f t="shared" si="8"/>
        <v>89301000</v>
      </c>
      <c r="B560" t="str">
        <f>"0606253230"</f>
        <v>0606253230</v>
      </c>
      <c r="C560" s="1">
        <v>45278</v>
      </c>
      <c r="D560" s="1">
        <v>45281</v>
      </c>
      <c r="E560">
        <v>1</v>
      </c>
      <c r="F560" t="str">
        <f>"08-K08-00"</f>
        <v>08-K08-00</v>
      </c>
      <c r="G560">
        <v>0.5272</v>
      </c>
      <c r="H560" t="s">
        <v>11</v>
      </c>
      <c r="I560" t="s">
        <v>10</v>
      </c>
    </row>
    <row r="561" spans="1:9" x14ac:dyDescent="0.25">
      <c r="A561" t="str">
        <f t="shared" si="8"/>
        <v>89301000</v>
      </c>
      <c r="B561" t="str">
        <f>"0607055262"</f>
        <v>0607055262</v>
      </c>
      <c r="C561" s="1">
        <v>45096</v>
      </c>
      <c r="D561" s="1">
        <v>45098</v>
      </c>
      <c r="E561">
        <v>1</v>
      </c>
      <c r="F561" t="str">
        <f>"06-I16-04"</f>
        <v>06-I16-04</v>
      </c>
      <c r="G561">
        <v>0.68920000000000003</v>
      </c>
      <c r="H561" t="s">
        <v>9</v>
      </c>
      <c r="I561" t="s">
        <v>10</v>
      </c>
    </row>
    <row r="562" spans="1:9" x14ac:dyDescent="0.25">
      <c r="A562" t="str">
        <f t="shared" si="8"/>
        <v>89301000</v>
      </c>
      <c r="B562" t="str">
        <f>"0607165262"</f>
        <v>0607165262</v>
      </c>
      <c r="C562" s="1">
        <v>44966</v>
      </c>
      <c r="D562" s="1">
        <v>44966</v>
      </c>
      <c r="E562">
        <v>1</v>
      </c>
      <c r="F562" t="str">
        <f>"08-I18-02"</f>
        <v>08-I18-02</v>
      </c>
      <c r="G562">
        <v>0.3422</v>
      </c>
      <c r="H562" t="s">
        <v>12</v>
      </c>
      <c r="I562" t="s">
        <v>10</v>
      </c>
    </row>
    <row r="563" spans="1:9" x14ac:dyDescent="0.25">
      <c r="A563" t="str">
        <f t="shared" si="8"/>
        <v>89301000</v>
      </c>
      <c r="B563" t="str">
        <f>"0607176152"</f>
        <v>0607176152</v>
      </c>
      <c r="C563" s="1">
        <v>45280</v>
      </c>
      <c r="D563" s="1">
        <v>45288</v>
      </c>
      <c r="E563">
        <v>1</v>
      </c>
      <c r="F563" t="str">
        <f>"17-K10-02"</f>
        <v>17-K10-02</v>
      </c>
      <c r="G563">
        <v>0.63500000000000001</v>
      </c>
      <c r="H563" t="s">
        <v>11</v>
      </c>
      <c r="I563" t="s">
        <v>10</v>
      </c>
    </row>
    <row r="564" spans="1:9" x14ac:dyDescent="0.25">
      <c r="A564" t="str">
        <f t="shared" si="8"/>
        <v>89301000</v>
      </c>
      <c r="B564" t="str">
        <f>"0607203256"</f>
        <v>0607203256</v>
      </c>
      <c r="C564" s="1">
        <v>45273</v>
      </c>
      <c r="D564" s="1">
        <v>45278</v>
      </c>
      <c r="E564">
        <v>1</v>
      </c>
      <c r="F564" t="str">
        <f>"06-I21-03"</f>
        <v>06-I21-03</v>
      </c>
      <c r="G564">
        <v>0.4572</v>
      </c>
      <c r="H564" t="s">
        <v>12</v>
      </c>
      <c r="I564" t="s">
        <v>10</v>
      </c>
    </row>
    <row r="565" spans="1:9" x14ac:dyDescent="0.25">
      <c r="A565" t="str">
        <f t="shared" si="8"/>
        <v>89301000</v>
      </c>
      <c r="B565" t="str">
        <f>"0607203256"</f>
        <v>0607203256</v>
      </c>
      <c r="C565" s="1">
        <v>45056</v>
      </c>
      <c r="D565" s="1">
        <v>45078</v>
      </c>
      <c r="E565">
        <v>1</v>
      </c>
      <c r="F565" t="str">
        <f>"06-K11-00"</f>
        <v>06-K11-00</v>
      </c>
      <c r="G565">
        <v>1.976</v>
      </c>
      <c r="H565" t="s">
        <v>11</v>
      </c>
      <c r="I565" t="s">
        <v>10</v>
      </c>
    </row>
    <row r="566" spans="1:9" x14ac:dyDescent="0.25">
      <c r="A566" t="str">
        <f t="shared" si="8"/>
        <v>89301000</v>
      </c>
      <c r="B566" t="str">
        <f>"0607203256"</f>
        <v>0607203256</v>
      </c>
      <c r="C566" s="1">
        <v>45026</v>
      </c>
      <c r="D566" s="1">
        <v>45037</v>
      </c>
      <c r="E566">
        <v>1</v>
      </c>
      <c r="F566" t="str">
        <f>"06-I21-03"</f>
        <v>06-I21-03</v>
      </c>
      <c r="G566">
        <v>0.79710000000000003</v>
      </c>
      <c r="H566" t="s">
        <v>12</v>
      </c>
      <c r="I566" t="s">
        <v>10</v>
      </c>
    </row>
    <row r="567" spans="1:9" x14ac:dyDescent="0.25">
      <c r="A567" t="str">
        <f t="shared" si="8"/>
        <v>89301000</v>
      </c>
      <c r="B567" t="str">
        <f>"0608056064"</f>
        <v>0608056064</v>
      </c>
      <c r="C567" s="1">
        <v>45250</v>
      </c>
      <c r="D567" s="1">
        <v>45254</v>
      </c>
      <c r="E567">
        <v>1</v>
      </c>
      <c r="F567" t="str">
        <f>"09-K14-02"</f>
        <v>09-K14-02</v>
      </c>
      <c r="G567">
        <v>0.5</v>
      </c>
      <c r="H567" t="s">
        <v>11</v>
      </c>
      <c r="I567" t="s">
        <v>10</v>
      </c>
    </row>
    <row r="568" spans="1:9" x14ac:dyDescent="0.25">
      <c r="A568" t="str">
        <f t="shared" si="8"/>
        <v>89301000</v>
      </c>
      <c r="B568" t="str">
        <f>"0608105267"</f>
        <v>0608105267</v>
      </c>
      <c r="C568" s="1">
        <v>45218</v>
      </c>
      <c r="D568" s="1">
        <v>45222</v>
      </c>
      <c r="E568">
        <v>1</v>
      </c>
      <c r="F568" t="str">
        <f>"08-I22-02"</f>
        <v>08-I22-02</v>
      </c>
      <c r="G568">
        <v>1.131</v>
      </c>
      <c r="H568" t="s">
        <v>12</v>
      </c>
      <c r="I568" t="s">
        <v>10</v>
      </c>
    </row>
    <row r="569" spans="1:9" x14ac:dyDescent="0.25">
      <c r="A569" t="str">
        <f t="shared" si="8"/>
        <v>89301000</v>
      </c>
      <c r="B569" t="str">
        <f>"0608105267"</f>
        <v>0608105267</v>
      </c>
      <c r="C569" s="1">
        <v>45141</v>
      </c>
      <c r="D569" s="1">
        <v>45146</v>
      </c>
      <c r="E569">
        <v>1</v>
      </c>
      <c r="F569" t="str">
        <f>"08-I22-02"</f>
        <v>08-I22-02</v>
      </c>
      <c r="G569">
        <v>1.3161</v>
      </c>
      <c r="H569" t="s">
        <v>12</v>
      </c>
      <c r="I569" t="s">
        <v>10</v>
      </c>
    </row>
    <row r="570" spans="1:9" x14ac:dyDescent="0.25">
      <c r="A570" t="str">
        <f t="shared" si="8"/>
        <v>89301000</v>
      </c>
      <c r="B570" t="str">
        <f>"0608173247"</f>
        <v>0608173247</v>
      </c>
      <c r="C570" s="1">
        <v>45136</v>
      </c>
      <c r="D570" s="1">
        <v>45137</v>
      </c>
      <c r="E570">
        <v>1</v>
      </c>
      <c r="F570" t="str">
        <f>"06-K02-04"</f>
        <v>06-K02-04</v>
      </c>
      <c r="G570">
        <v>0.37659999999999999</v>
      </c>
      <c r="H570" t="s">
        <v>11</v>
      </c>
      <c r="I570" t="s">
        <v>10</v>
      </c>
    </row>
    <row r="571" spans="1:9" x14ac:dyDescent="0.25">
      <c r="A571" t="str">
        <f t="shared" si="8"/>
        <v>89301000</v>
      </c>
      <c r="B571" t="str">
        <f>"0608233230"</f>
        <v>0608233230</v>
      </c>
      <c r="C571" s="1">
        <v>44992</v>
      </c>
      <c r="D571" s="1">
        <v>44995</v>
      </c>
      <c r="E571">
        <v>1</v>
      </c>
      <c r="F571" t="str">
        <f>"09-K04-02"</f>
        <v>09-K04-02</v>
      </c>
      <c r="G571">
        <v>0.64849999999999997</v>
      </c>
      <c r="H571" t="s">
        <v>11</v>
      </c>
      <c r="I571" t="s">
        <v>10</v>
      </c>
    </row>
    <row r="572" spans="1:9" x14ac:dyDescent="0.25">
      <c r="A572" t="str">
        <f t="shared" si="8"/>
        <v>89301000</v>
      </c>
      <c r="B572" t="str">
        <f>"0609013284"</f>
        <v>0609013284</v>
      </c>
      <c r="C572" s="1">
        <v>44980</v>
      </c>
      <c r="D572" s="1">
        <v>44981</v>
      </c>
      <c r="E572">
        <v>1</v>
      </c>
      <c r="F572" t="str">
        <f>"08-I32-00"</f>
        <v>08-I32-00</v>
      </c>
      <c r="G572">
        <v>0.40870000000000001</v>
      </c>
      <c r="H572" t="s">
        <v>11</v>
      </c>
      <c r="I572" t="s">
        <v>10</v>
      </c>
    </row>
    <row r="573" spans="1:9" x14ac:dyDescent="0.25">
      <c r="A573" t="str">
        <f t="shared" si="8"/>
        <v>89301000</v>
      </c>
      <c r="B573" t="str">
        <f>"0609097104"</f>
        <v>0609097104</v>
      </c>
      <c r="C573" s="1">
        <v>45020</v>
      </c>
      <c r="D573" s="1">
        <v>45028</v>
      </c>
      <c r="E573">
        <v>1</v>
      </c>
      <c r="F573" t="str">
        <f>"19-K02-03"</f>
        <v>19-K02-03</v>
      </c>
      <c r="G573">
        <v>0.71950000000000003</v>
      </c>
      <c r="H573" t="s">
        <v>15</v>
      </c>
      <c r="I573" t="s">
        <v>10</v>
      </c>
    </row>
    <row r="574" spans="1:9" x14ac:dyDescent="0.25">
      <c r="A574" t="str">
        <f t="shared" si="8"/>
        <v>89301000</v>
      </c>
      <c r="B574" t="str">
        <f>"0609183245"</f>
        <v>0609183245</v>
      </c>
      <c r="C574" s="1">
        <v>45096</v>
      </c>
      <c r="D574" s="1">
        <v>45099</v>
      </c>
      <c r="E574">
        <v>1</v>
      </c>
      <c r="F574" t="str">
        <f>"01-K16-05"</f>
        <v>01-K16-05</v>
      </c>
      <c r="G574">
        <v>0.62649999999999995</v>
      </c>
      <c r="H574" t="s">
        <v>11</v>
      </c>
      <c r="I574" t="s">
        <v>10</v>
      </c>
    </row>
    <row r="575" spans="1:9" x14ac:dyDescent="0.25">
      <c r="A575" t="str">
        <f t="shared" si="8"/>
        <v>89301000</v>
      </c>
      <c r="B575" t="str">
        <f>"0609186171"</f>
        <v>0609186171</v>
      </c>
      <c r="C575" s="1">
        <v>45276</v>
      </c>
      <c r="D575" s="1">
        <v>45280</v>
      </c>
      <c r="E575">
        <v>1</v>
      </c>
      <c r="F575" t="str">
        <f>"07-K03-02"</f>
        <v>07-K03-02</v>
      </c>
      <c r="G575">
        <v>0.4521</v>
      </c>
      <c r="H575" t="s">
        <v>11</v>
      </c>
      <c r="I575" t="s">
        <v>10</v>
      </c>
    </row>
    <row r="576" spans="1:9" x14ac:dyDescent="0.25">
      <c r="A576" t="str">
        <f t="shared" ref="A576:A639" si="9">"89301000"</f>
        <v>89301000</v>
      </c>
      <c r="B576" t="str">
        <f>"0609186171"</f>
        <v>0609186171</v>
      </c>
      <c r="C576" s="1">
        <v>45246</v>
      </c>
      <c r="D576" s="1">
        <v>45254</v>
      </c>
      <c r="E576">
        <v>1</v>
      </c>
      <c r="F576" t="str">
        <f>"07-M02-03"</f>
        <v>07-M02-03</v>
      </c>
      <c r="G576">
        <v>1.2942</v>
      </c>
      <c r="H576" t="s">
        <v>12</v>
      </c>
      <c r="I576" t="s">
        <v>10</v>
      </c>
    </row>
    <row r="577" spans="1:9" x14ac:dyDescent="0.25">
      <c r="A577" t="str">
        <f t="shared" si="9"/>
        <v>89301000</v>
      </c>
      <c r="B577" t="str">
        <f>"0609226145"</f>
        <v>0609226145</v>
      </c>
      <c r="C577" s="1">
        <v>45169</v>
      </c>
      <c r="D577" s="1">
        <v>45173</v>
      </c>
      <c r="E577">
        <v>2</v>
      </c>
      <c r="F577" t="str">
        <f>"10-K03-04"</f>
        <v>10-K03-04</v>
      </c>
      <c r="G577">
        <v>0.67159999999999997</v>
      </c>
      <c r="H577" t="s">
        <v>11</v>
      </c>
      <c r="I577" t="s">
        <v>10</v>
      </c>
    </row>
    <row r="578" spans="1:9" x14ac:dyDescent="0.25">
      <c r="A578" t="str">
        <f t="shared" si="9"/>
        <v>89301000</v>
      </c>
      <c r="B578" t="str">
        <f>"0609243228"</f>
        <v>0609243228</v>
      </c>
      <c r="C578" s="1">
        <v>45035</v>
      </c>
      <c r="D578" s="1">
        <v>45041</v>
      </c>
      <c r="E578">
        <v>1</v>
      </c>
      <c r="F578" t="str">
        <f>"03-I16-02"</f>
        <v>03-I16-02</v>
      </c>
      <c r="G578">
        <v>0.92979999999999996</v>
      </c>
      <c r="H578" t="s">
        <v>9</v>
      </c>
      <c r="I578" t="s">
        <v>10</v>
      </c>
    </row>
    <row r="579" spans="1:9" x14ac:dyDescent="0.25">
      <c r="A579" t="str">
        <f t="shared" si="9"/>
        <v>89301000</v>
      </c>
      <c r="B579" t="str">
        <f>"0609243228"</f>
        <v>0609243228</v>
      </c>
      <c r="C579" s="1">
        <v>45015</v>
      </c>
      <c r="D579" s="1">
        <v>45019</v>
      </c>
      <c r="E579">
        <v>1</v>
      </c>
      <c r="F579" t="str">
        <f>"03-I19-02"</f>
        <v>03-I19-02</v>
      </c>
      <c r="G579">
        <v>0.71340000000000003</v>
      </c>
      <c r="H579" t="s">
        <v>11</v>
      </c>
      <c r="I579" t="s">
        <v>10</v>
      </c>
    </row>
    <row r="580" spans="1:9" x14ac:dyDescent="0.25">
      <c r="A580" t="str">
        <f t="shared" si="9"/>
        <v>89301000</v>
      </c>
      <c r="B580" t="str">
        <f>"0609277438"</f>
        <v>0609277438</v>
      </c>
      <c r="C580" s="1">
        <v>45006</v>
      </c>
      <c r="D580" s="1">
        <v>45008</v>
      </c>
      <c r="E580">
        <v>1</v>
      </c>
      <c r="F580" t="str">
        <f>"08-I24-01"</f>
        <v>08-I24-01</v>
      </c>
      <c r="G580">
        <v>1.1051</v>
      </c>
      <c r="H580" t="s">
        <v>11</v>
      </c>
      <c r="I580" t="s">
        <v>10</v>
      </c>
    </row>
    <row r="581" spans="1:9" x14ac:dyDescent="0.25">
      <c r="A581" t="str">
        <f t="shared" si="9"/>
        <v>89301000</v>
      </c>
      <c r="B581" t="str">
        <f>"0610023282"</f>
        <v>0610023282</v>
      </c>
      <c r="C581" s="1">
        <v>45048</v>
      </c>
      <c r="D581" s="1">
        <v>45051</v>
      </c>
      <c r="E581">
        <v>1</v>
      </c>
      <c r="F581" t="str">
        <f>"23-K04-02"</f>
        <v>23-K04-02</v>
      </c>
      <c r="G581">
        <v>0.38150000000000001</v>
      </c>
      <c r="H581" t="s">
        <v>11</v>
      </c>
      <c r="I581" t="s">
        <v>10</v>
      </c>
    </row>
    <row r="582" spans="1:9" x14ac:dyDescent="0.25">
      <c r="A582" t="str">
        <f t="shared" si="9"/>
        <v>89301000</v>
      </c>
      <c r="B582" t="str">
        <f>"0610023282"</f>
        <v>0610023282</v>
      </c>
      <c r="C582" s="1">
        <v>45075</v>
      </c>
      <c r="D582" s="1">
        <v>45083</v>
      </c>
      <c r="E582">
        <v>1</v>
      </c>
      <c r="F582" t="str">
        <f>"08-K07-00"</f>
        <v>08-K07-00</v>
      </c>
      <c r="G582">
        <v>0.97599999999999998</v>
      </c>
      <c r="H582" t="s">
        <v>11</v>
      </c>
      <c r="I582" t="s">
        <v>10</v>
      </c>
    </row>
    <row r="583" spans="1:9" x14ac:dyDescent="0.25">
      <c r="A583" t="str">
        <f t="shared" si="9"/>
        <v>89301000</v>
      </c>
      <c r="B583" t="str">
        <f>"0610023282"</f>
        <v>0610023282</v>
      </c>
      <c r="C583" s="1">
        <v>45133</v>
      </c>
      <c r="D583" s="1">
        <v>45140</v>
      </c>
      <c r="E583">
        <v>1</v>
      </c>
      <c r="F583" t="str">
        <f>"08-K04-02"</f>
        <v>08-K04-02</v>
      </c>
      <c r="G583">
        <v>0.54300000000000004</v>
      </c>
      <c r="H583" t="s">
        <v>11</v>
      </c>
      <c r="I583" t="s">
        <v>10</v>
      </c>
    </row>
    <row r="584" spans="1:9" x14ac:dyDescent="0.25">
      <c r="A584" t="str">
        <f t="shared" si="9"/>
        <v>89301000</v>
      </c>
      <c r="B584" t="str">
        <f>"0610045282"</f>
        <v>0610045282</v>
      </c>
      <c r="C584" s="1">
        <v>45068</v>
      </c>
      <c r="D584" s="1">
        <v>45070</v>
      </c>
      <c r="E584">
        <v>1</v>
      </c>
      <c r="F584" t="str">
        <f>"11-K03-01"</f>
        <v>11-K03-01</v>
      </c>
      <c r="G584">
        <v>1.2496</v>
      </c>
      <c r="H584" t="s">
        <v>11</v>
      </c>
      <c r="I584" t="s">
        <v>10</v>
      </c>
    </row>
    <row r="585" spans="1:9" x14ac:dyDescent="0.25">
      <c r="A585" t="str">
        <f t="shared" si="9"/>
        <v>89301000</v>
      </c>
      <c r="B585" t="str">
        <f>"0610173256"</f>
        <v>0610173256</v>
      </c>
      <c r="C585" s="1">
        <v>44992</v>
      </c>
      <c r="D585" s="1">
        <v>44993</v>
      </c>
      <c r="E585">
        <v>1</v>
      </c>
      <c r="F585" t="str">
        <f>"01-K16-06"</f>
        <v>01-K16-06</v>
      </c>
      <c r="G585">
        <v>0.27150000000000002</v>
      </c>
      <c r="H585" t="s">
        <v>11</v>
      </c>
      <c r="I585" t="s">
        <v>10</v>
      </c>
    </row>
    <row r="586" spans="1:9" x14ac:dyDescent="0.25">
      <c r="A586" t="str">
        <f t="shared" si="9"/>
        <v>89301000</v>
      </c>
      <c r="B586" t="str">
        <f>"0610196081"</f>
        <v>0610196081</v>
      </c>
      <c r="C586" s="1">
        <v>44987</v>
      </c>
      <c r="D586" s="1">
        <v>44988</v>
      </c>
      <c r="E586">
        <v>1</v>
      </c>
      <c r="F586" t="str">
        <f>"01-K03-07"</f>
        <v>01-K03-07</v>
      </c>
      <c r="G586">
        <v>0.5988</v>
      </c>
      <c r="H586" t="s">
        <v>11</v>
      </c>
      <c r="I586" t="s">
        <v>10</v>
      </c>
    </row>
    <row r="587" spans="1:9" x14ac:dyDescent="0.25">
      <c r="A587" t="str">
        <f t="shared" si="9"/>
        <v>89301000</v>
      </c>
      <c r="B587" t="str">
        <f>"0610263225"</f>
        <v>0610263225</v>
      </c>
      <c r="C587" s="1">
        <v>45223</v>
      </c>
      <c r="D587" s="1">
        <v>45225</v>
      </c>
      <c r="E587">
        <v>1</v>
      </c>
      <c r="F587" t="str">
        <f>"12-I10-02"</f>
        <v>12-I10-02</v>
      </c>
      <c r="G587">
        <v>0.51690000000000003</v>
      </c>
      <c r="H587" t="s">
        <v>9</v>
      </c>
      <c r="I587" t="s">
        <v>10</v>
      </c>
    </row>
    <row r="588" spans="1:9" x14ac:dyDescent="0.25">
      <c r="A588" t="str">
        <f t="shared" si="9"/>
        <v>89301000</v>
      </c>
      <c r="B588" t="str">
        <f>"0611016175"</f>
        <v>0611016175</v>
      </c>
      <c r="C588" s="1">
        <v>45245</v>
      </c>
      <c r="D588" s="1">
        <v>45247</v>
      </c>
      <c r="E588">
        <v>1</v>
      </c>
      <c r="F588" t="str">
        <f>"12-I14-00"</f>
        <v>12-I14-00</v>
      </c>
      <c r="G588">
        <v>0.42920000000000003</v>
      </c>
      <c r="H588" t="s">
        <v>11</v>
      </c>
      <c r="I588" t="s">
        <v>10</v>
      </c>
    </row>
    <row r="589" spans="1:9" x14ac:dyDescent="0.25">
      <c r="A589" t="str">
        <f t="shared" si="9"/>
        <v>89301000</v>
      </c>
      <c r="B589" t="str">
        <f>"0611053256"</f>
        <v>0611053256</v>
      </c>
      <c r="C589" s="1">
        <v>44999</v>
      </c>
      <c r="D589" s="1">
        <v>45002</v>
      </c>
      <c r="E589">
        <v>1</v>
      </c>
      <c r="F589" t="str">
        <f>"09-K01-04"</f>
        <v>09-K01-04</v>
      </c>
      <c r="G589">
        <v>0.59330000000000005</v>
      </c>
      <c r="H589" t="s">
        <v>11</v>
      </c>
      <c r="I589" t="s">
        <v>10</v>
      </c>
    </row>
    <row r="590" spans="1:9" x14ac:dyDescent="0.25">
      <c r="A590" t="str">
        <f t="shared" si="9"/>
        <v>89301000</v>
      </c>
      <c r="B590" t="str">
        <f>"0611066104"</f>
        <v>0611066104</v>
      </c>
      <c r="C590" s="1">
        <v>45092</v>
      </c>
      <c r="D590" s="1">
        <v>45094</v>
      </c>
      <c r="E590">
        <v>1</v>
      </c>
      <c r="F590" t="str">
        <f>"08-I15-03"</f>
        <v>08-I15-03</v>
      </c>
      <c r="G590">
        <v>0.94059999999999999</v>
      </c>
      <c r="H590" t="s">
        <v>12</v>
      </c>
      <c r="I590" t="s">
        <v>10</v>
      </c>
    </row>
    <row r="591" spans="1:9" x14ac:dyDescent="0.25">
      <c r="A591" t="str">
        <f t="shared" si="9"/>
        <v>89301000</v>
      </c>
      <c r="B591" t="str">
        <f>"0611083231"</f>
        <v>0611083231</v>
      </c>
      <c r="C591" s="1">
        <v>45243</v>
      </c>
      <c r="D591" s="1">
        <v>45246</v>
      </c>
      <c r="E591">
        <v>1</v>
      </c>
      <c r="F591" t="str">
        <f>"19-K02-03"</f>
        <v>19-K02-03</v>
      </c>
      <c r="G591">
        <v>0.71950000000000003</v>
      </c>
      <c r="H591" t="s">
        <v>15</v>
      </c>
      <c r="I591" t="s">
        <v>10</v>
      </c>
    </row>
    <row r="592" spans="1:9" x14ac:dyDescent="0.25">
      <c r="A592" t="str">
        <f t="shared" si="9"/>
        <v>89301000</v>
      </c>
      <c r="B592" t="str">
        <f>"0611206145"</f>
        <v>0611206145</v>
      </c>
      <c r="C592" s="1">
        <v>45061</v>
      </c>
      <c r="D592" s="1">
        <v>45068</v>
      </c>
      <c r="E592">
        <v>1</v>
      </c>
      <c r="F592" t="str">
        <f>"07-K04-04"</f>
        <v>07-K04-04</v>
      </c>
      <c r="G592">
        <v>0.61050000000000004</v>
      </c>
      <c r="H592" t="s">
        <v>11</v>
      </c>
      <c r="I592" t="s">
        <v>10</v>
      </c>
    </row>
    <row r="593" spans="1:9" x14ac:dyDescent="0.25">
      <c r="A593" t="str">
        <f t="shared" si="9"/>
        <v>89301000</v>
      </c>
      <c r="B593" t="str">
        <f>"0612118958"</f>
        <v>0612118958</v>
      </c>
      <c r="C593" s="1">
        <v>44928</v>
      </c>
      <c r="D593" s="1">
        <v>44929</v>
      </c>
      <c r="E593">
        <v>1</v>
      </c>
      <c r="F593" t="str">
        <f>"03-K02-03"</f>
        <v>03-K02-03</v>
      </c>
      <c r="G593">
        <v>0.33960000000000001</v>
      </c>
      <c r="H593" t="s">
        <v>11</v>
      </c>
      <c r="I593" t="s">
        <v>10</v>
      </c>
    </row>
    <row r="594" spans="1:9" x14ac:dyDescent="0.25">
      <c r="A594" t="str">
        <f t="shared" si="9"/>
        <v>89301000</v>
      </c>
      <c r="B594" t="str">
        <f>"0652083234"</f>
        <v>0652083234</v>
      </c>
      <c r="C594" s="1">
        <v>45036</v>
      </c>
      <c r="D594" s="1">
        <v>45037</v>
      </c>
      <c r="E594">
        <v>1</v>
      </c>
      <c r="F594" t="str">
        <f>"06-K06-02"</f>
        <v>06-K06-02</v>
      </c>
      <c r="G594">
        <v>0.64170000000000005</v>
      </c>
      <c r="H594" t="s">
        <v>11</v>
      </c>
      <c r="I594" t="s">
        <v>10</v>
      </c>
    </row>
    <row r="595" spans="1:9" x14ac:dyDescent="0.25">
      <c r="A595" t="str">
        <f t="shared" si="9"/>
        <v>89301000</v>
      </c>
      <c r="B595" t="str">
        <f>"0652106598"</f>
        <v>0652106598</v>
      </c>
      <c r="C595" s="1">
        <v>45172</v>
      </c>
      <c r="D595" s="1">
        <v>45174</v>
      </c>
      <c r="E595">
        <v>1</v>
      </c>
      <c r="F595" t="str">
        <f>"03-K03-02"</f>
        <v>03-K03-02</v>
      </c>
      <c r="G595">
        <v>0.51949999999999996</v>
      </c>
      <c r="H595" t="s">
        <v>11</v>
      </c>
      <c r="I595" t="s">
        <v>10</v>
      </c>
    </row>
    <row r="596" spans="1:9" x14ac:dyDescent="0.25">
      <c r="A596" t="str">
        <f t="shared" si="9"/>
        <v>89301000</v>
      </c>
      <c r="B596" t="str">
        <f>"0652116168"</f>
        <v>0652116168</v>
      </c>
      <c r="C596" s="1">
        <v>44970</v>
      </c>
      <c r="D596" s="1">
        <v>44974</v>
      </c>
      <c r="E596">
        <v>1</v>
      </c>
      <c r="F596" t="str">
        <f>"09-K14-02"</f>
        <v>09-K14-02</v>
      </c>
      <c r="G596">
        <v>0.5</v>
      </c>
      <c r="H596" t="s">
        <v>11</v>
      </c>
      <c r="I596" t="s">
        <v>10</v>
      </c>
    </row>
    <row r="597" spans="1:9" x14ac:dyDescent="0.25">
      <c r="A597" t="str">
        <f t="shared" si="9"/>
        <v>89301000</v>
      </c>
      <c r="B597" t="str">
        <f>"0652133229"</f>
        <v>0652133229</v>
      </c>
      <c r="C597" s="1">
        <v>45176</v>
      </c>
      <c r="D597" s="1">
        <v>45179</v>
      </c>
      <c r="E597">
        <v>1</v>
      </c>
      <c r="F597" t="str">
        <f>"08-M03-05"</f>
        <v>08-M03-05</v>
      </c>
      <c r="G597">
        <v>0.46910000000000002</v>
      </c>
      <c r="H597" t="s">
        <v>11</v>
      </c>
      <c r="I597" t="s">
        <v>10</v>
      </c>
    </row>
    <row r="598" spans="1:9" x14ac:dyDescent="0.25">
      <c r="A598" t="str">
        <f t="shared" si="9"/>
        <v>89301000</v>
      </c>
      <c r="B598" t="str">
        <f>"0652215289"</f>
        <v>0652215289</v>
      </c>
      <c r="C598" s="1">
        <v>45019</v>
      </c>
      <c r="D598" s="1">
        <v>45024</v>
      </c>
      <c r="E598">
        <v>1</v>
      </c>
      <c r="F598" t="str">
        <f>"03-I17-00"</f>
        <v>03-I17-00</v>
      </c>
      <c r="G598">
        <v>0.83489999999999998</v>
      </c>
      <c r="H598" t="s">
        <v>9</v>
      </c>
      <c r="I598" t="s">
        <v>10</v>
      </c>
    </row>
    <row r="599" spans="1:9" x14ac:dyDescent="0.25">
      <c r="A599" t="str">
        <f t="shared" si="9"/>
        <v>89301000</v>
      </c>
      <c r="B599" t="str">
        <f>"0652285271"</f>
        <v>0652285271</v>
      </c>
      <c r="C599" s="1">
        <v>45041</v>
      </c>
      <c r="D599" s="1">
        <v>45043</v>
      </c>
      <c r="E599">
        <v>1</v>
      </c>
      <c r="F599" t="str">
        <f>"08-I25-02"</f>
        <v>08-I25-02</v>
      </c>
      <c r="G599">
        <v>0.55279999999999996</v>
      </c>
      <c r="H599" t="s">
        <v>11</v>
      </c>
      <c r="I599" t="s">
        <v>10</v>
      </c>
    </row>
    <row r="600" spans="1:9" x14ac:dyDescent="0.25">
      <c r="A600" t="str">
        <f t="shared" si="9"/>
        <v>89301000</v>
      </c>
      <c r="B600" t="str">
        <f>"0653013262"</f>
        <v>0653013262</v>
      </c>
      <c r="C600" s="1">
        <v>45083</v>
      </c>
      <c r="D600" s="1">
        <v>45084</v>
      </c>
      <c r="E600">
        <v>1</v>
      </c>
      <c r="F600" t="str">
        <f>"06-K22-03"</f>
        <v>06-K22-03</v>
      </c>
      <c r="G600">
        <v>0.31619999999999998</v>
      </c>
      <c r="H600" t="s">
        <v>11</v>
      </c>
      <c r="I600" t="s">
        <v>10</v>
      </c>
    </row>
    <row r="601" spans="1:9" x14ac:dyDescent="0.25">
      <c r="A601" t="str">
        <f t="shared" si="9"/>
        <v>89301000</v>
      </c>
      <c r="B601" t="str">
        <f>"0653015264"</f>
        <v>0653015264</v>
      </c>
      <c r="C601" s="1">
        <v>44965</v>
      </c>
      <c r="D601" s="1">
        <v>44967</v>
      </c>
      <c r="E601">
        <v>1</v>
      </c>
      <c r="F601" t="str">
        <f>"01-K03-07"</f>
        <v>01-K03-07</v>
      </c>
      <c r="G601">
        <v>0.5988</v>
      </c>
      <c r="H601" t="s">
        <v>11</v>
      </c>
      <c r="I601" t="s">
        <v>10</v>
      </c>
    </row>
    <row r="602" spans="1:9" x14ac:dyDescent="0.25">
      <c r="A602" t="str">
        <f t="shared" si="9"/>
        <v>89301000</v>
      </c>
      <c r="B602" t="str">
        <f>"0653033249"</f>
        <v>0653033249</v>
      </c>
      <c r="C602" s="1">
        <v>45153</v>
      </c>
      <c r="D602" s="1">
        <v>45155</v>
      </c>
      <c r="E602">
        <v>1</v>
      </c>
      <c r="F602" t="str">
        <f>"06-K22-03"</f>
        <v>06-K22-03</v>
      </c>
      <c r="G602">
        <v>0.31619999999999998</v>
      </c>
      <c r="H602" t="s">
        <v>11</v>
      </c>
      <c r="I602" t="s">
        <v>10</v>
      </c>
    </row>
    <row r="603" spans="1:9" x14ac:dyDescent="0.25">
      <c r="A603" t="str">
        <f t="shared" si="9"/>
        <v>89301000</v>
      </c>
      <c r="B603" t="str">
        <f>"0653033249"</f>
        <v>0653033249</v>
      </c>
      <c r="C603" s="1">
        <v>45279</v>
      </c>
      <c r="D603" s="1">
        <v>45280</v>
      </c>
      <c r="E603">
        <v>1</v>
      </c>
      <c r="F603" t="str">
        <f>"06-K22-03"</f>
        <v>06-K22-03</v>
      </c>
      <c r="G603">
        <v>0.31619999999999998</v>
      </c>
      <c r="H603" t="s">
        <v>11</v>
      </c>
      <c r="I603" t="s">
        <v>10</v>
      </c>
    </row>
    <row r="604" spans="1:9" x14ac:dyDescent="0.25">
      <c r="A604" t="str">
        <f t="shared" si="9"/>
        <v>89301000</v>
      </c>
      <c r="B604" t="str">
        <f>"0653107444"</f>
        <v>0653107444</v>
      </c>
      <c r="C604" s="1">
        <v>44971</v>
      </c>
      <c r="D604" s="1">
        <v>44973</v>
      </c>
      <c r="E604">
        <v>1</v>
      </c>
      <c r="F604" t="str">
        <f>"06-K22-03"</f>
        <v>06-K22-03</v>
      </c>
      <c r="G604">
        <v>0.31619999999999998</v>
      </c>
      <c r="H604" t="s">
        <v>11</v>
      </c>
      <c r="I604" t="s">
        <v>10</v>
      </c>
    </row>
    <row r="605" spans="1:9" x14ac:dyDescent="0.25">
      <c r="A605" t="str">
        <f t="shared" si="9"/>
        <v>89301000</v>
      </c>
      <c r="B605" t="str">
        <f>"0653111382"</f>
        <v>0653111382</v>
      </c>
      <c r="C605" s="1">
        <v>44975</v>
      </c>
      <c r="D605" s="1">
        <v>44976</v>
      </c>
      <c r="E605">
        <v>1</v>
      </c>
      <c r="F605" t="str">
        <f>"20-K01-06"</f>
        <v>20-K01-06</v>
      </c>
      <c r="G605">
        <v>0.26919999999999999</v>
      </c>
      <c r="H605" t="s">
        <v>11</v>
      </c>
      <c r="I605" t="s">
        <v>10</v>
      </c>
    </row>
    <row r="606" spans="1:9" x14ac:dyDescent="0.25">
      <c r="A606" t="str">
        <f t="shared" si="9"/>
        <v>89301000</v>
      </c>
      <c r="B606" t="str">
        <f>"0653165304"</f>
        <v>0653165304</v>
      </c>
      <c r="C606" s="1">
        <v>45257</v>
      </c>
      <c r="D606" s="1">
        <v>45261</v>
      </c>
      <c r="E606">
        <v>1</v>
      </c>
      <c r="F606" t="str">
        <f>"24-M05-02"</f>
        <v>24-M05-02</v>
      </c>
      <c r="G606">
        <v>0.58660000000000001</v>
      </c>
      <c r="H606" t="s">
        <v>11</v>
      </c>
      <c r="I606" t="s">
        <v>10</v>
      </c>
    </row>
    <row r="607" spans="1:9" x14ac:dyDescent="0.25">
      <c r="A607" t="str">
        <f t="shared" si="9"/>
        <v>89301000</v>
      </c>
      <c r="B607" t="str">
        <f>"0653236166"</f>
        <v>0653236166</v>
      </c>
      <c r="C607" s="1">
        <v>45041</v>
      </c>
      <c r="D607" s="1">
        <v>45043</v>
      </c>
      <c r="E607">
        <v>1</v>
      </c>
      <c r="F607" t="str">
        <f>"06-K03-03"</f>
        <v>06-K03-03</v>
      </c>
      <c r="G607">
        <v>0.42649999999999999</v>
      </c>
      <c r="H607" t="s">
        <v>11</v>
      </c>
      <c r="I607" t="s">
        <v>10</v>
      </c>
    </row>
    <row r="608" spans="1:9" x14ac:dyDescent="0.25">
      <c r="A608" t="str">
        <f t="shared" si="9"/>
        <v>89301000</v>
      </c>
      <c r="B608" t="str">
        <f>"0653253227"</f>
        <v>0653253227</v>
      </c>
      <c r="C608" s="1">
        <v>44994</v>
      </c>
      <c r="D608" s="1">
        <v>44997</v>
      </c>
      <c r="E608">
        <v>1</v>
      </c>
      <c r="F608" t="str">
        <f>"13-K15-02"</f>
        <v>13-K15-02</v>
      </c>
      <c r="G608">
        <v>0.24529999999999999</v>
      </c>
      <c r="H608" t="s">
        <v>11</v>
      </c>
      <c r="I608" t="s">
        <v>10</v>
      </c>
    </row>
    <row r="609" spans="1:9" x14ac:dyDescent="0.25">
      <c r="A609" t="str">
        <f t="shared" si="9"/>
        <v>89301000</v>
      </c>
      <c r="B609" t="str">
        <f>"0653291870"</f>
        <v>0653291870</v>
      </c>
      <c r="C609" s="1">
        <v>44989</v>
      </c>
      <c r="D609" s="1">
        <v>44991</v>
      </c>
      <c r="E609">
        <v>1</v>
      </c>
      <c r="F609" t="str">
        <f>"06-K02-04"</f>
        <v>06-K02-04</v>
      </c>
      <c r="G609">
        <v>0.37659999999999999</v>
      </c>
      <c r="H609" t="s">
        <v>11</v>
      </c>
      <c r="I609" t="s">
        <v>10</v>
      </c>
    </row>
    <row r="610" spans="1:9" x14ac:dyDescent="0.25">
      <c r="A610" t="str">
        <f t="shared" si="9"/>
        <v>89301000</v>
      </c>
      <c r="B610" t="str">
        <f>"0653303255"</f>
        <v>0653303255</v>
      </c>
      <c r="C610" s="1">
        <v>45084</v>
      </c>
      <c r="D610" s="1">
        <v>45100</v>
      </c>
      <c r="E610">
        <v>1</v>
      </c>
      <c r="F610" t="str">
        <f>"01-I06-02"</f>
        <v>01-I06-02</v>
      </c>
      <c r="G610">
        <v>5.1349</v>
      </c>
      <c r="H610" t="s">
        <v>12</v>
      </c>
      <c r="I610" t="s">
        <v>10</v>
      </c>
    </row>
    <row r="611" spans="1:9" x14ac:dyDescent="0.25">
      <c r="A611" t="str">
        <f t="shared" si="9"/>
        <v>89301000</v>
      </c>
      <c r="B611" t="str">
        <f>"0653313265"</f>
        <v>0653313265</v>
      </c>
      <c r="C611" s="1">
        <v>44971</v>
      </c>
      <c r="D611" s="1">
        <v>44986</v>
      </c>
      <c r="E611">
        <v>1</v>
      </c>
      <c r="F611" t="str">
        <f>"16-K04-01"</f>
        <v>16-K04-01</v>
      </c>
      <c r="G611">
        <v>1.4339</v>
      </c>
      <c r="H611" t="s">
        <v>11</v>
      </c>
      <c r="I611" t="s">
        <v>10</v>
      </c>
    </row>
    <row r="612" spans="1:9" x14ac:dyDescent="0.25">
      <c r="A612" t="str">
        <f t="shared" si="9"/>
        <v>89301000</v>
      </c>
      <c r="B612" t="str">
        <f>"0653313265"</f>
        <v>0653313265</v>
      </c>
      <c r="C612" s="1">
        <v>44996</v>
      </c>
      <c r="D612" s="1">
        <v>45007</v>
      </c>
      <c r="E612">
        <v>1</v>
      </c>
      <c r="F612" t="str">
        <f>"17-C03-01"</f>
        <v>17-C03-01</v>
      </c>
      <c r="G612">
        <v>5.3311000000000002</v>
      </c>
      <c r="H612" t="s">
        <v>11</v>
      </c>
      <c r="I612" t="s">
        <v>10</v>
      </c>
    </row>
    <row r="613" spans="1:9" x14ac:dyDescent="0.25">
      <c r="A613" t="str">
        <f t="shared" si="9"/>
        <v>89301000</v>
      </c>
      <c r="B613" t="str">
        <f>"0653313265"</f>
        <v>0653313265</v>
      </c>
      <c r="C613" s="1">
        <v>44921</v>
      </c>
      <c r="D613" s="1">
        <v>44935</v>
      </c>
      <c r="E613">
        <v>1</v>
      </c>
      <c r="F613" t="str">
        <f>"17-C03-01"</f>
        <v>17-C03-01</v>
      </c>
      <c r="G613">
        <v>4.9172000000000002</v>
      </c>
      <c r="H613" t="s">
        <v>11</v>
      </c>
      <c r="I613" t="s">
        <v>10</v>
      </c>
    </row>
    <row r="614" spans="1:9" x14ac:dyDescent="0.25">
      <c r="A614" t="str">
        <f t="shared" si="9"/>
        <v>89301000</v>
      </c>
      <c r="B614" t="str">
        <f>"0653313265"</f>
        <v>0653313265</v>
      </c>
      <c r="C614" s="1">
        <v>45026</v>
      </c>
      <c r="D614" s="1">
        <v>45032</v>
      </c>
      <c r="E614">
        <v>1</v>
      </c>
      <c r="F614" t="str">
        <f>"17-K01-01"</f>
        <v>17-K01-01</v>
      </c>
      <c r="G614">
        <v>4.2401999999999997</v>
      </c>
      <c r="H614" t="s">
        <v>11</v>
      </c>
      <c r="I614" t="s">
        <v>10</v>
      </c>
    </row>
    <row r="615" spans="1:9" x14ac:dyDescent="0.25">
      <c r="A615" t="str">
        <f t="shared" si="9"/>
        <v>89301000</v>
      </c>
      <c r="B615" t="str">
        <f>"0653313265"</f>
        <v>0653313265</v>
      </c>
      <c r="C615" s="1">
        <v>45202</v>
      </c>
      <c r="D615" s="1">
        <v>45208</v>
      </c>
      <c r="E615">
        <v>1</v>
      </c>
      <c r="F615" t="str">
        <f>"16-C03-01"</f>
        <v>16-C03-01</v>
      </c>
      <c r="G615">
        <v>4.8266999999999998</v>
      </c>
      <c r="H615" t="s">
        <v>11</v>
      </c>
      <c r="I615" t="s">
        <v>10</v>
      </c>
    </row>
    <row r="616" spans="1:9" x14ac:dyDescent="0.25">
      <c r="A616" t="str">
        <f t="shared" si="9"/>
        <v>89301000</v>
      </c>
      <c r="B616" t="str">
        <f>"0655075278"</f>
        <v>0655075278</v>
      </c>
      <c r="C616" s="1">
        <v>45201</v>
      </c>
      <c r="D616" s="1">
        <v>45207</v>
      </c>
      <c r="E616">
        <v>1</v>
      </c>
      <c r="F616" t="str">
        <f>"14-M01-05"</f>
        <v>14-M01-05</v>
      </c>
      <c r="G616">
        <v>0.56289999999999996</v>
      </c>
      <c r="H616" t="s">
        <v>13</v>
      </c>
      <c r="I616" t="s">
        <v>10</v>
      </c>
    </row>
    <row r="617" spans="1:9" x14ac:dyDescent="0.25">
      <c r="A617" t="str">
        <f t="shared" si="9"/>
        <v>89301000</v>
      </c>
      <c r="B617" t="str">
        <f>"0655125273"</f>
        <v>0655125273</v>
      </c>
      <c r="C617" s="1">
        <v>45115</v>
      </c>
      <c r="D617" s="1">
        <v>45118</v>
      </c>
      <c r="E617">
        <v>1</v>
      </c>
      <c r="F617" t="str">
        <f>"08-I13-06"</f>
        <v>08-I13-06</v>
      </c>
      <c r="G617">
        <v>1.9452</v>
      </c>
      <c r="H617" t="s">
        <v>12</v>
      </c>
      <c r="I617" t="s">
        <v>10</v>
      </c>
    </row>
    <row r="618" spans="1:9" x14ac:dyDescent="0.25">
      <c r="A618" t="str">
        <f t="shared" si="9"/>
        <v>89301000</v>
      </c>
      <c r="B618" t="str">
        <f>"0655125273"</f>
        <v>0655125273</v>
      </c>
      <c r="C618" s="1">
        <v>45131</v>
      </c>
      <c r="D618" s="1">
        <v>45149</v>
      </c>
      <c r="E618">
        <v>1</v>
      </c>
      <c r="F618" t="str">
        <f>"24-M08-02"</f>
        <v>24-M08-02</v>
      </c>
      <c r="G618">
        <v>2.0236999999999998</v>
      </c>
      <c r="H618" t="s">
        <v>11</v>
      </c>
      <c r="I618" t="s">
        <v>10</v>
      </c>
    </row>
    <row r="619" spans="1:9" x14ac:dyDescent="0.25">
      <c r="A619" t="str">
        <f t="shared" si="9"/>
        <v>89301000</v>
      </c>
      <c r="B619" t="str">
        <f>"0655125273"</f>
        <v>0655125273</v>
      </c>
      <c r="C619" s="1">
        <v>45173</v>
      </c>
      <c r="D619" s="1">
        <v>45177</v>
      </c>
      <c r="E619">
        <v>1</v>
      </c>
      <c r="F619" t="str">
        <f>"24-M05-02"</f>
        <v>24-M05-02</v>
      </c>
      <c r="G619">
        <v>0.58660000000000001</v>
      </c>
      <c r="H619" t="s">
        <v>11</v>
      </c>
      <c r="I619" t="s">
        <v>10</v>
      </c>
    </row>
    <row r="620" spans="1:9" x14ac:dyDescent="0.25">
      <c r="A620" t="str">
        <f t="shared" si="9"/>
        <v>89301000</v>
      </c>
      <c r="B620" t="str">
        <f>"0655198951"</f>
        <v>0655198951</v>
      </c>
      <c r="C620" s="1">
        <v>45106</v>
      </c>
      <c r="D620" s="1">
        <v>45107</v>
      </c>
      <c r="E620">
        <v>1</v>
      </c>
      <c r="F620" t="str">
        <f>"21-K05-03"</f>
        <v>21-K05-03</v>
      </c>
      <c r="G620">
        <v>0.45729999999999998</v>
      </c>
      <c r="H620" t="s">
        <v>11</v>
      </c>
      <c r="I620" t="s">
        <v>10</v>
      </c>
    </row>
    <row r="621" spans="1:9" x14ac:dyDescent="0.25">
      <c r="A621" t="str">
        <f t="shared" si="9"/>
        <v>89301000</v>
      </c>
      <c r="B621" t="str">
        <f>"0655198951"</f>
        <v>0655198951</v>
      </c>
      <c r="C621" s="1">
        <v>45094</v>
      </c>
      <c r="D621" s="1">
        <v>45095</v>
      </c>
      <c r="E621">
        <v>1</v>
      </c>
      <c r="F621" t="str">
        <f>"20-K01-06"</f>
        <v>20-K01-06</v>
      </c>
      <c r="G621">
        <v>0.26919999999999999</v>
      </c>
      <c r="H621" t="s">
        <v>11</v>
      </c>
      <c r="I621" t="s">
        <v>10</v>
      </c>
    </row>
    <row r="622" spans="1:9" x14ac:dyDescent="0.25">
      <c r="A622" t="str">
        <f t="shared" si="9"/>
        <v>89301000</v>
      </c>
      <c r="B622" t="str">
        <f>"0655206068"</f>
        <v>0655206068</v>
      </c>
      <c r="C622" s="1">
        <v>44992</v>
      </c>
      <c r="D622" s="1">
        <v>44994</v>
      </c>
      <c r="E622">
        <v>1</v>
      </c>
      <c r="F622" t="str">
        <f>"08-M03-05"</f>
        <v>08-M03-05</v>
      </c>
      <c r="G622">
        <v>0.46810000000000002</v>
      </c>
      <c r="H622" t="s">
        <v>11</v>
      </c>
      <c r="I622" t="s">
        <v>10</v>
      </c>
    </row>
    <row r="623" spans="1:9" x14ac:dyDescent="0.25">
      <c r="A623" t="str">
        <f t="shared" si="9"/>
        <v>89301000</v>
      </c>
      <c r="B623" t="str">
        <f>"0655213229"</f>
        <v>0655213229</v>
      </c>
      <c r="C623" s="1">
        <v>44978</v>
      </c>
      <c r="D623" s="1">
        <v>44978</v>
      </c>
      <c r="E623">
        <v>2</v>
      </c>
      <c r="F623" t="str">
        <f>"20-K01-05"</f>
        <v>20-K01-05</v>
      </c>
      <c r="G623">
        <v>0.1976</v>
      </c>
      <c r="H623" t="s">
        <v>11</v>
      </c>
      <c r="I623" t="s">
        <v>10</v>
      </c>
    </row>
    <row r="624" spans="1:9" x14ac:dyDescent="0.25">
      <c r="A624" t="str">
        <f t="shared" si="9"/>
        <v>89301000</v>
      </c>
      <c r="B624" t="str">
        <f>"0655246064"</f>
        <v>0655246064</v>
      </c>
      <c r="C624" s="1">
        <v>45068</v>
      </c>
      <c r="D624" s="1">
        <v>45068</v>
      </c>
      <c r="E624">
        <v>1</v>
      </c>
      <c r="F624" t="str">
        <f>"05-D01-02"</f>
        <v>05-D01-02</v>
      </c>
      <c r="G624">
        <v>1.5137</v>
      </c>
      <c r="H624" t="s">
        <v>11</v>
      </c>
      <c r="I624" t="s">
        <v>10</v>
      </c>
    </row>
    <row r="625" spans="1:9" x14ac:dyDescent="0.25">
      <c r="A625" t="str">
        <f t="shared" si="9"/>
        <v>89301000</v>
      </c>
      <c r="B625" t="str">
        <f>"0655293232"</f>
        <v>0655293232</v>
      </c>
      <c r="C625" s="1">
        <v>45081</v>
      </c>
      <c r="D625" s="1">
        <v>45085</v>
      </c>
      <c r="E625">
        <v>1</v>
      </c>
      <c r="F625" t="str">
        <f>"06-I18-04"</f>
        <v>06-I18-04</v>
      </c>
      <c r="G625">
        <v>1.1088</v>
      </c>
      <c r="H625" t="s">
        <v>9</v>
      </c>
      <c r="I625" t="s">
        <v>10</v>
      </c>
    </row>
    <row r="626" spans="1:9" x14ac:dyDescent="0.25">
      <c r="A626" t="str">
        <f t="shared" si="9"/>
        <v>89301000</v>
      </c>
      <c r="B626" t="str">
        <f>"0655306069"</f>
        <v>0655306069</v>
      </c>
      <c r="C626" s="1">
        <v>45152</v>
      </c>
      <c r="D626" s="1">
        <v>45155</v>
      </c>
      <c r="E626">
        <v>1</v>
      </c>
      <c r="F626" t="str">
        <f>"19-K02-03"</f>
        <v>19-K02-03</v>
      </c>
      <c r="G626">
        <v>0.71950000000000003</v>
      </c>
      <c r="H626" t="s">
        <v>15</v>
      </c>
      <c r="I626" t="s">
        <v>10</v>
      </c>
    </row>
    <row r="627" spans="1:9" x14ac:dyDescent="0.25">
      <c r="A627" t="str">
        <f t="shared" si="9"/>
        <v>89301000</v>
      </c>
      <c r="B627" t="str">
        <f>"0656023225"</f>
        <v>0656023225</v>
      </c>
      <c r="C627" s="1">
        <v>44955</v>
      </c>
      <c r="D627" s="1">
        <v>44957</v>
      </c>
      <c r="E627">
        <v>1</v>
      </c>
      <c r="F627" t="str">
        <f>"20-K01-06"</f>
        <v>20-K01-06</v>
      </c>
      <c r="G627">
        <v>0.26919999999999999</v>
      </c>
      <c r="H627" t="s">
        <v>11</v>
      </c>
      <c r="I627" t="s">
        <v>10</v>
      </c>
    </row>
    <row r="628" spans="1:9" x14ac:dyDescent="0.25">
      <c r="A628" t="str">
        <f t="shared" si="9"/>
        <v>89301000</v>
      </c>
      <c r="B628" t="str">
        <f>"0656066081"</f>
        <v>0656066081</v>
      </c>
      <c r="C628" s="1">
        <v>44930</v>
      </c>
      <c r="D628" s="1">
        <v>44933</v>
      </c>
      <c r="E628">
        <v>1</v>
      </c>
      <c r="F628" t="str">
        <f>"08-M03-04"</f>
        <v>08-M03-04</v>
      </c>
      <c r="G628">
        <v>0.87760000000000005</v>
      </c>
      <c r="H628" t="s">
        <v>11</v>
      </c>
      <c r="I628" t="s">
        <v>10</v>
      </c>
    </row>
    <row r="629" spans="1:9" x14ac:dyDescent="0.25">
      <c r="A629" t="str">
        <f t="shared" si="9"/>
        <v>89301000</v>
      </c>
      <c r="B629" t="str">
        <f>"0656136085"</f>
        <v>0656136085</v>
      </c>
      <c r="C629" s="1">
        <v>45195</v>
      </c>
      <c r="D629" s="1">
        <v>45196</v>
      </c>
      <c r="E629">
        <v>1</v>
      </c>
      <c r="F629" t="str">
        <f>"01-K03-07"</f>
        <v>01-K03-07</v>
      </c>
      <c r="G629">
        <v>0.5988</v>
      </c>
      <c r="H629" t="s">
        <v>11</v>
      </c>
      <c r="I629" t="s">
        <v>10</v>
      </c>
    </row>
    <row r="630" spans="1:9" x14ac:dyDescent="0.25">
      <c r="A630" t="str">
        <f t="shared" si="9"/>
        <v>89301000</v>
      </c>
      <c r="B630" t="str">
        <f>"0656165290"</f>
        <v>0656165290</v>
      </c>
      <c r="C630" s="1">
        <v>45044</v>
      </c>
      <c r="D630" s="1">
        <v>45058</v>
      </c>
      <c r="E630">
        <v>1</v>
      </c>
      <c r="F630" t="str">
        <f>"09-K01-04"</f>
        <v>09-K01-04</v>
      </c>
      <c r="G630">
        <v>0.77129999999999999</v>
      </c>
      <c r="H630" t="s">
        <v>11</v>
      </c>
      <c r="I630" t="s">
        <v>10</v>
      </c>
    </row>
    <row r="631" spans="1:9" x14ac:dyDescent="0.25">
      <c r="A631" t="str">
        <f t="shared" si="9"/>
        <v>89301000</v>
      </c>
      <c r="B631" t="str">
        <f>"0656206067"</f>
        <v>0656206067</v>
      </c>
      <c r="C631" s="1">
        <v>45194</v>
      </c>
      <c r="D631" s="1">
        <v>45196</v>
      </c>
      <c r="E631">
        <v>1</v>
      </c>
      <c r="F631" t="str">
        <f>"09-I09-05"</f>
        <v>09-I09-05</v>
      </c>
      <c r="G631">
        <v>0.46870000000000001</v>
      </c>
      <c r="H631" t="s">
        <v>12</v>
      </c>
      <c r="I631" t="s">
        <v>10</v>
      </c>
    </row>
    <row r="632" spans="1:9" x14ac:dyDescent="0.25">
      <c r="A632" t="str">
        <f t="shared" si="9"/>
        <v>89301000</v>
      </c>
      <c r="B632" t="str">
        <f>"0657113237"</f>
        <v>0657113237</v>
      </c>
      <c r="C632" s="1">
        <v>45232</v>
      </c>
      <c r="D632" s="1">
        <v>45234</v>
      </c>
      <c r="E632">
        <v>1</v>
      </c>
      <c r="F632" t="str">
        <f>"08-I15-03"</f>
        <v>08-I15-03</v>
      </c>
      <c r="G632">
        <v>0.94059999999999999</v>
      </c>
      <c r="H632" t="s">
        <v>12</v>
      </c>
      <c r="I632" t="s">
        <v>10</v>
      </c>
    </row>
    <row r="633" spans="1:9" x14ac:dyDescent="0.25">
      <c r="A633" t="str">
        <f t="shared" si="9"/>
        <v>89301000</v>
      </c>
      <c r="B633" t="str">
        <f>"0657126063"</f>
        <v>0657126063</v>
      </c>
      <c r="C633" s="1">
        <v>45086</v>
      </c>
      <c r="D633" s="1">
        <v>45088</v>
      </c>
      <c r="E633">
        <v>1</v>
      </c>
      <c r="F633" t="str">
        <f>"06-K02-04"</f>
        <v>06-K02-04</v>
      </c>
      <c r="G633">
        <v>0.37659999999999999</v>
      </c>
      <c r="H633" t="s">
        <v>11</v>
      </c>
      <c r="I633" t="s">
        <v>10</v>
      </c>
    </row>
    <row r="634" spans="1:9" x14ac:dyDescent="0.25">
      <c r="A634" t="str">
        <f t="shared" si="9"/>
        <v>89301000</v>
      </c>
      <c r="B634" t="str">
        <f>"0657126063"</f>
        <v>0657126063</v>
      </c>
      <c r="C634" s="1">
        <v>45214</v>
      </c>
      <c r="D634" s="1">
        <v>45218</v>
      </c>
      <c r="E634">
        <v>1</v>
      </c>
      <c r="F634" t="str">
        <f>"06-I18-04"</f>
        <v>06-I18-04</v>
      </c>
      <c r="G634">
        <v>1.1088</v>
      </c>
      <c r="H634" t="s">
        <v>9</v>
      </c>
      <c r="I634" t="s">
        <v>10</v>
      </c>
    </row>
    <row r="635" spans="1:9" x14ac:dyDescent="0.25">
      <c r="A635" t="str">
        <f t="shared" si="9"/>
        <v>89301000</v>
      </c>
      <c r="B635" t="str">
        <f>"0657203228"</f>
        <v>0657203228</v>
      </c>
      <c r="C635" s="1">
        <v>45195</v>
      </c>
      <c r="D635" s="1">
        <v>45197</v>
      </c>
      <c r="E635">
        <v>1</v>
      </c>
      <c r="F635" t="str">
        <f>"20-K01-05"</f>
        <v>20-K01-05</v>
      </c>
      <c r="G635">
        <v>0.3952</v>
      </c>
      <c r="H635" t="s">
        <v>11</v>
      </c>
      <c r="I635" t="s">
        <v>10</v>
      </c>
    </row>
    <row r="636" spans="1:9" x14ac:dyDescent="0.25">
      <c r="A636" t="str">
        <f t="shared" si="9"/>
        <v>89301000</v>
      </c>
      <c r="B636" t="str">
        <f>"0658163253"</f>
        <v>0658163253</v>
      </c>
      <c r="C636" s="1">
        <v>44978</v>
      </c>
      <c r="D636" s="1">
        <v>44979</v>
      </c>
      <c r="E636">
        <v>1</v>
      </c>
      <c r="F636" t="str">
        <f>"06-K06-02"</f>
        <v>06-K06-02</v>
      </c>
      <c r="G636">
        <v>0.64170000000000005</v>
      </c>
      <c r="H636" t="s">
        <v>11</v>
      </c>
      <c r="I636" t="s">
        <v>10</v>
      </c>
    </row>
    <row r="637" spans="1:9" x14ac:dyDescent="0.25">
      <c r="A637" t="str">
        <f t="shared" si="9"/>
        <v>89301000</v>
      </c>
      <c r="B637" t="str">
        <f>"0658163253"</f>
        <v>0658163253</v>
      </c>
      <c r="C637" s="1">
        <v>45272</v>
      </c>
      <c r="D637" s="1">
        <v>45274</v>
      </c>
      <c r="E637">
        <v>1</v>
      </c>
      <c r="F637" t="str">
        <f>"08-M03-02"</f>
        <v>08-M03-02</v>
      </c>
      <c r="G637">
        <v>0.91359999999999997</v>
      </c>
      <c r="H637" t="s">
        <v>11</v>
      </c>
      <c r="I637" t="s">
        <v>10</v>
      </c>
    </row>
    <row r="638" spans="1:9" x14ac:dyDescent="0.25">
      <c r="A638" t="str">
        <f t="shared" si="9"/>
        <v>89301000</v>
      </c>
      <c r="B638" t="str">
        <f>"0658166080"</f>
        <v>0658166080</v>
      </c>
      <c r="C638" s="1">
        <v>44971</v>
      </c>
      <c r="D638" s="1">
        <v>44977</v>
      </c>
      <c r="E638">
        <v>1</v>
      </c>
      <c r="F638" t="str">
        <f>"03-I16-02"</f>
        <v>03-I16-02</v>
      </c>
      <c r="G638">
        <v>0.92979999999999996</v>
      </c>
      <c r="H638" t="s">
        <v>9</v>
      </c>
      <c r="I638" t="s">
        <v>10</v>
      </c>
    </row>
    <row r="639" spans="1:9" x14ac:dyDescent="0.25">
      <c r="A639" t="str">
        <f t="shared" si="9"/>
        <v>89301000</v>
      </c>
      <c r="B639" t="str">
        <f>"0658296078"</f>
        <v>0658296078</v>
      </c>
      <c r="C639" s="1">
        <v>44997</v>
      </c>
      <c r="D639" s="1">
        <v>44999</v>
      </c>
      <c r="E639">
        <v>1</v>
      </c>
      <c r="F639" t="str">
        <f>"03-K08-00"</f>
        <v>03-K08-00</v>
      </c>
      <c r="G639">
        <v>0.45639999999999997</v>
      </c>
      <c r="H639" t="s">
        <v>11</v>
      </c>
      <c r="I639" t="s">
        <v>10</v>
      </c>
    </row>
    <row r="640" spans="1:9" x14ac:dyDescent="0.25">
      <c r="A640" t="str">
        <f t="shared" ref="A640:A703" si="10">"89301000"</f>
        <v>89301000</v>
      </c>
      <c r="B640" t="str">
        <f>"0659075274"</f>
        <v>0659075274</v>
      </c>
      <c r="C640" s="1">
        <v>45123</v>
      </c>
      <c r="D640" s="1">
        <v>45125</v>
      </c>
      <c r="E640">
        <v>1</v>
      </c>
      <c r="F640" t="str">
        <f>"08-I21-02"</f>
        <v>08-I21-02</v>
      </c>
      <c r="G640">
        <v>1.2658</v>
      </c>
      <c r="H640" t="s">
        <v>12</v>
      </c>
      <c r="I640" t="s">
        <v>10</v>
      </c>
    </row>
    <row r="641" spans="1:9" x14ac:dyDescent="0.25">
      <c r="A641" t="str">
        <f t="shared" si="10"/>
        <v>89301000</v>
      </c>
      <c r="B641" t="str">
        <f>"0659086142"</f>
        <v>0659086142</v>
      </c>
      <c r="C641" s="1">
        <v>45161</v>
      </c>
      <c r="D641" s="1">
        <v>45162</v>
      </c>
      <c r="E641">
        <v>1</v>
      </c>
      <c r="F641" t="str">
        <f>"06-K06-02"</f>
        <v>06-K06-02</v>
      </c>
      <c r="G641">
        <v>0.64170000000000005</v>
      </c>
      <c r="H641" t="s">
        <v>11</v>
      </c>
      <c r="I641" t="s">
        <v>10</v>
      </c>
    </row>
    <row r="642" spans="1:9" x14ac:dyDescent="0.25">
      <c r="A642" t="str">
        <f t="shared" si="10"/>
        <v>89301000</v>
      </c>
      <c r="B642" t="str">
        <f>"0659103247"</f>
        <v>0659103247</v>
      </c>
      <c r="C642" s="1">
        <v>44964</v>
      </c>
      <c r="D642" s="1">
        <v>44965</v>
      </c>
      <c r="E642">
        <v>1</v>
      </c>
      <c r="F642" t="str">
        <f>"06-K20-03"</f>
        <v>06-K20-03</v>
      </c>
      <c r="G642">
        <v>0.40229999999999999</v>
      </c>
      <c r="H642" t="s">
        <v>11</v>
      </c>
      <c r="I642" t="s">
        <v>10</v>
      </c>
    </row>
    <row r="643" spans="1:9" x14ac:dyDescent="0.25">
      <c r="A643" t="str">
        <f t="shared" si="10"/>
        <v>89301000</v>
      </c>
      <c r="B643" t="str">
        <f>"0659103247"</f>
        <v>0659103247</v>
      </c>
      <c r="C643" s="1">
        <v>45110</v>
      </c>
      <c r="D643" s="1">
        <v>45112</v>
      </c>
      <c r="E643">
        <v>1</v>
      </c>
      <c r="F643" t="str">
        <f>"06-K02-04"</f>
        <v>06-K02-04</v>
      </c>
      <c r="G643">
        <v>0.37659999999999999</v>
      </c>
      <c r="H643" t="s">
        <v>11</v>
      </c>
      <c r="I643" t="s">
        <v>10</v>
      </c>
    </row>
    <row r="644" spans="1:9" x14ac:dyDescent="0.25">
      <c r="A644" t="str">
        <f t="shared" si="10"/>
        <v>89301000</v>
      </c>
      <c r="B644" t="str">
        <f>"0659192215"</f>
        <v>0659192215</v>
      </c>
      <c r="C644" s="1">
        <v>45244</v>
      </c>
      <c r="D644" s="1">
        <v>45246</v>
      </c>
      <c r="E644">
        <v>1</v>
      </c>
      <c r="F644" t="str">
        <f>"01-K03-06"</f>
        <v>01-K03-06</v>
      </c>
      <c r="G644">
        <v>0.84740000000000004</v>
      </c>
      <c r="H644" t="s">
        <v>11</v>
      </c>
      <c r="I644" t="s">
        <v>10</v>
      </c>
    </row>
    <row r="645" spans="1:9" x14ac:dyDescent="0.25">
      <c r="A645" t="str">
        <f t="shared" si="10"/>
        <v>89301000</v>
      </c>
      <c r="B645" t="str">
        <f>"0659295351"</f>
        <v>0659295351</v>
      </c>
      <c r="C645" s="1">
        <v>44991</v>
      </c>
      <c r="D645" s="1">
        <v>44995</v>
      </c>
      <c r="E645">
        <v>1</v>
      </c>
      <c r="F645" t="str">
        <f>"06-K06-02"</f>
        <v>06-K06-02</v>
      </c>
      <c r="G645">
        <v>0.64170000000000005</v>
      </c>
      <c r="H645" t="s">
        <v>11</v>
      </c>
      <c r="I645" t="s">
        <v>10</v>
      </c>
    </row>
    <row r="646" spans="1:9" x14ac:dyDescent="0.25">
      <c r="A646" t="str">
        <f t="shared" si="10"/>
        <v>89301000</v>
      </c>
      <c r="B646" t="str">
        <f>"0659295351"</f>
        <v>0659295351</v>
      </c>
      <c r="C646" s="1">
        <v>44950</v>
      </c>
      <c r="D646" s="1">
        <v>44951</v>
      </c>
      <c r="E646">
        <v>1</v>
      </c>
      <c r="F646" t="str">
        <f>"06-K06-02"</f>
        <v>06-K06-02</v>
      </c>
      <c r="G646">
        <v>0.64170000000000005</v>
      </c>
      <c r="H646" t="s">
        <v>11</v>
      </c>
      <c r="I646" t="s">
        <v>10</v>
      </c>
    </row>
    <row r="647" spans="1:9" x14ac:dyDescent="0.25">
      <c r="A647" t="str">
        <f t="shared" si="10"/>
        <v>89301000</v>
      </c>
      <c r="B647" t="str">
        <f>"0660125356"</f>
        <v>0660125356</v>
      </c>
      <c r="C647" s="1">
        <v>45177</v>
      </c>
      <c r="D647" s="1">
        <v>45188</v>
      </c>
      <c r="E647">
        <v>1</v>
      </c>
      <c r="F647" t="str">
        <f>"05-K13-02"</f>
        <v>05-K13-02</v>
      </c>
      <c r="G647">
        <v>0.58079999999999998</v>
      </c>
      <c r="H647" t="s">
        <v>11</v>
      </c>
      <c r="I647" t="s">
        <v>10</v>
      </c>
    </row>
    <row r="648" spans="1:9" x14ac:dyDescent="0.25">
      <c r="A648" t="str">
        <f t="shared" si="10"/>
        <v>89301000</v>
      </c>
      <c r="B648" t="str">
        <f>"0660226072"</f>
        <v>0660226072</v>
      </c>
      <c r="C648" s="1">
        <v>45021</v>
      </c>
      <c r="D648" s="1">
        <v>45024</v>
      </c>
      <c r="E648">
        <v>1</v>
      </c>
      <c r="F648" t="str">
        <f>"08-M03-04"</f>
        <v>08-M03-04</v>
      </c>
      <c r="G648">
        <v>0.87760000000000005</v>
      </c>
      <c r="H648" t="s">
        <v>11</v>
      </c>
      <c r="I648" t="s">
        <v>10</v>
      </c>
    </row>
    <row r="649" spans="1:9" x14ac:dyDescent="0.25">
      <c r="A649" t="str">
        <f t="shared" si="10"/>
        <v>89301000</v>
      </c>
      <c r="B649" t="str">
        <f>"0660276078"</f>
        <v>0660276078</v>
      </c>
      <c r="C649" s="1">
        <v>45033</v>
      </c>
      <c r="D649" s="1">
        <v>45034</v>
      </c>
      <c r="E649">
        <v>1</v>
      </c>
      <c r="F649" t="str">
        <f>"02-M01-01"</f>
        <v>02-M01-01</v>
      </c>
      <c r="G649">
        <v>0.71779999999999999</v>
      </c>
      <c r="H649" t="s">
        <v>11</v>
      </c>
      <c r="I649" t="s">
        <v>10</v>
      </c>
    </row>
    <row r="650" spans="1:9" x14ac:dyDescent="0.25">
      <c r="A650" t="str">
        <f t="shared" si="10"/>
        <v>89301000</v>
      </c>
      <c r="B650" t="str">
        <f>"0661146068"</f>
        <v>0661146068</v>
      </c>
      <c r="C650" s="1">
        <v>44931</v>
      </c>
      <c r="D650" s="1">
        <v>44946</v>
      </c>
      <c r="E650">
        <v>5</v>
      </c>
      <c r="F650" t="str">
        <f>"10-K11-01"</f>
        <v>10-K11-01</v>
      </c>
      <c r="G650">
        <v>2.0259999999999998</v>
      </c>
      <c r="H650" t="s">
        <v>11</v>
      </c>
      <c r="I650" t="s">
        <v>10</v>
      </c>
    </row>
    <row r="651" spans="1:9" x14ac:dyDescent="0.25">
      <c r="A651" t="str">
        <f t="shared" si="10"/>
        <v>89301000</v>
      </c>
      <c r="B651" t="str">
        <f>"0661233661"</f>
        <v>0661233661</v>
      </c>
      <c r="C651" s="1">
        <v>45034</v>
      </c>
      <c r="D651" s="1">
        <v>45037</v>
      </c>
      <c r="E651">
        <v>1</v>
      </c>
      <c r="F651" t="str">
        <f>"08-I23-02"</f>
        <v>08-I23-02</v>
      </c>
      <c r="G651">
        <v>0.91059999999999997</v>
      </c>
      <c r="H651" t="s">
        <v>12</v>
      </c>
      <c r="I651" t="s">
        <v>10</v>
      </c>
    </row>
    <row r="652" spans="1:9" x14ac:dyDescent="0.25">
      <c r="A652" t="str">
        <f t="shared" si="10"/>
        <v>89301000</v>
      </c>
      <c r="B652" t="str">
        <f>"0661265264"</f>
        <v>0661265264</v>
      </c>
      <c r="C652" s="1">
        <v>44938</v>
      </c>
      <c r="D652" s="1">
        <v>44946</v>
      </c>
      <c r="E652">
        <v>2</v>
      </c>
      <c r="F652" t="str">
        <f>"07-K01-02"</f>
        <v>07-K01-02</v>
      </c>
      <c r="G652">
        <v>1.0169999999999999</v>
      </c>
      <c r="H652" t="s">
        <v>11</v>
      </c>
      <c r="I652" t="s">
        <v>10</v>
      </c>
    </row>
    <row r="653" spans="1:9" x14ac:dyDescent="0.25">
      <c r="A653" t="str">
        <f t="shared" si="10"/>
        <v>89301000</v>
      </c>
      <c r="B653" t="str">
        <f>"0661282336"</f>
        <v>0661282336</v>
      </c>
      <c r="C653" s="1">
        <v>45041</v>
      </c>
      <c r="D653" s="1">
        <v>45043</v>
      </c>
      <c r="E653">
        <v>1</v>
      </c>
      <c r="F653" t="str">
        <f>"08-I32-00"</f>
        <v>08-I32-00</v>
      </c>
      <c r="G653">
        <v>0.4093</v>
      </c>
      <c r="H653" t="s">
        <v>11</v>
      </c>
      <c r="I653" t="s">
        <v>10</v>
      </c>
    </row>
    <row r="654" spans="1:9" x14ac:dyDescent="0.25">
      <c r="A654" t="str">
        <f t="shared" si="10"/>
        <v>89301000</v>
      </c>
      <c r="B654" t="str">
        <f>"0662165262"</f>
        <v>0662165262</v>
      </c>
      <c r="C654" s="1">
        <v>44979</v>
      </c>
      <c r="D654" s="1">
        <v>44983</v>
      </c>
      <c r="E654">
        <v>1</v>
      </c>
      <c r="F654" t="str">
        <f>"03-I17-00"</f>
        <v>03-I17-00</v>
      </c>
      <c r="G654">
        <v>0.83489999999999998</v>
      </c>
      <c r="H654" t="s">
        <v>9</v>
      </c>
      <c r="I654" t="s">
        <v>10</v>
      </c>
    </row>
    <row r="655" spans="1:9" x14ac:dyDescent="0.25">
      <c r="A655" t="str">
        <f t="shared" si="10"/>
        <v>89301000</v>
      </c>
      <c r="B655" t="str">
        <f>"0662233242"</f>
        <v>0662233242</v>
      </c>
      <c r="C655" s="1">
        <v>45076</v>
      </c>
      <c r="D655" s="1">
        <v>45079</v>
      </c>
      <c r="E655">
        <v>1</v>
      </c>
      <c r="F655" t="str">
        <f>"07-M02-04"</f>
        <v>07-M02-04</v>
      </c>
      <c r="G655">
        <v>0.82689999999999997</v>
      </c>
      <c r="H655" t="s">
        <v>12</v>
      </c>
      <c r="I655" t="s">
        <v>10</v>
      </c>
    </row>
    <row r="656" spans="1:9" x14ac:dyDescent="0.25">
      <c r="A656" t="str">
        <f t="shared" si="10"/>
        <v>89301000</v>
      </c>
      <c r="B656" t="str">
        <f>"0662233242"</f>
        <v>0662233242</v>
      </c>
      <c r="C656" s="1">
        <v>45096</v>
      </c>
      <c r="D656" s="1">
        <v>45100</v>
      </c>
      <c r="E656">
        <v>1</v>
      </c>
      <c r="F656" t="str">
        <f>"07-I10-06"</f>
        <v>07-I10-06</v>
      </c>
      <c r="G656">
        <v>1.0753999999999999</v>
      </c>
      <c r="H656" t="s">
        <v>12</v>
      </c>
      <c r="I656" t="s">
        <v>10</v>
      </c>
    </row>
    <row r="657" spans="1:9" x14ac:dyDescent="0.25">
      <c r="A657" t="str">
        <f t="shared" si="10"/>
        <v>89301000</v>
      </c>
      <c r="B657" t="str">
        <f>"0662233242"</f>
        <v>0662233242</v>
      </c>
      <c r="C657" s="1">
        <v>45134</v>
      </c>
      <c r="D657" s="1">
        <v>45137</v>
      </c>
      <c r="E657">
        <v>1</v>
      </c>
      <c r="F657" t="str">
        <f>"07-M02-04"</f>
        <v>07-M02-04</v>
      </c>
      <c r="G657">
        <v>0.77339999999999998</v>
      </c>
      <c r="H657" t="s">
        <v>12</v>
      </c>
      <c r="I657" t="s">
        <v>10</v>
      </c>
    </row>
    <row r="658" spans="1:9" x14ac:dyDescent="0.25">
      <c r="A658" t="str">
        <f t="shared" si="10"/>
        <v>89301000</v>
      </c>
      <c r="B658" t="str">
        <f>"0662305259"</f>
        <v>0662305259</v>
      </c>
      <c r="C658" s="1">
        <v>44965</v>
      </c>
      <c r="D658" s="1">
        <v>44967</v>
      </c>
      <c r="E658">
        <v>1</v>
      </c>
      <c r="F658" t="str">
        <f>"03-I21-00"</f>
        <v>03-I21-00</v>
      </c>
      <c r="G658">
        <v>0.42449999999999999</v>
      </c>
      <c r="H658" t="s">
        <v>11</v>
      </c>
      <c r="I658" t="s">
        <v>10</v>
      </c>
    </row>
    <row r="659" spans="1:9" x14ac:dyDescent="0.25">
      <c r="A659" t="str">
        <f t="shared" si="10"/>
        <v>89301000</v>
      </c>
      <c r="B659" t="str">
        <f>"0701053243"</f>
        <v>0701053243</v>
      </c>
      <c r="C659" s="1">
        <v>44958</v>
      </c>
      <c r="D659" s="1">
        <v>44963</v>
      </c>
      <c r="E659">
        <v>1</v>
      </c>
      <c r="F659" t="str">
        <f>"06-I18-04"</f>
        <v>06-I18-04</v>
      </c>
      <c r="G659">
        <v>1.1088</v>
      </c>
      <c r="H659" t="s">
        <v>9</v>
      </c>
      <c r="I659" t="s">
        <v>10</v>
      </c>
    </row>
    <row r="660" spans="1:9" x14ac:dyDescent="0.25">
      <c r="A660" t="str">
        <f t="shared" si="10"/>
        <v>89301000</v>
      </c>
      <c r="B660" t="str">
        <f>"0701105273"</f>
        <v>0701105273</v>
      </c>
      <c r="C660" s="1">
        <v>45046</v>
      </c>
      <c r="D660" s="1">
        <v>45048</v>
      </c>
      <c r="E660">
        <v>1</v>
      </c>
      <c r="F660" t="str">
        <f>"01-K16-05"</f>
        <v>01-K16-05</v>
      </c>
      <c r="G660">
        <v>0.62070000000000003</v>
      </c>
      <c r="H660" t="s">
        <v>11</v>
      </c>
      <c r="I660" t="s">
        <v>10</v>
      </c>
    </row>
    <row r="661" spans="1:9" x14ac:dyDescent="0.25">
      <c r="A661" t="str">
        <f t="shared" si="10"/>
        <v>89301000</v>
      </c>
      <c r="B661" t="str">
        <f>"0701215262"</f>
        <v>0701215262</v>
      </c>
      <c r="C661" s="1">
        <v>44945</v>
      </c>
      <c r="D661" s="1">
        <v>44947</v>
      </c>
      <c r="E661">
        <v>1</v>
      </c>
      <c r="F661" t="str">
        <f>"11-K11-00"</f>
        <v>11-K11-00</v>
      </c>
      <c r="G661">
        <v>0.48220000000000002</v>
      </c>
      <c r="H661" t="s">
        <v>11</v>
      </c>
      <c r="I661" t="s">
        <v>10</v>
      </c>
    </row>
    <row r="662" spans="1:9" x14ac:dyDescent="0.25">
      <c r="A662" t="str">
        <f t="shared" si="10"/>
        <v>89301000</v>
      </c>
      <c r="B662" t="str">
        <f>"0701230365"</f>
        <v>0701230365</v>
      </c>
      <c r="C662" s="1">
        <v>45194</v>
      </c>
      <c r="D662" s="1">
        <v>45196</v>
      </c>
      <c r="E662">
        <v>1</v>
      </c>
      <c r="F662" t="str">
        <f>"12-I14-00"</f>
        <v>12-I14-00</v>
      </c>
      <c r="G662">
        <v>0.42920000000000003</v>
      </c>
      <c r="H662" t="s">
        <v>11</v>
      </c>
      <c r="I662" t="s">
        <v>10</v>
      </c>
    </row>
    <row r="663" spans="1:9" x14ac:dyDescent="0.25">
      <c r="A663" t="str">
        <f t="shared" si="10"/>
        <v>89301000</v>
      </c>
      <c r="B663" t="str">
        <f>"0701293307"</f>
        <v>0701293307</v>
      </c>
      <c r="C663" s="1">
        <v>45205</v>
      </c>
      <c r="D663" s="1">
        <v>45240</v>
      </c>
      <c r="E663">
        <v>1</v>
      </c>
      <c r="F663" t="str">
        <f>"00-M02-03"</f>
        <v>00-M02-03</v>
      </c>
      <c r="G663">
        <v>15.0274</v>
      </c>
      <c r="H663" t="s">
        <v>11</v>
      </c>
      <c r="I663" t="s">
        <v>10</v>
      </c>
    </row>
    <row r="664" spans="1:9" x14ac:dyDescent="0.25">
      <c r="A664" t="str">
        <f t="shared" si="10"/>
        <v>89301000</v>
      </c>
      <c r="B664" t="str">
        <f>"0701297080"</f>
        <v>0701297080</v>
      </c>
      <c r="C664" s="1">
        <v>45273</v>
      </c>
      <c r="D664" s="1">
        <v>45276</v>
      </c>
      <c r="E664">
        <v>1</v>
      </c>
      <c r="F664" t="str">
        <f>"08-M03-04"</f>
        <v>08-M03-04</v>
      </c>
      <c r="G664">
        <v>0.87760000000000005</v>
      </c>
      <c r="H664" t="s">
        <v>11</v>
      </c>
      <c r="I664" t="s">
        <v>10</v>
      </c>
    </row>
    <row r="665" spans="1:9" x14ac:dyDescent="0.25">
      <c r="A665" t="str">
        <f t="shared" si="10"/>
        <v>89301000</v>
      </c>
      <c r="B665" t="str">
        <f>"0701297080"</f>
        <v>0701297080</v>
      </c>
      <c r="C665" s="1">
        <v>45117</v>
      </c>
      <c r="D665" s="1">
        <v>45120</v>
      </c>
      <c r="E665">
        <v>1</v>
      </c>
      <c r="F665" t="str">
        <f>"08-M03-04"</f>
        <v>08-M03-04</v>
      </c>
      <c r="G665">
        <v>0.87760000000000005</v>
      </c>
      <c r="H665" t="s">
        <v>11</v>
      </c>
      <c r="I665" t="s">
        <v>10</v>
      </c>
    </row>
    <row r="666" spans="1:9" x14ac:dyDescent="0.25">
      <c r="A666" t="str">
        <f t="shared" si="10"/>
        <v>89301000</v>
      </c>
      <c r="B666" t="str">
        <f>"0702143233"</f>
        <v>0702143233</v>
      </c>
      <c r="C666" s="1">
        <v>45159</v>
      </c>
      <c r="D666" s="1">
        <v>45167</v>
      </c>
      <c r="E666">
        <v>1</v>
      </c>
      <c r="F666" t="str">
        <f>"19-K03-03"</f>
        <v>19-K03-03</v>
      </c>
      <c r="G666">
        <v>0.90410000000000001</v>
      </c>
      <c r="H666" t="s">
        <v>15</v>
      </c>
      <c r="I666" t="s">
        <v>10</v>
      </c>
    </row>
    <row r="667" spans="1:9" x14ac:dyDescent="0.25">
      <c r="A667" t="str">
        <f t="shared" si="10"/>
        <v>89301000</v>
      </c>
      <c r="B667" t="str">
        <f>"0702193239"</f>
        <v>0702193239</v>
      </c>
      <c r="C667" s="1">
        <v>45263</v>
      </c>
      <c r="D667" s="1">
        <v>45265</v>
      </c>
      <c r="E667">
        <v>1</v>
      </c>
      <c r="F667" t="str">
        <f>"06-I18-04"</f>
        <v>06-I18-04</v>
      </c>
      <c r="G667">
        <v>1.1088</v>
      </c>
      <c r="H667" t="s">
        <v>9</v>
      </c>
      <c r="I667" t="s">
        <v>10</v>
      </c>
    </row>
    <row r="668" spans="1:9" x14ac:dyDescent="0.25">
      <c r="A668" t="str">
        <f t="shared" si="10"/>
        <v>89301000</v>
      </c>
      <c r="B668" t="str">
        <f>"0702263254"</f>
        <v>0702263254</v>
      </c>
      <c r="C668" s="1">
        <v>45028</v>
      </c>
      <c r="D668" s="1">
        <v>45029</v>
      </c>
      <c r="E668">
        <v>1</v>
      </c>
      <c r="F668" t="str">
        <f>"08-I32-00"</f>
        <v>08-I32-00</v>
      </c>
      <c r="G668">
        <v>0.40870000000000001</v>
      </c>
      <c r="H668" t="s">
        <v>11</v>
      </c>
      <c r="I668" t="s">
        <v>10</v>
      </c>
    </row>
    <row r="669" spans="1:9" x14ac:dyDescent="0.25">
      <c r="A669" t="str">
        <f t="shared" si="10"/>
        <v>89301000</v>
      </c>
      <c r="B669" t="str">
        <f>"0703033232"</f>
        <v>0703033232</v>
      </c>
      <c r="C669" s="1">
        <v>44972</v>
      </c>
      <c r="D669" s="1">
        <v>44981</v>
      </c>
      <c r="E669">
        <v>1</v>
      </c>
      <c r="F669" t="str">
        <f>"06-K20-02"</f>
        <v>06-K20-02</v>
      </c>
      <c r="G669">
        <v>0.86160000000000003</v>
      </c>
      <c r="H669" t="s">
        <v>11</v>
      </c>
      <c r="I669" t="s">
        <v>10</v>
      </c>
    </row>
    <row r="670" spans="1:9" x14ac:dyDescent="0.25">
      <c r="A670" t="str">
        <f t="shared" si="10"/>
        <v>89301000</v>
      </c>
      <c r="B670" t="str">
        <f>"0703033232"</f>
        <v>0703033232</v>
      </c>
      <c r="C670" s="1">
        <v>45058</v>
      </c>
      <c r="D670" s="1">
        <v>45063</v>
      </c>
      <c r="E670">
        <v>1</v>
      </c>
      <c r="F670" t="str">
        <f>"06-K20-03"</f>
        <v>06-K20-03</v>
      </c>
      <c r="G670">
        <v>0.41199999999999998</v>
      </c>
      <c r="H670" t="s">
        <v>11</v>
      </c>
      <c r="I670" t="s">
        <v>10</v>
      </c>
    </row>
    <row r="671" spans="1:9" x14ac:dyDescent="0.25">
      <c r="A671" t="str">
        <f t="shared" si="10"/>
        <v>89301000</v>
      </c>
      <c r="B671" t="str">
        <f>"0703033232"</f>
        <v>0703033232</v>
      </c>
      <c r="C671" s="1">
        <v>45069</v>
      </c>
      <c r="D671" s="1">
        <v>45076</v>
      </c>
      <c r="E671">
        <v>1</v>
      </c>
      <c r="F671" t="str">
        <f>"06-I09-01"</f>
        <v>06-I09-01</v>
      </c>
      <c r="G671">
        <v>3.4883000000000002</v>
      </c>
      <c r="H671" t="s">
        <v>12</v>
      </c>
      <c r="I671" t="s">
        <v>10</v>
      </c>
    </row>
    <row r="672" spans="1:9" x14ac:dyDescent="0.25">
      <c r="A672" t="str">
        <f t="shared" si="10"/>
        <v>89301000</v>
      </c>
      <c r="B672" t="str">
        <f>"0703086065"</f>
        <v>0703086065</v>
      </c>
      <c r="C672" s="1">
        <v>44957</v>
      </c>
      <c r="D672" s="1">
        <v>44958</v>
      </c>
      <c r="E672">
        <v>1</v>
      </c>
      <c r="F672" t="str">
        <f>"20-K01-05"</f>
        <v>20-K01-05</v>
      </c>
      <c r="G672">
        <v>0.3952</v>
      </c>
      <c r="H672" t="s">
        <v>11</v>
      </c>
      <c r="I672" t="s">
        <v>10</v>
      </c>
    </row>
    <row r="673" spans="1:9" x14ac:dyDescent="0.25">
      <c r="A673" t="str">
        <f t="shared" si="10"/>
        <v>89301000</v>
      </c>
      <c r="B673" t="str">
        <f>"0703113235"</f>
        <v>0703113235</v>
      </c>
      <c r="C673" s="1">
        <v>44978</v>
      </c>
      <c r="D673" s="1">
        <v>44994</v>
      </c>
      <c r="E673">
        <v>1</v>
      </c>
      <c r="F673" t="str">
        <f>"04-I03-03"</f>
        <v>04-I03-03</v>
      </c>
      <c r="G673">
        <v>2.5461</v>
      </c>
      <c r="H673" t="s">
        <v>14</v>
      </c>
      <c r="I673" t="s">
        <v>10</v>
      </c>
    </row>
    <row r="674" spans="1:9" x14ac:dyDescent="0.25">
      <c r="A674" t="str">
        <f t="shared" si="10"/>
        <v>89301000</v>
      </c>
      <c r="B674" t="str">
        <f>"0703273241"</f>
        <v>0703273241</v>
      </c>
      <c r="C674" s="1">
        <v>45092</v>
      </c>
      <c r="D674" s="1">
        <v>45094</v>
      </c>
      <c r="E674">
        <v>1</v>
      </c>
      <c r="F674" t="str">
        <f>"08-I18-02"</f>
        <v>08-I18-02</v>
      </c>
      <c r="G674">
        <v>0.62509999999999999</v>
      </c>
      <c r="H674" t="s">
        <v>12</v>
      </c>
      <c r="I674" t="s">
        <v>10</v>
      </c>
    </row>
    <row r="675" spans="1:9" x14ac:dyDescent="0.25">
      <c r="A675" t="str">
        <f t="shared" si="10"/>
        <v>89301000</v>
      </c>
      <c r="B675" t="str">
        <f>"0704033242"</f>
        <v>0704033242</v>
      </c>
      <c r="C675" s="1">
        <v>45277</v>
      </c>
      <c r="D675" s="1">
        <v>45281</v>
      </c>
      <c r="E675">
        <v>1</v>
      </c>
      <c r="F675" t="str">
        <f>"01-K07-03"</f>
        <v>01-K07-03</v>
      </c>
      <c r="G675">
        <v>0.48680000000000001</v>
      </c>
      <c r="H675" t="s">
        <v>11</v>
      </c>
      <c r="I675" t="s">
        <v>10</v>
      </c>
    </row>
    <row r="676" spans="1:9" x14ac:dyDescent="0.25">
      <c r="A676" t="str">
        <f t="shared" si="10"/>
        <v>89301000</v>
      </c>
      <c r="B676" t="str">
        <f>"0704053240"</f>
        <v>0704053240</v>
      </c>
      <c r="C676" s="1">
        <v>45105</v>
      </c>
      <c r="D676" s="1">
        <v>45111</v>
      </c>
      <c r="E676">
        <v>1</v>
      </c>
      <c r="F676" t="str">
        <f>"04-K14-02"</f>
        <v>04-K14-02</v>
      </c>
      <c r="G676">
        <v>1.1142000000000001</v>
      </c>
      <c r="H676" t="s">
        <v>11</v>
      </c>
      <c r="I676" t="s">
        <v>10</v>
      </c>
    </row>
    <row r="677" spans="1:9" x14ac:dyDescent="0.25">
      <c r="A677" t="str">
        <f t="shared" si="10"/>
        <v>89301000</v>
      </c>
      <c r="B677" t="str">
        <f>"0704235268"</f>
        <v>0704235268</v>
      </c>
      <c r="C677" s="1">
        <v>44993</v>
      </c>
      <c r="D677" s="1">
        <v>44996</v>
      </c>
      <c r="E677">
        <v>1</v>
      </c>
      <c r="F677" t="str">
        <f>"12-I13-01"</f>
        <v>12-I13-01</v>
      </c>
      <c r="G677">
        <v>0.78059999999999996</v>
      </c>
      <c r="H677" t="s">
        <v>9</v>
      </c>
      <c r="I677" t="s">
        <v>10</v>
      </c>
    </row>
    <row r="678" spans="1:9" x14ac:dyDescent="0.25">
      <c r="A678" t="str">
        <f t="shared" si="10"/>
        <v>89301000</v>
      </c>
      <c r="B678" t="str">
        <f>"0704305283"</f>
        <v>0704305283</v>
      </c>
      <c r="C678" s="1">
        <v>45139</v>
      </c>
      <c r="D678" s="1">
        <v>45141</v>
      </c>
      <c r="E678">
        <v>1</v>
      </c>
      <c r="F678" t="str">
        <f>"08-K04-02"</f>
        <v>08-K04-02</v>
      </c>
      <c r="G678">
        <v>0.54300000000000004</v>
      </c>
      <c r="H678" t="s">
        <v>11</v>
      </c>
      <c r="I678" t="s">
        <v>10</v>
      </c>
    </row>
    <row r="679" spans="1:9" x14ac:dyDescent="0.25">
      <c r="A679" t="str">
        <f t="shared" si="10"/>
        <v>89301000</v>
      </c>
      <c r="B679" t="str">
        <f>"0705171379"</f>
        <v>0705171379</v>
      </c>
      <c r="C679" s="1">
        <v>45041</v>
      </c>
      <c r="D679" s="1">
        <v>45043</v>
      </c>
      <c r="E679">
        <v>1</v>
      </c>
      <c r="F679" t="str">
        <f>"06-K11-00"</f>
        <v>06-K11-00</v>
      </c>
      <c r="G679">
        <v>0.34200000000000003</v>
      </c>
      <c r="H679" t="s">
        <v>11</v>
      </c>
      <c r="I679" t="s">
        <v>10</v>
      </c>
    </row>
    <row r="680" spans="1:9" x14ac:dyDescent="0.25">
      <c r="A680" t="str">
        <f t="shared" si="10"/>
        <v>89301000</v>
      </c>
      <c r="B680" t="str">
        <f>"0705195271"</f>
        <v>0705195271</v>
      </c>
      <c r="C680" s="1">
        <v>45201</v>
      </c>
      <c r="D680" s="1">
        <v>45203</v>
      </c>
      <c r="E680">
        <v>1</v>
      </c>
      <c r="F680" t="str">
        <f>"06-K02-04"</f>
        <v>06-K02-04</v>
      </c>
      <c r="G680">
        <v>0.37659999999999999</v>
      </c>
      <c r="H680" t="s">
        <v>11</v>
      </c>
      <c r="I680" t="s">
        <v>10</v>
      </c>
    </row>
    <row r="681" spans="1:9" x14ac:dyDescent="0.25">
      <c r="A681" t="str">
        <f t="shared" si="10"/>
        <v>89301000</v>
      </c>
      <c r="B681" t="str">
        <f>"0706023659"</f>
        <v>0706023659</v>
      </c>
      <c r="C681" s="1">
        <v>45166</v>
      </c>
      <c r="D681" s="1">
        <v>45169</v>
      </c>
      <c r="E681">
        <v>1</v>
      </c>
      <c r="F681" t="str">
        <f>"12-I14-00"</f>
        <v>12-I14-00</v>
      </c>
      <c r="G681">
        <v>0.42920000000000003</v>
      </c>
      <c r="H681" t="s">
        <v>11</v>
      </c>
      <c r="I681" t="s">
        <v>10</v>
      </c>
    </row>
    <row r="682" spans="1:9" x14ac:dyDescent="0.25">
      <c r="A682" t="str">
        <f t="shared" si="10"/>
        <v>89301000</v>
      </c>
      <c r="B682" t="str">
        <f>"0706041391"</f>
        <v>0706041391</v>
      </c>
      <c r="C682" s="1">
        <v>44950</v>
      </c>
      <c r="D682" s="1">
        <v>44957</v>
      </c>
      <c r="E682">
        <v>1</v>
      </c>
      <c r="F682" t="str">
        <f>"10-K04-03"</f>
        <v>10-K04-03</v>
      </c>
      <c r="G682">
        <v>0.86599999999999999</v>
      </c>
      <c r="H682" t="s">
        <v>11</v>
      </c>
      <c r="I682" t="s">
        <v>10</v>
      </c>
    </row>
    <row r="683" spans="1:9" x14ac:dyDescent="0.25">
      <c r="A683" t="str">
        <f t="shared" si="10"/>
        <v>89301000</v>
      </c>
      <c r="B683" t="str">
        <f>"0706043228"</f>
        <v>0706043228</v>
      </c>
      <c r="C683" s="1">
        <v>45114</v>
      </c>
      <c r="D683" s="1">
        <v>45115</v>
      </c>
      <c r="E683">
        <v>1</v>
      </c>
      <c r="F683" t="str">
        <f>"09-K12-00"</f>
        <v>09-K12-00</v>
      </c>
      <c r="G683">
        <v>0.26040000000000002</v>
      </c>
      <c r="H683" t="s">
        <v>11</v>
      </c>
      <c r="I683" t="s">
        <v>10</v>
      </c>
    </row>
    <row r="684" spans="1:9" x14ac:dyDescent="0.25">
      <c r="A684" t="str">
        <f t="shared" si="10"/>
        <v>89301000</v>
      </c>
      <c r="B684" t="str">
        <f>"0706045274"</f>
        <v>0706045274</v>
      </c>
      <c r="C684" s="1">
        <v>45215</v>
      </c>
      <c r="D684" s="1">
        <v>45218</v>
      </c>
      <c r="E684">
        <v>1</v>
      </c>
      <c r="F684" t="str">
        <f>"08-K10-00"</f>
        <v>08-K10-00</v>
      </c>
      <c r="G684">
        <v>0.74099999999999999</v>
      </c>
      <c r="H684" t="s">
        <v>11</v>
      </c>
      <c r="I684" t="s">
        <v>10</v>
      </c>
    </row>
    <row r="685" spans="1:9" x14ac:dyDescent="0.25">
      <c r="A685" t="str">
        <f t="shared" si="10"/>
        <v>89301000</v>
      </c>
      <c r="B685" t="str">
        <f>"0706096171"</f>
        <v>0706096171</v>
      </c>
      <c r="C685" s="1">
        <v>45028</v>
      </c>
      <c r="D685" s="1">
        <v>45032</v>
      </c>
      <c r="E685">
        <v>1</v>
      </c>
      <c r="F685" t="str">
        <f>"03-I17-00"</f>
        <v>03-I17-00</v>
      </c>
      <c r="G685">
        <v>0.83489999999999998</v>
      </c>
      <c r="H685" t="s">
        <v>9</v>
      </c>
      <c r="I685" t="s">
        <v>10</v>
      </c>
    </row>
    <row r="686" spans="1:9" x14ac:dyDescent="0.25">
      <c r="A686" t="str">
        <f t="shared" si="10"/>
        <v>89301000</v>
      </c>
      <c r="B686" t="str">
        <f>"0706167473"</f>
        <v>0706167473</v>
      </c>
      <c r="C686" s="1">
        <v>45088</v>
      </c>
      <c r="D686" s="1">
        <v>45090</v>
      </c>
      <c r="E686">
        <v>1</v>
      </c>
      <c r="F686" t="str">
        <f>"08-I20-03"</f>
        <v>08-I20-03</v>
      </c>
      <c r="G686">
        <v>0.62639999999999996</v>
      </c>
      <c r="H686" t="s">
        <v>12</v>
      </c>
      <c r="I686" t="s">
        <v>10</v>
      </c>
    </row>
    <row r="687" spans="1:9" x14ac:dyDescent="0.25">
      <c r="A687" t="str">
        <f t="shared" si="10"/>
        <v>89301000</v>
      </c>
      <c r="B687" t="str">
        <f>"0706231383"</f>
        <v>0706231383</v>
      </c>
      <c r="C687" s="1">
        <v>44955</v>
      </c>
      <c r="D687" s="1">
        <v>44958</v>
      </c>
      <c r="E687">
        <v>1</v>
      </c>
      <c r="F687" t="str">
        <f>"06-K06-02"</f>
        <v>06-K06-02</v>
      </c>
      <c r="G687">
        <v>0.64170000000000005</v>
      </c>
      <c r="H687" t="s">
        <v>11</v>
      </c>
      <c r="I687" t="s">
        <v>10</v>
      </c>
    </row>
    <row r="688" spans="1:9" x14ac:dyDescent="0.25">
      <c r="A688" t="str">
        <f t="shared" si="10"/>
        <v>89301000</v>
      </c>
      <c r="B688" t="str">
        <f>"0706231383"</f>
        <v>0706231383</v>
      </c>
      <c r="C688" s="1">
        <v>45118</v>
      </c>
      <c r="D688" s="1">
        <v>45120</v>
      </c>
      <c r="E688">
        <v>1</v>
      </c>
      <c r="F688" t="str">
        <f>"06-M01-03"</f>
        <v>06-M01-03</v>
      </c>
      <c r="G688">
        <v>0.82350000000000001</v>
      </c>
      <c r="H688" t="s">
        <v>11</v>
      </c>
      <c r="I688" t="s">
        <v>10</v>
      </c>
    </row>
    <row r="689" spans="1:9" x14ac:dyDescent="0.25">
      <c r="A689" t="str">
        <f t="shared" si="10"/>
        <v>89301000</v>
      </c>
      <c r="B689" t="str">
        <f>"0706231383"</f>
        <v>0706231383</v>
      </c>
      <c r="C689" s="1">
        <v>45033</v>
      </c>
      <c r="D689" s="1">
        <v>45035</v>
      </c>
      <c r="E689">
        <v>1</v>
      </c>
      <c r="F689" t="str">
        <f>"06-D01-00"</f>
        <v>06-D01-00</v>
      </c>
      <c r="G689">
        <v>1.1519999999999999</v>
      </c>
      <c r="H689" t="s">
        <v>11</v>
      </c>
      <c r="I689" t="s">
        <v>10</v>
      </c>
    </row>
    <row r="690" spans="1:9" x14ac:dyDescent="0.25">
      <c r="A690" t="str">
        <f t="shared" si="10"/>
        <v>89301000</v>
      </c>
      <c r="B690" t="str">
        <f>"0707036220"</f>
        <v>0707036220</v>
      </c>
      <c r="C690" s="1">
        <v>45241</v>
      </c>
      <c r="D690" s="1">
        <v>45253</v>
      </c>
      <c r="E690">
        <v>1</v>
      </c>
      <c r="F690" t="str">
        <f>"01-K16-02"</f>
        <v>01-K16-02</v>
      </c>
      <c r="G690">
        <v>1.0049999999999999</v>
      </c>
      <c r="H690" t="s">
        <v>11</v>
      </c>
      <c r="I690" t="s">
        <v>10</v>
      </c>
    </row>
    <row r="691" spans="1:9" x14ac:dyDescent="0.25">
      <c r="A691" t="str">
        <f t="shared" si="10"/>
        <v>89301000</v>
      </c>
      <c r="B691" t="str">
        <f>"0707086204"</f>
        <v>0707086204</v>
      </c>
      <c r="C691" s="1">
        <v>45226</v>
      </c>
      <c r="D691" s="1">
        <v>45229</v>
      </c>
      <c r="E691">
        <v>1</v>
      </c>
      <c r="F691" t="str">
        <f>"06-I18-04"</f>
        <v>06-I18-04</v>
      </c>
      <c r="G691">
        <v>1.1088</v>
      </c>
      <c r="H691" t="s">
        <v>9</v>
      </c>
      <c r="I691" t="s">
        <v>10</v>
      </c>
    </row>
    <row r="692" spans="1:9" x14ac:dyDescent="0.25">
      <c r="A692" t="str">
        <f t="shared" si="10"/>
        <v>89301000</v>
      </c>
      <c r="B692" t="str">
        <f>"0707123252"</f>
        <v>0707123252</v>
      </c>
      <c r="C692" s="1">
        <v>45017</v>
      </c>
      <c r="D692" s="1">
        <v>45018</v>
      </c>
      <c r="E692">
        <v>1</v>
      </c>
      <c r="F692" t="str">
        <f>"21-K05-04"</f>
        <v>21-K05-04</v>
      </c>
      <c r="G692">
        <v>0.24859999999999999</v>
      </c>
      <c r="H692" t="s">
        <v>11</v>
      </c>
      <c r="I692" t="s">
        <v>10</v>
      </c>
    </row>
    <row r="693" spans="1:9" x14ac:dyDescent="0.25">
      <c r="A693" t="str">
        <f t="shared" si="10"/>
        <v>89301000</v>
      </c>
      <c r="B693" t="str">
        <f>"0707136221"</f>
        <v>0707136221</v>
      </c>
      <c r="C693" s="1">
        <v>45208</v>
      </c>
      <c r="D693" s="1">
        <v>45236</v>
      </c>
      <c r="E693">
        <v>1</v>
      </c>
      <c r="F693" t="str">
        <f>"06-I07-04"</f>
        <v>06-I07-04</v>
      </c>
      <c r="G693">
        <v>4.5235000000000003</v>
      </c>
      <c r="H693" t="s">
        <v>12</v>
      </c>
      <c r="I693" t="s">
        <v>10</v>
      </c>
    </row>
    <row r="694" spans="1:9" x14ac:dyDescent="0.25">
      <c r="A694" t="str">
        <f t="shared" si="10"/>
        <v>89301000</v>
      </c>
      <c r="B694" t="str">
        <f>"0707136221"</f>
        <v>0707136221</v>
      </c>
      <c r="C694" s="1">
        <v>45187</v>
      </c>
      <c r="D694" s="1">
        <v>45196</v>
      </c>
      <c r="E694">
        <v>1</v>
      </c>
      <c r="F694" t="str">
        <f>"06-C01-00"</f>
        <v>06-C01-00</v>
      </c>
      <c r="G694">
        <v>0.53480000000000005</v>
      </c>
      <c r="H694" t="s">
        <v>11</v>
      </c>
      <c r="I694" t="s">
        <v>10</v>
      </c>
    </row>
    <row r="695" spans="1:9" x14ac:dyDescent="0.25">
      <c r="A695" t="str">
        <f t="shared" si="10"/>
        <v>89301000</v>
      </c>
      <c r="B695" t="str">
        <f>"0707136221"</f>
        <v>0707136221</v>
      </c>
      <c r="C695" s="1">
        <v>45148</v>
      </c>
      <c r="D695" s="1">
        <v>45155</v>
      </c>
      <c r="E695">
        <v>1</v>
      </c>
      <c r="F695" t="str">
        <f>"06-K19-03"</f>
        <v>06-K19-03</v>
      </c>
      <c r="G695">
        <v>0.84150000000000003</v>
      </c>
      <c r="H695" t="s">
        <v>11</v>
      </c>
      <c r="I695" t="s">
        <v>10</v>
      </c>
    </row>
    <row r="696" spans="1:9" x14ac:dyDescent="0.25">
      <c r="A696" t="str">
        <f t="shared" si="10"/>
        <v>89301000</v>
      </c>
      <c r="B696" t="str">
        <f>"0707173269"</f>
        <v>0707173269</v>
      </c>
      <c r="C696" s="1">
        <v>45257</v>
      </c>
      <c r="D696" s="1">
        <v>45258</v>
      </c>
      <c r="E696">
        <v>1</v>
      </c>
      <c r="F696" t="str">
        <f>"17-C03-02"</f>
        <v>17-C03-02</v>
      </c>
      <c r="G696">
        <v>1.1890000000000001</v>
      </c>
      <c r="H696" t="s">
        <v>11</v>
      </c>
      <c r="I696" t="s">
        <v>10</v>
      </c>
    </row>
    <row r="697" spans="1:9" x14ac:dyDescent="0.25">
      <c r="A697" t="str">
        <f t="shared" si="10"/>
        <v>89301000</v>
      </c>
      <c r="B697" t="str">
        <f>"0707173269"</f>
        <v>0707173269</v>
      </c>
      <c r="C697" s="1">
        <v>45271</v>
      </c>
      <c r="D697" s="1">
        <v>45272</v>
      </c>
      <c r="E697">
        <v>1</v>
      </c>
      <c r="F697" t="str">
        <f>"17-C03-02"</f>
        <v>17-C03-02</v>
      </c>
      <c r="G697">
        <v>1.1890000000000001</v>
      </c>
      <c r="H697" t="s">
        <v>11</v>
      </c>
      <c r="I697" t="s">
        <v>10</v>
      </c>
    </row>
    <row r="698" spans="1:9" x14ac:dyDescent="0.25">
      <c r="A698" t="str">
        <f t="shared" si="10"/>
        <v>89301000</v>
      </c>
      <c r="B698" t="str">
        <f>"0707173269"</f>
        <v>0707173269</v>
      </c>
      <c r="C698" s="1">
        <v>45173</v>
      </c>
      <c r="D698" s="1">
        <v>45203</v>
      </c>
      <c r="E698">
        <v>1</v>
      </c>
      <c r="F698" t="str">
        <f>"16-C03-01"</f>
        <v>16-C03-01</v>
      </c>
      <c r="G698">
        <v>5.7108999999999996</v>
      </c>
      <c r="H698" t="s">
        <v>11</v>
      </c>
      <c r="I698" t="s">
        <v>10</v>
      </c>
    </row>
    <row r="699" spans="1:9" x14ac:dyDescent="0.25">
      <c r="A699" t="str">
        <f t="shared" si="10"/>
        <v>89301000</v>
      </c>
      <c r="B699" t="str">
        <f>"0707173269"</f>
        <v>0707173269</v>
      </c>
      <c r="C699" s="1">
        <v>45231</v>
      </c>
      <c r="D699" s="1">
        <v>45253</v>
      </c>
      <c r="E699">
        <v>1</v>
      </c>
      <c r="F699" t="str">
        <f>"16-C03-01"</f>
        <v>16-C03-01</v>
      </c>
      <c r="G699">
        <v>4.8266999999999998</v>
      </c>
      <c r="H699" t="s">
        <v>11</v>
      </c>
      <c r="I699" t="s">
        <v>10</v>
      </c>
    </row>
    <row r="700" spans="1:9" x14ac:dyDescent="0.25">
      <c r="A700" t="str">
        <f t="shared" si="10"/>
        <v>89301000</v>
      </c>
      <c r="B700" t="str">
        <f>"0707185281"</f>
        <v>0707185281</v>
      </c>
      <c r="C700" s="1">
        <v>45259</v>
      </c>
      <c r="D700" s="1">
        <v>45260</v>
      </c>
      <c r="E700">
        <v>1</v>
      </c>
      <c r="F700" t="str">
        <f>"08-I18-02"</f>
        <v>08-I18-02</v>
      </c>
      <c r="G700">
        <v>0.62509999999999999</v>
      </c>
      <c r="H700" t="s">
        <v>12</v>
      </c>
      <c r="I700" t="s">
        <v>10</v>
      </c>
    </row>
    <row r="701" spans="1:9" x14ac:dyDescent="0.25">
      <c r="A701" t="str">
        <f t="shared" si="10"/>
        <v>89301000</v>
      </c>
      <c r="B701" t="str">
        <f>"0707265284"</f>
        <v>0707265284</v>
      </c>
      <c r="C701" s="1">
        <v>45165</v>
      </c>
      <c r="D701" s="1">
        <v>45167</v>
      </c>
      <c r="E701">
        <v>1</v>
      </c>
      <c r="F701" t="str">
        <f>"02-I11-01"</f>
        <v>02-I11-01</v>
      </c>
      <c r="G701">
        <v>0.80620000000000003</v>
      </c>
      <c r="H701" t="s">
        <v>12</v>
      </c>
      <c r="I701" t="s">
        <v>10</v>
      </c>
    </row>
    <row r="702" spans="1:9" x14ac:dyDescent="0.25">
      <c r="A702" t="str">
        <f t="shared" si="10"/>
        <v>89301000</v>
      </c>
      <c r="B702" t="str">
        <f>"0708023239"</f>
        <v>0708023239</v>
      </c>
      <c r="C702" s="1">
        <v>44943</v>
      </c>
      <c r="D702" s="1">
        <v>44945</v>
      </c>
      <c r="E702">
        <v>1</v>
      </c>
      <c r="F702" t="str">
        <f>"08-I32-00"</f>
        <v>08-I32-00</v>
      </c>
      <c r="G702">
        <v>0.40870000000000001</v>
      </c>
      <c r="H702" t="s">
        <v>11</v>
      </c>
      <c r="I702" t="s">
        <v>10</v>
      </c>
    </row>
    <row r="703" spans="1:9" x14ac:dyDescent="0.25">
      <c r="A703" t="str">
        <f t="shared" si="10"/>
        <v>89301000</v>
      </c>
      <c r="B703" t="str">
        <f>"0708053236"</f>
        <v>0708053236</v>
      </c>
      <c r="C703" s="1">
        <v>44939</v>
      </c>
      <c r="D703" s="1">
        <v>44943</v>
      </c>
      <c r="E703">
        <v>1</v>
      </c>
      <c r="F703" t="str">
        <f>"04-K13-01"</f>
        <v>04-K13-01</v>
      </c>
      <c r="G703">
        <v>0.69920000000000004</v>
      </c>
      <c r="H703" t="s">
        <v>11</v>
      </c>
      <c r="I703" t="s">
        <v>10</v>
      </c>
    </row>
    <row r="704" spans="1:9" x14ac:dyDescent="0.25">
      <c r="A704" t="str">
        <f t="shared" ref="A704:A767" si="11">"89301000"</f>
        <v>89301000</v>
      </c>
      <c r="B704" t="str">
        <f>"0708143260"</f>
        <v>0708143260</v>
      </c>
      <c r="C704" s="1">
        <v>45076</v>
      </c>
      <c r="D704" s="1">
        <v>45078</v>
      </c>
      <c r="E704">
        <v>1</v>
      </c>
      <c r="F704" t="str">
        <f>"03-I23-02"</f>
        <v>03-I23-02</v>
      </c>
      <c r="G704">
        <v>0.58609999999999995</v>
      </c>
      <c r="H704" t="s">
        <v>11</v>
      </c>
      <c r="I704" t="s">
        <v>10</v>
      </c>
    </row>
    <row r="705" spans="1:9" x14ac:dyDescent="0.25">
      <c r="A705" t="str">
        <f t="shared" si="11"/>
        <v>89301000</v>
      </c>
      <c r="B705" t="str">
        <f>"0709193243"</f>
        <v>0709193243</v>
      </c>
      <c r="C705" s="1">
        <v>45163</v>
      </c>
      <c r="D705" s="1">
        <v>45164</v>
      </c>
      <c r="E705">
        <v>1</v>
      </c>
      <c r="F705" t="str">
        <f>"06-K02-04"</f>
        <v>06-K02-04</v>
      </c>
      <c r="G705">
        <v>0.37659999999999999</v>
      </c>
      <c r="H705" t="s">
        <v>11</v>
      </c>
      <c r="I705" t="s">
        <v>10</v>
      </c>
    </row>
    <row r="706" spans="1:9" x14ac:dyDescent="0.25">
      <c r="A706" t="str">
        <f t="shared" si="11"/>
        <v>89301000</v>
      </c>
      <c r="B706" t="str">
        <f>"0709273400"</f>
        <v>0709273400</v>
      </c>
      <c r="C706" s="1">
        <v>45089</v>
      </c>
      <c r="D706" s="1">
        <v>45091</v>
      </c>
      <c r="E706">
        <v>1</v>
      </c>
      <c r="F706" t="str">
        <f>"12-I14-00"</f>
        <v>12-I14-00</v>
      </c>
      <c r="G706">
        <v>0.42920000000000003</v>
      </c>
      <c r="H706" t="s">
        <v>11</v>
      </c>
      <c r="I706" t="s">
        <v>10</v>
      </c>
    </row>
    <row r="707" spans="1:9" x14ac:dyDescent="0.25">
      <c r="A707" t="str">
        <f t="shared" si="11"/>
        <v>89301000</v>
      </c>
      <c r="B707" t="str">
        <f>"0710165280"</f>
        <v>0710165280</v>
      </c>
      <c r="C707" s="1">
        <v>45000</v>
      </c>
      <c r="D707" s="1">
        <v>45009</v>
      </c>
      <c r="E707">
        <v>1</v>
      </c>
      <c r="F707" t="str">
        <f>"04-I06-02"</f>
        <v>04-I06-02</v>
      </c>
      <c r="G707">
        <v>1.9992000000000001</v>
      </c>
      <c r="H707" t="s">
        <v>9</v>
      </c>
      <c r="I707" t="s">
        <v>10</v>
      </c>
    </row>
    <row r="708" spans="1:9" x14ac:dyDescent="0.25">
      <c r="A708" t="str">
        <f t="shared" si="11"/>
        <v>89301000</v>
      </c>
      <c r="B708" t="str">
        <f>"0710283233"</f>
        <v>0710283233</v>
      </c>
      <c r="C708" s="1">
        <v>45213</v>
      </c>
      <c r="D708" s="1">
        <v>45220</v>
      </c>
      <c r="E708">
        <v>1</v>
      </c>
      <c r="F708" t="str">
        <f>"11-K01-02"</f>
        <v>11-K01-02</v>
      </c>
      <c r="G708">
        <v>0.86480000000000001</v>
      </c>
      <c r="H708" t="s">
        <v>11</v>
      </c>
      <c r="I708" t="s">
        <v>10</v>
      </c>
    </row>
    <row r="709" spans="1:9" x14ac:dyDescent="0.25">
      <c r="A709" t="str">
        <f t="shared" si="11"/>
        <v>89301000</v>
      </c>
      <c r="B709" t="str">
        <f>"0711024952"</f>
        <v>0711024952</v>
      </c>
      <c r="C709" s="1">
        <v>45013</v>
      </c>
      <c r="D709" s="1">
        <v>45015</v>
      </c>
      <c r="E709">
        <v>1</v>
      </c>
      <c r="F709" t="str">
        <f>"06-K22-03"</f>
        <v>06-K22-03</v>
      </c>
      <c r="G709">
        <v>0.31619999999999998</v>
      </c>
      <c r="H709" t="s">
        <v>11</v>
      </c>
      <c r="I709" t="s">
        <v>10</v>
      </c>
    </row>
    <row r="710" spans="1:9" x14ac:dyDescent="0.25">
      <c r="A710" t="str">
        <f t="shared" si="11"/>
        <v>89301000</v>
      </c>
      <c r="B710" t="str">
        <f>"0711024952"</f>
        <v>0711024952</v>
      </c>
      <c r="C710" s="1">
        <v>45085</v>
      </c>
      <c r="D710" s="1">
        <v>45097</v>
      </c>
      <c r="E710">
        <v>1</v>
      </c>
      <c r="F710" t="str">
        <f>"25-K01-02"</f>
        <v>25-K01-02</v>
      </c>
      <c r="G710">
        <v>2.3247</v>
      </c>
      <c r="H710" t="s">
        <v>14</v>
      </c>
      <c r="I710" t="s">
        <v>10</v>
      </c>
    </row>
    <row r="711" spans="1:9" x14ac:dyDescent="0.25">
      <c r="A711" t="str">
        <f t="shared" si="11"/>
        <v>89301000</v>
      </c>
      <c r="B711" t="str">
        <f>"0711065344"</f>
        <v>0711065344</v>
      </c>
      <c r="C711" s="1">
        <v>45139</v>
      </c>
      <c r="D711" s="1">
        <v>45141</v>
      </c>
      <c r="E711">
        <v>1</v>
      </c>
      <c r="F711" t="str">
        <f>"08-I31-04"</f>
        <v>08-I31-04</v>
      </c>
      <c r="G711">
        <v>0.49170000000000003</v>
      </c>
      <c r="H711" t="s">
        <v>11</v>
      </c>
      <c r="I711" t="s">
        <v>10</v>
      </c>
    </row>
    <row r="712" spans="1:9" x14ac:dyDescent="0.25">
      <c r="A712" t="str">
        <f t="shared" si="11"/>
        <v>89301000</v>
      </c>
      <c r="B712" t="str">
        <f>"0711083560"</f>
        <v>0711083560</v>
      </c>
      <c r="C712" s="1">
        <v>44992</v>
      </c>
      <c r="D712" s="1">
        <v>44994</v>
      </c>
      <c r="E712">
        <v>1</v>
      </c>
      <c r="F712" t="str">
        <f>"08-I26-03"</f>
        <v>08-I26-03</v>
      </c>
      <c r="G712">
        <v>0.47699999999999998</v>
      </c>
      <c r="H712" t="s">
        <v>11</v>
      </c>
      <c r="I712" t="s">
        <v>10</v>
      </c>
    </row>
    <row r="713" spans="1:9" x14ac:dyDescent="0.25">
      <c r="A713" t="str">
        <f t="shared" si="11"/>
        <v>89301000</v>
      </c>
      <c r="B713" t="str">
        <f>"0711104702"</f>
        <v>0711104702</v>
      </c>
      <c r="C713" s="1">
        <v>45236</v>
      </c>
      <c r="D713" s="1">
        <v>45238</v>
      </c>
      <c r="E713">
        <v>1</v>
      </c>
      <c r="F713" t="str">
        <f>"12-I14-00"</f>
        <v>12-I14-00</v>
      </c>
      <c r="G713">
        <v>0.42920000000000003</v>
      </c>
      <c r="H713" t="s">
        <v>11</v>
      </c>
      <c r="I713" t="s">
        <v>10</v>
      </c>
    </row>
    <row r="714" spans="1:9" x14ac:dyDescent="0.25">
      <c r="A714" t="str">
        <f t="shared" si="11"/>
        <v>89301000</v>
      </c>
      <c r="B714" t="str">
        <f>"0711126064"</f>
        <v>0711126064</v>
      </c>
      <c r="C714" s="1">
        <v>45273</v>
      </c>
      <c r="D714" s="1">
        <v>45275</v>
      </c>
      <c r="E714">
        <v>1</v>
      </c>
      <c r="F714" t="str">
        <f>"08-I14-04"</f>
        <v>08-I14-04</v>
      </c>
      <c r="G714">
        <v>1.0731999999999999</v>
      </c>
      <c r="H714" t="s">
        <v>12</v>
      </c>
      <c r="I714" t="s">
        <v>10</v>
      </c>
    </row>
    <row r="715" spans="1:9" x14ac:dyDescent="0.25">
      <c r="A715" t="str">
        <f t="shared" si="11"/>
        <v>89301000</v>
      </c>
      <c r="B715" t="str">
        <f>"0711136096"</f>
        <v>0711136096</v>
      </c>
      <c r="C715" s="1">
        <v>44951</v>
      </c>
      <c r="D715" s="1">
        <v>44952</v>
      </c>
      <c r="E715">
        <v>1</v>
      </c>
      <c r="F715" t="str">
        <f>"23-K01-00"</f>
        <v>23-K01-00</v>
      </c>
      <c r="G715">
        <v>0.1401</v>
      </c>
      <c r="H715" t="s">
        <v>11</v>
      </c>
      <c r="I715" t="s">
        <v>10</v>
      </c>
    </row>
    <row r="716" spans="1:9" x14ac:dyDescent="0.25">
      <c r="A716" t="str">
        <f t="shared" si="11"/>
        <v>89301000</v>
      </c>
      <c r="B716" t="str">
        <f>"0711136096"</f>
        <v>0711136096</v>
      </c>
      <c r="C716" s="1">
        <v>45000</v>
      </c>
      <c r="D716" s="1">
        <v>45003</v>
      </c>
      <c r="E716">
        <v>1</v>
      </c>
      <c r="F716" t="str">
        <f>"12-I13-01"</f>
        <v>12-I13-01</v>
      </c>
      <c r="G716">
        <v>0.78059999999999996</v>
      </c>
      <c r="H716" t="s">
        <v>9</v>
      </c>
      <c r="I716" t="s">
        <v>10</v>
      </c>
    </row>
    <row r="717" spans="1:9" x14ac:dyDescent="0.25">
      <c r="A717" t="str">
        <f t="shared" si="11"/>
        <v>89301000</v>
      </c>
      <c r="B717" t="str">
        <f>"0712085264"</f>
        <v>0712085264</v>
      </c>
      <c r="C717" s="1">
        <v>45169</v>
      </c>
      <c r="D717" s="1">
        <v>45171</v>
      </c>
      <c r="E717">
        <v>1</v>
      </c>
      <c r="F717" t="str">
        <f>"06-K02-04"</f>
        <v>06-K02-04</v>
      </c>
      <c r="G717">
        <v>0.37659999999999999</v>
      </c>
      <c r="H717" t="s">
        <v>11</v>
      </c>
      <c r="I717" t="s">
        <v>10</v>
      </c>
    </row>
    <row r="718" spans="1:9" x14ac:dyDescent="0.25">
      <c r="A718" t="str">
        <f t="shared" si="11"/>
        <v>89301000</v>
      </c>
      <c r="B718" t="str">
        <f>"0712306067"</f>
        <v>0712306067</v>
      </c>
      <c r="C718" s="1">
        <v>45020</v>
      </c>
      <c r="D718" s="1">
        <v>45022</v>
      </c>
      <c r="E718">
        <v>1</v>
      </c>
      <c r="F718" t="str">
        <f>"03-K08-00"</f>
        <v>03-K08-00</v>
      </c>
      <c r="G718">
        <v>0.45519999999999999</v>
      </c>
      <c r="H718" t="s">
        <v>11</v>
      </c>
      <c r="I718" t="s">
        <v>10</v>
      </c>
    </row>
    <row r="719" spans="1:9" x14ac:dyDescent="0.25">
      <c r="A719" t="str">
        <f t="shared" si="11"/>
        <v>89301000</v>
      </c>
      <c r="B719" t="str">
        <f>"0751086072"</f>
        <v>0751086072</v>
      </c>
      <c r="C719" s="1">
        <v>44991</v>
      </c>
      <c r="D719" s="1">
        <v>44992</v>
      </c>
      <c r="E719">
        <v>1</v>
      </c>
      <c r="F719" t="str">
        <f>"01-K18-04"</f>
        <v>01-K18-04</v>
      </c>
      <c r="G719">
        <v>0.54610000000000003</v>
      </c>
      <c r="H719" t="s">
        <v>11</v>
      </c>
      <c r="I719" t="s">
        <v>10</v>
      </c>
    </row>
    <row r="720" spans="1:9" x14ac:dyDescent="0.25">
      <c r="A720" t="str">
        <f t="shared" si="11"/>
        <v>89301000</v>
      </c>
      <c r="B720" t="str">
        <f>"0751095290"</f>
        <v>0751095290</v>
      </c>
      <c r="C720" s="1">
        <v>45243</v>
      </c>
      <c r="D720" s="1">
        <v>45254</v>
      </c>
      <c r="E720">
        <v>1</v>
      </c>
      <c r="F720" t="str">
        <f>"01-K16-05"</f>
        <v>01-K16-05</v>
      </c>
      <c r="G720">
        <v>0.77549999999999997</v>
      </c>
      <c r="H720" t="s">
        <v>11</v>
      </c>
      <c r="I720" t="s">
        <v>10</v>
      </c>
    </row>
    <row r="721" spans="1:9" x14ac:dyDescent="0.25">
      <c r="A721" t="str">
        <f t="shared" si="11"/>
        <v>89301000</v>
      </c>
      <c r="B721" t="str">
        <f>"0751156098"</f>
        <v>0751156098</v>
      </c>
      <c r="C721" s="1">
        <v>45103</v>
      </c>
      <c r="D721" s="1">
        <v>45106</v>
      </c>
      <c r="E721">
        <v>1</v>
      </c>
      <c r="F721" t="str">
        <f>"10-M01-00"</f>
        <v>10-M01-00</v>
      </c>
      <c r="G721">
        <v>0.43469999999999998</v>
      </c>
      <c r="H721" t="s">
        <v>11</v>
      </c>
      <c r="I721" t="s">
        <v>10</v>
      </c>
    </row>
    <row r="722" spans="1:9" x14ac:dyDescent="0.25">
      <c r="A722" t="str">
        <f t="shared" si="11"/>
        <v>89301000</v>
      </c>
      <c r="B722" t="str">
        <f>"0751163226"</f>
        <v>0751163226</v>
      </c>
      <c r="C722" s="1">
        <v>45049</v>
      </c>
      <c r="D722" s="1">
        <v>45055</v>
      </c>
      <c r="E722">
        <v>1</v>
      </c>
      <c r="F722" t="str">
        <f>"07-I10-06"</f>
        <v>07-I10-06</v>
      </c>
      <c r="G722">
        <v>0.98419999999999996</v>
      </c>
      <c r="H722" t="s">
        <v>12</v>
      </c>
      <c r="I722" t="s">
        <v>10</v>
      </c>
    </row>
    <row r="723" spans="1:9" x14ac:dyDescent="0.25">
      <c r="A723" t="str">
        <f t="shared" si="11"/>
        <v>89301000</v>
      </c>
      <c r="B723" t="str">
        <f>"0752023261"</f>
        <v>0752023261</v>
      </c>
      <c r="C723" s="1">
        <v>44992</v>
      </c>
      <c r="D723" s="1">
        <v>44994</v>
      </c>
      <c r="E723">
        <v>1</v>
      </c>
      <c r="F723" t="str">
        <f>"03-K08-00"</f>
        <v>03-K08-00</v>
      </c>
      <c r="G723">
        <v>0.45639999999999997</v>
      </c>
      <c r="H723" t="s">
        <v>11</v>
      </c>
      <c r="I723" t="s">
        <v>10</v>
      </c>
    </row>
    <row r="724" spans="1:9" x14ac:dyDescent="0.25">
      <c r="A724" t="str">
        <f t="shared" si="11"/>
        <v>89301000</v>
      </c>
      <c r="B724" t="str">
        <f>"0752056162"</f>
        <v>0752056162</v>
      </c>
      <c r="C724" s="1">
        <v>44991</v>
      </c>
      <c r="D724" s="1">
        <v>44995</v>
      </c>
      <c r="E724">
        <v>1</v>
      </c>
      <c r="F724" t="str">
        <f>"09-K14-02"</f>
        <v>09-K14-02</v>
      </c>
      <c r="G724">
        <v>0.5</v>
      </c>
      <c r="H724" t="s">
        <v>11</v>
      </c>
      <c r="I724" t="s">
        <v>10</v>
      </c>
    </row>
    <row r="725" spans="1:9" x14ac:dyDescent="0.25">
      <c r="A725" t="str">
        <f t="shared" si="11"/>
        <v>89301000</v>
      </c>
      <c r="B725" t="str">
        <f>"0752076094"</f>
        <v>0752076094</v>
      </c>
      <c r="C725" s="1">
        <v>45034</v>
      </c>
      <c r="D725" s="1">
        <v>45037</v>
      </c>
      <c r="E725">
        <v>1</v>
      </c>
      <c r="F725" t="str">
        <f>"14-M01-05"</f>
        <v>14-M01-05</v>
      </c>
      <c r="G725">
        <v>0.56289999999999996</v>
      </c>
      <c r="H725" t="s">
        <v>13</v>
      </c>
      <c r="I725" t="s">
        <v>10</v>
      </c>
    </row>
    <row r="726" spans="1:9" x14ac:dyDescent="0.25">
      <c r="A726" t="str">
        <f t="shared" si="11"/>
        <v>89301000</v>
      </c>
      <c r="B726" t="str">
        <f>"0752141390"</f>
        <v>0752141390</v>
      </c>
      <c r="C726" s="1">
        <v>45209</v>
      </c>
      <c r="D726" s="1">
        <v>45210</v>
      </c>
      <c r="E726">
        <v>6</v>
      </c>
      <c r="F726" t="str">
        <f>"04-K15-03"</f>
        <v>04-K15-03</v>
      </c>
      <c r="G726">
        <v>0.48670000000000002</v>
      </c>
      <c r="H726" t="s">
        <v>11</v>
      </c>
      <c r="I726" t="s">
        <v>10</v>
      </c>
    </row>
    <row r="727" spans="1:9" x14ac:dyDescent="0.25">
      <c r="A727" t="str">
        <f t="shared" si="11"/>
        <v>89301000</v>
      </c>
      <c r="B727" t="str">
        <f>"0752225265"</f>
        <v>0752225265</v>
      </c>
      <c r="C727" s="1">
        <v>45239</v>
      </c>
      <c r="D727" s="1">
        <v>45243</v>
      </c>
      <c r="E727">
        <v>1</v>
      </c>
      <c r="F727" t="str">
        <f>"10-K04-04"</f>
        <v>10-K04-04</v>
      </c>
      <c r="G727">
        <v>0.53949999999999998</v>
      </c>
      <c r="H727" t="s">
        <v>11</v>
      </c>
      <c r="I727" t="s">
        <v>10</v>
      </c>
    </row>
    <row r="728" spans="1:9" x14ac:dyDescent="0.25">
      <c r="A728" t="str">
        <f t="shared" si="11"/>
        <v>89301000</v>
      </c>
      <c r="B728" t="str">
        <f>"0753166062"</f>
        <v>0753166062</v>
      </c>
      <c r="C728" s="1">
        <v>45006</v>
      </c>
      <c r="D728" s="1">
        <v>45008</v>
      </c>
      <c r="E728">
        <v>1</v>
      </c>
      <c r="F728" t="str">
        <f>"06-K03-03"</f>
        <v>06-K03-03</v>
      </c>
      <c r="G728">
        <v>0.43419999999999997</v>
      </c>
      <c r="H728" t="s">
        <v>11</v>
      </c>
      <c r="I728" t="s">
        <v>10</v>
      </c>
    </row>
    <row r="729" spans="1:9" x14ac:dyDescent="0.25">
      <c r="A729" t="str">
        <f t="shared" si="11"/>
        <v>89301000</v>
      </c>
      <c r="B729" t="str">
        <f>"0753203231"</f>
        <v>0753203231</v>
      </c>
      <c r="C729" s="1">
        <v>44942</v>
      </c>
      <c r="D729" s="1">
        <v>44946</v>
      </c>
      <c r="E729">
        <v>1</v>
      </c>
      <c r="F729" t="str">
        <f>"09-K14-02"</f>
        <v>09-K14-02</v>
      </c>
      <c r="G729">
        <v>0.5</v>
      </c>
      <c r="H729" t="s">
        <v>11</v>
      </c>
      <c r="I729" t="s">
        <v>10</v>
      </c>
    </row>
    <row r="730" spans="1:9" x14ac:dyDescent="0.25">
      <c r="A730" t="str">
        <f t="shared" si="11"/>
        <v>89301000</v>
      </c>
      <c r="B730" t="str">
        <f>"0753203231"</f>
        <v>0753203231</v>
      </c>
      <c r="C730" s="1">
        <v>45206</v>
      </c>
      <c r="D730" s="1">
        <v>45207</v>
      </c>
      <c r="E730">
        <v>1</v>
      </c>
      <c r="F730" t="str">
        <f>"09-K14-02"</f>
        <v>09-K14-02</v>
      </c>
      <c r="G730">
        <v>0.5</v>
      </c>
      <c r="H730" t="s">
        <v>11</v>
      </c>
      <c r="I730" t="s">
        <v>10</v>
      </c>
    </row>
    <row r="731" spans="1:9" x14ac:dyDescent="0.25">
      <c r="A731" t="str">
        <f t="shared" si="11"/>
        <v>89301000</v>
      </c>
      <c r="B731" t="str">
        <f>"0753215298"</f>
        <v>0753215298</v>
      </c>
      <c r="C731" s="1">
        <v>44928</v>
      </c>
      <c r="D731" s="1">
        <v>44930</v>
      </c>
      <c r="E731">
        <v>1</v>
      </c>
      <c r="F731" t="str">
        <f>"03-I23-02"</f>
        <v>03-I23-02</v>
      </c>
      <c r="G731">
        <v>0.58609999999999995</v>
      </c>
      <c r="H731" t="s">
        <v>11</v>
      </c>
      <c r="I731" t="s">
        <v>10</v>
      </c>
    </row>
    <row r="732" spans="1:9" x14ac:dyDescent="0.25">
      <c r="A732" t="str">
        <f t="shared" si="11"/>
        <v>89301000</v>
      </c>
      <c r="B732" t="str">
        <f>"0754303264"</f>
        <v>0754303264</v>
      </c>
      <c r="C732" s="1">
        <v>45209</v>
      </c>
      <c r="D732" s="1">
        <v>45211</v>
      </c>
      <c r="E732">
        <v>1</v>
      </c>
      <c r="F732" t="str">
        <f>"11-K06-01"</f>
        <v>11-K06-01</v>
      </c>
      <c r="G732">
        <v>0.3009</v>
      </c>
      <c r="H732" t="s">
        <v>11</v>
      </c>
      <c r="I732" t="s">
        <v>10</v>
      </c>
    </row>
    <row r="733" spans="1:9" x14ac:dyDescent="0.25">
      <c r="A733" t="str">
        <f t="shared" si="11"/>
        <v>89301000</v>
      </c>
      <c r="B733" t="str">
        <f>"0755066070"</f>
        <v>0755066070</v>
      </c>
      <c r="C733" s="1">
        <v>45091</v>
      </c>
      <c r="D733" s="1">
        <v>45092</v>
      </c>
      <c r="E733">
        <v>1</v>
      </c>
      <c r="F733" t="str">
        <f>"16-K02-03"</f>
        <v>16-K02-03</v>
      </c>
      <c r="G733">
        <v>0.58299999999999996</v>
      </c>
      <c r="H733" t="s">
        <v>11</v>
      </c>
      <c r="I733" t="s">
        <v>10</v>
      </c>
    </row>
    <row r="734" spans="1:9" x14ac:dyDescent="0.25">
      <c r="A734" t="str">
        <f t="shared" si="11"/>
        <v>89301000</v>
      </c>
      <c r="B734" t="str">
        <f>"0755106143"</f>
        <v>0755106143</v>
      </c>
      <c r="C734" s="1">
        <v>45238</v>
      </c>
      <c r="D734" s="1">
        <v>45240</v>
      </c>
      <c r="E734">
        <v>1</v>
      </c>
      <c r="F734" t="str">
        <f>"08-K04-02"</f>
        <v>08-K04-02</v>
      </c>
      <c r="G734">
        <v>0.54300000000000004</v>
      </c>
      <c r="H734" t="s">
        <v>11</v>
      </c>
      <c r="I734" t="s">
        <v>10</v>
      </c>
    </row>
    <row r="735" spans="1:9" x14ac:dyDescent="0.25">
      <c r="A735" t="str">
        <f t="shared" si="11"/>
        <v>89301000</v>
      </c>
      <c r="B735" t="str">
        <f>"0755145292"</f>
        <v>0755145292</v>
      </c>
      <c r="C735" s="1">
        <v>44952</v>
      </c>
      <c r="D735" s="1">
        <v>44957</v>
      </c>
      <c r="E735">
        <v>1</v>
      </c>
      <c r="F735" t="str">
        <f>"01-K07-03"</f>
        <v>01-K07-03</v>
      </c>
      <c r="G735">
        <v>0.48680000000000001</v>
      </c>
      <c r="H735" t="s">
        <v>11</v>
      </c>
      <c r="I735" t="s">
        <v>10</v>
      </c>
    </row>
    <row r="736" spans="1:9" x14ac:dyDescent="0.25">
      <c r="A736" t="str">
        <f t="shared" si="11"/>
        <v>89301000</v>
      </c>
      <c r="B736" t="str">
        <f>"0755146062"</f>
        <v>0755146062</v>
      </c>
      <c r="C736" s="1">
        <v>45244</v>
      </c>
      <c r="D736" s="1">
        <v>45258</v>
      </c>
      <c r="E736">
        <v>1</v>
      </c>
      <c r="F736" t="str">
        <f>"19-K04-02"</f>
        <v>19-K04-02</v>
      </c>
      <c r="G736">
        <v>1.3379000000000001</v>
      </c>
      <c r="H736" t="s">
        <v>15</v>
      </c>
      <c r="I736" t="s">
        <v>10</v>
      </c>
    </row>
    <row r="737" spans="1:9" x14ac:dyDescent="0.25">
      <c r="A737" t="str">
        <f t="shared" si="11"/>
        <v>89301000</v>
      </c>
      <c r="B737" t="str">
        <f>"0755146062"</f>
        <v>0755146062</v>
      </c>
      <c r="C737" s="1">
        <v>45079</v>
      </c>
      <c r="D737" s="1">
        <v>45090</v>
      </c>
      <c r="E737">
        <v>1</v>
      </c>
      <c r="F737" t="str">
        <f>"19-K04-02"</f>
        <v>19-K04-02</v>
      </c>
      <c r="G737">
        <v>1.3379000000000001</v>
      </c>
      <c r="H737" t="s">
        <v>15</v>
      </c>
      <c r="I737" t="s">
        <v>10</v>
      </c>
    </row>
    <row r="738" spans="1:9" x14ac:dyDescent="0.25">
      <c r="A738" t="str">
        <f t="shared" si="11"/>
        <v>89301000</v>
      </c>
      <c r="B738" t="str">
        <f>"0755193230"</f>
        <v>0755193230</v>
      </c>
      <c r="C738" s="1">
        <v>45260</v>
      </c>
      <c r="D738" s="1">
        <v>45262</v>
      </c>
      <c r="E738">
        <v>1</v>
      </c>
      <c r="F738" t="str">
        <f>"03-K03-02"</f>
        <v>03-K03-02</v>
      </c>
      <c r="G738">
        <v>0.51949999999999996</v>
      </c>
      <c r="H738" t="s">
        <v>11</v>
      </c>
      <c r="I738" t="s">
        <v>10</v>
      </c>
    </row>
    <row r="739" spans="1:9" x14ac:dyDescent="0.25">
      <c r="A739" t="str">
        <f t="shared" si="11"/>
        <v>89301000</v>
      </c>
      <c r="B739" t="str">
        <f>"0755217430"</f>
        <v>0755217430</v>
      </c>
      <c r="C739" s="1">
        <v>45161</v>
      </c>
      <c r="D739" s="1">
        <v>45163</v>
      </c>
      <c r="E739">
        <v>1</v>
      </c>
      <c r="F739" t="str">
        <f>"08-I26-02"</f>
        <v>08-I26-02</v>
      </c>
      <c r="G739">
        <v>0.83779999999999999</v>
      </c>
      <c r="H739" t="s">
        <v>11</v>
      </c>
      <c r="I739" t="s">
        <v>10</v>
      </c>
    </row>
    <row r="740" spans="1:9" x14ac:dyDescent="0.25">
      <c r="A740" t="str">
        <f t="shared" si="11"/>
        <v>89301000</v>
      </c>
      <c r="B740" t="str">
        <f>"0755286070"</f>
        <v>0755286070</v>
      </c>
      <c r="C740" s="1">
        <v>44978</v>
      </c>
      <c r="D740" s="1">
        <v>44984</v>
      </c>
      <c r="E740">
        <v>1</v>
      </c>
      <c r="F740" t="str">
        <f>"06-I18-04"</f>
        <v>06-I18-04</v>
      </c>
      <c r="G740">
        <v>1.1088</v>
      </c>
      <c r="H740" t="s">
        <v>9</v>
      </c>
      <c r="I740" t="s">
        <v>10</v>
      </c>
    </row>
    <row r="741" spans="1:9" x14ac:dyDescent="0.25">
      <c r="A741" t="str">
        <f t="shared" si="11"/>
        <v>89301000</v>
      </c>
      <c r="B741" t="str">
        <f>"0755305265"</f>
        <v>0755305265</v>
      </c>
      <c r="C741" s="1">
        <v>45215</v>
      </c>
      <c r="D741" s="1">
        <v>45217</v>
      </c>
      <c r="E741">
        <v>1</v>
      </c>
      <c r="F741" t="str">
        <f>"10-M01-00"</f>
        <v>10-M01-00</v>
      </c>
      <c r="G741">
        <v>0.43469999999999998</v>
      </c>
      <c r="H741" t="s">
        <v>11</v>
      </c>
      <c r="I741" t="s">
        <v>10</v>
      </c>
    </row>
    <row r="742" spans="1:9" x14ac:dyDescent="0.25">
      <c r="A742" t="str">
        <f t="shared" si="11"/>
        <v>89301000</v>
      </c>
      <c r="B742" t="str">
        <f>"0755305276"</f>
        <v>0755305276</v>
      </c>
      <c r="C742" s="1">
        <v>45279</v>
      </c>
      <c r="D742" s="1">
        <v>45281</v>
      </c>
      <c r="E742">
        <v>1</v>
      </c>
      <c r="F742" t="str">
        <f>"08-I23-02"</f>
        <v>08-I23-02</v>
      </c>
      <c r="G742">
        <v>0.91059999999999997</v>
      </c>
      <c r="H742" t="s">
        <v>12</v>
      </c>
      <c r="I742" t="s">
        <v>10</v>
      </c>
    </row>
    <row r="743" spans="1:9" x14ac:dyDescent="0.25">
      <c r="A743" t="str">
        <f t="shared" si="11"/>
        <v>89301000</v>
      </c>
      <c r="B743" t="str">
        <f>"0756013236"</f>
        <v>0756013236</v>
      </c>
      <c r="C743" s="1">
        <v>45006</v>
      </c>
      <c r="D743" s="1">
        <v>45008</v>
      </c>
      <c r="E743">
        <v>1</v>
      </c>
      <c r="F743" t="str">
        <f>"08-I32-00"</f>
        <v>08-I32-00</v>
      </c>
      <c r="G743">
        <v>0.40870000000000001</v>
      </c>
      <c r="H743" t="s">
        <v>11</v>
      </c>
      <c r="I743" t="s">
        <v>10</v>
      </c>
    </row>
    <row r="744" spans="1:9" x14ac:dyDescent="0.25">
      <c r="A744" t="str">
        <f t="shared" si="11"/>
        <v>89301000</v>
      </c>
      <c r="B744" t="str">
        <f>"0756083383"</f>
        <v>0756083383</v>
      </c>
      <c r="C744" s="1">
        <v>45061</v>
      </c>
      <c r="D744" s="1">
        <v>45065</v>
      </c>
      <c r="E744">
        <v>1</v>
      </c>
      <c r="F744" t="str">
        <f>"09-K04-02"</f>
        <v>09-K04-02</v>
      </c>
      <c r="G744">
        <v>0.64849999999999997</v>
      </c>
      <c r="H744" t="s">
        <v>11</v>
      </c>
      <c r="I744" t="s">
        <v>10</v>
      </c>
    </row>
    <row r="745" spans="1:9" x14ac:dyDescent="0.25">
      <c r="A745" t="str">
        <f t="shared" si="11"/>
        <v>89301000</v>
      </c>
      <c r="B745" t="str">
        <f>"0756085341"</f>
        <v>0756085341</v>
      </c>
      <c r="C745" s="1">
        <v>45089</v>
      </c>
      <c r="D745" s="1">
        <v>45092</v>
      </c>
      <c r="E745">
        <v>1</v>
      </c>
      <c r="F745" t="str">
        <f>"08-I21-02"</f>
        <v>08-I21-02</v>
      </c>
      <c r="G745">
        <v>1.2658</v>
      </c>
      <c r="H745" t="s">
        <v>12</v>
      </c>
      <c r="I745" t="s">
        <v>10</v>
      </c>
    </row>
    <row r="746" spans="1:9" x14ac:dyDescent="0.25">
      <c r="A746" t="str">
        <f t="shared" si="11"/>
        <v>89301000</v>
      </c>
      <c r="B746" t="str">
        <f>"0756125271"</f>
        <v>0756125271</v>
      </c>
      <c r="C746" s="1">
        <v>45015</v>
      </c>
      <c r="D746" s="1">
        <v>45018</v>
      </c>
      <c r="E746">
        <v>1</v>
      </c>
      <c r="F746" t="str">
        <f>"11-I17-03"</f>
        <v>11-I17-03</v>
      </c>
      <c r="G746">
        <v>0.45600000000000002</v>
      </c>
      <c r="H746" t="s">
        <v>11</v>
      </c>
      <c r="I746" t="s">
        <v>10</v>
      </c>
    </row>
    <row r="747" spans="1:9" x14ac:dyDescent="0.25">
      <c r="A747" t="str">
        <f t="shared" si="11"/>
        <v>89301000</v>
      </c>
      <c r="B747" t="str">
        <f>"0756283242"</f>
        <v>0756283242</v>
      </c>
      <c r="C747" s="1">
        <v>45166</v>
      </c>
      <c r="D747" s="1">
        <v>45168</v>
      </c>
      <c r="E747">
        <v>1</v>
      </c>
      <c r="F747" t="str">
        <f>"08-M03-05"</f>
        <v>08-M03-05</v>
      </c>
      <c r="G747">
        <v>0.46910000000000002</v>
      </c>
      <c r="H747" t="s">
        <v>11</v>
      </c>
      <c r="I747" t="s">
        <v>10</v>
      </c>
    </row>
    <row r="748" spans="1:9" x14ac:dyDescent="0.25">
      <c r="A748" t="str">
        <f t="shared" si="11"/>
        <v>89301000</v>
      </c>
      <c r="B748" t="str">
        <f>"0757016073"</f>
        <v>0757016073</v>
      </c>
      <c r="C748" s="1">
        <v>45141</v>
      </c>
      <c r="D748" s="1">
        <v>45145</v>
      </c>
      <c r="E748">
        <v>1</v>
      </c>
      <c r="F748" t="str">
        <f>"06-K02-03"</f>
        <v>06-K02-03</v>
      </c>
      <c r="G748">
        <v>0.50470000000000004</v>
      </c>
      <c r="H748" t="s">
        <v>11</v>
      </c>
      <c r="I748" t="s">
        <v>10</v>
      </c>
    </row>
    <row r="749" spans="1:9" x14ac:dyDescent="0.25">
      <c r="A749" t="str">
        <f t="shared" si="11"/>
        <v>89301000</v>
      </c>
      <c r="B749" t="str">
        <f>"0757016073"</f>
        <v>0757016073</v>
      </c>
      <c r="C749" s="1">
        <v>45131</v>
      </c>
      <c r="D749" s="1">
        <v>45134</v>
      </c>
      <c r="E749">
        <v>1</v>
      </c>
      <c r="F749" t="str">
        <f>"06-K02-03"</f>
        <v>06-K02-03</v>
      </c>
      <c r="G749">
        <v>0.50470000000000004</v>
      </c>
      <c r="H749" t="s">
        <v>11</v>
      </c>
      <c r="I749" t="s">
        <v>10</v>
      </c>
    </row>
    <row r="750" spans="1:9" x14ac:dyDescent="0.25">
      <c r="A750" t="str">
        <f t="shared" si="11"/>
        <v>89301000</v>
      </c>
      <c r="B750" t="str">
        <f>"0757173241"</f>
        <v>0757173241</v>
      </c>
      <c r="C750" s="1">
        <v>45111</v>
      </c>
      <c r="D750" s="1">
        <v>45141</v>
      </c>
      <c r="E750">
        <v>1</v>
      </c>
      <c r="F750" t="str">
        <f>"08-K01-03"</f>
        <v>08-K01-03</v>
      </c>
      <c r="G750">
        <v>1.7164999999999999</v>
      </c>
      <c r="H750" t="s">
        <v>11</v>
      </c>
      <c r="I750" t="s">
        <v>10</v>
      </c>
    </row>
    <row r="751" spans="1:9" x14ac:dyDescent="0.25">
      <c r="A751" t="str">
        <f t="shared" si="11"/>
        <v>89301000</v>
      </c>
      <c r="B751" t="str">
        <f>"0757173241"</f>
        <v>0757173241</v>
      </c>
      <c r="C751" s="1">
        <v>45204</v>
      </c>
      <c r="D751" s="1">
        <v>45208</v>
      </c>
      <c r="E751">
        <v>1</v>
      </c>
      <c r="F751" t="str">
        <f>"08-C01-04"</f>
        <v>08-C01-04</v>
      </c>
      <c r="G751">
        <v>1.6419999999999999</v>
      </c>
      <c r="H751" t="s">
        <v>11</v>
      </c>
      <c r="I751" t="s">
        <v>10</v>
      </c>
    </row>
    <row r="752" spans="1:9" x14ac:dyDescent="0.25">
      <c r="A752" t="str">
        <f t="shared" si="11"/>
        <v>89301000</v>
      </c>
      <c r="B752" t="str">
        <f>"0757173241"</f>
        <v>0757173241</v>
      </c>
      <c r="C752" s="1">
        <v>45231</v>
      </c>
      <c r="D752" s="1">
        <v>45235</v>
      </c>
      <c r="E752">
        <v>1</v>
      </c>
      <c r="F752" t="str">
        <f>"08-C01-03"</f>
        <v>08-C01-03</v>
      </c>
      <c r="G752">
        <v>1.9810000000000001</v>
      </c>
      <c r="H752" t="s">
        <v>11</v>
      </c>
      <c r="I752" t="s">
        <v>10</v>
      </c>
    </row>
    <row r="753" spans="1:9" x14ac:dyDescent="0.25">
      <c r="A753" t="str">
        <f t="shared" si="11"/>
        <v>89301000</v>
      </c>
      <c r="B753" t="str">
        <f>"0757173241"</f>
        <v>0757173241</v>
      </c>
      <c r="C753" s="1">
        <v>45278</v>
      </c>
      <c r="D753" s="1">
        <v>45279</v>
      </c>
      <c r="E753">
        <v>1</v>
      </c>
      <c r="F753" t="str">
        <f>"08-C01-03"</f>
        <v>08-C01-03</v>
      </c>
      <c r="G753">
        <v>1.9810000000000001</v>
      </c>
      <c r="H753" t="s">
        <v>11</v>
      </c>
      <c r="I753" t="s">
        <v>10</v>
      </c>
    </row>
    <row r="754" spans="1:9" x14ac:dyDescent="0.25">
      <c r="A754" t="str">
        <f t="shared" si="11"/>
        <v>89301000</v>
      </c>
      <c r="B754" t="str">
        <f>"0757227075"</f>
        <v>0757227075</v>
      </c>
      <c r="C754" s="1">
        <v>45026</v>
      </c>
      <c r="D754" s="1">
        <v>45033</v>
      </c>
      <c r="E754">
        <v>1</v>
      </c>
      <c r="F754" t="str">
        <f>"16-K02-01"</f>
        <v>16-K02-01</v>
      </c>
      <c r="G754">
        <v>1.3922000000000001</v>
      </c>
      <c r="H754" t="s">
        <v>11</v>
      </c>
      <c r="I754" t="s">
        <v>10</v>
      </c>
    </row>
    <row r="755" spans="1:9" x14ac:dyDescent="0.25">
      <c r="A755" t="str">
        <f t="shared" si="11"/>
        <v>89301000</v>
      </c>
      <c r="B755" t="str">
        <f>"0757317429"</f>
        <v>0757317429</v>
      </c>
      <c r="C755" s="1">
        <v>45089</v>
      </c>
      <c r="D755" s="1">
        <v>45092</v>
      </c>
      <c r="E755">
        <v>1</v>
      </c>
      <c r="F755" t="str">
        <f>"08-M03-04"</f>
        <v>08-M03-04</v>
      </c>
      <c r="G755">
        <v>0.87760000000000005</v>
      </c>
      <c r="H755" t="s">
        <v>11</v>
      </c>
      <c r="I755" t="s">
        <v>10</v>
      </c>
    </row>
    <row r="756" spans="1:9" x14ac:dyDescent="0.25">
      <c r="A756" t="str">
        <f t="shared" si="11"/>
        <v>89301000</v>
      </c>
      <c r="B756" t="str">
        <f>"0758073228"</f>
        <v>0758073228</v>
      </c>
      <c r="C756" s="1">
        <v>45100</v>
      </c>
      <c r="D756" s="1">
        <v>45102</v>
      </c>
      <c r="E756">
        <v>1</v>
      </c>
      <c r="F756" t="str">
        <f>"20-K01-06"</f>
        <v>20-K01-06</v>
      </c>
      <c r="G756">
        <v>0.26929999999999998</v>
      </c>
      <c r="H756" t="s">
        <v>11</v>
      </c>
      <c r="I756" t="s">
        <v>10</v>
      </c>
    </row>
    <row r="757" spans="1:9" x14ac:dyDescent="0.25">
      <c r="A757" t="str">
        <f t="shared" si="11"/>
        <v>89301000</v>
      </c>
      <c r="B757" t="str">
        <f>"0758073272"</f>
        <v>0758073272</v>
      </c>
      <c r="C757" s="1">
        <v>45171</v>
      </c>
      <c r="D757" s="1">
        <v>45173</v>
      </c>
      <c r="E757">
        <v>1</v>
      </c>
      <c r="F757" t="str">
        <f>"08-I19-03"</f>
        <v>08-I19-03</v>
      </c>
      <c r="G757">
        <v>0.61839999999999995</v>
      </c>
      <c r="H757" t="s">
        <v>12</v>
      </c>
      <c r="I757" t="s">
        <v>10</v>
      </c>
    </row>
    <row r="758" spans="1:9" x14ac:dyDescent="0.25">
      <c r="A758" t="str">
        <f t="shared" si="11"/>
        <v>89301000</v>
      </c>
      <c r="B758" t="str">
        <f>"0758137435"</f>
        <v>0758137435</v>
      </c>
      <c r="C758" s="1">
        <v>45071</v>
      </c>
      <c r="D758" s="1">
        <v>45073</v>
      </c>
      <c r="E758">
        <v>1</v>
      </c>
      <c r="F758" t="str">
        <f>"11-K05-00"</f>
        <v>11-K05-00</v>
      </c>
      <c r="G758">
        <v>0.34339999999999998</v>
      </c>
      <c r="H758" t="s">
        <v>11</v>
      </c>
      <c r="I758" t="s">
        <v>10</v>
      </c>
    </row>
    <row r="759" spans="1:9" x14ac:dyDescent="0.25">
      <c r="A759" t="str">
        <f t="shared" si="11"/>
        <v>89301000</v>
      </c>
      <c r="B759" t="str">
        <f>"0758215260"</f>
        <v>0758215260</v>
      </c>
      <c r="C759" s="1">
        <v>44984</v>
      </c>
      <c r="D759" s="1">
        <v>44986</v>
      </c>
      <c r="E759">
        <v>1</v>
      </c>
      <c r="F759" t="str">
        <f>"03-I20-03"</f>
        <v>03-I20-03</v>
      </c>
      <c r="G759">
        <v>0.71</v>
      </c>
      <c r="H759" t="s">
        <v>12</v>
      </c>
      <c r="I759" t="s">
        <v>10</v>
      </c>
    </row>
    <row r="760" spans="1:9" x14ac:dyDescent="0.25">
      <c r="A760" t="str">
        <f t="shared" si="11"/>
        <v>89301000</v>
      </c>
      <c r="B760" t="str">
        <f>"0759043230"</f>
        <v>0759043230</v>
      </c>
      <c r="C760" s="1">
        <v>45075</v>
      </c>
      <c r="D760" s="1">
        <v>45078</v>
      </c>
      <c r="E760">
        <v>1</v>
      </c>
      <c r="F760" t="str">
        <f>"02-K01-02"</f>
        <v>02-K01-02</v>
      </c>
      <c r="G760">
        <v>0.90510000000000002</v>
      </c>
      <c r="H760" t="s">
        <v>11</v>
      </c>
      <c r="I760" t="s">
        <v>10</v>
      </c>
    </row>
    <row r="761" spans="1:9" x14ac:dyDescent="0.25">
      <c r="A761" t="str">
        <f t="shared" si="11"/>
        <v>89301000</v>
      </c>
      <c r="B761" t="str">
        <f>"0759058960"</f>
        <v>0759058960</v>
      </c>
      <c r="C761" s="1">
        <v>45211</v>
      </c>
      <c r="D761" s="1">
        <v>45215</v>
      </c>
      <c r="E761">
        <v>1</v>
      </c>
      <c r="F761" t="str">
        <f>"06-I18-04"</f>
        <v>06-I18-04</v>
      </c>
      <c r="G761">
        <v>1.1088</v>
      </c>
      <c r="H761" t="s">
        <v>9</v>
      </c>
      <c r="I761" t="s">
        <v>10</v>
      </c>
    </row>
    <row r="762" spans="1:9" x14ac:dyDescent="0.25">
      <c r="A762" t="str">
        <f t="shared" si="11"/>
        <v>89301000</v>
      </c>
      <c r="B762" t="str">
        <f>"0759246070"</f>
        <v>0759246070</v>
      </c>
      <c r="C762" s="1">
        <v>45128</v>
      </c>
      <c r="D762" s="1">
        <v>45132</v>
      </c>
      <c r="E762">
        <v>1</v>
      </c>
      <c r="F762" t="str">
        <f>"06-I18-04"</f>
        <v>06-I18-04</v>
      </c>
      <c r="G762">
        <v>1.1088</v>
      </c>
      <c r="H762" t="s">
        <v>9</v>
      </c>
      <c r="I762" t="s">
        <v>10</v>
      </c>
    </row>
    <row r="763" spans="1:9" x14ac:dyDescent="0.25">
      <c r="A763" t="str">
        <f t="shared" si="11"/>
        <v>89301000</v>
      </c>
      <c r="B763" t="str">
        <f>"0759281380"</f>
        <v>0759281380</v>
      </c>
      <c r="C763" s="1">
        <v>45076</v>
      </c>
      <c r="D763" s="1">
        <v>45080</v>
      </c>
      <c r="E763">
        <v>1</v>
      </c>
      <c r="F763" t="str">
        <f>"03-I19-03"</f>
        <v>03-I19-03</v>
      </c>
      <c r="G763">
        <v>0.53420000000000001</v>
      </c>
      <c r="H763" t="s">
        <v>11</v>
      </c>
      <c r="I763" t="s">
        <v>10</v>
      </c>
    </row>
    <row r="764" spans="1:9" x14ac:dyDescent="0.25">
      <c r="A764" t="str">
        <f t="shared" si="11"/>
        <v>89301000</v>
      </c>
      <c r="B764" t="str">
        <f>"0760026091"</f>
        <v>0760026091</v>
      </c>
      <c r="C764" s="1">
        <v>45210</v>
      </c>
      <c r="D764" s="1">
        <v>45217</v>
      </c>
      <c r="E764">
        <v>1</v>
      </c>
      <c r="F764" t="str">
        <f>"08-K04-02"</f>
        <v>08-K04-02</v>
      </c>
      <c r="G764">
        <v>0.54410000000000003</v>
      </c>
      <c r="H764" t="s">
        <v>11</v>
      </c>
      <c r="I764" t="s">
        <v>10</v>
      </c>
    </row>
    <row r="765" spans="1:9" x14ac:dyDescent="0.25">
      <c r="A765" t="str">
        <f t="shared" si="11"/>
        <v>89301000</v>
      </c>
      <c r="B765" t="str">
        <f>"0760047442"</f>
        <v>0760047442</v>
      </c>
      <c r="C765" s="1">
        <v>45054</v>
      </c>
      <c r="D765" s="1">
        <v>45058</v>
      </c>
      <c r="E765">
        <v>1</v>
      </c>
      <c r="F765" t="str">
        <f>"03-I17-00"</f>
        <v>03-I17-00</v>
      </c>
      <c r="G765">
        <v>0.83489999999999998</v>
      </c>
      <c r="H765" t="s">
        <v>9</v>
      </c>
      <c r="I765" t="s">
        <v>10</v>
      </c>
    </row>
    <row r="766" spans="1:9" x14ac:dyDescent="0.25">
      <c r="A766" t="str">
        <f t="shared" si="11"/>
        <v>89301000</v>
      </c>
      <c r="B766" t="str">
        <f>"0760153229"</f>
        <v>0760153229</v>
      </c>
      <c r="C766" s="1">
        <v>45041</v>
      </c>
      <c r="D766" s="1">
        <v>45044</v>
      </c>
      <c r="E766">
        <v>1</v>
      </c>
      <c r="F766" t="str">
        <f>"08-I22-02"</f>
        <v>08-I22-02</v>
      </c>
      <c r="G766">
        <v>1.131</v>
      </c>
      <c r="H766" t="s">
        <v>12</v>
      </c>
      <c r="I766" t="s">
        <v>10</v>
      </c>
    </row>
    <row r="767" spans="1:9" x14ac:dyDescent="0.25">
      <c r="A767" t="str">
        <f t="shared" si="11"/>
        <v>89301000</v>
      </c>
      <c r="B767" t="str">
        <f>"0760153229"</f>
        <v>0760153229</v>
      </c>
      <c r="C767" s="1">
        <v>45142</v>
      </c>
      <c r="D767" s="1">
        <v>45143</v>
      </c>
      <c r="E767">
        <v>1</v>
      </c>
      <c r="F767" t="str">
        <f>"08-I32-00"</f>
        <v>08-I32-00</v>
      </c>
      <c r="G767">
        <v>0.40870000000000001</v>
      </c>
      <c r="H767" t="s">
        <v>11</v>
      </c>
      <c r="I767" t="s">
        <v>10</v>
      </c>
    </row>
    <row r="768" spans="1:9" x14ac:dyDescent="0.25">
      <c r="A768" t="str">
        <f t="shared" ref="A768:A830" si="12">"89301000"</f>
        <v>89301000</v>
      </c>
      <c r="B768" t="str">
        <f>"0761137443"</f>
        <v>0761137443</v>
      </c>
      <c r="C768" s="1">
        <v>45097</v>
      </c>
      <c r="D768" s="1">
        <v>45099</v>
      </c>
      <c r="E768">
        <v>1</v>
      </c>
      <c r="F768" t="str">
        <f>"01-K03-07"</f>
        <v>01-K03-07</v>
      </c>
      <c r="G768">
        <v>0.5988</v>
      </c>
      <c r="H768" t="s">
        <v>11</v>
      </c>
      <c r="I768" t="s">
        <v>10</v>
      </c>
    </row>
    <row r="769" spans="1:9" x14ac:dyDescent="0.25">
      <c r="A769" t="str">
        <f t="shared" si="12"/>
        <v>89301000</v>
      </c>
      <c r="B769" t="str">
        <f>"0761137443"</f>
        <v>0761137443</v>
      </c>
      <c r="C769" s="1">
        <v>45106</v>
      </c>
      <c r="D769" s="1">
        <v>45107</v>
      </c>
      <c r="E769">
        <v>1</v>
      </c>
      <c r="F769" t="str">
        <f>"01-K03-07"</f>
        <v>01-K03-07</v>
      </c>
      <c r="G769">
        <v>0.5988</v>
      </c>
      <c r="H769" t="s">
        <v>11</v>
      </c>
      <c r="I769" t="s">
        <v>10</v>
      </c>
    </row>
    <row r="770" spans="1:9" x14ac:dyDescent="0.25">
      <c r="A770" t="str">
        <f t="shared" si="12"/>
        <v>89301000</v>
      </c>
      <c r="B770" t="str">
        <f>"0761176064"</f>
        <v>0761176064</v>
      </c>
      <c r="C770" s="1">
        <v>45013</v>
      </c>
      <c r="D770" s="1">
        <v>45014</v>
      </c>
      <c r="E770">
        <v>6</v>
      </c>
      <c r="F770" t="str">
        <f>"10-K12-02"</f>
        <v>10-K12-02</v>
      </c>
      <c r="G770">
        <v>0.58199999999999996</v>
      </c>
      <c r="H770" t="s">
        <v>11</v>
      </c>
      <c r="I770" t="s">
        <v>10</v>
      </c>
    </row>
    <row r="771" spans="1:9" x14ac:dyDescent="0.25">
      <c r="A771" t="str">
        <f t="shared" si="12"/>
        <v>89301000</v>
      </c>
      <c r="B771" t="str">
        <f>"0761176064"</f>
        <v>0761176064</v>
      </c>
      <c r="C771" s="1">
        <v>45092</v>
      </c>
      <c r="D771" s="1">
        <v>45093</v>
      </c>
      <c r="E771">
        <v>6</v>
      </c>
      <c r="F771" t="str">
        <f>"04-K08-04"</f>
        <v>04-K08-04</v>
      </c>
      <c r="G771">
        <v>0.88160000000000005</v>
      </c>
      <c r="H771" t="s">
        <v>11</v>
      </c>
      <c r="I771" t="s">
        <v>10</v>
      </c>
    </row>
    <row r="772" spans="1:9" x14ac:dyDescent="0.25">
      <c r="A772" t="str">
        <f t="shared" si="12"/>
        <v>89301000</v>
      </c>
      <c r="B772" t="str">
        <f>"0761176064"</f>
        <v>0761176064</v>
      </c>
      <c r="C772" s="1">
        <v>45278</v>
      </c>
      <c r="D772" s="1">
        <v>45279</v>
      </c>
      <c r="E772">
        <v>1</v>
      </c>
      <c r="F772" t="str">
        <f>"04-K15-03"</f>
        <v>04-K15-03</v>
      </c>
      <c r="G772">
        <v>0.48670000000000002</v>
      </c>
      <c r="H772" t="s">
        <v>11</v>
      </c>
      <c r="I772" t="s">
        <v>10</v>
      </c>
    </row>
    <row r="773" spans="1:9" x14ac:dyDescent="0.25">
      <c r="A773" t="str">
        <f t="shared" si="12"/>
        <v>89301000</v>
      </c>
      <c r="B773" t="str">
        <f>"0762015353"</f>
        <v>0762015353</v>
      </c>
      <c r="C773" s="1">
        <v>45223</v>
      </c>
      <c r="D773" s="1">
        <v>45224</v>
      </c>
      <c r="E773">
        <v>1</v>
      </c>
      <c r="F773" t="str">
        <f>"06-K03-03"</f>
        <v>06-K03-03</v>
      </c>
      <c r="G773">
        <v>0.42649999999999999</v>
      </c>
      <c r="H773" t="s">
        <v>11</v>
      </c>
      <c r="I773" t="s">
        <v>10</v>
      </c>
    </row>
    <row r="774" spans="1:9" x14ac:dyDescent="0.25">
      <c r="A774" t="str">
        <f t="shared" si="12"/>
        <v>89301000</v>
      </c>
      <c r="B774" t="str">
        <f>"0762263227"</f>
        <v>0762263227</v>
      </c>
      <c r="C774" s="1">
        <v>45248</v>
      </c>
      <c r="D774" s="1">
        <v>45257</v>
      </c>
      <c r="E774">
        <v>5</v>
      </c>
      <c r="F774" t="str">
        <f>"19-K02-03"</f>
        <v>19-K02-03</v>
      </c>
      <c r="G774">
        <v>0.71950000000000003</v>
      </c>
      <c r="H774" t="s">
        <v>15</v>
      </c>
      <c r="I774" t="s">
        <v>10</v>
      </c>
    </row>
    <row r="775" spans="1:9" x14ac:dyDescent="0.25">
      <c r="A775" t="str">
        <f t="shared" si="12"/>
        <v>89301000</v>
      </c>
      <c r="B775" t="str">
        <f>"0762310835"</f>
        <v>0762310835</v>
      </c>
      <c r="C775" s="1">
        <v>45204</v>
      </c>
      <c r="D775" s="1">
        <v>45208</v>
      </c>
      <c r="E775">
        <v>1</v>
      </c>
      <c r="F775" t="str">
        <f>"02-K11-01"</f>
        <v>02-K11-01</v>
      </c>
      <c r="G775">
        <v>0.87490000000000001</v>
      </c>
      <c r="H775" t="s">
        <v>11</v>
      </c>
      <c r="I775" t="s">
        <v>10</v>
      </c>
    </row>
    <row r="776" spans="1:9" x14ac:dyDescent="0.25">
      <c r="A776" t="str">
        <f t="shared" si="12"/>
        <v>89301000</v>
      </c>
      <c r="B776" t="str">
        <f>"0801076067"</f>
        <v>0801076067</v>
      </c>
      <c r="C776" s="1">
        <v>45272</v>
      </c>
      <c r="D776" s="1">
        <v>45274</v>
      </c>
      <c r="E776">
        <v>1</v>
      </c>
      <c r="F776" t="str">
        <f>"08-I32-00"</f>
        <v>08-I32-00</v>
      </c>
      <c r="G776">
        <v>0.4093</v>
      </c>
      <c r="H776" t="s">
        <v>11</v>
      </c>
      <c r="I776" t="s">
        <v>10</v>
      </c>
    </row>
    <row r="777" spans="1:9" x14ac:dyDescent="0.25">
      <c r="A777" t="str">
        <f t="shared" si="12"/>
        <v>89301000</v>
      </c>
      <c r="B777" t="str">
        <f>"0801076067"</f>
        <v>0801076067</v>
      </c>
      <c r="C777" s="1">
        <v>45115</v>
      </c>
      <c r="D777" s="1">
        <v>45119</v>
      </c>
      <c r="E777">
        <v>1</v>
      </c>
      <c r="F777" t="str">
        <f>"08-I20-03"</f>
        <v>08-I20-03</v>
      </c>
      <c r="G777">
        <v>0.80120000000000002</v>
      </c>
      <c r="H777" t="s">
        <v>12</v>
      </c>
      <c r="I777" t="s">
        <v>10</v>
      </c>
    </row>
    <row r="778" spans="1:9" x14ac:dyDescent="0.25">
      <c r="A778" t="str">
        <f t="shared" si="12"/>
        <v>89301000</v>
      </c>
      <c r="B778" t="str">
        <f>"0801115260"</f>
        <v>0801115260</v>
      </c>
      <c r="C778" s="1">
        <v>45011</v>
      </c>
      <c r="D778" s="1">
        <v>45013</v>
      </c>
      <c r="E778">
        <v>1</v>
      </c>
      <c r="F778" t="str">
        <f>"01-K07-03"</f>
        <v>01-K07-03</v>
      </c>
      <c r="G778">
        <v>0.48680000000000001</v>
      </c>
      <c r="H778" t="s">
        <v>11</v>
      </c>
      <c r="I778" t="s">
        <v>10</v>
      </c>
    </row>
    <row r="779" spans="1:9" x14ac:dyDescent="0.25">
      <c r="A779" t="str">
        <f t="shared" si="12"/>
        <v>89301000</v>
      </c>
      <c r="B779" t="str">
        <f>"0801166157"</f>
        <v>0801166157</v>
      </c>
      <c r="C779" s="1">
        <v>45278</v>
      </c>
      <c r="D779" s="1">
        <v>45283</v>
      </c>
      <c r="E779">
        <v>1</v>
      </c>
      <c r="F779" t="str">
        <f>"06-K02-03"</f>
        <v>06-K02-03</v>
      </c>
      <c r="G779">
        <v>0.51029999999999998</v>
      </c>
      <c r="H779" t="s">
        <v>11</v>
      </c>
      <c r="I779" t="s">
        <v>10</v>
      </c>
    </row>
    <row r="780" spans="1:9" x14ac:dyDescent="0.25">
      <c r="A780" t="str">
        <f t="shared" si="12"/>
        <v>89301000</v>
      </c>
      <c r="B780" t="str">
        <f>"0802263253"</f>
        <v>0802263253</v>
      </c>
      <c r="C780" s="1">
        <v>45011</v>
      </c>
      <c r="D780" s="1">
        <v>45022</v>
      </c>
      <c r="E780">
        <v>1</v>
      </c>
      <c r="F780" t="str">
        <f>"06-I18-04"</f>
        <v>06-I18-04</v>
      </c>
      <c r="G780">
        <v>1.4307000000000001</v>
      </c>
      <c r="H780" t="s">
        <v>9</v>
      </c>
      <c r="I780" t="s">
        <v>10</v>
      </c>
    </row>
    <row r="781" spans="1:9" x14ac:dyDescent="0.25">
      <c r="A781" t="str">
        <f t="shared" si="12"/>
        <v>89301000</v>
      </c>
      <c r="B781" t="str">
        <f>"0802263264"</f>
        <v>0802263264</v>
      </c>
      <c r="C781" s="1">
        <v>44992</v>
      </c>
      <c r="D781" s="1">
        <v>44994</v>
      </c>
      <c r="E781">
        <v>1</v>
      </c>
      <c r="F781" t="str">
        <f>"08-K14-03"</f>
        <v>08-K14-03</v>
      </c>
      <c r="G781">
        <v>0.2611</v>
      </c>
      <c r="H781" t="s">
        <v>11</v>
      </c>
      <c r="I781" t="s">
        <v>10</v>
      </c>
    </row>
    <row r="782" spans="1:9" x14ac:dyDescent="0.25">
      <c r="A782" t="str">
        <f t="shared" si="12"/>
        <v>89301000</v>
      </c>
      <c r="B782" t="str">
        <f>"0803183238"</f>
        <v>0803183238</v>
      </c>
      <c r="C782" s="1">
        <v>45120</v>
      </c>
      <c r="D782" s="1">
        <v>45126</v>
      </c>
      <c r="E782">
        <v>1</v>
      </c>
      <c r="F782" t="str">
        <f>"05-K01-03"</f>
        <v>05-K01-03</v>
      </c>
      <c r="G782">
        <v>0.73540000000000005</v>
      </c>
      <c r="H782" t="s">
        <v>11</v>
      </c>
      <c r="I782" t="s">
        <v>10</v>
      </c>
    </row>
    <row r="783" spans="1:9" x14ac:dyDescent="0.25">
      <c r="A783" t="str">
        <f t="shared" si="12"/>
        <v>89301000</v>
      </c>
      <c r="B783" t="str">
        <f>"0804213245"</f>
        <v>0804213245</v>
      </c>
      <c r="C783" s="1">
        <v>45275</v>
      </c>
      <c r="D783" s="1">
        <v>45284</v>
      </c>
      <c r="E783">
        <v>1</v>
      </c>
      <c r="F783" t="str">
        <f>"00-M01-04"</f>
        <v>00-M01-04</v>
      </c>
      <c r="G783">
        <v>7.2366999999999999</v>
      </c>
      <c r="H783" t="s">
        <v>11</v>
      </c>
      <c r="I783" t="s">
        <v>10</v>
      </c>
    </row>
    <row r="784" spans="1:9" x14ac:dyDescent="0.25">
      <c r="A784" t="str">
        <f t="shared" si="12"/>
        <v>89301000</v>
      </c>
      <c r="B784" t="str">
        <f>"0804225279"</f>
        <v>0804225279</v>
      </c>
      <c r="C784" s="1">
        <v>45056</v>
      </c>
      <c r="D784" s="1">
        <v>45061</v>
      </c>
      <c r="E784">
        <v>1</v>
      </c>
      <c r="F784" t="str">
        <f>"07-I10-06"</f>
        <v>07-I10-06</v>
      </c>
      <c r="G784">
        <v>0.98419999999999996</v>
      </c>
      <c r="H784" t="s">
        <v>12</v>
      </c>
      <c r="I784" t="s">
        <v>10</v>
      </c>
    </row>
    <row r="785" spans="1:9" x14ac:dyDescent="0.25">
      <c r="A785" t="str">
        <f t="shared" si="12"/>
        <v>89301000</v>
      </c>
      <c r="B785" t="str">
        <f>"0804225279"</f>
        <v>0804225279</v>
      </c>
      <c r="C785" s="1">
        <v>45001</v>
      </c>
      <c r="D785" s="1">
        <v>45006</v>
      </c>
      <c r="E785">
        <v>1</v>
      </c>
      <c r="F785" t="str">
        <f>"07-K05-03"</f>
        <v>07-K05-03</v>
      </c>
      <c r="G785">
        <v>0.378</v>
      </c>
      <c r="H785" t="s">
        <v>11</v>
      </c>
      <c r="I785" t="s">
        <v>10</v>
      </c>
    </row>
    <row r="786" spans="1:9" x14ac:dyDescent="0.25">
      <c r="A786" t="str">
        <f t="shared" si="12"/>
        <v>89301000</v>
      </c>
      <c r="B786" t="str">
        <f>"0804225279"</f>
        <v>0804225279</v>
      </c>
      <c r="C786" s="1">
        <v>45202</v>
      </c>
      <c r="D786" s="1">
        <v>45209</v>
      </c>
      <c r="E786">
        <v>1</v>
      </c>
      <c r="F786" t="str">
        <f>"06-K06-02"</f>
        <v>06-K06-02</v>
      </c>
      <c r="G786">
        <v>0.65269999999999995</v>
      </c>
      <c r="H786" t="s">
        <v>11</v>
      </c>
      <c r="I786" t="s">
        <v>10</v>
      </c>
    </row>
    <row r="787" spans="1:9" x14ac:dyDescent="0.25">
      <c r="A787" t="str">
        <f t="shared" si="12"/>
        <v>89301000</v>
      </c>
      <c r="B787" t="str">
        <f>"0804246069"</f>
        <v>0804246069</v>
      </c>
      <c r="C787" s="1">
        <v>45189</v>
      </c>
      <c r="D787" s="1">
        <v>45190</v>
      </c>
      <c r="E787">
        <v>1</v>
      </c>
      <c r="F787" t="str">
        <f>"08-I20-03"</f>
        <v>08-I20-03</v>
      </c>
      <c r="G787">
        <v>0.7278</v>
      </c>
      <c r="H787" t="s">
        <v>12</v>
      </c>
      <c r="I787" t="s">
        <v>10</v>
      </c>
    </row>
    <row r="788" spans="1:9" x14ac:dyDescent="0.25">
      <c r="A788" t="str">
        <f t="shared" si="12"/>
        <v>89301000</v>
      </c>
      <c r="B788" t="str">
        <f>"0805023241"</f>
        <v>0805023241</v>
      </c>
      <c r="C788" s="1">
        <v>45055</v>
      </c>
      <c r="D788" s="1">
        <v>45057</v>
      </c>
      <c r="E788">
        <v>1</v>
      </c>
      <c r="F788" t="str">
        <f>"06-K03-03"</f>
        <v>06-K03-03</v>
      </c>
      <c r="G788">
        <v>0.42649999999999999</v>
      </c>
      <c r="H788" t="s">
        <v>11</v>
      </c>
      <c r="I788" t="s">
        <v>10</v>
      </c>
    </row>
    <row r="789" spans="1:9" x14ac:dyDescent="0.25">
      <c r="A789" t="str">
        <f t="shared" si="12"/>
        <v>89301000</v>
      </c>
      <c r="B789" t="str">
        <f>"0805113243"</f>
        <v>0805113243</v>
      </c>
      <c r="C789" s="1">
        <v>44954</v>
      </c>
      <c r="D789" s="1">
        <v>44959</v>
      </c>
      <c r="E789">
        <v>1</v>
      </c>
      <c r="F789" t="str">
        <f>"06-I18-04"</f>
        <v>06-I18-04</v>
      </c>
      <c r="G789">
        <v>1.1088</v>
      </c>
      <c r="H789" t="s">
        <v>9</v>
      </c>
      <c r="I789" t="s">
        <v>10</v>
      </c>
    </row>
    <row r="790" spans="1:9" x14ac:dyDescent="0.25">
      <c r="A790" t="str">
        <f t="shared" si="12"/>
        <v>89301000</v>
      </c>
      <c r="B790" t="str">
        <f>"0805135111"</f>
        <v>0805135111</v>
      </c>
      <c r="C790" s="1">
        <v>45034</v>
      </c>
      <c r="D790" s="1">
        <v>45035</v>
      </c>
      <c r="E790">
        <v>1</v>
      </c>
      <c r="F790" t="str">
        <f>"08-I32-00"</f>
        <v>08-I32-00</v>
      </c>
      <c r="G790">
        <v>0.40870000000000001</v>
      </c>
      <c r="H790" t="s">
        <v>11</v>
      </c>
      <c r="I790" t="s">
        <v>10</v>
      </c>
    </row>
    <row r="791" spans="1:9" x14ac:dyDescent="0.25">
      <c r="A791" t="str">
        <f t="shared" si="12"/>
        <v>89301000</v>
      </c>
      <c r="B791" t="str">
        <f>"0805195281"</f>
        <v>0805195281</v>
      </c>
      <c r="C791" s="1">
        <v>45019</v>
      </c>
      <c r="D791" s="1">
        <v>45021</v>
      </c>
      <c r="E791">
        <v>1</v>
      </c>
      <c r="F791" t="str">
        <f>"01-K18-04"</f>
        <v>01-K18-04</v>
      </c>
      <c r="G791">
        <v>0.54610000000000003</v>
      </c>
      <c r="H791" t="s">
        <v>11</v>
      </c>
      <c r="I791" t="s">
        <v>10</v>
      </c>
    </row>
    <row r="792" spans="1:9" x14ac:dyDescent="0.25">
      <c r="A792" t="str">
        <f t="shared" si="12"/>
        <v>89301000</v>
      </c>
      <c r="B792" t="str">
        <f>"0806063258"</f>
        <v>0806063258</v>
      </c>
      <c r="C792" s="1">
        <v>45238</v>
      </c>
      <c r="D792" s="1">
        <v>45246</v>
      </c>
      <c r="E792">
        <v>1</v>
      </c>
      <c r="F792" t="str">
        <f>"06-I18-04"</f>
        <v>06-I18-04</v>
      </c>
      <c r="G792">
        <v>1.1088</v>
      </c>
      <c r="H792" t="s">
        <v>9</v>
      </c>
      <c r="I792" t="s">
        <v>10</v>
      </c>
    </row>
    <row r="793" spans="1:9" x14ac:dyDescent="0.25">
      <c r="A793" t="str">
        <f t="shared" si="12"/>
        <v>89301000</v>
      </c>
      <c r="B793" t="str">
        <f>"0806296073"</f>
        <v>0806296073</v>
      </c>
      <c r="C793" s="1">
        <v>45110</v>
      </c>
      <c r="D793" s="1">
        <v>45111</v>
      </c>
      <c r="E793">
        <v>1</v>
      </c>
      <c r="F793" t="str">
        <f>"08-I20-03"</f>
        <v>08-I20-03</v>
      </c>
      <c r="G793">
        <v>0.72340000000000004</v>
      </c>
      <c r="H793" t="s">
        <v>12</v>
      </c>
      <c r="I793" t="s">
        <v>10</v>
      </c>
    </row>
    <row r="794" spans="1:9" x14ac:dyDescent="0.25">
      <c r="A794" t="str">
        <f t="shared" si="12"/>
        <v>89301000</v>
      </c>
      <c r="B794" t="str">
        <f>"0807127343"</f>
        <v>0807127343</v>
      </c>
      <c r="C794" s="1">
        <v>45043</v>
      </c>
      <c r="D794" s="1">
        <v>45045</v>
      </c>
      <c r="E794">
        <v>1</v>
      </c>
      <c r="F794" t="str">
        <f>"03-K08-00"</f>
        <v>03-K08-00</v>
      </c>
      <c r="G794">
        <v>0.45519999999999999</v>
      </c>
      <c r="H794" t="s">
        <v>11</v>
      </c>
      <c r="I794" t="s">
        <v>10</v>
      </c>
    </row>
    <row r="795" spans="1:9" x14ac:dyDescent="0.25">
      <c r="A795" t="str">
        <f t="shared" si="12"/>
        <v>89301000</v>
      </c>
      <c r="B795" t="str">
        <f>"0807236067"</f>
        <v>0807236067</v>
      </c>
      <c r="C795" s="1">
        <v>45059</v>
      </c>
      <c r="D795" s="1">
        <v>45061</v>
      </c>
      <c r="E795">
        <v>1</v>
      </c>
      <c r="F795" t="str">
        <f>"01-K03-07"</f>
        <v>01-K03-07</v>
      </c>
      <c r="G795">
        <v>0.5988</v>
      </c>
      <c r="H795" t="s">
        <v>11</v>
      </c>
      <c r="I795" t="s">
        <v>10</v>
      </c>
    </row>
    <row r="796" spans="1:9" x14ac:dyDescent="0.25">
      <c r="A796" t="str">
        <f t="shared" si="12"/>
        <v>89301000</v>
      </c>
      <c r="B796" t="str">
        <f>"0807253249"</f>
        <v>0807253249</v>
      </c>
      <c r="C796" s="1">
        <v>45083</v>
      </c>
      <c r="D796" s="1">
        <v>45085</v>
      </c>
      <c r="E796">
        <v>1</v>
      </c>
      <c r="F796" t="str">
        <f>"08-I20-03"</f>
        <v>08-I20-03</v>
      </c>
      <c r="G796">
        <v>0.62639999999999996</v>
      </c>
      <c r="H796" t="s">
        <v>12</v>
      </c>
      <c r="I796" t="s">
        <v>10</v>
      </c>
    </row>
    <row r="797" spans="1:9" x14ac:dyDescent="0.25">
      <c r="A797" t="str">
        <f t="shared" si="12"/>
        <v>89301000</v>
      </c>
      <c r="B797" t="str">
        <f>"0808223229"</f>
        <v>0808223229</v>
      </c>
      <c r="C797" s="1">
        <v>45289</v>
      </c>
      <c r="D797" s="1">
        <v>45290</v>
      </c>
      <c r="E797">
        <v>1</v>
      </c>
      <c r="F797" t="str">
        <f>"08-I20-03"</f>
        <v>08-I20-03</v>
      </c>
      <c r="G797">
        <v>0.62639999999999996</v>
      </c>
      <c r="H797" t="s">
        <v>12</v>
      </c>
      <c r="I797" t="s">
        <v>10</v>
      </c>
    </row>
    <row r="798" spans="1:9" x14ac:dyDescent="0.25">
      <c r="A798" t="str">
        <f t="shared" si="12"/>
        <v>89301000</v>
      </c>
      <c r="B798" t="str">
        <f>"0808223262"</f>
        <v>0808223262</v>
      </c>
      <c r="C798" s="1">
        <v>44964</v>
      </c>
      <c r="D798" s="1">
        <v>44965</v>
      </c>
      <c r="E798">
        <v>1</v>
      </c>
      <c r="F798" t="str">
        <f>"09-K13-02"</f>
        <v>09-K13-02</v>
      </c>
      <c r="G798">
        <v>0.31190000000000001</v>
      </c>
      <c r="H798" t="s">
        <v>11</v>
      </c>
      <c r="I798" t="s">
        <v>10</v>
      </c>
    </row>
    <row r="799" spans="1:9" x14ac:dyDescent="0.25">
      <c r="A799" t="str">
        <f t="shared" si="12"/>
        <v>89301000</v>
      </c>
      <c r="B799" t="str">
        <f>"0808253237"</f>
        <v>0808253237</v>
      </c>
      <c r="C799" s="1">
        <v>44928</v>
      </c>
      <c r="D799" s="1">
        <v>44930</v>
      </c>
      <c r="E799">
        <v>1</v>
      </c>
      <c r="F799" t="str">
        <f>"12-I10-02"</f>
        <v>12-I10-02</v>
      </c>
      <c r="G799">
        <v>0.51690000000000003</v>
      </c>
      <c r="H799" t="s">
        <v>9</v>
      </c>
      <c r="I799" t="s">
        <v>10</v>
      </c>
    </row>
    <row r="800" spans="1:9" x14ac:dyDescent="0.25">
      <c r="A800" t="str">
        <f t="shared" si="12"/>
        <v>89301000</v>
      </c>
      <c r="B800" t="str">
        <f>"0809063233"</f>
        <v>0809063233</v>
      </c>
      <c r="C800" s="1">
        <v>45082</v>
      </c>
      <c r="D800" s="1">
        <v>45086</v>
      </c>
      <c r="E800">
        <v>1</v>
      </c>
      <c r="F800" t="str">
        <f>"06-I18-04"</f>
        <v>06-I18-04</v>
      </c>
      <c r="G800">
        <v>1.1088</v>
      </c>
      <c r="H800" t="s">
        <v>9</v>
      </c>
      <c r="I800" t="s">
        <v>10</v>
      </c>
    </row>
    <row r="801" spans="1:9" x14ac:dyDescent="0.25">
      <c r="A801" t="str">
        <f t="shared" si="12"/>
        <v>89301000</v>
      </c>
      <c r="B801" t="str">
        <f>"0809093230"</f>
        <v>0809093230</v>
      </c>
      <c r="C801" s="1">
        <v>45148</v>
      </c>
      <c r="D801" s="1">
        <v>45149</v>
      </c>
      <c r="E801">
        <v>1</v>
      </c>
      <c r="F801" t="str">
        <f>"08-K14-03"</f>
        <v>08-K14-03</v>
      </c>
      <c r="G801">
        <v>0.26040000000000002</v>
      </c>
      <c r="H801" t="s">
        <v>11</v>
      </c>
      <c r="I801" t="s">
        <v>10</v>
      </c>
    </row>
    <row r="802" spans="1:9" x14ac:dyDescent="0.25">
      <c r="A802" t="str">
        <f t="shared" si="12"/>
        <v>89301000</v>
      </c>
      <c r="B802" t="str">
        <f>"0809225274"</f>
        <v>0809225274</v>
      </c>
      <c r="C802" s="1">
        <v>45203</v>
      </c>
      <c r="D802" s="1">
        <v>45206</v>
      </c>
      <c r="E802">
        <v>1</v>
      </c>
      <c r="F802" t="str">
        <f>"12-I13-01"</f>
        <v>12-I13-01</v>
      </c>
      <c r="G802">
        <v>0.78059999999999996</v>
      </c>
      <c r="H802" t="s">
        <v>9</v>
      </c>
      <c r="I802" t="s">
        <v>10</v>
      </c>
    </row>
    <row r="803" spans="1:9" x14ac:dyDescent="0.25">
      <c r="A803" t="str">
        <f t="shared" si="12"/>
        <v>89301000</v>
      </c>
      <c r="B803" t="str">
        <f>"0809236076"</f>
        <v>0809236076</v>
      </c>
      <c r="C803" s="1">
        <v>44982</v>
      </c>
      <c r="D803" s="1">
        <v>44996</v>
      </c>
      <c r="E803">
        <v>1</v>
      </c>
      <c r="F803" t="str">
        <f>"04-M01-07"</f>
        <v>04-M01-07</v>
      </c>
      <c r="G803">
        <v>3.2717000000000001</v>
      </c>
      <c r="H803" t="s">
        <v>11</v>
      </c>
      <c r="I803" t="s">
        <v>10</v>
      </c>
    </row>
    <row r="804" spans="1:9" x14ac:dyDescent="0.25">
      <c r="A804" t="str">
        <f t="shared" si="12"/>
        <v>89301000</v>
      </c>
      <c r="B804" t="str">
        <f>"0809253247"</f>
        <v>0809253247</v>
      </c>
      <c r="C804" s="1">
        <v>45218</v>
      </c>
      <c r="D804" s="1">
        <v>45225</v>
      </c>
      <c r="E804">
        <v>1</v>
      </c>
      <c r="F804" t="str">
        <f>"03-I16-02"</f>
        <v>03-I16-02</v>
      </c>
      <c r="G804">
        <v>0.92579999999999996</v>
      </c>
      <c r="H804" t="s">
        <v>9</v>
      </c>
      <c r="I804" t="s">
        <v>10</v>
      </c>
    </row>
    <row r="805" spans="1:9" x14ac:dyDescent="0.25">
      <c r="A805" t="str">
        <f t="shared" si="12"/>
        <v>89301000</v>
      </c>
      <c r="B805" t="str">
        <f>"0810105263"</f>
        <v>0810105263</v>
      </c>
      <c r="C805" s="1">
        <v>45236</v>
      </c>
      <c r="D805" s="1">
        <v>45238</v>
      </c>
      <c r="E805">
        <v>1</v>
      </c>
      <c r="F805" t="str">
        <f>"03-K08-00"</f>
        <v>03-K08-00</v>
      </c>
      <c r="G805">
        <v>0.45519999999999999</v>
      </c>
      <c r="H805" t="s">
        <v>11</v>
      </c>
      <c r="I805" t="s">
        <v>10</v>
      </c>
    </row>
    <row r="806" spans="1:9" x14ac:dyDescent="0.25">
      <c r="A806" t="str">
        <f t="shared" si="12"/>
        <v>89301000</v>
      </c>
      <c r="B806" t="str">
        <f>"0810106165"</f>
        <v>0810106165</v>
      </c>
      <c r="C806" s="1">
        <v>45262</v>
      </c>
      <c r="D806" s="1">
        <v>45264</v>
      </c>
      <c r="E806">
        <v>1</v>
      </c>
      <c r="F806" t="str">
        <f>"09-K12-00"</f>
        <v>09-K12-00</v>
      </c>
      <c r="G806">
        <v>0.26040000000000002</v>
      </c>
      <c r="H806" t="s">
        <v>11</v>
      </c>
      <c r="I806" t="s">
        <v>10</v>
      </c>
    </row>
    <row r="807" spans="1:9" x14ac:dyDescent="0.25">
      <c r="A807" t="str">
        <f t="shared" si="12"/>
        <v>89301000</v>
      </c>
      <c r="B807" t="str">
        <f>"0810173243"</f>
        <v>0810173243</v>
      </c>
      <c r="C807" s="1">
        <v>45091</v>
      </c>
      <c r="D807" s="1">
        <v>45092</v>
      </c>
      <c r="E807">
        <v>1</v>
      </c>
      <c r="F807" t="str">
        <f>"08-I32-00"</f>
        <v>08-I32-00</v>
      </c>
      <c r="G807">
        <v>0.4093</v>
      </c>
      <c r="H807" t="s">
        <v>11</v>
      </c>
      <c r="I807" t="s">
        <v>10</v>
      </c>
    </row>
    <row r="808" spans="1:9" x14ac:dyDescent="0.25">
      <c r="A808" t="str">
        <f t="shared" si="12"/>
        <v>89301000</v>
      </c>
      <c r="B808" t="str">
        <f>"0810213250"</f>
        <v>0810213250</v>
      </c>
      <c r="C808" s="1">
        <v>45222</v>
      </c>
      <c r="D808" s="1">
        <v>45226</v>
      </c>
      <c r="E808">
        <v>1</v>
      </c>
      <c r="F808" t="str">
        <f>"12-I10-02"</f>
        <v>12-I10-02</v>
      </c>
      <c r="G808">
        <v>0.62029999999999996</v>
      </c>
      <c r="H808" t="s">
        <v>9</v>
      </c>
      <c r="I808" t="s">
        <v>10</v>
      </c>
    </row>
    <row r="809" spans="1:9" x14ac:dyDescent="0.25">
      <c r="A809" t="str">
        <f t="shared" si="12"/>
        <v>89301000</v>
      </c>
      <c r="B809" t="str">
        <f>"0810263234"</f>
        <v>0810263234</v>
      </c>
      <c r="C809" s="1">
        <v>45189</v>
      </c>
      <c r="D809" s="1">
        <v>45191</v>
      </c>
      <c r="E809">
        <v>1</v>
      </c>
      <c r="F809" t="str">
        <f>"12-I14-00"</f>
        <v>12-I14-00</v>
      </c>
      <c r="G809">
        <v>0.42920000000000003</v>
      </c>
      <c r="H809" t="s">
        <v>11</v>
      </c>
      <c r="I809" t="s">
        <v>10</v>
      </c>
    </row>
    <row r="810" spans="1:9" x14ac:dyDescent="0.25">
      <c r="A810" t="str">
        <f t="shared" si="12"/>
        <v>89301000</v>
      </c>
      <c r="B810" t="str">
        <f>"0810315264"</f>
        <v>0810315264</v>
      </c>
      <c r="C810" s="1">
        <v>45216</v>
      </c>
      <c r="D810" s="1">
        <v>45217</v>
      </c>
      <c r="E810">
        <v>1</v>
      </c>
      <c r="F810" t="str">
        <f>"06-K06-02"</f>
        <v>06-K06-02</v>
      </c>
      <c r="G810">
        <v>0.64170000000000005</v>
      </c>
      <c r="H810" t="s">
        <v>11</v>
      </c>
      <c r="I810" t="s">
        <v>10</v>
      </c>
    </row>
    <row r="811" spans="1:9" x14ac:dyDescent="0.25">
      <c r="A811" t="str">
        <f t="shared" si="12"/>
        <v>89301000</v>
      </c>
      <c r="B811" t="str">
        <f>"0811023246"</f>
        <v>0811023246</v>
      </c>
      <c r="C811" s="1">
        <v>45150</v>
      </c>
      <c r="D811" s="1">
        <v>45152</v>
      </c>
      <c r="E811">
        <v>1</v>
      </c>
      <c r="F811" t="str">
        <f>"08-I20-02"</f>
        <v>08-I20-02</v>
      </c>
      <c r="G811">
        <v>0.94279999999999997</v>
      </c>
      <c r="H811" t="s">
        <v>12</v>
      </c>
      <c r="I811" t="s">
        <v>10</v>
      </c>
    </row>
    <row r="812" spans="1:9" x14ac:dyDescent="0.25">
      <c r="A812" t="str">
        <f t="shared" si="12"/>
        <v>89301000</v>
      </c>
      <c r="B812" t="str">
        <f>"0811023246"</f>
        <v>0811023246</v>
      </c>
      <c r="C812" s="1">
        <v>45237</v>
      </c>
      <c r="D812" s="1">
        <v>45239</v>
      </c>
      <c r="E812">
        <v>1</v>
      </c>
      <c r="F812" t="str">
        <f>"08-I32-00"</f>
        <v>08-I32-00</v>
      </c>
      <c r="G812">
        <v>0.40870000000000001</v>
      </c>
      <c r="H812" t="s">
        <v>11</v>
      </c>
      <c r="I812" t="s">
        <v>10</v>
      </c>
    </row>
    <row r="813" spans="1:9" x14ac:dyDescent="0.25">
      <c r="A813" t="str">
        <f t="shared" si="12"/>
        <v>89301000</v>
      </c>
      <c r="B813" t="str">
        <f>"0812052219"</f>
        <v>0812052219</v>
      </c>
      <c r="C813" s="1">
        <v>45106</v>
      </c>
      <c r="D813" s="1">
        <v>45118</v>
      </c>
      <c r="E813">
        <v>1</v>
      </c>
      <c r="F813" t="str">
        <f>"16-K06-01"</f>
        <v>16-K06-01</v>
      </c>
      <c r="G813">
        <v>1.8227</v>
      </c>
      <c r="H813" t="s">
        <v>11</v>
      </c>
      <c r="I813" t="s">
        <v>10</v>
      </c>
    </row>
    <row r="814" spans="1:9" x14ac:dyDescent="0.25">
      <c r="A814" t="str">
        <f t="shared" si="12"/>
        <v>89301000</v>
      </c>
      <c r="B814" t="str">
        <f>"0812083239"</f>
        <v>0812083239</v>
      </c>
      <c r="C814" s="1">
        <v>45074</v>
      </c>
      <c r="D814" s="1">
        <v>45077</v>
      </c>
      <c r="E814">
        <v>1</v>
      </c>
      <c r="F814" t="str">
        <f>"08-M03-05"</f>
        <v>08-M03-05</v>
      </c>
      <c r="G814">
        <v>0.6633</v>
      </c>
      <c r="H814" t="s">
        <v>11</v>
      </c>
      <c r="I814" t="s">
        <v>10</v>
      </c>
    </row>
    <row r="815" spans="1:9" x14ac:dyDescent="0.25">
      <c r="A815" t="str">
        <f t="shared" si="12"/>
        <v>89301000</v>
      </c>
      <c r="B815" t="str">
        <f>"0812116063"</f>
        <v>0812116063</v>
      </c>
      <c r="C815" s="1">
        <v>45107</v>
      </c>
      <c r="D815" s="1">
        <v>45108</v>
      </c>
      <c r="E815">
        <v>1</v>
      </c>
      <c r="F815" t="str">
        <f>"01-K03-07"</f>
        <v>01-K03-07</v>
      </c>
      <c r="G815">
        <v>0.5988</v>
      </c>
      <c r="H815" t="s">
        <v>11</v>
      </c>
      <c r="I815" t="s">
        <v>10</v>
      </c>
    </row>
    <row r="816" spans="1:9" x14ac:dyDescent="0.25">
      <c r="A816" t="str">
        <f t="shared" si="12"/>
        <v>89301000</v>
      </c>
      <c r="B816" t="str">
        <f>"0812165266"</f>
        <v>0812165266</v>
      </c>
      <c r="C816" s="1">
        <v>45152</v>
      </c>
      <c r="D816" s="1">
        <v>45154</v>
      </c>
      <c r="E816">
        <v>1</v>
      </c>
      <c r="F816" t="str">
        <f>"12-I08-03"</f>
        <v>12-I08-03</v>
      </c>
      <c r="G816">
        <v>0.7258</v>
      </c>
      <c r="H816" t="s">
        <v>11</v>
      </c>
      <c r="I816" t="s">
        <v>10</v>
      </c>
    </row>
    <row r="817" spans="1:9" x14ac:dyDescent="0.25">
      <c r="A817" t="str">
        <f t="shared" si="12"/>
        <v>89301000</v>
      </c>
      <c r="B817" t="str">
        <f>"0812243245"</f>
        <v>0812243245</v>
      </c>
      <c r="C817" s="1">
        <v>45118</v>
      </c>
      <c r="D817" s="1">
        <v>45121</v>
      </c>
      <c r="E817">
        <v>1</v>
      </c>
      <c r="F817" t="str">
        <f>"06-I18-04"</f>
        <v>06-I18-04</v>
      </c>
      <c r="G817">
        <v>1.1088</v>
      </c>
      <c r="H817" t="s">
        <v>9</v>
      </c>
      <c r="I817" t="s">
        <v>10</v>
      </c>
    </row>
    <row r="818" spans="1:9" x14ac:dyDescent="0.25">
      <c r="A818" t="str">
        <f t="shared" si="12"/>
        <v>89301000</v>
      </c>
      <c r="B818" t="str">
        <f>"0812263254"</f>
        <v>0812263254</v>
      </c>
      <c r="C818" s="1">
        <v>45037</v>
      </c>
      <c r="D818" s="1">
        <v>45039</v>
      </c>
      <c r="E818">
        <v>1</v>
      </c>
      <c r="F818" t="str">
        <f>"01-K16-06"</f>
        <v>01-K16-06</v>
      </c>
      <c r="G818">
        <v>0.27150000000000002</v>
      </c>
      <c r="H818" t="s">
        <v>11</v>
      </c>
      <c r="I818" t="s">
        <v>10</v>
      </c>
    </row>
    <row r="819" spans="1:9" x14ac:dyDescent="0.25">
      <c r="A819" t="str">
        <f t="shared" si="12"/>
        <v>89301000</v>
      </c>
      <c r="B819" t="str">
        <f>"0851103286"</f>
        <v>0851103286</v>
      </c>
      <c r="C819" s="1">
        <v>44981</v>
      </c>
      <c r="D819" s="1">
        <v>44984</v>
      </c>
      <c r="E819">
        <v>1</v>
      </c>
      <c r="F819" t="str">
        <f>"03-K02-02"</f>
        <v>03-K02-02</v>
      </c>
      <c r="G819">
        <v>0.58540000000000003</v>
      </c>
      <c r="H819" t="s">
        <v>11</v>
      </c>
      <c r="I819" t="s">
        <v>10</v>
      </c>
    </row>
    <row r="820" spans="1:9" x14ac:dyDescent="0.25">
      <c r="A820" t="str">
        <f t="shared" si="12"/>
        <v>89301000</v>
      </c>
      <c r="B820" t="str">
        <f>"0851173224"</f>
        <v>0851173224</v>
      </c>
      <c r="C820" s="1">
        <v>45264</v>
      </c>
      <c r="D820" s="1">
        <v>45272</v>
      </c>
      <c r="E820">
        <v>1</v>
      </c>
      <c r="F820" t="str">
        <f>"10-R02-01"</f>
        <v>10-R02-01</v>
      </c>
      <c r="G820">
        <v>0.92279999999999995</v>
      </c>
      <c r="H820" t="s">
        <v>9</v>
      </c>
      <c r="I820" t="s">
        <v>10</v>
      </c>
    </row>
    <row r="821" spans="1:9" x14ac:dyDescent="0.25">
      <c r="A821" t="str">
        <f t="shared" si="12"/>
        <v>89301000</v>
      </c>
      <c r="B821" t="str">
        <f>"0851173224"</f>
        <v>0851173224</v>
      </c>
      <c r="C821" s="1">
        <v>45235</v>
      </c>
      <c r="D821" s="1">
        <v>45240</v>
      </c>
      <c r="E821">
        <v>1</v>
      </c>
      <c r="F821" t="str">
        <f>"10-I13-02"</f>
        <v>10-I13-02</v>
      </c>
      <c r="G821">
        <v>1.1124000000000001</v>
      </c>
      <c r="H821" t="s">
        <v>9</v>
      </c>
      <c r="I821" t="s">
        <v>10</v>
      </c>
    </row>
    <row r="822" spans="1:9" x14ac:dyDescent="0.25">
      <c r="A822" t="str">
        <f t="shared" si="12"/>
        <v>89301000</v>
      </c>
      <c r="B822" t="str">
        <f>"0852146064"</f>
        <v>0852146064</v>
      </c>
      <c r="C822" s="1">
        <v>45265</v>
      </c>
      <c r="D822" s="1">
        <v>45268</v>
      </c>
      <c r="E822">
        <v>1</v>
      </c>
      <c r="F822" t="str">
        <f>"09-K04-02"</f>
        <v>09-K04-02</v>
      </c>
      <c r="G822">
        <v>0.64849999999999997</v>
      </c>
      <c r="H822" t="s">
        <v>11</v>
      </c>
      <c r="I822" t="s">
        <v>10</v>
      </c>
    </row>
    <row r="823" spans="1:9" x14ac:dyDescent="0.25">
      <c r="A823" t="str">
        <f t="shared" si="12"/>
        <v>89301000</v>
      </c>
      <c r="B823" t="str">
        <f>"0852173234"</f>
        <v>0852173234</v>
      </c>
      <c r="C823" s="1">
        <v>44946</v>
      </c>
      <c r="D823" s="1">
        <v>44951</v>
      </c>
      <c r="E823">
        <v>1</v>
      </c>
      <c r="F823" t="str">
        <f>"06-I18-04"</f>
        <v>06-I18-04</v>
      </c>
      <c r="G823">
        <v>1.1088</v>
      </c>
      <c r="H823" t="s">
        <v>9</v>
      </c>
      <c r="I823" t="s">
        <v>10</v>
      </c>
    </row>
    <row r="824" spans="1:9" x14ac:dyDescent="0.25">
      <c r="A824" t="str">
        <f t="shared" si="12"/>
        <v>89301000</v>
      </c>
      <c r="B824" t="str">
        <f>"0852216079"</f>
        <v>0852216079</v>
      </c>
      <c r="C824" s="1">
        <v>44956</v>
      </c>
      <c r="D824" s="1">
        <v>44960</v>
      </c>
      <c r="E824">
        <v>1</v>
      </c>
      <c r="F824" t="str">
        <f>"09-K04-02"</f>
        <v>09-K04-02</v>
      </c>
      <c r="G824">
        <v>0.64849999999999997</v>
      </c>
      <c r="H824" t="s">
        <v>11</v>
      </c>
      <c r="I824" t="s">
        <v>10</v>
      </c>
    </row>
    <row r="825" spans="1:9" x14ac:dyDescent="0.25">
      <c r="A825" t="str">
        <f t="shared" si="12"/>
        <v>89301000</v>
      </c>
      <c r="B825" t="str">
        <f>"0852226067"</f>
        <v>0852226067</v>
      </c>
      <c r="C825" s="1">
        <v>45209</v>
      </c>
      <c r="D825" s="1">
        <v>45211</v>
      </c>
      <c r="E825">
        <v>1</v>
      </c>
      <c r="F825" t="str">
        <f>"19-K01-03"</f>
        <v>19-K01-03</v>
      </c>
      <c r="G825">
        <v>0.55700000000000005</v>
      </c>
      <c r="H825" t="s">
        <v>15</v>
      </c>
      <c r="I825" t="s">
        <v>10</v>
      </c>
    </row>
    <row r="826" spans="1:9" x14ac:dyDescent="0.25">
      <c r="A826" t="str">
        <f t="shared" si="12"/>
        <v>89301000</v>
      </c>
      <c r="B826" t="str">
        <f>"0852233228"</f>
        <v>0852233228</v>
      </c>
      <c r="C826" s="1">
        <v>45166</v>
      </c>
      <c r="D826" s="1">
        <v>45168</v>
      </c>
      <c r="E826">
        <v>1</v>
      </c>
      <c r="F826" t="str">
        <f>"01-K07-03"</f>
        <v>01-K07-03</v>
      </c>
      <c r="G826">
        <v>0.48680000000000001</v>
      </c>
      <c r="H826" t="s">
        <v>11</v>
      </c>
      <c r="I826" t="s">
        <v>10</v>
      </c>
    </row>
    <row r="827" spans="1:9" x14ac:dyDescent="0.25">
      <c r="A827" t="str">
        <f t="shared" si="12"/>
        <v>89301000</v>
      </c>
      <c r="B827" t="str">
        <f>"0852233228"</f>
        <v>0852233228</v>
      </c>
      <c r="C827" s="1">
        <v>45271</v>
      </c>
      <c r="D827" s="1">
        <v>45272</v>
      </c>
      <c r="E827">
        <v>1</v>
      </c>
      <c r="F827" t="str">
        <f>"01-K18-04"</f>
        <v>01-K18-04</v>
      </c>
      <c r="G827">
        <v>0.54610000000000003</v>
      </c>
      <c r="H827" t="s">
        <v>11</v>
      </c>
      <c r="I827" t="s">
        <v>10</v>
      </c>
    </row>
    <row r="828" spans="1:9" x14ac:dyDescent="0.25">
      <c r="A828" t="str">
        <f t="shared" si="12"/>
        <v>89301000</v>
      </c>
      <c r="B828" t="str">
        <f>"0853283255"</f>
        <v>0853283255</v>
      </c>
      <c r="C828" s="1">
        <v>45236</v>
      </c>
      <c r="D828" s="1">
        <v>45238</v>
      </c>
      <c r="E828">
        <v>1</v>
      </c>
      <c r="F828" t="str">
        <f>"10-K04-03"</f>
        <v>10-K04-03</v>
      </c>
      <c r="G828">
        <v>0.86599999999999999</v>
      </c>
      <c r="H828" t="s">
        <v>11</v>
      </c>
      <c r="I828" t="s">
        <v>10</v>
      </c>
    </row>
    <row r="829" spans="1:9" x14ac:dyDescent="0.25">
      <c r="A829" t="str">
        <f t="shared" si="12"/>
        <v>89301000</v>
      </c>
      <c r="B829" t="str">
        <f>"0854013226"</f>
        <v>0854013226</v>
      </c>
      <c r="C829" s="1">
        <v>44974</v>
      </c>
      <c r="D829" s="1">
        <v>44986</v>
      </c>
      <c r="E829">
        <v>1</v>
      </c>
      <c r="F829" t="str">
        <f>"05-K01-03"</f>
        <v>05-K01-03</v>
      </c>
      <c r="G829">
        <v>0.73540000000000005</v>
      </c>
      <c r="H829" t="s">
        <v>11</v>
      </c>
      <c r="I829" t="s">
        <v>10</v>
      </c>
    </row>
    <row r="830" spans="1:9" x14ac:dyDescent="0.25">
      <c r="A830" t="str">
        <f t="shared" si="12"/>
        <v>89301000</v>
      </c>
      <c r="B830" t="str">
        <f>"0854046105"</f>
        <v>0854046105</v>
      </c>
      <c r="C830" s="1">
        <v>45060</v>
      </c>
      <c r="D830" s="1">
        <v>45062</v>
      </c>
      <c r="E830">
        <v>1</v>
      </c>
      <c r="F830" t="str">
        <f>"09-I13-05"</f>
        <v>09-I13-05</v>
      </c>
      <c r="G830">
        <v>0.42509999999999998</v>
      </c>
      <c r="H830" t="s">
        <v>11</v>
      </c>
      <c r="I830" t="s">
        <v>10</v>
      </c>
    </row>
    <row r="831" spans="1:9" x14ac:dyDescent="0.25">
      <c r="A831" t="str">
        <f t="shared" ref="A831:A894" si="13">"89301000"</f>
        <v>89301000</v>
      </c>
      <c r="B831" t="str">
        <f>"0854047084"</f>
        <v>0854047084</v>
      </c>
      <c r="C831" s="1">
        <v>44957</v>
      </c>
      <c r="D831" s="1">
        <v>44959</v>
      </c>
      <c r="E831">
        <v>1</v>
      </c>
      <c r="F831" t="str">
        <f>"06-K22-03"</f>
        <v>06-K22-03</v>
      </c>
      <c r="G831">
        <v>0.31619999999999998</v>
      </c>
      <c r="H831" t="s">
        <v>11</v>
      </c>
      <c r="I831" t="s">
        <v>10</v>
      </c>
    </row>
    <row r="832" spans="1:9" x14ac:dyDescent="0.25">
      <c r="A832" t="str">
        <f t="shared" si="13"/>
        <v>89301000</v>
      </c>
      <c r="B832" t="str">
        <f>"0854083252"</f>
        <v>0854083252</v>
      </c>
      <c r="C832" s="1">
        <v>44965</v>
      </c>
      <c r="D832" s="1">
        <v>44974</v>
      </c>
      <c r="E832">
        <v>1</v>
      </c>
      <c r="F832" t="str">
        <f>"19-K02-02"</f>
        <v>19-K02-02</v>
      </c>
      <c r="G832">
        <v>1.0766</v>
      </c>
      <c r="H832" t="s">
        <v>15</v>
      </c>
      <c r="I832" t="s">
        <v>10</v>
      </c>
    </row>
    <row r="833" spans="1:9" x14ac:dyDescent="0.25">
      <c r="A833" t="str">
        <f t="shared" si="13"/>
        <v>89301000</v>
      </c>
      <c r="B833" t="str">
        <f>"0854193769"</f>
        <v>0854193769</v>
      </c>
      <c r="C833" s="1">
        <v>45001</v>
      </c>
      <c r="D833" s="1">
        <v>45003</v>
      </c>
      <c r="E833">
        <v>1</v>
      </c>
      <c r="F833" t="str">
        <f>"11-K05-00"</f>
        <v>11-K05-00</v>
      </c>
      <c r="G833">
        <v>0.34339999999999998</v>
      </c>
      <c r="H833" t="s">
        <v>11</v>
      </c>
      <c r="I833" t="s">
        <v>10</v>
      </c>
    </row>
    <row r="834" spans="1:9" x14ac:dyDescent="0.25">
      <c r="A834" t="str">
        <f t="shared" si="13"/>
        <v>89301000</v>
      </c>
      <c r="B834" t="str">
        <f>"0854203097"</f>
        <v>0854203097</v>
      </c>
      <c r="C834" s="1">
        <v>44997</v>
      </c>
      <c r="D834" s="1">
        <v>44999</v>
      </c>
      <c r="E834">
        <v>1</v>
      </c>
      <c r="F834" t="str">
        <f>"02-I11-01"</f>
        <v>02-I11-01</v>
      </c>
      <c r="G834">
        <v>0.80620000000000003</v>
      </c>
      <c r="H834" t="s">
        <v>12</v>
      </c>
      <c r="I834" t="s">
        <v>10</v>
      </c>
    </row>
    <row r="835" spans="1:9" x14ac:dyDescent="0.25">
      <c r="A835" t="str">
        <f t="shared" si="13"/>
        <v>89301000</v>
      </c>
      <c r="B835" t="str">
        <f>"0854243225"</f>
        <v>0854243225</v>
      </c>
      <c r="C835" s="1">
        <v>45103</v>
      </c>
      <c r="D835" s="1">
        <v>45106</v>
      </c>
      <c r="E835">
        <v>1</v>
      </c>
      <c r="F835" t="str">
        <f>"08-I31-04"</f>
        <v>08-I31-04</v>
      </c>
      <c r="G835">
        <v>0.49170000000000003</v>
      </c>
      <c r="H835" t="s">
        <v>11</v>
      </c>
      <c r="I835" t="s">
        <v>10</v>
      </c>
    </row>
    <row r="836" spans="1:9" x14ac:dyDescent="0.25">
      <c r="A836" t="str">
        <f t="shared" si="13"/>
        <v>89301000</v>
      </c>
      <c r="B836" t="str">
        <f>"0854243225"</f>
        <v>0854243225</v>
      </c>
      <c r="C836" s="1">
        <v>45089</v>
      </c>
      <c r="D836" s="1">
        <v>45090</v>
      </c>
      <c r="E836">
        <v>1</v>
      </c>
      <c r="F836" t="str">
        <f>"08-K04-02"</f>
        <v>08-K04-02</v>
      </c>
      <c r="G836">
        <v>0.54369999999999996</v>
      </c>
      <c r="H836" t="s">
        <v>11</v>
      </c>
      <c r="I836" t="s">
        <v>10</v>
      </c>
    </row>
    <row r="837" spans="1:9" x14ac:dyDescent="0.25">
      <c r="A837" t="str">
        <f t="shared" si="13"/>
        <v>89301000</v>
      </c>
      <c r="B837" t="str">
        <f>"0854540522"</f>
        <v>0854540522</v>
      </c>
      <c r="C837" s="1">
        <v>45009</v>
      </c>
      <c r="D837" s="1">
        <v>45013</v>
      </c>
      <c r="E837">
        <v>1</v>
      </c>
      <c r="F837" t="str">
        <f>"06-I18-04"</f>
        <v>06-I18-04</v>
      </c>
      <c r="G837">
        <v>1.1088</v>
      </c>
      <c r="H837" t="s">
        <v>9</v>
      </c>
      <c r="I837" t="s">
        <v>10</v>
      </c>
    </row>
    <row r="838" spans="1:9" x14ac:dyDescent="0.25">
      <c r="A838" t="str">
        <f t="shared" si="13"/>
        <v>89301000</v>
      </c>
      <c r="B838" t="str">
        <f>"0855023224"</f>
        <v>0855023224</v>
      </c>
      <c r="C838" s="1">
        <v>45041</v>
      </c>
      <c r="D838" s="1">
        <v>45041</v>
      </c>
      <c r="E838">
        <v>1</v>
      </c>
      <c r="F838" t="str">
        <f>"06-K02-04"</f>
        <v>06-K02-04</v>
      </c>
      <c r="G838">
        <v>0.1883</v>
      </c>
      <c r="H838" t="s">
        <v>11</v>
      </c>
      <c r="I838" t="s">
        <v>10</v>
      </c>
    </row>
    <row r="839" spans="1:9" x14ac:dyDescent="0.25">
      <c r="A839" t="str">
        <f t="shared" si="13"/>
        <v>89301000</v>
      </c>
      <c r="B839" t="str">
        <f>"0855136062"</f>
        <v>0855136062</v>
      </c>
      <c r="C839" s="1">
        <v>44952</v>
      </c>
      <c r="D839" s="1">
        <v>44956</v>
      </c>
      <c r="E839">
        <v>1</v>
      </c>
      <c r="F839" t="str">
        <f>"19-K01-02"</f>
        <v>19-K01-02</v>
      </c>
      <c r="G839">
        <v>1.0766</v>
      </c>
      <c r="H839" t="s">
        <v>15</v>
      </c>
      <c r="I839" t="s">
        <v>10</v>
      </c>
    </row>
    <row r="840" spans="1:9" x14ac:dyDescent="0.25">
      <c r="A840" t="str">
        <f t="shared" si="13"/>
        <v>89301000</v>
      </c>
      <c r="B840" t="str">
        <f>"0855163254"</f>
        <v>0855163254</v>
      </c>
      <c r="C840" s="1">
        <v>45034</v>
      </c>
      <c r="D840" s="1">
        <v>45035</v>
      </c>
      <c r="E840">
        <v>1</v>
      </c>
      <c r="F840" t="str">
        <f>"08-I32-00"</f>
        <v>08-I32-00</v>
      </c>
      <c r="G840">
        <v>0.40870000000000001</v>
      </c>
      <c r="H840" t="s">
        <v>11</v>
      </c>
      <c r="I840" t="s">
        <v>10</v>
      </c>
    </row>
    <row r="841" spans="1:9" x14ac:dyDescent="0.25">
      <c r="A841" t="str">
        <f t="shared" si="13"/>
        <v>89301000</v>
      </c>
      <c r="B841" t="str">
        <f>"0855227428"</f>
        <v>0855227428</v>
      </c>
      <c r="C841" s="1">
        <v>45252</v>
      </c>
      <c r="D841" s="1">
        <v>45254</v>
      </c>
      <c r="E841">
        <v>1</v>
      </c>
      <c r="F841" t="str">
        <f>"08-I32-00"</f>
        <v>08-I32-00</v>
      </c>
      <c r="G841">
        <v>0.40870000000000001</v>
      </c>
      <c r="H841" t="s">
        <v>11</v>
      </c>
      <c r="I841" t="s">
        <v>10</v>
      </c>
    </row>
    <row r="842" spans="1:9" x14ac:dyDescent="0.25">
      <c r="A842" t="str">
        <f t="shared" si="13"/>
        <v>89301000</v>
      </c>
      <c r="B842" t="str">
        <f>"0856253244"</f>
        <v>0856253244</v>
      </c>
      <c r="C842" s="1">
        <v>45039</v>
      </c>
      <c r="D842" s="1">
        <v>45041</v>
      </c>
      <c r="E842">
        <v>1</v>
      </c>
      <c r="F842" t="str">
        <f>"02-I11-01"</f>
        <v>02-I11-01</v>
      </c>
      <c r="G842">
        <v>0.80620000000000003</v>
      </c>
      <c r="H842" t="s">
        <v>12</v>
      </c>
      <c r="I842" t="s">
        <v>10</v>
      </c>
    </row>
    <row r="843" spans="1:9" x14ac:dyDescent="0.25">
      <c r="A843" t="str">
        <f t="shared" si="13"/>
        <v>89301000</v>
      </c>
      <c r="B843" t="str">
        <f>"0856305263"</f>
        <v>0856305263</v>
      </c>
      <c r="C843" s="1">
        <v>45040</v>
      </c>
      <c r="D843" s="1">
        <v>45046</v>
      </c>
      <c r="E843">
        <v>1</v>
      </c>
      <c r="F843" t="str">
        <f>"07-I10-06"</f>
        <v>07-I10-06</v>
      </c>
      <c r="G843">
        <v>0.98419999999999996</v>
      </c>
      <c r="H843" t="s">
        <v>12</v>
      </c>
      <c r="I843" t="s">
        <v>10</v>
      </c>
    </row>
    <row r="844" spans="1:9" x14ac:dyDescent="0.25">
      <c r="A844" t="str">
        <f t="shared" si="13"/>
        <v>89301000</v>
      </c>
      <c r="B844" t="str">
        <f>"0856306066"</f>
        <v>0856306066</v>
      </c>
      <c r="C844" s="1">
        <v>45036</v>
      </c>
      <c r="D844" s="1">
        <v>45037</v>
      </c>
      <c r="E844">
        <v>1</v>
      </c>
      <c r="F844" t="str">
        <f>"01-K16-06"</f>
        <v>01-K16-06</v>
      </c>
      <c r="G844">
        <v>0.27150000000000002</v>
      </c>
      <c r="H844" t="s">
        <v>11</v>
      </c>
      <c r="I844" t="s">
        <v>10</v>
      </c>
    </row>
    <row r="845" spans="1:9" x14ac:dyDescent="0.25">
      <c r="A845" t="str">
        <f t="shared" si="13"/>
        <v>89301000</v>
      </c>
      <c r="B845" t="str">
        <f>"0857023255"</f>
        <v>0857023255</v>
      </c>
      <c r="C845" s="1">
        <v>44999</v>
      </c>
      <c r="D845" s="1">
        <v>45001</v>
      </c>
      <c r="E845">
        <v>1</v>
      </c>
      <c r="F845" t="str">
        <f>"06-K22-03"</f>
        <v>06-K22-03</v>
      </c>
      <c r="G845">
        <v>0.31619999999999998</v>
      </c>
      <c r="H845" t="s">
        <v>11</v>
      </c>
      <c r="I845" t="s">
        <v>10</v>
      </c>
    </row>
    <row r="846" spans="1:9" x14ac:dyDescent="0.25">
      <c r="A846" t="str">
        <f t="shared" si="13"/>
        <v>89301000</v>
      </c>
      <c r="B846" t="str">
        <f>"0857023255"</f>
        <v>0857023255</v>
      </c>
      <c r="C846" s="1">
        <v>45096</v>
      </c>
      <c r="D846" s="1">
        <v>45099</v>
      </c>
      <c r="E846">
        <v>1</v>
      </c>
      <c r="F846" t="str">
        <f>"06-K03-03"</f>
        <v>06-K03-03</v>
      </c>
      <c r="G846">
        <v>0.42649999999999999</v>
      </c>
      <c r="H846" t="s">
        <v>11</v>
      </c>
      <c r="I846" t="s">
        <v>10</v>
      </c>
    </row>
    <row r="847" spans="1:9" x14ac:dyDescent="0.25">
      <c r="A847" t="str">
        <f t="shared" si="13"/>
        <v>89301000</v>
      </c>
      <c r="B847" t="str">
        <f>"0857033232"</f>
        <v>0857033232</v>
      </c>
      <c r="C847" s="1">
        <v>45055</v>
      </c>
      <c r="D847" s="1">
        <v>45058</v>
      </c>
      <c r="E847">
        <v>1</v>
      </c>
      <c r="F847" t="str">
        <f>"08-I20-02"</f>
        <v>08-I20-02</v>
      </c>
      <c r="G847">
        <v>0.94279999999999997</v>
      </c>
      <c r="H847" t="s">
        <v>12</v>
      </c>
      <c r="I847" t="s">
        <v>10</v>
      </c>
    </row>
    <row r="848" spans="1:9" x14ac:dyDescent="0.25">
      <c r="A848" t="str">
        <f t="shared" si="13"/>
        <v>89301000</v>
      </c>
      <c r="B848" t="str">
        <f>"0857164957"</f>
        <v>0857164957</v>
      </c>
      <c r="C848" s="1">
        <v>45001</v>
      </c>
      <c r="D848" s="1">
        <v>45003</v>
      </c>
      <c r="E848">
        <v>1</v>
      </c>
      <c r="F848" t="str">
        <f>"08-I20-03"</f>
        <v>08-I20-03</v>
      </c>
      <c r="G848">
        <v>0.62639999999999996</v>
      </c>
      <c r="H848" t="s">
        <v>12</v>
      </c>
      <c r="I848" t="s">
        <v>10</v>
      </c>
    </row>
    <row r="849" spans="1:9" x14ac:dyDescent="0.25">
      <c r="A849" t="str">
        <f t="shared" si="13"/>
        <v>89301000</v>
      </c>
      <c r="B849" t="str">
        <f>"0857183228"</f>
        <v>0857183228</v>
      </c>
      <c r="C849" s="1">
        <v>44995</v>
      </c>
      <c r="D849" s="1">
        <v>44999</v>
      </c>
      <c r="E849">
        <v>5</v>
      </c>
      <c r="F849" t="str">
        <f>"19-K02-03"</f>
        <v>19-K02-03</v>
      </c>
      <c r="G849">
        <v>0.71950000000000003</v>
      </c>
      <c r="H849" t="s">
        <v>15</v>
      </c>
      <c r="I849" t="s">
        <v>10</v>
      </c>
    </row>
    <row r="850" spans="1:9" x14ac:dyDescent="0.25">
      <c r="A850" t="str">
        <f t="shared" si="13"/>
        <v>89301000</v>
      </c>
      <c r="B850" t="str">
        <f>"0857293250"</f>
        <v>0857293250</v>
      </c>
      <c r="C850" s="1">
        <v>45082</v>
      </c>
      <c r="D850" s="1">
        <v>45084</v>
      </c>
      <c r="E850">
        <v>1</v>
      </c>
      <c r="F850" t="str">
        <f>"08-K10-00"</f>
        <v>08-K10-00</v>
      </c>
      <c r="G850">
        <v>0.70640000000000003</v>
      </c>
      <c r="H850" t="s">
        <v>11</v>
      </c>
      <c r="I850" t="s">
        <v>10</v>
      </c>
    </row>
    <row r="851" spans="1:9" x14ac:dyDescent="0.25">
      <c r="A851" t="str">
        <f t="shared" si="13"/>
        <v>89301000</v>
      </c>
      <c r="B851" t="str">
        <f>"0858143231"</f>
        <v>0858143231</v>
      </c>
      <c r="C851" s="1">
        <v>45271</v>
      </c>
      <c r="D851" s="1">
        <v>45275</v>
      </c>
      <c r="E851">
        <v>1</v>
      </c>
      <c r="F851" t="str">
        <f>"06-K22-03"</f>
        <v>06-K22-03</v>
      </c>
      <c r="G851">
        <v>0.31619999999999998</v>
      </c>
      <c r="H851" t="s">
        <v>11</v>
      </c>
      <c r="I851" t="s">
        <v>10</v>
      </c>
    </row>
    <row r="852" spans="1:9" x14ac:dyDescent="0.25">
      <c r="A852" t="str">
        <f t="shared" si="13"/>
        <v>89301000</v>
      </c>
      <c r="B852" t="str">
        <f>"0858253231"</f>
        <v>0858253231</v>
      </c>
      <c r="C852" s="1">
        <v>45237</v>
      </c>
      <c r="D852" s="1">
        <v>45241</v>
      </c>
      <c r="E852">
        <v>1</v>
      </c>
      <c r="F852" t="str">
        <f>"11-K01-03"</f>
        <v>11-K01-03</v>
      </c>
      <c r="G852">
        <v>0.68789999999999996</v>
      </c>
      <c r="H852" t="s">
        <v>11</v>
      </c>
      <c r="I852" t="s">
        <v>10</v>
      </c>
    </row>
    <row r="853" spans="1:9" x14ac:dyDescent="0.25">
      <c r="A853" t="str">
        <f t="shared" si="13"/>
        <v>89301000</v>
      </c>
      <c r="B853" t="str">
        <f>"0858255277"</f>
        <v>0858255277</v>
      </c>
      <c r="C853" s="1">
        <v>44976</v>
      </c>
      <c r="D853" s="1">
        <v>44980</v>
      </c>
      <c r="E853">
        <v>6</v>
      </c>
      <c r="F853" t="str">
        <f>"19-K02-03"</f>
        <v>19-K02-03</v>
      </c>
      <c r="G853">
        <v>0.71950000000000003</v>
      </c>
      <c r="H853" t="s">
        <v>15</v>
      </c>
      <c r="I853" t="s">
        <v>10</v>
      </c>
    </row>
    <row r="854" spans="1:9" x14ac:dyDescent="0.25">
      <c r="A854" t="str">
        <f t="shared" si="13"/>
        <v>89301000</v>
      </c>
      <c r="B854" t="str">
        <f>"0858283228"</f>
        <v>0858283228</v>
      </c>
      <c r="C854" s="1">
        <v>44943</v>
      </c>
      <c r="D854" s="1">
        <v>44945</v>
      </c>
      <c r="E854">
        <v>1</v>
      </c>
      <c r="F854" t="str">
        <f>"08-I25-02"</f>
        <v>08-I25-02</v>
      </c>
      <c r="G854">
        <v>0.55279999999999996</v>
      </c>
      <c r="H854" t="s">
        <v>11</v>
      </c>
      <c r="I854" t="s">
        <v>10</v>
      </c>
    </row>
    <row r="855" spans="1:9" x14ac:dyDescent="0.25">
      <c r="A855" t="str">
        <f t="shared" si="13"/>
        <v>89301000</v>
      </c>
      <c r="B855" t="str">
        <f>"0859016070"</f>
        <v>0859016070</v>
      </c>
      <c r="C855" s="1">
        <v>45194</v>
      </c>
      <c r="D855" s="1">
        <v>45198</v>
      </c>
      <c r="E855">
        <v>1</v>
      </c>
      <c r="F855" t="str">
        <f>"09-K14-02"</f>
        <v>09-K14-02</v>
      </c>
      <c r="G855">
        <v>0.5</v>
      </c>
      <c r="H855" t="s">
        <v>11</v>
      </c>
      <c r="I855" t="s">
        <v>10</v>
      </c>
    </row>
    <row r="856" spans="1:9" x14ac:dyDescent="0.25">
      <c r="A856" t="str">
        <f t="shared" si="13"/>
        <v>89301000</v>
      </c>
      <c r="B856" t="str">
        <f>"0859016092"</f>
        <v>0859016092</v>
      </c>
      <c r="C856" s="1">
        <v>44960</v>
      </c>
      <c r="D856" s="1">
        <v>44963</v>
      </c>
      <c r="E856">
        <v>1</v>
      </c>
      <c r="F856" t="str">
        <f>"04-K02-04"</f>
        <v>04-K02-04</v>
      </c>
      <c r="G856">
        <v>0.82099999999999995</v>
      </c>
      <c r="H856" t="s">
        <v>11</v>
      </c>
      <c r="I856" t="s">
        <v>10</v>
      </c>
    </row>
    <row r="857" spans="1:9" x14ac:dyDescent="0.25">
      <c r="A857" t="str">
        <f t="shared" si="13"/>
        <v>89301000</v>
      </c>
      <c r="B857" t="str">
        <f>"0859047475"</f>
        <v>0859047475</v>
      </c>
      <c r="C857" s="1">
        <v>44970</v>
      </c>
      <c r="D857" s="1">
        <v>44971</v>
      </c>
      <c r="E857">
        <v>1</v>
      </c>
      <c r="F857" t="str">
        <f>"01-K03-07"</f>
        <v>01-K03-07</v>
      </c>
      <c r="G857">
        <v>0.5988</v>
      </c>
      <c r="H857" t="s">
        <v>11</v>
      </c>
      <c r="I857" t="s">
        <v>10</v>
      </c>
    </row>
    <row r="858" spans="1:9" x14ac:dyDescent="0.25">
      <c r="A858" t="str">
        <f t="shared" si="13"/>
        <v>89301000</v>
      </c>
      <c r="B858" t="str">
        <f t="shared" ref="B858:B864" si="14">"0859053261"</f>
        <v>0859053261</v>
      </c>
      <c r="C858" s="1">
        <v>45216</v>
      </c>
      <c r="D858" s="1">
        <v>45232</v>
      </c>
      <c r="E858">
        <v>1</v>
      </c>
      <c r="F858" t="str">
        <f>"06-C01-00"</f>
        <v>06-C01-00</v>
      </c>
      <c r="G858">
        <v>0.86519999999999997</v>
      </c>
      <c r="H858" t="s">
        <v>11</v>
      </c>
      <c r="I858" t="s">
        <v>10</v>
      </c>
    </row>
    <row r="859" spans="1:9" x14ac:dyDescent="0.25">
      <c r="A859" t="str">
        <f t="shared" si="13"/>
        <v>89301000</v>
      </c>
      <c r="B859" t="str">
        <f t="shared" si="14"/>
        <v>0859053261</v>
      </c>
      <c r="C859" s="1">
        <v>44921</v>
      </c>
      <c r="D859" s="1">
        <v>44937</v>
      </c>
      <c r="E859">
        <v>1</v>
      </c>
      <c r="F859" t="str">
        <f>"06-K06-01"</f>
        <v>06-K06-01</v>
      </c>
      <c r="G859">
        <v>1.1567000000000001</v>
      </c>
      <c r="H859" t="s">
        <v>11</v>
      </c>
      <c r="I859" t="s">
        <v>10</v>
      </c>
    </row>
    <row r="860" spans="1:9" x14ac:dyDescent="0.25">
      <c r="A860" t="str">
        <f t="shared" si="13"/>
        <v>89301000</v>
      </c>
      <c r="B860" t="str">
        <f t="shared" si="14"/>
        <v>0859053261</v>
      </c>
      <c r="C860" s="1">
        <v>44946</v>
      </c>
      <c r="D860" s="1">
        <v>44957</v>
      </c>
      <c r="E860">
        <v>1</v>
      </c>
      <c r="F860" t="str">
        <f>"06-C01-00"</f>
        <v>06-C01-00</v>
      </c>
      <c r="G860">
        <v>0.62919999999999998</v>
      </c>
      <c r="H860" t="s">
        <v>11</v>
      </c>
      <c r="I860" t="s">
        <v>10</v>
      </c>
    </row>
    <row r="861" spans="1:9" x14ac:dyDescent="0.25">
      <c r="A861" t="str">
        <f t="shared" si="13"/>
        <v>89301000</v>
      </c>
      <c r="B861" t="str">
        <f t="shared" si="14"/>
        <v>0859053261</v>
      </c>
      <c r="C861" s="1">
        <v>45082</v>
      </c>
      <c r="D861" s="1">
        <v>45090</v>
      </c>
      <c r="E861">
        <v>1</v>
      </c>
      <c r="F861" t="str">
        <f>"06-C01-00"</f>
        <v>06-C01-00</v>
      </c>
      <c r="G861">
        <v>0.48759999999999998</v>
      </c>
      <c r="H861" t="s">
        <v>11</v>
      </c>
      <c r="I861" t="s">
        <v>10</v>
      </c>
    </row>
    <row r="862" spans="1:9" x14ac:dyDescent="0.25">
      <c r="A862" t="str">
        <f t="shared" si="13"/>
        <v>89301000</v>
      </c>
      <c r="B862" t="str">
        <f t="shared" si="14"/>
        <v>0859053261</v>
      </c>
      <c r="C862" s="1">
        <v>45022</v>
      </c>
      <c r="D862" s="1">
        <v>45035</v>
      </c>
      <c r="E862">
        <v>1</v>
      </c>
      <c r="F862" t="str">
        <f>"06-C01-00"</f>
        <v>06-C01-00</v>
      </c>
      <c r="G862">
        <v>0.72360000000000002</v>
      </c>
      <c r="H862" t="s">
        <v>11</v>
      </c>
      <c r="I862" t="s">
        <v>10</v>
      </c>
    </row>
    <row r="863" spans="1:9" x14ac:dyDescent="0.25">
      <c r="A863" t="str">
        <f t="shared" si="13"/>
        <v>89301000</v>
      </c>
      <c r="B863" t="str">
        <f t="shared" si="14"/>
        <v>0859053261</v>
      </c>
      <c r="C863" s="1">
        <v>45258</v>
      </c>
      <c r="D863" s="1">
        <v>45282</v>
      </c>
      <c r="E863">
        <v>1</v>
      </c>
      <c r="F863" t="str">
        <f>"04-K07-02"</f>
        <v>04-K07-02</v>
      </c>
      <c r="G863">
        <v>1.6153</v>
      </c>
      <c r="H863" t="s">
        <v>11</v>
      </c>
      <c r="I863" t="s">
        <v>10</v>
      </c>
    </row>
    <row r="864" spans="1:9" x14ac:dyDescent="0.25">
      <c r="A864" t="str">
        <f t="shared" si="13"/>
        <v>89301000</v>
      </c>
      <c r="B864" t="str">
        <f t="shared" si="14"/>
        <v>0859053261</v>
      </c>
      <c r="C864" s="1">
        <v>45119</v>
      </c>
      <c r="D864" s="1">
        <v>45127</v>
      </c>
      <c r="E864">
        <v>1</v>
      </c>
      <c r="F864" t="str">
        <f>"06-K06-01"</f>
        <v>06-K06-01</v>
      </c>
      <c r="G864">
        <v>1.1567000000000001</v>
      </c>
      <c r="H864" t="s">
        <v>11</v>
      </c>
      <c r="I864" t="s">
        <v>10</v>
      </c>
    </row>
    <row r="865" spans="1:9" x14ac:dyDescent="0.25">
      <c r="A865" t="str">
        <f t="shared" si="13"/>
        <v>89301000</v>
      </c>
      <c r="B865" t="str">
        <f>"0859090364"</f>
        <v>0859090364</v>
      </c>
      <c r="C865" s="1">
        <v>44951</v>
      </c>
      <c r="D865" s="1">
        <v>44953</v>
      </c>
      <c r="E865">
        <v>1</v>
      </c>
      <c r="F865" t="str">
        <f>"02-I13-02"</f>
        <v>02-I13-02</v>
      </c>
      <c r="G865">
        <v>0.4259</v>
      </c>
      <c r="H865" t="s">
        <v>11</v>
      </c>
      <c r="I865" t="s">
        <v>10</v>
      </c>
    </row>
    <row r="866" spans="1:9" x14ac:dyDescent="0.25">
      <c r="A866" t="str">
        <f t="shared" si="13"/>
        <v>89301000</v>
      </c>
      <c r="B866" t="str">
        <f>"0859206073"</f>
        <v>0859206073</v>
      </c>
      <c r="C866" s="1">
        <v>44920</v>
      </c>
      <c r="D866" s="1">
        <v>44932</v>
      </c>
      <c r="E866">
        <v>1</v>
      </c>
      <c r="F866" t="str">
        <f>"08-K04-02"</f>
        <v>08-K04-02</v>
      </c>
      <c r="G866">
        <v>0.70660000000000001</v>
      </c>
      <c r="H866" t="s">
        <v>11</v>
      </c>
      <c r="I866" t="s">
        <v>10</v>
      </c>
    </row>
    <row r="867" spans="1:9" x14ac:dyDescent="0.25">
      <c r="A867" t="str">
        <f t="shared" si="13"/>
        <v>89301000</v>
      </c>
      <c r="B867" t="str">
        <f>"0859245266"</f>
        <v>0859245266</v>
      </c>
      <c r="C867" s="1">
        <v>45164</v>
      </c>
      <c r="D867" s="1">
        <v>45166</v>
      </c>
      <c r="E867">
        <v>1</v>
      </c>
      <c r="F867" t="str">
        <f>"01-K16-06"</f>
        <v>01-K16-06</v>
      </c>
      <c r="G867">
        <v>0.27150000000000002</v>
      </c>
      <c r="H867" t="s">
        <v>11</v>
      </c>
      <c r="I867" t="s">
        <v>10</v>
      </c>
    </row>
    <row r="868" spans="1:9" x14ac:dyDescent="0.25">
      <c r="A868" t="str">
        <f t="shared" si="13"/>
        <v>89301000</v>
      </c>
      <c r="B868" t="str">
        <f>"0859246190"</f>
        <v>0859246190</v>
      </c>
      <c r="C868" s="1">
        <v>45219</v>
      </c>
      <c r="D868" s="1">
        <v>45222</v>
      </c>
      <c r="E868">
        <v>1</v>
      </c>
      <c r="F868" t="str">
        <f>"05-K15-02"</f>
        <v>05-K15-02</v>
      </c>
      <c r="G868">
        <v>0.45369999999999999</v>
      </c>
      <c r="H868" t="s">
        <v>11</v>
      </c>
      <c r="I868" t="s">
        <v>10</v>
      </c>
    </row>
    <row r="869" spans="1:9" x14ac:dyDescent="0.25">
      <c r="A869" t="str">
        <f t="shared" si="13"/>
        <v>89301000</v>
      </c>
      <c r="B869" t="str">
        <f>"0859286153"</f>
        <v>0859286153</v>
      </c>
      <c r="C869" s="1">
        <v>45104</v>
      </c>
      <c r="D869" s="1">
        <v>45105</v>
      </c>
      <c r="E869">
        <v>1</v>
      </c>
      <c r="F869" t="str">
        <f>"04-K03-03"</f>
        <v>04-K03-03</v>
      </c>
      <c r="G869">
        <v>0.56110000000000004</v>
      </c>
      <c r="H869" t="s">
        <v>11</v>
      </c>
      <c r="I869" t="s">
        <v>10</v>
      </c>
    </row>
    <row r="870" spans="1:9" x14ac:dyDescent="0.25">
      <c r="A870" t="str">
        <f t="shared" si="13"/>
        <v>89301000</v>
      </c>
      <c r="B870" t="str">
        <f>"0859286153"</f>
        <v>0859286153</v>
      </c>
      <c r="C870" s="1">
        <v>45181</v>
      </c>
      <c r="D870" s="1">
        <v>45183</v>
      </c>
      <c r="E870">
        <v>1</v>
      </c>
      <c r="F870" t="str">
        <f>"06-K03-03"</f>
        <v>06-K03-03</v>
      </c>
      <c r="G870">
        <v>0.43419999999999997</v>
      </c>
      <c r="H870" t="s">
        <v>11</v>
      </c>
      <c r="I870" t="s">
        <v>10</v>
      </c>
    </row>
    <row r="871" spans="1:9" x14ac:dyDescent="0.25">
      <c r="A871" t="str">
        <f t="shared" si="13"/>
        <v>89301000</v>
      </c>
      <c r="B871" t="str">
        <f>"0860013242"</f>
        <v>0860013242</v>
      </c>
      <c r="C871" s="1">
        <v>44976</v>
      </c>
      <c r="D871" s="1">
        <v>44978</v>
      </c>
      <c r="E871">
        <v>1</v>
      </c>
      <c r="F871" t="str">
        <f>"09-I13-05"</f>
        <v>09-I13-05</v>
      </c>
      <c r="G871">
        <v>0.42570000000000002</v>
      </c>
      <c r="H871" t="s">
        <v>11</v>
      </c>
      <c r="I871" t="s">
        <v>10</v>
      </c>
    </row>
    <row r="872" spans="1:9" x14ac:dyDescent="0.25">
      <c r="A872" t="str">
        <f t="shared" si="13"/>
        <v>89301000</v>
      </c>
      <c r="B872" t="str">
        <f>"0860055262"</f>
        <v>0860055262</v>
      </c>
      <c r="C872" s="1">
        <v>45119</v>
      </c>
      <c r="D872" s="1">
        <v>45120</v>
      </c>
      <c r="E872">
        <v>1</v>
      </c>
      <c r="F872" t="str">
        <f>"08-I31-04"</f>
        <v>08-I31-04</v>
      </c>
      <c r="G872">
        <v>0.4894</v>
      </c>
      <c r="H872" t="s">
        <v>11</v>
      </c>
      <c r="I872" t="s">
        <v>10</v>
      </c>
    </row>
    <row r="873" spans="1:9" x14ac:dyDescent="0.25">
      <c r="A873" t="str">
        <f t="shared" si="13"/>
        <v>89301000</v>
      </c>
      <c r="B873" t="str">
        <f>"0860103244"</f>
        <v>0860103244</v>
      </c>
      <c r="C873" s="1">
        <v>45265</v>
      </c>
      <c r="D873" s="1">
        <v>45267</v>
      </c>
      <c r="E873">
        <v>1</v>
      </c>
      <c r="F873" t="str">
        <f>"03-K08-00"</f>
        <v>03-K08-00</v>
      </c>
      <c r="G873">
        <v>0.45639999999999997</v>
      </c>
      <c r="H873" t="s">
        <v>11</v>
      </c>
      <c r="I873" t="s">
        <v>10</v>
      </c>
    </row>
    <row r="874" spans="1:9" x14ac:dyDescent="0.25">
      <c r="A874" t="str">
        <f t="shared" si="13"/>
        <v>89301000</v>
      </c>
      <c r="B874" t="str">
        <f>"0860183236"</f>
        <v>0860183236</v>
      </c>
      <c r="C874" s="1">
        <v>45020</v>
      </c>
      <c r="D874" s="1">
        <v>45023</v>
      </c>
      <c r="E874">
        <v>1</v>
      </c>
      <c r="F874" t="str">
        <f>"08-I32-00"</f>
        <v>08-I32-00</v>
      </c>
      <c r="G874">
        <v>0.4093</v>
      </c>
      <c r="H874" t="s">
        <v>11</v>
      </c>
      <c r="I874" t="s">
        <v>10</v>
      </c>
    </row>
    <row r="875" spans="1:9" x14ac:dyDescent="0.25">
      <c r="A875" t="str">
        <f t="shared" si="13"/>
        <v>89301000</v>
      </c>
      <c r="B875" t="str">
        <f>"0860273227"</f>
        <v>0860273227</v>
      </c>
      <c r="C875" s="1">
        <v>45247</v>
      </c>
      <c r="D875" s="1">
        <v>45248</v>
      </c>
      <c r="E875">
        <v>1</v>
      </c>
      <c r="F875" t="str">
        <f>"09-K14-02"</f>
        <v>09-K14-02</v>
      </c>
      <c r="G875">
        <v>0.5</v>
      </c>
      <c r="H875" t="s">
        <v>11</v>
      </c>
      <c r="I875" t="s">
        <v>10</v>
      </c>
    </row>
    <row r="876" spans="1:9" x14ac:dyDescent="0.25">
      <c r="A876" t="str">
        <f t="shared" si="13"/>
        <v>89301000</v>
      </c>
      <c r="B876" t="str">
        <f>"0861017080"</f>
        <v>0861017080</v>
      </c>
      <c r="C876" s="1">
        <v>45220</v>
      </c>
      <c r="D876" s="1">
        <v>45224</v>
      </c>
      <c r="E876">
        <v>1</v>
      </c>
      <c r="F876" t="str">
        <f>"18-K01-02"</f>
        <v>18-K01-02</v>
      </c>
      <c r="G876">
        <v>2.5783999999999998</v>
      </c>
      <c r="H876" t="s">
        <v>11</v>
      </c>
      <c r="I876" t="s">
        <v>10</v>
      </c>
    </row>
    <row r="877" spans="1:9" x14ac:dyDescent="0.25">
      <c r="A877" t="str">
        <f t="shared" si="13"/>
        <v>89301000</v>
      </c>
      <c r="B877" t="str">
        <f>"0861236068"</f>
        <v>0861236068</v>
      </c>
      <c r="C877" s="1">
        <v>44930</v>
      </c>
      <c r="D877" s="1">
        <v>44935</v>
      </c>
      <c r="E877">
        <v>1</v>
      </c>
      <c r="F877" t="str">
        <f>"03-I16-02"</f>
        <v>03-I16-02</v>
      </c>
      <c r="G877">
        <v>0.92979999999999996</v>
      </c>
      <c r="H877" t="s">
        <v>9</v>
      </c>
      <c r="I877" t="s">
        <v>10</v>
      </c>
    </row>
    <row r="878" spans="1:9" x14ac:dyDescent="0.25">
      <c r="A878" t="str">
        <f t="shared" si="13"/>
        <v>89301000</v>
      </c>
      <c r="B878" t="str">
        <f>"0861246067"</f>
        <v>0861246067</v>
      </c>
      <c r="C878" s="1">
        <v>45243</v>
      </c>
      <c r="D878" s="1">
        <v>45252</v>
      </c>
      <c r="E878">
        <v>1</v>
      </c>
      <c r="F878" t="str">
        <f>"17-K07-02"</f>
        <v>17-K07-02</v>
      </c>
      <c r="G878">
        <v>0.90310000000000001</v>
      </c>
      <c r="H878" t="s">
        <v>11</v>
      </c>
      <c r="I878" t="s">
        <v>10</v>
      </c>
    </row>
    <row r="879" spans="1:9" x14ac:dyDescent="0.25">
      <c r="A879" t="str">
        <f t="shared" si="13"/>
        <v>89301000</v>
      </c>
      <c r="B879" t="str">
        <f>"0862031390"</f>
        <v>0862031390</v>
      </c>
      <c r="C879" s="1">
        <v>45202</v>
      </c>
      <c r="D879" s="1">
        <v>45204</v>
      </c>
      <c r="E879">
        <v>1</v>
      </c>
      <c r="F879" t="str">
        <f>"06-K06-02"</f>
        <v>06-K06-02</v>
      </c>
      <c r="G879">
        <v>0.65269999999999995</v>
      </c>
      <c r="H879" t="s">
        <v>11</v>
      </c>
      <c r="I879" t="s">
        <v>10</v>
      </c>
    </row>
    <row r="880" spans="1:9" x14ac:dyDescent="0.25">
      <c r="A880" t="str">
        <f t="shared" si="13"/>
        <v>89301000</v>
      </c>
      <c r="B880" t="str">
        <f>"0862038848"</f>
        <v>0862038848</v>
      </c>
      <c r="C880" s="1">
        <v>44999</v>
      </c>
      <c r="D880" s="1">
        <v>45008</v>
      </c>
      <c r="E880">
        <v>1</v>
      </c>
      <c r="F880" t="str">
        <f>"08-I21-02"</f>
        <v>08-I21-02</v>
      </c>
      <c r="G880">
        <v>1.4610000000000001</v>
      </c>
      <c r="H880" t="s">
        <v>12</v>
      </c>
      <c r="I880" t="s">
        <v>10</v>
      </c>
    </row>
    <row r="881" spans="1:9" x14ac:dyDescent="0.25">
      <c r="A881" t="str">
        <f t="shared" si="13"/>
        <v>89301000</v>
      </c>
      <c r="B881" t="str">
        <f>"0862096070"</f>
        <v>0862096070</v>
      </c>
      <c r="C881" s="1">
        <v>45097</v>
      </c>
      <c r="D881" s="1">
        <v>45100</v>
      </c>
      <c r="E881">
        <v>1</v>
      </c>
      <c r="F881" t="str">
        <f>"08-K10-00"</f>
        <v>08-K10-00</v>
      </c>
      <c r="G881">
        <v>0.74099999999999999</v>
      </c>
      <c r="H881" t="s">
        <v>11</v>
      </c>
      <c r="I881" t="s">
        <v>10</v>
      </c>
    </row>
    <row r="882" spans="1:9" x14ac:dyDescent="0.25">
      <c r="A882" t="str">
        <f t="shared" si="13"/>
        <v>89301000</v>
      </c>
      <c r="B882" t="str">
        <f>"0862173268"</f>
        <v>0862173268</v>
      </c>
      <c r="C882" s="1">
        <v>45075</v>
      </c>
      <c r="D882" s="1">
        <v>45076</v>
      </c>
      <c r="E882">
        <v>1</v>
      </c>
      <c r="F882" t="str">
        <f>"01-K04-02"</f>
        <v>01-K04-02</v>
      </c>
      <c r="G882">
        <v>0.5333</v>
      </c>
      <c r="H882" t="s">
        <v>11</v>
      </c>
      <c r="I882" t="s">
        <v>10</v>
      </c>
    </row>
    <row r="883" spans="1:9" x14ac:dyDescent="0.25">
      <c r="A883" t="str">
        <f t="shared" si="13"/>
        <v>89301000</v>
      </c>
      <c r="B883" t="str">
        <f>"0862176095"</f>
        <v>0862176095</v>
      </c>
      <c r="C883" s="1">
        <v>45153</v>
      </c>
      <c r="D883" s="1">
        <v>45155</v>
      </c>
      <c r="E883">
        <v>1</v>
      </c>
      <c r="F883" t="str">
        <f>"08-M03-04"</f>
        <v>08-M03-04</v>
      </c>
      <c r="G883">
        <v>0.98499999999999999</v>
      </c>
      <c r="H883" t="s">
        <v>11</v>
      </c>
      <c r="I883" t="s">
        <v>10</v>
      </c>
    </row>
    <row r="884" spans="1:9" x14ac:dyDescent="0.25">
      <c r="A884" t="str">
        <f t="shared" si="13"/>
        <v>89301000</v>
      </c>
      <c r="B884" t="str">
        <f>"0862313254"</f>
        <v>0862313254</v>
      </c>
      <c r="C884" s="1">
        <v>44927</v>
      </c>
      <c r="D884" s="1">
        <v>44929</v>
      </c>
      <c r="E884">
        <v>1</v>
      </c>
      <c r="F884" t="str">
        <f>"18-K02-04"</f>
        <v>18-K02-04</v>
      </c>
      <c r="G884">
        <v>0.73280000000000001</v>
      </c>
      <c r="H884" t="s">
        <v>11</v>
      </c>
      <c r="I884" t="s">
        <v>10</v>
      </c>
    </row>
    <row r="885" spans="1:9" x14ac:dyDescent="0.25">
      <c r="A885" t="str">
        <f t="shared" si="13"/>
        <v>89301000</v>
      </c>
      <c r="B885" t="str">
        <f>"0902205348"</f>
        <v>0902205348</v>
      </c>
      <c r="C885" s="1">
        <v>45158</v>
      </c>
      <c r="D885" s="1">
        <v>45160</v>
      </c>
      <c r="E885">
        <v>1</v>
      </c>
      <c r="F885" t="str">
        <f>"08-K14-02"</f>
        <v>08-K14-02</v>
      </c>
      <c r="G885">
        <v>0.44019999999999998</v>
      </c>
      <c r="H885" t="s">
        <v>11</v>
      </c>
      <c r="I885" t="s">
        <v>10</v>
      </c>
    </row>
    <row r="886" spans="1:9" x14ac:dyDescent="0.25">
      <c r="A886" t="str">
        <f t="shared" si="13"/>
        <v>89301000</v>
      </c>
      <c r="B886" t="str">
        <f>"0905123252"</f>
        <v>0905123252</v>
      </c>
      <c r="C886" s="1">
        <v>44979</v>
      </c>
      <c r="D886" s="1">
        <v>44982</v>
      </c>
      <c r="E886">
        <v>1</v>
      </c>
      <c r="F886" t="str">
        <f>"06-I18-04"</f>
        <v>06-I18-04</v>
      </c>
      <c r="G886">
        <v>1.1088</v>
      </c>
      <c r="H886" t="s">
        <v>9</v>
      </c>
      <c r="I886" t="s">
        <v>10</v>
      </c>
    </row>
    <row r="887" spans="1:9" x14ac:dyDescent="0.25">
      <c r="A887" t="str">
        <f t="shared" si="13"/>
        <v>89301000</v>
      </c>
      <c r="B887" t="str">
        <f>"0905283247"</f>
        <v>0905283247</v>
      </c>
      <c r="C887" s="1">
        <v>45160</v>
      </c>
      <c r="D887" s="1">
        <v>45162</v>
      </c>
      <c r="E887">
        <v>1</v>
      </c>
      <c r="F887" t="str">
        <f>"08-I20-03"</f>
        <v>08-I20-03</v>
      </c>
      <c r="G887">
        <v>0.62639999999999996</v>
      </c>
      <c r="H887" t="s">
        <v>12</v>
      </c>
      <c r="I887" t="s">
        <v>10</v>
      </c>
    </row>
    <row r="888" spans="1:9" x14ac:dyDescent="0.25">
      <c r="A888" t="str">
        <f t="shared" si="13"/>
        <v>89301000</v>
      </c>
      <c r="B888" t="str">
        <f>"0906056074"</f>
        <v>0906056074</v>
      </c>
      <c r="C888" s="1">
        <v>45286</v>
      </c>
      <c r="D888" s="1">
        <v>45289</v>
      </c>
      <c r="E888">
        <v>1</v>
      </c>
      <c r="F888" t="str">
        <f>"08-I20-02"</f>
        <v>08-I20-02</v>
      </c>
      <c r="G888">
        <v>0.94279999999999997</v>
      </c>
      <c r="H888" t="s">
        <v>12</v>
      </c>
      <c r="I888" t="s">
        <v>10</v>
      </c>
    </row>
    <row r="889" spans="1:9" x14ac:dyDescent="0.25">
      <c r="A889" t="str">
        <f t="shared" si="13"/>
        <v>89301000</v>
      </c>
      <c r="B889" t="str">
        <f>"0906105266"</f>
        <v>0906105266</v>
      </c>
      <c r="C889" s="1">
        <v>44950</v>
      </c>
      <c r="D889" s="1">
        <v>44952</v>
      </c>
      <c r="E889">
        <v>1</v>
      </c>
      <c r="F889" t="str">
        <f>"08-I32-00"</f>
        <v>08-I32-00</v>
      </c>
      <c r="G889">
        <v>0.40870000000000001</v>
      </c>
      <c r="H889" t="s">
        <v>11</v>
      </c>
      <c r="I889" t="s">
        <v>10</v>
      </c>
    </row>
    <row r="890" spans="1:9" x14ac:dyDescent="0.25">
      <c r="A890" t="str">
        <f t="shared" si="13"/>
        <v>89301000</v>
      </c>
      <c r="B890" t="str">
        <f>"0906156152"</f>
        <v>0906156152</v>
      </c>
      <c r="C890" s="1">
        <v>45089</v>
      </c>
      <c r="D890" s="1">
        <v>45091</v>
      </c>
      <c r="E890">
        <v>1</v>
      </c>
      <c r="F890" t="str">
        <f>"12-I14-00"</f>
        <v>12-I14-00</v>
      </c>
      <c r="G890">
        <v>0.42920000000000003</v>
      </c>
      <c r="H890" t="s">
        <v>11</v>
      </c>
      <c r="I890" t="s">
        <v>10</v>
      </c>
    </row>
    <row r="891" spans="1:9" x14ac:dyDescent="0.25">
      <c r="A891" t="str">
        <f t="shared" si="13"/>
        <v>89301000</v>
      </c>
      <c r="B891" t="str">
        <f>"0906226068"</f>
        <v>0906226068</v>
      </c>
      <c r="C891" s="1">
        <v>45064</v>
      </c>
      <c r="D891" s="1">
        <v>45066</v>
      </c>
      <c r="E891">
        <v>1</v>
      </c>
      <c r="F891" t="str">
        <f>"03-I21-00"</f>
        <v>03-I21-00</v>
      </c>
      <c r="G891">
        <v>0.42759999999999998</v>
      </c>
      <c r="H891" t="s">
        <v>11</v>
      </c>
      <c r="I891" t="s">
        <v>10</v>
      </c>
    </row>
    <row r="892" spans="1:9" x14ac:dyDescent="0.25">
      <c r="A892" t="str">
        <f t="shared" si="13"/>
        <v>89301000</v>
      </c>
      <c r="B892" t="str">
        <f>"0906235264"</f>
        <v>0906235264</v>
      </c>
      <c r="C892" s="1">
        <v>45048</v>
      </c>
      <c r="D892" s="1">
        <v>45052</v>
      </c>
      <c r="E892">
        <v>1</v>
      </c>
      <c r="F892" t="str">
        <f>"06-I18-04"</f>
        <v>06-I18-04</v>
      </c>
      <c r="G892">
        <v>1.1088</v>
      </c>
      <c r="H892" t="s">
        <v>9</v>
      </c>
      <c r="I892" t="s">
        <v>10</v>
      </c>
    </row>
    <row r="893" spans="1:9" x14ac:dyDescent="0.25">
      <c r="A893" t="str">
        <f t="shared" si="13"/>
        <v>89301000</v>
      </c>
      <c r="B893" t="str">
        <f>"0906246077"</f>
        <v>0906246077</v>
      </c>
      <c r="C893" s="1">
        <v>45197</v>
      </c>
      <c r="D893" s="1">
        <v>45217</v>
      </c>
      <c r="E893">
        <v>1</v>
      </c>
      <c r="F893" t="str">
        <f>"01-I07-03"</f>
        <v>01-I07-03</v>
      </c>
      <c r="G893">
        <v>3.1539999999999999</v>
      </c>
      <c r="H893" t="s">
        <v>12</v>
      </c>
      <c r="I893" t="s">
        <v>10</v>
      </c>
    </row>
    <row r="894" spans="1:9" x14ac:dyDescent="0.25">
      <c r="A894" t="str">
        <f t="shared" si="13"/>
        <v>89301000</v>
      </c>
      <c r="B894" t="str">
        <f>"0907155271"</f>
        <v>0907155271</v>
      </c>
      <c r="C894" s="1">
        <v>45244</v>
      </c>
      <c r="D894" s="1">
        <v>45246</v>
      </c>
      <c r="E894">
        <v>1</v>
      </c>
      <c r="F894" t="str">
        <f>"08-I32-00"</f>
        <v>08-I32-00</v>
      </c>
      <c r="G894">
        <v>0.40870000000000001</v>
      </c>
      <c r="H894" t="s">
        <v>11</v>
      </c>
      <c r="I894" t="s">
        <v>10</v>
      </c>
    </row>
    <row r="895" spans="1:9" x14ac:dyDescent="0.25">
      <c r="A895" t="str">
        <f t="shared" ref="A895:A956" si="15">"89301000"</f>
        <v>89301000</v>
      </c>
      <c r="B895" t="str">
        <f>"0907155271"</f>
        <v>0907155271</v>
      </c>
      <c r="C895" s="1">
        <v>45066</v>
      </c>
      <c r="D895" s="1">
        <v>45067</v>
      </c>
      <c r="E895">
        <v>1</v>
      </c>
      <c r="F895" t="str">
        <f>"08-I20-03"</f>
        <v>08-I20-03</v>
      </c>
      <c r="G895">
        <v>0.62639999999999996</v>
      </c>
      <c r="H895" t="s">
        <v>12</v>
      </c>
      <c r="I895" t="s">
        <v>10</v>
      </c>
    </row>
    <row r="896" spans="1:9" x14ac:dyDescent="0.25">
      <c r="A896" t="str">
        <f t="shared" si="15"/>
        <v>89301000</v>
      </c>
      <c r="B896" t="str">
        <f>"0907293255"</f>
        <v>0907293255</v>
      </c>
      <c r="C896" s="1">
        <v>44965</v>
      </c>
      <c r="D896" s="1">
        <v>44966</v>
      </c>
      <c r="E896">
        <v>1</v>
      </c>
      <c r="F896" t="str">
        <f>"06-K17-01"</f>
        <v>06-K17-01</v>
      </c>
      <c r="G896">
        <v>0.61409999999999998</v>
      </c>
      <c r="H896" t="s">
        <v>11</v>
      </c>
      <c r="I896" t="s">
        <v>10</v>
      </c>
    </row>
    <row r="897" spans="1:9" x14ac:dyDescent="0.25">
      <c r="A897" t="str">
        <f t="shared" si="15"/>
        <v>89301000</v>
      </c>
      <c r="B897" t="str">
        <f>"0907293706"</f>
        <v>0907293706</v>
      </c>
      <c r="C897" s="1">
        <v>45091</v>
      </c>
      <c r="D897" s="1">
        <v>45094</v>
      </c>
      <c r="E897">
        <v>1</v>
      </c>
      <c r="F897" t="str">
        <f>"04-K14-03"</f>
        <v>04-K14-03</v>
      </c>
      <c r="G897">
        <v>0.76</v>
      </c>
      <c r="H897" t="s">
        <v>11</v>
      </c>
      <c r="I897" t="s">
        <v>10</v>
      </c>
    </row>
    <row r="898" spans="1:9" x14ac:dyDescent="0.25">
      <c r="A898" t="str">
        <f t="shared" si="15"/>
        <v>89301000</v>
      </c>
      <c r="B898" t="str">
        <f>"0908023226"</f>
        <v>0908023226</v>
      </c>
      <c r="C898" s="1">
        <v>45058</v>
      </c>
      <c r="D898" s="1">
        <v>45064</v>
      </c>
      <c r="E898">
        <v>1</v>
      </c>
      <c r="F898" t="str">
        <f>"09-K01-04"</f>
        <v>09-K01-04</v>
      </c>
      <c r="G898">
        <v>0.59330000000000005</v>
      </c>
      <c r="H898" t="s">
        <v>11</v>
      </c>
      <c r="I898" t="s">
        <v>10</v>
      </c>
    </row>
    <row r="899" spans="1:9" x14ac:dyDescent="0.25">
      <c r="A899" t="str">
        <f t="shared" si="15"/>
        <v>89301000</v>
      </c>
      <c r="B899" t="str">
        <f>"0908083242"</f>
        <v>0908083242</v>
      </c>
      <c r="C899" s="1">
        <v>45188</v>
      </c>
      <c r="D899" s="1">
        <v>45190</v>
      </c>
      <c r="E899">
        <v>1</v>
      </c>
      <c r="F899" t="str">
        <f>"01-K16-06"</f>
        <v>01-K16-06</v>
      </c>
      <c r="G899">
        <v>0.27150000000000002</v>
      </c>
      <c r="H899" t="s">
        <v>11</v>
      </c>
      <c r="I899" t="s">
        <v>10</v>
      </c>
    </row>
    <row r="900" spans="1:9" x14ac:dyDescent="0.25">
      <c r="A900" t="str">
        <f t="shared" si="15"/>
        <v>89301000</v>
      </c>
      <c r="B900" t="str">
        <f>"0908265259"</f>
        <v>0908265259</v>
      </c>
      <c r="C900" s="1">
        <v>45230</v>
      </c>
      <c r="D900" s="1">
        <v>45232</v>
      </c>
      <c r="E900">
        <v>1</v>
      </c>
      <c r="F900" t="str">
        <f>"07-K01-02"</f>
        <v>07-K01-02</v>
      </c>
      <c r="G900">
        <v>1.0002</v>
      </c>
      <c r="H900" t="s">
        <v>11</v>
      </c>
      <c r="I900" t="s">
        <v>10</v>
      </c>
    </row>
    <row r="901" spans="1:9" x14ac:dyDescent="0.25">
      <c r="A901" t="str">
        <f t="shared" si="15"/>
        <v>89301000</v>
      </c>
      <c r="B901" t="str">
        <f>"0908266062"</f>
        <v>0908266062</v>
      </c>
      <c r="C901" s="1">
        <v>45033</v>
      </c>
      <c r="D901" s="1">
        <v>45037</v>
      </c>
      <c r="E901">
        <v>1</v>
      </c>
      <c r="F901" t="str">
        <f>"21-K01-00"</f>
        <v>21-K01-00</v>
      </c>
      <c r="G901">
        <v>0.60270000000000001</v>
      </c>
      <c r="H901" t="s">
        <v>11</v>
      </c>
      <c r="I901" t="s">
        <v>10</v>
      </c>
    </row>
    <row r="902" spans="1:9" x14ac:dyDescent="0.25">
      <c r="A902" t="str">
        <f t="shared" si="15"/>
        <v>89301000</v>
      </c>
      <c r="B902" t="str">
        <f>"0908283233"</f>
        <v>0908283233</v>
      </c>
      <c r="C902" s="1">
        <v>45206</v>
      </c>
      <c r="D902" s="1">
        <v>45208</v>
      </c>
      <c r="E902">
        <v>1</v>
      </c>
      <c r="F902" t="str">
        <f>"09-K13-01"</f>
        <v>09-K13-01</v>
      </c>
      <c r="G902">
        <v>0.53720000000000001</v>
      </c>
      <c r="H902" t="s">
        <v>11</v>
      </c>
      <c r="I902" t="s">
        <v>10</v>
      </c>
    </row>
    <row r="903" spans="1:9" x14ac:dyDescent="0.25">
      <c r="A903" t="str">
        <f t="shared" si="15"/>
        <v>89301000</v>
      </c>
      <c r="B903" t="str">
        <f>"0909023236"</f>
        <v>0909023236</v>
      </c>
      <c r="C903" s="1">
        <v>45042</v>
      </c>
      <c r="D903" s="1">
        <v>45043</v>
      </c>
      <c r="E903">
        <v>1</v>
      </c>
      <c r="F903" t="str">
        <f>"08-I20-03"</f>
        <v>08-I20-03</v>
      </c>
      <c r="G903">
        <v>0.62639999999999996</v>
      </c>
      <c r="H903" t="s">
        <v>12</v>
      </c>
      <c r="I903" t="s">
        <v>10</v>
      </c>
    </row>
    <row r="904" spans="1:9" x14ac:dyDescent="0.25">
      <c r="A904" t="str">
        <f t="shared" si="15"/>
        <v>89301000</v>
      </c>
      <c r="B904" t="str">
        <f>"0909023236"</f>
        <v>0909023236</v>
      </c>
      <c r="C904" s="1">
        <v>45258</v>
      </c>
      <c r="D904" s="1">
        <v>45260</v>
      </c>
      <c r="E904">
        <v>1</v>
      </c>
      <c r="F904" t="str">
        <f>"08-I32-00"</f>
        <v>08-I32-00</v>
      </c>
      <c r="G904">
        <v>0.40870000000000001</v>
      </c>
      <c r="H904" t="s">
        <v>11</v>
      </c>
      <c r="I904" t="s">
        <v>10</v>
      </c>
    </row>
    <row r="905" spans="1:9" x14ac:dyDescent="0.25">
      <c r="A905" t="str">
        <f t="shared" si="15"/>
        <v>89301000</v>
      </c>
      <c r="B905" t="str">
        <f>"0911073229"</f>
        <v>0911073229</v>
      </c>
      <c r="C905" s="1">
        <v>45089</v>
      </c>
      <c r="D905" s="1">
        <v>45091</v>
      </c>
      <c r="E905">
        <v>1</v>
      </c>
      <c r="F905" t="str">
        <f>"12-K03-00"</f>
        <v>12-K03-00</v>
      </c>
      <c r="G905">
        <v>0.27360000000000001</v>
      </c>
      <c r="H905" t="s">
        <v>11</v>
      </c>
      <c r="I905" t="s">
        <v>10</v>
      </c>
    </row>
    <row r="906" spans="1:9" x14ac:dyDescent="0.25">
      <c r="A906" t="str">
        <f t="shared" si="15"/>
        <v>89301000</v>
      </c>
      <c r="B906" t="str">
        <f>"0911213226"</f>
        <v>0911213226</v>
      </c>
      <c r="C906" s="1">
        <v>45260</v>
      </c>
      <c r="D906" s="1">
        <v>45262</v>
      </c>
      <c r="E906">
        <v>1</v>
      </c>
      <c r="F906" t="str">
        <f>"08-M03-04"</f>
        <v>08-M03-04</v>
      </c>
      <c r="G906">
        <v>0.87760000000000005</v>
      </c>
      <c r="H906" t="s">
        <v>11</v>
      </c>
      <c r="I906" t="s">
        <v>10</v>
      </c>
    </row>
    <row r="907" spans="1:9" x14ac:dyDescent="0.25">
      <c r="A907" t="str">
        <f t="shared" si="15"/>
        <v>89301000</v>
      </c>
      <c r="B907" t="str">
        <f>"0912125269"</f>
        <v>0912125269</v>
      </c>
      <c r="C907" s="1">
        <v>44972</v>
      </c>
      <c r="D907" s="1">
        <v>44974</v>
      </c>
      <c r="E907">
        <v>1</v>
      </c>
      <c r="F907" t="str">
        <f>"12-I14-00"</f>
        <v>12-I14-00</v>
      </c>
      <c r="G907">
        <v>0.42920000000000003</v>
      </c>
      <c r="H907" t="s">
        <v>11</v>
      </c>
      <c r="I907" t="s">
        <v>10</v>
      </c>
    </row>
    <row r="908" spans="1:9" x14ac:dyDescent="0.25">
      <c r="A908" t="str">
        <f t="shared" si="15"/>
        <v>89301000</v>
      </c>
      <c r="B908" t="str">
        <f>"0951087005"</f>
        <v>0951087005</v>
      </c>
      <c r="C908" s="1">
        <v>44966</v>
      </c>
      <c r="D908" s="1">
        <v>44967</v>
      </c>
      <c r="E908">
        <v>1</v>
      </c>
      <c r="F908" t="str">
        <f>"21-K05-03"</f>
        <v>21-K05-03</v>
      </c>
      <c r="G908">
        <v>0.45729999999999998</v>
      </c>
      <c r="H908" t="s">
        <v>11</v>
      </c>
      <c r="I908" t="s">
        <v>10</v>
      </c>
    </row>
    <row r="909" spans="1:9" x14ac:dyDescent="0.25">
      <c r="A909" t="str">
        <f t="shared" si="15"/>
        <v>89301000</v>
      </c>
      <c r="B909" t="str">
        <f>"0951087005"</f>
        <v>0951087005</v>
      </c>
      <c r="C909" s="1">
        <v>45042</v>
      </c>
      <c r="D909" s="1">
        <v>45044</v>
      </c>
      <c r="E909">
        <v>1</v>
      </c>
      <c r="F909" t="str">
        <f>"05-K15-02"</f>
        <v>05-K15-02</v>
      </c>
      <c r="G909">
        <v>0.45369999999999999</v>
      </c>
      <c r="H909" t="s">
        <v>11</v>
      </c>
      <c r="I909" t="s">
        <v>10</v>
      </c>
    </row>
    <row r="910" spans="1:9" x14ac:dyDescent="0.25">
      <c r="A910" t="str">
        <f t="shared" si="15"/>
        <v>89301000</v>
      </c>
      <c r="B910" t="str">
        <f>"0952063244"</f>
        <v>0952063244</v>
      </c>
      <c r="C910" s="1">
        <v>45206</v>
      </c>
      <c r="D910" s="1">
        <v>45208</v>
      </c>
      <c r="E910">
        <v>1</v>
      </c>
      <c r="F910" t="str">
        <f>"20-K01-06"</f>
        <v>20-K01-06</v>
      </c>
      <c r="G910">
        <v>0.26919999999999999</v>
      </c>
      <c r="H910" t="s">
        <v>11</v>
      </c>
      <c r="I910" t="s">
        <v>10</v>
      </c>
    </row>
    <row r="911" spans="1:9" x14ac:dyDescent="0.25">
      <c r="A911" t="str">
        <f t="shared" si="15"/>
        <v>89301000</v>
      </c>
      <c r="B911" t="str">
        <f>"0953023225"</f>
        <v>0953023225</v>
      </c>
      <c r="C911" s="1">
        <v>45024</v>
      </c>
      <c r="D911" s="1">
        <v>45028</v>
      </c>
      <c r="E911">
        <v>1</v>
      </c>
      <c r="F911" t="str">
        <f>"03-K02-03"</f>
        <v>03-K02-03</v>
      </c>
      <c r="G911">
        <v>0.34050000000000002</v>
      </c>
      <c r="H911" t="s">
        <v>11</v>
      </c>
      <c r="I911" t="s">
        <v>10</v>
      </c>
    </row>
    <row r="912" spans="1:9" x14ac:dyDescent="0.25">
      <c r="A912" t="str">
        <f t="shared" si="15"/>
        <v>89301000</v>
      </c>
      <c r="B912" t="str">
        <f>"0953053233"</f>
        <v>0953053233</v>
      </c>
      <c r="C912" s="1">
        <v>45162</v>
      </c>
      <c r="D912" s="1">
        <v>45163</v>
      </c>
      <c r="E912">
        <v>1</v>
      </c>
      <c r="F912" t="str">
        <f>"08-I20-02"</f>
        <v>08-I20-02</v>
      </c>
      <c r="G912">
        <v>0.94279999999999997</v>
      </c>
      <c r="H912" t="s">
        <v>12</v>
      </c>
      <c r="I912" t="s">
        <v>10</v>
      </c>
    </row>
    <row r="913" spans="1:9" x14ac:dyDescent="0.25">
      <c r="A913" t="str">
        <f t="shared" si="15"/>
        <v>89301000</v>
      </c>
      <c r="B913" t="str">
        <f>"0953193241"</f>
        <v>0953193241</v>
      </c>
      <c r="C913" s="1">
        <v>45149</v>
      </c>
      <c r="D913" s="1">
        <v>45150</v>
      </c>
      <c r="E913">
        <v>1</v>
      </c>
      <c r="F913" t="str">
        <f>"08-K07-00"</f>
        <v>08-K07-00</v>
      </c>
      <c r="G913">
        <v>0.65069999999999995</v>
      </c>
      <c r="H913" t="s">
        <v>11</v>
      </c>
      <c r="I913" t="s">
        <v>10</v>
      </c>
    </row>
    <row r="914" spans="1:9" x14ac:dyDescent="0.25">
      <c r="A914" t="str">
        <f t="shared" si="15"/>
        <v>89301000</v>
      </c>
      <c r="B914" t="str">
        <f>"0953278975"</f>
        <v>0953278975</v>
      </c>
      <c r="C914" s="1">
        <v>45160</v>
      </c>
      <c r="D914" s="1">
        <v>45161</v>
      </c>
      <c r="E914">
        <v>1</v>
      </c>
      <c r="F914" t="str">
        <f>"20-K01-06"</f>
        <v>20-K01-06</v>
      </c>
      <c r="G914">
        <v>0.26919999999999999</v>
      </c>
      <c r="H914" t="s">
        <v>11</v>
      </c>
      <c r="I914" t="s">
        <v>10</v>
      </c>
    </row>
    <row r="915" spans="1:9" x14ac:dyDescent="0.25">
      <c r="A915" t="str">
        <f t="shared" si="15"/>
        <v>89301000</v>
      </c>
      <c r="B915" t="str">
        <f>"0954021409"</f>
        <v>0954021409</v>
      </c>
      <c r="C915" s="1">
        <v>45243</v>
      </c>
      <c r="D915" s="1">
        <v>45246</v>
      </c>
      <c r="E915">
        <v>1</v>
      </c>
      <c r="F915" t="str">
        <f>"08-K03-03"</f>
        <v>08-K03-03</v>
      </c>
      <c r="G915">
        <v>0.7903</v>
      </c>
      <c r="H915" t="s">
        <v>11</v>
      </c>
      <c r="I915" t="s">
        <v>10</v>
      </c>
    </row>
    <row r="916" spans="1:9" x14ac:dyDescent="0.25">
      <c r="A916" t="str">
        <f t="shared" si="15"/>
        <v>89301000</v>
      </c>
      <c r="B916" t="str">
        <f>"0954021409"</f>
        <v>0954021409</v>
      </c>
      <c r="C916" s="1">
        <v>45027</v>
      </c>
      <c r="D916" s="1">
        <v>45030</v>
      </c>
      <c r="E916">
        <v>1</v>
      </c>
      <c r="F916" t="str">
        <f>"08-K08-00"</f>
        <v>08-K08-00</v>
      </c>
      <c r="G916">
        <v>0.54400000000000004</v>
      </c>
      <c r="H916" t="s">
        <v>11</v>
      </c>
      <c r="I916" t="s">
        <v>10</v>
      </c>
    </row>
    <row r="917" spans="1:9" x14ac:dyDescent="0.25">
      <c r="A917" t="str">
        <f t="shared" si="15"/>
        <v>89301000</v>
      </c>
      <c r="B917" t="str">
        <f>"0954043277"</f>
        <v>0954043277</v>
      </c>
      <c r="C917" s="1">
        <v>45282</v>
      </c>
      <c r="D917" s="1">
        <v>45284</v>
      </c>
      <c r="E917">
        <v>1</v>
      </c>
      <c r="F917" t="str">
        <f>"05-K15-02"</f>
        <v>05-K15-02</v>
      </c>
      <c r="G917">
        <v>0.45369999999999999</v>
      </c>
      <c r="H917" t="s">
        <v>11</v>
      </c>
      <c r="I917" t="s">
        <v>10</v>
      </c>
    </row>
    <row r="918" spans="1:9" x14ac:dyDescent="0.25">
      <c r="A918" t="str">
        <f t="shared" si="15"/>
        <v>89301000</v>
      </c>
      <c r="B918" t="str">
        <f>"0954106065"</f>
        <v>0954106065</v>
      </c>
      <c r="C918" s="1">
        <v>45174</v>
      </c>
      <c r="D918" s="1">
        <v>45180</v>
      </c>
      <c r="E918">
        <v>1</v>
      </c>
      <c r="F918" t="str">
        <f>"18-K01-02"</f>
        <v>18-K01-02</v>
      </c>
      <c r="G918">
        <v>2.8258999999999999</v>
      </c>
      <c r="H918" t="s">
        <v>11</v>
      </c>
      <c r="I918" t="s">
        <v>10</v>
      </c>
    </row>
    <row r="919" spans="1:9" x14ac:dyDescent="0.25">
      <c r="A919" t="str">
        <f t="shared" si="15"/>
        <v>89301000</v>
      </c>
      <c r="B919" t="str">
        <f>"0954106065"</f>
        <v>0954106065</v>
      </c>
      <c r="C919" s="1">
        <v>45230</v>
      </c>
      <c r="D919" s="1">
        <v>45231</v>
      </c>
      <c r="E919">
        <v>1</v>
      </c>
      <c r="F919" t="str">
        <f>"01-K07-03"</f>
        <v>01-K07-03</v>
      </c>
      <c r="G919">
        <v>0.48680000000000001</v>
      </c>
      <c r="H919" t="s">
        <v>11</v>
      </c>
      <c r="I919" t="s">
        <v>10</v>
      </c>
    </row>
    <row r="920" spans="1:9" x14ac:dyDescent="0.25">
      <c r="A920" t="str">
        <f t="shared" si="15"/>
        <v>89301000</v>
      </c>
      <c r="B920" t="str">
        <f>"0954168919"</f>
        <v>0954168919</v>
      </c>
      <c r="C920" s="1">
        <v>45169</v>
      </c>
      <c r="D920" s="1">
        <v>45171</v>
      </c>
      <c r="E920">
        <v>1</v>
      </c>
      <c r="F920" t="str">
        <f>"08-M03-04"</f>
        <v>08-M03-04</v>
      </c>
      <c r="G920">
        <v>0.87760000000000005</v>
      </c>
      <c r="H920" t="s">
        <v>11</v>
      </c>
      <c r="I920" t="s">
        <v>10</v>
      </c>
    </row>
    <row r="921" spans="1:9" x14ac:dyDescent="0.25">
      <c r="A921" t="str">
        <f t="shared" si="15"/>
        <v>89301000</v>
      </c>
      <c r="B921" t="str">
        <f>"0954260373"</f>
        <v>0954260373</v>
      </c>
      <c r="C921" s="1">
        <v>45174</v>
      </c>
      <c r="D921" s="1">
        <v>45177</v>
      </c>
      <c r="E921">
        <v>1</v>
      </c>
      <c r="F921" t="str">
        <f>"08-I21-02"</f>
        <v>08-I21-02</v>
      </c>
      <c r="G921">
        <v>1.2658</v>
      </c>
      <c r="H921" t="s">
        <v>12</v>
      </c>
      <c r="I921" t="s">
        <v>10</v>
      </c>
    </row>
    <row r="922" spans="1:9" x14ac:dyDescent="0.25">
      <c r="A922" t="str">
        <f t="shared" si="15"/>
        <v>89301000</v>
      </c>
      <c r="B922" t="str">
        <f>"0955135291"</f>
        <v>0955135291</v>
      </c>
      <c r="C922" s="1">
        <v>44976</v>
      </c>
      <c r="D922" s="1">
        <v>44980</v>
      </c>
      <c r="E922">
        <v>1</v>
      </c>
      <c r="F922" t="str">
        <f>"11-K06-01"</f>
        <v>11-K06-01</v>
      </c>
      <c r="G922">
        <v>0.3206</v>
      </c>
      <c r="H922" t="s">
        <v>11</v>
      </c>
      <c r="I922" t="s">
        <v>10</v>
      </c>
    </row>
    <row r="923" spans="1:9" x14ac:dyDescent="0.25">
      <c r="A923" t="str">
        <f t="shared" si="15"/>
        <v>89301000</v>
      </c>
      <c r="B923" t="str">
        <f>"0955135291"</f>
        <v>0955135291</v>
      </c>
      <c r="C923" s="1">
        <v>45099</v>
      </c>
      <c r="D923" s="1">
        <v>45103</v>
      </c>
      <c r="E923">
        <v>1</v>
      </c>
      <c r="F923" t="str">
        <f>"11-K04-02"</f>
        <v>11-K04-02</v>
      </c>
      <c r="G923">
        <v>0.36730000000000002</v>
      </c>
      <c r="H923" t="s">
        <v>11</v>
      </c>
      <c r="I923" t="s">
        <v>10</v>
      </c>
    </row>
    <row r="924" spans="1:9" x14ac:dyDescent="0.25">
      <c r="A924" t="str">
        <f t="shared" si="15"/>
        <v>89301000</v>
      </c>
      <c r="B924" t="str">
        <f>"0956183228"</f>
        <v>0956183228</v>
      </c>
      <c r="C924" s="1">
        <v>45063</v>
      </c>
      <c r="D924" s="1">
        <v>45067</v>
      </c>
      <c r="E924">
        <v>1</v>
      </c>
      <c r="F924" t="str">
        <f>"06-I18-04"</f>
        <v>06-I18-04</v>
      </c>
      <c r="G924">
        <v>1.1088</v>
      </c>
      <c r="H924" t="s">
        <v>9</v>
      </c>
      <c r="I924" t="s">
        <v>10</v>
      </c>
    </row>
    <row r="925" spans="1:9" x14ac:dyDescent="0.25">
      <c r="A925" t="str">
        <f t="shared" si="15"/>
        <v>89301000</v>
      </c>
      <c r="B925" t="str">
        <f>"0956186154"</f>
        <v>0956186154</v>
      </c>
      <c r="C925" s="1">
        <v>45270</v>
      </c>
      <c r="D925" s="1">
        <v>45276</v>
      </c>
      <c r="E925">
        <v>1</v>
      </c>
      <c r="F925" t="str">
        <f>"03-I16-02"</f>
        <v>03-I16-02</v>
      </c>
      <c r="G925">
        <v>0.9335</v>
      </c>
      <c r="H925" t="s">
        <v>9</v>
      </c>
      <c r="I925" t="s">
        <v>10</v>
      </c>
    </row>
    <row r="926" spans="1:9" x14ac:dyDescent="0.25">
      <c r="A926" t="str">
        <f t="shared" si="15"/>
        <v>89301000</v>
      </c>
      <c r="B926" t="str">
        <f>"0956236116"</f>
        <v>0956236116</v>
      </c>
      <c r="C926" s="1">
        <v>45106</v>
      </c>
      <c r="D926" s="1">
        <v>45110</v>
      </c>
      <c r="E926">
        <v>1</v>
      </c>
      <c r="F926" t="str">
        <f>"06-K02-04"</f>
        <v>06-K02-04</v>
      </c>
      <c r="G926">
        <v>0.37659999999999999</v>
      </c>
      <c r="H926" t="s">
        <v>11</v>
      </c>
      <c r="I926" t="s">
        <v>10</v>
      </c>
    </row>
    <row r="927" spans="1:9" x14ac:dyDescent="0.25">
      <c r="A927" t="str">
        <f t="shared" si="15"/>
        <v>89301000</v>
      </c>
      <c r="B927" t="str">
        <f>"0956256103"</f>
        <v>0956256103</v>
      </c>
      <c r="C927" s="1">
        <v>45159</v>
      </c>
      <c r="D927" s="1">
        <v>45161</v>
      </c>
      <c r="E927">
        <v>1</v>
      </c>
      <c r="F927" t="str">
        <f>"06-K02-04"</f>
        <v>06-K02-04</v>
      </c>
      <c r="G927">
        <v>0.37659999999999999</v>
      </c>
      <c r="H927" t="s">
        <v>11</v>
      </c>
      <c r="I927" t="s">
        <v>10</v>
      </c>
    </row>
    <row r="928" spans="1:9" x14ac:dyDescent="0.25">
      <c r="A928" t="str">
        <f t="shared" si="15"/>
        <v>89301000</v>
      </c>
      <c r="B928" t="str">
        <f>"0957011517"</f>
        <v>0957011517</v>
      </c>
      <c r="C928" s="1">
        <v>45182</v>
      </c>
      <c r="D928" s="1">
        <v>45186</v>
      </c>
      <c r="E928">
        <v>1</v>
      </c>
      <c r="F928" t="str">
        <f>"01-K18-04"</f>
        <v>01-K18-04</v>
      </c>
      <c r="G928">
        <v>0.54610000000000003</v>
      </c>
      <c r="H928" t="s">
        <v>11</v>
      </c>
      <c r="I928" t="s">
        <v>10</v>
      </c>
    </row>
    <row r="929" spans="1:9" x14ac:dyDescent="0.25">
      <c r="A929" t="str">
        <f t="shared" si="15"/>
        <v>89301000</v>
      </c>
      <c r="B929" t="str">
        <f>"0957086141"</f>
        <v>0957086141</v>
      </c>
      <c r="C929" s="1">
        <v>45126</v>
      </c>
      <c r="D929" s="1">
        <v>45131</v>
      </c>
      <c r="E929">
        <v>1</v>
      </c>
      <c r="F929" t="str">
        <f>"21-K05-01"</f>
        <v>21-K05-01</v>
      </c>
      <c r="G929">
        <v>2.1720999999999999</v>
      </c>
      <c r="H929" t="s">
        <v>11</v>
      </c>
      <c r="I929" t="s">
        <v>10</v>
      </c>
    </row>
    <row r="930" spans="1:9" x14ac:dyDescent="0.25">
      <c r="A930" t="str">
        <f t="shared" si="15"/>
        <v>89301000</v>
      </c>
      <c r="B930" t="str">
        <f>"0957146069"</f>
        <v>0957146069</v>
      </c>
      <c r="C930" s="1">
        <v>45101</v>
      </c>
      <c r="D930" s="1">
        <v>45106</v>
      </c>
      <c r="E930">
        <v>1</v>
      </c>
      <c r="F930" t="str">
        <f>"06-K02-03"</f>
        <v>06-K02-03</v>
      </c>
      <c r="G930">
        <v>0.50470000000000004</v>
      </c>
      <c r="H930" t="s">
        <v>11</v>
      </c>
      <c r="I930" t="s">
        <v>10</v>
      </c>
    </row>
    <row r="931" spans="1:9" x14ac:dyDescent="0.25">
      <c r="A931" t="str">
        <f t="shared" si="15"/>
        <v>89301000</v>
      </c>
      <c r="B931" t="str">
        <f>"0958126103"</f>
        <v>0958126103</v>
      </c>
      <c r="C931" s="1">
        <v>45215</v>
      </c>
      <c r="D931" s="1">
        <v>45216</v>
      </c>
      <c r="E931">
        <v>1</v>
      </c>
      <c r="F931" t="str">
        <f>"06-K22-03"</f>
        <v>06-K22-03</v>
      </c>
      <c r="G931">
        <v>0.31619999999999998</v>
      </c>
      <c r="H931" t="s">
        <v>11</v>
      </c>
      <c r="I931" t="s">
        <v>10</v>
      </c>
    </row>
    <row r="932" spans="1:9" x14ac:dyDescent="0.25">
      <c r="A932" t="str">
        <f t="shared" si="15"/>
        <v>89301000</v>
      </c>
      <c r="B932" t="str">
        <f>"0958126103"</f>
        <v>0958126103</v>
      </c>
      <c r="C932" s="1">
        <v>44993</v>
      </c>
      <c r="D932" s="1">
        <v>44993</v>
      </c>
      <c r="E932">
        <v>1</v>
      </c>
      <c r="F932" t="str">
        <f>"06-K22-03"</f>
        <v>06-K22-03</v>
      </c>
      <c r="G932">
        <v>0.15809999999999999</v>
      </c>
      <c r="H932" t="s">
        <v>11</v>
      </c>
      <c r="I932" t="s">
        <v>10</v>
      </c>
    </row>
    <row r="933" spans="1:9" x14ac:dyDescent="0.25">
      <c r="A933" t="str">
        <f t="shared" si="15"/>
        <v>89301000</v>
      </c>
      <c r="B933" t="str">
        <f>"0959026068"</f>
        <v>0959026068</v>
      </c>
      <c r="C933" s="1">
        <v>44932</v>
      </c>
      <c r="D933" s="1">
        <v>44938</v>
      </c>
      <c r="E933">
        <v>1</v>
      </c>
      <c r="F933" t="str">
        <f>"13-I14-03"</f>
        <v>13-I14-03</v>
      </c>
      <c r="G933">
        <v>0.98229999999999995</v>
      </c>
      <c r="H933" t="s">
        <v>9</v>
      </c>
      <c r="I933" t="s">
        <v>10</v>
      </c>
    </row>
    <row r="934" spans="1:9" x14ac:dyDescent="0.25">
      <c r="A934" t="str">
        <f t="shared" si="15"/>
        <v>89301000</v>
      </c>
      <c r="B934" t="str">
        <f>"0959113254"</f>
        <v>0959113254</v>
      </c>
      <c r="C934" s="1">
        <v>45034</v>
      </c>
      <c r="D934" s="1">
        <v>45036</v>
      </c>
      <c r="E934">
        <v>1</v>
      </c>
      <c r="F934" t="str">
        <f>"03-I14-02"</f>
        <v>03-I14-02</v>
      </c>
      <c r="G934">
        <v>1.0793999999999999</v>
      </c>
      <c r="H934" t="s">
        <v>11</v>
      </c>
      <c r="I934" t="s">
        <v>10</v>
      </c>
    </row>
    <row r="935" spans="1:9" x14ac:dyDescent="0.25">
      <c r="A935" t="str">
        <f t="shared" si="15"/>
        <v>89301000</v>
      </c>
      <c r="B935" t="str">
        <f>"0959163260"</f>
        <v>0959163260</v>
      </c>
      <c r="C935" s="1">
        <v>45097</v>
      </c>
      <c r="D935" s="1">
        <v>45098</v>
      </c>
      <c r="E935">
        <v>1</v>
      </c>
      <c r="F935" t="str">
        <f>"08-I20-03"</f>
        <v>08-I20-03</v>
      </c>
      <c r="G935">
        <v>0.62639999999999996</v>
      </c>
      <c r="H935" t="s">
        <v>12</v>
      </c>
      <c r="I935" t="s">
        <v>10</v>
      </c>
    </row>
    <row r="936" spans="1:9" x14ac:dyDescent="0.25">
      <c r="A936" t="str">
        <f t="shared" si="15"/>
        <v>89301000</v>
      </c>
      <c r="B936" t="str">
        <f>"0959263250"</f>
        <v>0959263250</v>
      </c>
      <c r="C936" s="1">
        <v>44958</v>
      </c>
      <c r="D936" s="1">
        <v>44958</v>
      </c>
      <c r="E936">
        <v>1</v>
      </c>
      <c r="F936" t="str">
        <f>"06-C01-00"</f>
        <v>06-C01-00</v>
      </c>
      <c r="G936">
        <v>7.8700000000000006E-2</v>
      </c>
      <c r="H936" t="s">
        <v>11</v>
      </c>
      <c r="I936" t="s">
        <v>10</v>
      </c>
    </row>
    <row r="937" spans="1:9" x14ac:dyDescent="0.25">
      <c r="A937" t="str">
        <f t="shared" si="15"/>
        <v>89301000</v>
      </c>
      <c r="B937" t="str">
        <f>"0960085269"</f>
        <v>0960085269</v>
      </c>
      <c r="C937" s="1">
        <v>45050</v>
      </c>
      <c r="D937" s="1">
        <v>45053</v>
      </c>
      <c r="E937">
        <v>1</v>
      </c>
      <c r="F937" t="str">
        <f>"03-K01-02"</f>
        <v>03-K01-02</v>
      </c>
      <c r="G937">
        <v>0.37369999999999998</v>
      </c>
      <c r="H937" t="s">
        <v>11</v>
      </c>
      <c r="I937" t="s">
        <v>10</v>
      </c>
    </row>
    <row r="938" spans="1:9" x14ac:dyDescent="0.25">
      <c r="A938" t="str">
        <f t="shared" si="15"/>
        <v>89301000</v>
      </c>
      <c r="B938" t="str">
        <f>"0960165338"</f>
        <v>0960165338</v>
      </c>
      <c r="C938" s="1">
        <v>45140</v>
      </c>
      <c r="D938" s="1">
        <v>45147</v>
      </c>
      <c r="E938">
        <v>1</v>
      </c>
      <c r="F938" t="str">
        <f>"11-M03-02"</f>
        <v>11-M03-02</v>
      </c>
      <c r="G938">
        <v>1.4410000000000001</v>
      </c>
      <c r="H938" t="s">
        <v>12</v>
      </c>
      <c r="I938" t="s">
        <v>10</v>
      </c>
    </row>
    <row r="939" spans="1:9" x14ac:dyDescent="0.25">
      <c r="A939" t="str">
        <f t="shared" si="15"/>
        <v>89301000</v>
      </c>
      <c r="B939" t="str">
        <f>"0960186062"</f>
        <v>0960186062</v>
      </c>
      <c r="C939" s="1">
        <v>45237</v>
      </c>
      <c r="D939" s="1">
        <v>45240</v>
      </c>
      <c r="E939">
        <v>1</v>
      </c>
      <c r="F939" t="str">
        <f>"19-K01-03"</f>
        <v>19-K01-03</v>
      </c>
      <c r="G939">
        <v>0.55700000000000005</v>
      </c>
      <c r="H939" t="s">
        <v>15</v>
      </c>
      <c r="I939" t="s">
        <v>10</v>
      </c>
    </row>
    <row r="940" spans="1:9" x14ac:dyDescent="0.25">
      <c r="A940" t="str">
        <f t="shared" si="15"/>
        <v>89301000</v>
      </c>
      <c r="B940" t="str">
        <f>"0962026098"</f>
        <v>0962026098</v>
      </c>
      <c r="C940" s="1">
        <v>45215</v>
      </c>
      <c r="D940" s="1">
        <v>45217</v>
      </c>
      <c r="E940">
        <v>1</v>
      </c>
      <c r="F940" t="str">
        <f>"01-K07-03"</f>
        <v>01-K07-03</v>
      </c>
      <c r="G940">
        <v>0.48680000000000001</v>
      </c>
      <c r="H940" t="s">
        <v>11</v>
      </c>
      <c r="I940" t="s">
        <v>10</v>
      </c>
    </row>
    <row r="941" spans="1:9" x14ac:dyDescent="0.25">
      <c r="A941" t="str">
        <f t="shared" si="15"/>
        <v>89301000</v>
      </c>
      <c r="B941" t="str">
        <f>"0962276084"</f>
        <v>0962276084</v>
      </c>
      <c r="C941" s="1">
        <v>44998</v>
      </c>
      <c r="D941" s="1">
        <v>45002</v>
      </c>
      <c r="E941">
        <v>1</v>
      </c>
      <c r="F941" t="str">
        <f>"24-M05-01"</f>
        <v>24-M05-01</v>
      </c>
      <c r="G941">
        <v>0.63700000000000001</v>
      </c>
      <c r="H941" t="s">
        <v>11</v>
      </c>
      <c r="I941" t="s">
        <v>10</v>
      </c>
    </row>
    <row r="942" spans="1:9" x14ac:dyDescent="0.25">
      <c r="A942" t="str">
        <f t="shared" si="15"/>
        <v>89301000</v>
      </c>
      <c r="B942" t="str">
        <f>"1001083237"</f>
        <v>1001083237</v>
      </c>
      <c r="C942" s="1">
        <v>45106</v>
      </c>
      <c r="D942" s="1">
        <v>45108</v>
      </c>
      <c r="E942">
        <v>1</v>
      </c>
      <c r="F942" t="str">
        <f>"03-I21-00"</f>
        <v>03-I21-00</v>
      </c>
      <c r="G942">
        <v>0.42449999999999999</v>
      </c>
      <c r="H942" t="s">
        <v>11</v>
      </c>
      <c r="I942" t="s">
        <v>10</v>
      </c>
    </row>
    <row r="943" spans="1:9" x14ac:dyDescent="0.25">
      <c r="A943" t="str">
        <f t="shared" si="15"/>
        <v>89301000</v>
      </c>
      <c r="B943" t="str">
        <f>"1001113245"</f>
        <v>1001113245</v>
      </c>
      <c r="C943" s="1">
        <v>45021</v>
      </c>
      <c r="D943" s="1">
        <v>45022</v>
      </c>
      <c r="E943">
        <v>1</v>
      </c>
      <c r="F943" t="str">
        <f>"20-K01-06"</f>
        <v>20-K01-06</v>
      </c>
      <c r="G943">
        <v>0.26919999999999999</v>
      </c>
      <c r="H943" t="s">
        <v>11</v>
      </c>
      <c r="I943" t="s">
        <v>10</v>
      </c>
    </row>
    <row r="944" spans="1:9" x14ac:dyDescent="0.25">
      <c r="A944" t="str">
        <f t="shared" si="15"/>
        <v>89301000</v>
      </c>
      <c r="B944" t="str">
        <f>"1001113267"</f>
        <v>1001113267</v>
      </c>
      <c r="C944" s="1">
        <v>45077</v>
      </c>
      <c r="D944" s="1">
        <v>45082</v>
      </c>
      <c r="E944">
        <v>1</v>
      </c>
      <c r="F944" t="str">
        <f>"06-I18-04"</f>
        <v>06-I18-04</v>
      </c>
      <c r="G944">
        <v>1.1088</v>
      </c>
      <c r="H944" t="s">
        <v>9</v>
      </c>
      <c r="I944" t="s">
        <v>10</v>
      </c>
    </row>
    <row r="945" spans="1:9" x14ac:dyDescent="0.25">
      <c r="A945" t="str">
        <f t="shared" si="15"/>
        <v>89301000</v>
      </c>
      <c r="B945" t="str">
        <f>"1001122232"</f>
        <v>1001122232</v>
      </c>
      <c r="C945" s="1">
        <v>45134</v>
      </c>
      <c r="D945" s="1">
        <v>45138</v>
      </c>
      <c r="E945">
        <v>1</v>
      </c>
      <c r="F945" t="str">
        <f>"08-I21-02"</f>
        <v>08-I21-02</v>
      </c>
      <c r="G945">
        <v>1.2658</v>
      </c>
      <c r="H945" t="s">
        <v>12</v>
      </c>
      <c r="I945" t="s">
        <v>10</v>
      </c>
    </row>
    <row r="946" spans="1:9" x14ac:dyDescent="0.25">
      <c r="A946" t="str">
        <f t="shared" si="15"/>
        <v>89301000</v>
      </c>
      <c r="B946" t="str">
        <f>"1001146080"</f>
        <v>1001146080</v>
      </c>
      <c r="C946" s="1">
        <v>45164</v>
      </c>
      <c r="D946" s="1">
        <v>45166</v>
      </c>
      <c r="E946">
        <v>1</v>
      </c>
      <c r="F946" t="str">
        <f>"03-K03-02"</f>
        <v>03-K03-02</v>
      </c>
      <c r="G946">
        <v>0.51949999999999996</v>
      </c>
      <c r="H946" t="s">
        <v>11</v>
      </c>
      <c r="I946" t="s">
        <v>10</v>
      </c>
    </row>
    <row r="947" spans="1:9" x14ac:dyDescent="0.25">
      <c r="A947" t="str">
        <f t="shared" si="15"/>
        <v>89301000</v>
      </c>
      <c r="B947" t="str">
        <f>"1001315271"</f>
        <v>1001315271</v>
      </c>
      <c r="C947" s="1">
        <v>45028</v>
      </c>
      <c r="D947" s="1">
        <v>45042</v>
      </c>
      <c r="E947">
        <v>1</v>
      </c>
      <c r="F947" t="str">
        <f>"06-K11-00"</f>
        <v>06-K11-00</v>
      </c>
      <c r="G947">
        <v>0.92700000000000005</v>
      </c>
      <c r="H947" t="s">
        <v>11</v>
      </c>
      <c r="I947" t="s">
        <v>10</v>
      </c>
    </row>
    <row r="948" spans="1:9" x14ac:dyDescent="0.25">
      <c r="A948" t="str">
        <f t="shared" si="15"/>
        <v>89301000</v>
      </c>
      <c r="B948" t="str">
        <f>"1002046067"</f>
        <v>1002046067</v>
      </c>
      <c r="C948" s="1">
        <v>44933</v>
      </c>
      <c r="D948" s="1">
        <v>44934</v>
      </c>
      <c r="E948">
        <v>1</v>
      </c>
      <c r="F948" t="str">
        <f>"08-I20-03"</f>
        <v>08-I20-03</v>
      </c>
      <c r="G948">
        <v>0.62639999999999996</v>
      </c>
      <c r="H948" t="s">
        <v>12</v>
      </c>
      <c r="I948" t="s">
        <v>10</v>
      </c>
    </row>
    <row r="949" spans="1:9" x14ac:dyDescent="0.25">
      <c r="A949" t="str">
        <f t="shared" si="15"/>
        <v>89301000</v>
      </c>
      <c r="B949" t="str">
        <f>"1002106072"</f>
        <v>1002106072</v>
      </c>
      <c r="C949" s="1">
        <v>44999</v>
      </c>
      <c r="D949" s="1">
        <v>45000</v>
      </c>
      <c r="E949">
        <v>1</v>
      </c>
      <c r="F949" t="str">
        <f>"08-I32-00"</f>
        <v>08-I32-00</v>
      </c>
      <c r="G949">
        <v>0.40870000000000001</v>
      </c>
      <c r="H949" t="s">
        <v>11</v>
      </c>
      <c r="I949" t="s">
        <v>10</v>
      </c>
    </row>
    <row r="950" spans="1:9" x14ac:dyDescent="0.25">
      <c r="A950" t="str">
        <f t="shared" si="15"/>
        <v>89301000</v>
      </c>
      <c r="B950" t="str">
        <f>"1002106072"</f>
        <v>1002106072</v>
      </c>
      <c r="C950" s="1">
        <v>44952</v>
      </c>
      <c r="D950" s="1">
        <v>44954</v>
      </c>
      <c r="E950">
        <v>1</v>
      </c>
      <c r="F950" t="str">
        <f>"08-I20-01"</f>
        <v>08-I20-01</v>
      </c>
      <c r="G950">
        <v>1.5294000000000001</v>
      </c>
      <c r="H950" t="s">
        <v>12</v>
      </c>
      <c r="I950" t="s">
        <v>10</v>
      </c>
    </row>
    <row r="951" spans="1:9" x14ac:dyDescent="0.25">
      <c r="A951" t="str">
        <f t="shared" si="15"/>
        <v>89301000</v>
      </c>
      <c r="B951" t="str">
        <f>"1002137422"</f>
        <v>1002137422</v>
      </c>
      <c r="C951" s="1">
        <v>45256</v>
      </c>
      <c r="D951" s="1">
        <v>45273</v>
      </c>
      <c r="E951">
        <v>1</v>
      </c>
      <c r="F951" t="str">
        <f>"09-I05-02"</f>
        <v>09-I05-02</v>
      </c>
      <c r="G951">
        <v>1.7806</v>
      </c>
      <c r="H951" t="s">
        <v>11</v>
      </c>
      <c r="I951" t="s">
        <v>10</v>
      </c>
    </row>
    <row r="952" spans="1:9" x14ac:dyDescent="0.25">
      <c r="A952" t="str">
        <f t="shared" si="15"/>
        <v>89301000</v>
      </c>
      <c r="B952" t="str">
        <f>"1002137422"</f>
        <v>1002137422</v>
      </c>
      <c r="C952" s="1">
        <v>45125</v>
      </c>
      <c r="D952" s="1">
        <v>45128</v>
      </c>
      <c r="E952">
        <v>1</v>
      </c>
      <c r="F952" t="str">
        <f>"09-I11-02"</f>
        <v>09-I11-02</v>
      </c>
      <c r="G952">
        <v>0.92979999999999996</v>
      </c>
      <c r="H952" t="s">
        <v>11</v>
      </c>
      <c r="I952" t="s">
        <v>10</v>
      </c>
    </row>
    <row r="953" spans="1:9" x14ac:dyDescent="0.25">
      <c r="A953" t="str">
        <f t="shared" si="15"/>
        <v>89301000</v>
      </c>
      <c r="B953" t="str">
        <f>"1002137422"</f>
        <v>1002137422</v>
      </c>
      <c r="C953" s="1">
        <v>45060</v>
      </c>
      <c r="D953" s="1">
        <v>45089</v>
      </c>
      <c r="E953">
        <v>5</v>
      </c>
      <c r="F953" t="str">
        <f>"00-M02-02"</f>
        <v>00-M02-02</v>
      </c>
      <c r="G953">
        <v>19.758099999999999</v>
      </c>
      <c r="H953" t="s">
        <v>11</v>
      </c>
      <c r="I953" t="s">
        <v>10</v>
      </c>
    </row>
    <row r="954" spans="1:9" x14ac:dyDescent="0.25">
      <c r="A954" t="str">
        <f t="shared" si="15"/>
        <v>89301000</v>
      </c>
      <c r="B954" t="str">
        <f>"1002143274"</f>
        <v>1002143274</v>
      </c>
      <c r="C954" s="1">
        <v>45221</v>
      </c>
      <c r="D954" s="1">
        <v>45222</v>
      </c>
      <c r="E954">
        <v>1</v>
      </c>
      <c r="F954" t="str">
        <f>"08-K14-02"</f>
        <v>08-K14-02</v>
      </c>
      <c r="G954">
        <v>0.38229999999999997</v>
      </c>
      <c r="H954" t="s">
        <v>11</v>
      </c>
      <c r="I954" t="s">
        <v>10</v>
      </c>
    </row>
    <row r="955" spans="1:9" x14ac:dyDescent="0.25">
      <c r="A955" t="str">
        <f t="shared" si="15"/>
        <v>89301000</v>
      </c>
      <c r="B955" t="str">
        <f>"1002143274"</f>
        <v>1002143274</v>
      </c>
      <c r="C955" s="1">
        <v>45084</v>
      </c>
      <c r="D955" s="1">
        <v>45089</v>
      </c>
      <c r="E955">
        <v>1</v>
      </c>
      <c r="F955" t="str">
        <f>"06-I18-04"</f>
        <v>06-I18-04</v>
      </c>
      <c r="G955">
        <v>1.1088</v>
      </c>
      <c r="H955" t="s">
        <v>9</v>
      </c>
      <c r="I955" t="s">
        <v>10</v>
      </c>
    </row>
    <row r="956" spans="1:9" x14ac:dyDescent="0.25">
      <c r="A956" t="str">
        <f t="shared" si="15"/>
        <v>89301000</v>
      </c>
      <c r="B956" t="str">
        <f>"1003023274"</f>
        <v>1003023274</v>
      </c>
      <c r="C956" s="1">
        <v>44931</v>
      </c>
      <c r="D956" s="1">
        <v>44936</v>
      </c>
      <c r="E956">
        <v>1</v>
      </c>
      <c r="F956" t="str">
        <f>"06-K02-03"</f>
        <v>06-K02-03</v>
      </c>
      <c r="G956">
        <v>0.50470000000000004</v>
      </c>
      <c r="H956" t="s">
        <v>11</v>
      </c>
      <c r="I956" t="s">
        <v>10</v>
      </c>
    </row>
    <row r="957" spans="1:9" x14ac:dyDescent="0.25">
      <c r="A957" t="str">
        <f t="shared" ref="A957:A1020" si="16">"89301000"</f>
        <v>89301000</v>
      </c>
      <c r="B957" t="str">
        <f>"1004085280"</f>
        <v>1004085280</v>
      </c>
      <c r="C957" s="1">
        <v>44951</v>
      </c>
      <c r="D957" s="1">
        <v>44954</v>
      </c>
      <c r="E957">
        <v>1</v>
      </c>
      <c r="F957" t="str">
        <f>"12-I13-01"</f>
        <v>12-I13-01</v>
      </c>
      <c r="G957">
        <v>0.78059999999999996</v>
      </c>
      <c r="H957" t="s">
        <v>9</v>
      </c>
      <c r="I957" t="s">
        <v>10</v>
      </c>
    </row>
    <row r="958" spans="1:9" x14ac:dyDescent="0.25">
      <c r="A958" t="str">
        <f t="shared" si="16"/>
        <v>89301000</v>
      </c>
      <c r="B958" t="str">
        <f>"1004106103"</f>
        <v>1004106103</v>
      </c>
      <c r="C958" s="1">
        <v>45079</v>
      </c>
      <c r="D958" s="1">
        <v>45089</v>
      </c>
      <c r="E958">
        <v>1</v>
      </c>
      <c r="F958" t="str">
        <f>"11-K02-02"</f>
        <v>11-K02-02</v>
      </c>
      <c r="G958">
        <v>1.4047000000000001</v>
      </c>
      <c r="H958" t="s">
        <v>11</v>
      </c>
      <c r="I958" t="s">
        <v>10</v>
      </c>
    </row>
    <row r="959" spans="1:9" x14ac:dyDescent="0.25">
      <c r="A959" t="str">
        <f t="shared" si="16"/>
        <v>89301000</v>
      </c>
      <c r="B959" t="str">
        <f>"1004125342"</f>
        <v>1004125342</v>
      </c>
      <c r="C959" s="1">
        <v>44952</v>
      </c>
      <c r="D959" s="1">
        <v>44958</v>
      </c>
      <c r="E959">
        <v>1</v>
      </c>
      <c r="F959" t="str">
        <f>"05-K01-03"</f>
        <v>05-K01-03</v>
      </c>
      <c r="G959">
        <v>0.72089999999999999</v>
      </c>
      <c r="H959" t="s">
        <v>11</v>
      </c>
      <c r="I959" t="s">
        <v>10</v>
      </c>
    </row>
    <row r="960" spans="1:9" x14ac:dyDescent="0.25">
      <c r="A960" t="str">
        <f t="shared" si="16"/>
        <v>89301000</v>
      </c>
      <c r="B960" t="str">
        <f>"1004206093"</f>
        <v>1004206093</v>
      </c>
      <c r="C960" s="1">
        <v>45096</v>
      </c>
      <c r="D960" s="1">
        <v>45098</v>
      </c>
      <c r="E960">
        <v>1</v>
      </c>
      <c r="F960" t="str">
        <f>"12-I14-00"</f>
        <v>12-I14-00</v>
      </c>
      <c r="G960">
        <v>0.42920000000000003</v>
      </c>
      <c r="H960" t="s">
        <v>11</v>
      </c>
      <c r="I960" t="s">
        <v>10</v>
      </c>
    </row>
    <row r="961" spans="1:9" x14ac:dyDescent="0.25">
      <c r="A961" t="str">
        <f t="shared" si="16"/>
        <v>89301000</v>
      </c>
      <c r="B961" t="str">
        <f>"1004217082"</f>
        <v>1004217082</v>
      </c>
      <c r="C961" s="1">
        <v>45218</v>
      </c>
      <c r="D961" s="1">
        <v>45219</v>
      </c>
      <c r="E961">
        <v>1</v>
      </c>
      <c r="F961" t="str">
        <f>"08-I32-00"</f>
        <v>08-I32-00</v>
      </c>
      <c r="G961">
        <v>0.40870000000000001</v>
      </c>
      <c r="H961" t="s">
        <v>11</v>
      </c>
      <c r="I961" t="s">
        <v>10</v>
      </c>
    </row>
    <row r="962" spans="1:9" x14ac:dyDescent="0.25">
      <c r="A962" t="str">
        <f t="shared" si="16"/>
        <v>89301000</v>
      </c>
      <c r="B962" t="str">
        <f>"1004217082"</f>
        <v>1004217082</v>
      </c>
      <c r="C962" s="1">
        <v>45181</v>
      </c>
      <c r="D962" s="1">
        <v>45183</v>
      </c>
      <c r="E962">
        <v>1</v>
      </c>
      <c r="F962" t="str">
        <f>"08-I20-03"</f>
        <v>08-I20-03</v>
      </c>
      <c r="G962">
        <v>0.62639999999999996</v>
      </c>
      <c r="H962" t="s">
        <v>12</v>
      </c>
      <c r="I962" t="s">
        <v>10</v>
      </c>
    </row>
    <row r="963" spans="1:9" x14ac:dyDescent="0.25">
      <c r="A963" t="str">
        <f t="shared" si="16"/>
        <v>89301000</v>
      </c>
      <c r="B963" t="str">
        <f>"1005106080"</f>
        <v>1005106080</v>
      </c>
      <c r="C963" s="1">
        <v>45062</v>
      </c>
      <c r="D963" s="1">
        <v>45063</v>
      </c>
      <c r="E963">
        <v>1</v>
      </c>
      <c r="F963" t="str">
        <f>"09-K12-00"</f>
        <v>09-K12-00</v>
      </c>
      <c r="G963">
        <v>0.26040000000000002</v>
      </c>
      <c r="H963" t="s">
        <v>11</v>
      </c>
      <c r="I963" t="s">
        <v>10</v>
      </c>
    </row>
    <row r="964" spans="1:9" x14ac:dyDescent="0.25">
      <c r="A964" t="str">
        <f t="shared" si="16"/>
        <v>89301000</v>
      </c>
      <c r="B964" t="str">
        <f>"1005185269"</f>
        <v>1005185269</v>
      </c>
      <c r="C964" s="1">
        <v>44944</v>
      </c>
      <c r="D964" s="1">
        <v>44949</v>
      </c>
      <c r="E964">
        <v>1</v>
      </c>
      <c r="F964" t="str">
        <f>"06-I18-04"</f>
        <v>06-I18-04</v>
      </c>
      <c r="G964">
        <v>1.1088</v>
      </c>
      <c r="H964" t="s">
        <v>9</v>
      </c>
      <c r="I964" t="s">
        <v>10</v>
      </c>
    </row>
    <row r="965" spans="1:9" x14ac:dyDescent="0.25">
      <c r="A965" t="str">
        <f t="shared" si="16"/>
        <v>89301000</v>
      </c>
      <c r="B965" t="str">
        <f>"1005193233"</f>
        <v>1005193233</v>
      </c>
      <c r="C965" s="1">
        <v>45201</v>
      </c>
      <c r="D965" s="1">
        <v>45202</v>
      </c>
      <c r="E965">
        <v>1</v>
      </c>
      <c r="F965" t="str">
        <f>"06-K02-04"</f>
        <v>06-K02-04</v>
      </c>
      <c r="G965">
        <v>0.37659999999999999</v>
      </c>
      <c r="H965" t="s">
        <v>11</v>
      </c>
      <c r="I965" t="s">
        <v>10</v>
      </c>
    </row>
    <row r="966" spans="1:9" x14ac:dyDescent="0.25">
      <c r="A966" t="str">
        <f t="shared" si="16"/>
        <v>89301000</v>
      </c>
      <c r="B966" t="str">
        <f>"1005243228"</f>
        <v>1005243228</v>
      </c>
      <c r="C966" s="1">
        <v>45256</v>
      </c>
      <c r="D966" s="1">
        <v>45257</v>
      </c>
      <c r="E966">
        <v>1</v>
      </c>
      <c r="F966" t="str">
        <f>"12-I10-02"</f>
        <v>12-I10-02</v>
      </c>
      <c r="G966">
        <v>0.51690000000000003</v>
      </c>
      <c r="H966" t="s">
        <v>9</v>
      </c>
      <c r="I966" t="s">
        <v>10</v>
      </c>
    </row>
    <row r="967" spans="1:9" x14ac:dyDescent="0.25">
      <c r="A967" t="str">
        <f t="shared" si="16"/>
        <v>89301000</v>
      </c>
      <c r="B967" t="str">
        <f>"1006085311"</f>
        <v>1006085311</v>
      </c>
      <c r="C967" s="1">
        <v>45196</v>
      </c>
      <c r="D967" s="1">
        <v>45200</v>
      </c>
      <c r="E967">
        <v>1</v>
      </c>
      <c r="F967" t="str">
        <f>"06-I18-04"</f>
        <v>06-I18-04</v>
      </c>
      <c r="G967">
        <v>1.1088</v>
      </c>
      <c r="H967" t="s">
        <v>9</v>
      </c>
      <c r="I967" t="s">
        <v>10</v>
      </c>
    </row>
    <row r="968" spans="1:9" x14ac:dyDescent="0.25">
      <c r="A968" t="str">
        <f t="shared" si="16"/>
        <v>89301000</v>
      </c>
      <c r="B968" t="str">
        <f>"1006127419"</f>
        <v>1006127419</v>
      </c>
      <c r="C968" s="1">
        <v>45181</v>
      </c>
      <c r="D968" s="1">
        <v>45183</v>
      </c>
      <c r="E968">
        <v>1</v>
      </c>
      <c r="F968" t="str">
        <f>"08-I21-02"</f>
        <v>08-I21-02</v>
      </c>
      <c r="G968">
        <v>1.2658</v>
      </c>
      <c r="H968" t="s">
        <v>12</v>
      </c>
      <c r="I968" t="s">
        <v>10</v>
      </c>
    </row>
    <row r="969" spans="1:9" x14ac:dyDescent="0.25">
      <c r="A969" t="str">
        <f t="shared" si="16"/>
        <v>89301000</v>
      </c>
      <c r="B969" t="str">
        <f>"1006166073"</f>
        <v>1006166073</v>
      </c>
      <c r="C969" s="1">
        <v>45259</v>
      </c>
      <c r="D969" s="1">
        <v>45280</v>
      </c>
      <c r="E969">
        <v>1</v>
      </c>
      <c r="F969" t="str">
        <f>"08-K02-02"</f>
        <v>08-K02-02</v>
      </c>
      <c r="G969">
        <v>1.2053</v>
      </c>
      <c r="H969" t="s">
        <v>11</v>
      </c>
      <c r="I969" t="s">
        <v>10</v>
      </c>
    </row>
    <row r="970" spans="1:9" x14ac:dyDescent="0.25">
      <c r="A970" t="str">
        <f t="shared" si="16"/>
        <v>89301000</v>
      </c>
      <c r="B970" t="str">
        <f>"1007090645"</f>
        <v>1007090645</v>
      </c>
      <c r="C970" s="1">
        <v>44972</v>
      </c>
      <c r="D970" s="1">
        <v>44974</v>
      </c>
      <c r="E970">
        <v>1</v>
      </c>
      <c r="F970" t="str">
        <f>"06-I16-05"</f>
        <v>06-I16-05</v>
      </c>
      <c r="G970">
        <v>0.4622</v>
      </c>
      <c r="H970" t="s">
        <v>9</v>
      </c>
      <c r="I970" t="s">
        <v>10</v>
      </c>
    </row>
    <row r="971" spans="1:9" x14ac:dyDescent="0.25">
      <c r="A971" t="str">
        <f t="shared" si="16"/>
        <v>89301000</v>
      </c>
      <c r="B971" t="str">
        <f>"1007100083"</f>
        <v>1007100083</v>
      </c>
      <c r="C971" s="1">
        <v>45027</v>
      </c>
      <c r="D971" s="1">
        <v>45028</v>
      </c>
      <c r="E971">
        <v>1</v>
      </c>
      <c r="F971" t="str">
        <f>"08-I32-00"</f>
        <v>08-I32-00</v>
      </c>
      <c r="G971">
        <v>0.40870000000000001</v>
      </c>
      <c r="H971" t="s">
        <v>11</v>
      </c>
      <c r="I971" t="s">
        <v>10</v>
      </c>
    </row>
    <row r="972" spans="1:9" x14ac:dyDescent="0.25">
      <c r="A972" t="str">
        <f t="shared" si="16"/>
        <v>89301000</v>
      </c>
      <c r="B972" t="str">
        <f>"1007111314"</f>
        <v>1007111314</v>
      </c>
      <c r="C972" s="1">
        <v>44956</v>
      </c>
      <c r="D972" s="1">
        <v>44958</v>
      </c>
      <c r="E972">
        <v>1</v>
      </c>
      <c r="F972" t="str">
        <f>"12-I14-00"</f>
        <v>12-I14-00</v>
      </c>
      <c r="G972">
        <v>0.42920000000000003</v>
      </c>
      <c r="H972" t="s">
        <v>11</v>
      </c>
      <c r="I972" t="s">
        <v>10</v>
      </c>
    </row>
    <row r="973" spans="1:9" x14ac:dyDescent="0.25">
      <c r="A973" t="str">
        <f t="shared" si="16"/>
        <v>89301000</v>
      </c>
      <c r="B973" t="str">
        <f>"1007151805"</f>
        <v>1007151805</v>
      </c>
      <c r="C973" s="1">
        <v>45104</v>
      </c>
      <c r="D973" s="1">
        <v>45105</v>
      </c>
      <c r="E973">
        <v>1</v>
      </c>
      <c r="F973" t="str">
        <f>"06-K03-03"</f>
        <v>06-K03-03</v>
      </c>
      <c r="G973">
        <v>0.42649999999999999</v>
      </c>
      <c r="H973" t="s">
        <v>11</v>
      </c>
      <c r="I973" t="s">
        <v>10</v>
      </c>
    </row>
    <row r="974" spans="1:9" x14ac:dyDescent="0.25">
      <c r="A974" t="str">
        <f t="shared" si="16"/>
        <v>89301000</v>
      </c>
      <c r="B974" t="str">
        <f>"1007240014"</f>
        <v>1007240014</v>
      </c>
      <c r="C974" s="1">
        <v>44976</v>
      </c>
      <c r="D974" s="1">
        <v>44977</v>
      </c>
      <c r="E974">
        <v>1</v>
      </c>
      <c r="F974" t="str">
        <f>"01-K16-06"</f>
        <v>01-K16-06</v>
      </c>
      <c r="G974">
        <v>0.27150000000000002</v>
      </c>
      <c r="H974" t="s">
        <v>11</v>
      </c>
      <c r="I974" t="s">
        <v>10</v>
      </c>
    </row>
    <row r="975" spans="1:9" x14ac:dyDescent="0.25">
      <c r="A975" t="str">
        <f t="shared" si="16"/>
        <v>89301000</v>
      </c>
      <c r="B975" t="str">
        <f>"1008210038"</f>
        <v>1008210038</v>
      </c>
      <c r="C975" s="1">
        <v>45187</v>
      </c>
      <c r="D975" s="1">
        <v>45188</v>
      </c>
      <c r="E975">
        <v>1</v>
      </c>
      <c r="F975" t="str">
        <f>"06-K02-04"</f>
        <v>06-K02-04</v>
      </c>
      <c r="G975">
        <v>0.37659999999999999</v>
      </c>
      <c r="H975" t="s">
        <v>11</v>
      </c>
      <c r="I975" t="s">
        <v>10</v>
      </c>
    </row>
    <row r="976" spans="1:9" x14ac:dyDescent="0.25">
      <c r="A976" t="str">
        <f t="shared" si="16"/>
        <v>89301000</v>
      </c>
      <c r="B976" t="str">
        <f>"1008230267"</f>
        <v>1008230267</v>
      </c>
      <c r="C976" s="1">
        <v>45195</v>
      </c>
      <c r="D976" s="1">
        <v>45198</v>
      </c>
      <c r="E976">
        <v>1</v>
      </c>
      <c r="F976" t="str">
        <f>"08-I21-02"</f>
        <v>08-I21-02</v>
      </c>
      <c r="G976">
        <v>1.2658</v>
      </c>
      <c r="H976" t="s">
        <v>12</v>
      </c>
      <c r="I976" t="s">
        <v>10</v>
      </c>
    </row>
    <row r="977" spans="1:9" x14ac:dyDescent="0.25">
      <c r="A977" t="str">
        <f t="shared" si="16"/>
        <v>89301000</v>
      </c>
      <c r="B977" t="str">
        <f>"1008250727"</f>
        <v>1008250727</v>
      </c>
      <c r="C977" s="1">
        <v>45260</v>
      </c>
      <c r="D977" s="1">
        <v>45261</v>
      </c>
      <c r="E977">
        <v>1</v>
      </c>
      <c r="F977" t="str">
        <f>"06-K22-03"</f>
        <v>06-K22-03</v>
      </c>
      <c r="G977">
        <v>0.31819999999999998</v>
      </c>
      <c r="H977" t="s">
        <v>11</v>
      </c>
      <c r="I977" t="s">
        <v>10</v>
      </c>
    </row>
    <row r="978" spans="1:9" x14ac:dyDescent="0.25">
      <c r="A978" t="str">
        <f t="shared" si="16"/>
        <v>89301000</v>
      </c>
      <c r="B978" t="str">
        <f>"1008260385"</f>
        <v>1008260385</v>
      </c>
      <c r="C978" s="1">
        <v>45264</v>
      </c>
      <c r="D978" s="1">
        <v>45266</v>
      </c>
      <c r="E978">
        <v>1</v>
      </c>
      <c r="F978" t="str">
        <f>"07-K11-02"</f>
        <v>07-K11-02</v>
      </c>
      <c r="G978">
        <v>0.64570000000000005</v>
      </c>
      <c r="H978" t="s">
        <v>11</v>
      </c>
      <c r="I978" t="s">
        <v>10</v>
      </c>
    </row>
    <row r="979" spans="1:9" x14ac:dyDescent="0.25">
      <c r="A979" t="str">
        <f t="shared" si="16"/>
        <v>89301000</v>
      </c>
      <c r="B979" t="str">
        <f>"1008271803"</f>
        <v>1008271803</v>
      </c>
      <c r="C979" s="1">
        <v>45214</v>
      </c>
      <c r="D979" s="1">
        <v>45218</v>
      </c>
      <c r="E979">
        <v>1</v>
      </c>
      <c r="F979" t="str">
        <f>"18-K02-04"</f>
        <v>18-K02-04</v>
      </c>
      <c r="G979">
        <v>0.73280000000000001</v>
      </c>
      <c r="H979" t="s">
        <v>11</v>
      </c>
      <c r="I979" t="s">
        <v>10</v>
      </c>
    </row>
    <row r="980" spans="1:9" x14ac:dyDescent="0.25">
      <c r="A980" t="str">
        <f t="shared" si="16"/>
        <v>89301000</v>
      </c>
      <c r="B980" t="str">
        <f>"1008700517"</f>
        <v>1008700517</v>
      </c>
      <c r="C980" s="1">
        <v>45197</v>
      </c>
      <c r="D980" s="1">
        <v>45198</v>
      </c>
      <c r="E980">
        <v>1</v>
      </c>
      <c r="F980" t="str">
        <f>"08-K14-03"</f>
        <v>08-K14-03</v>
      </c>
      <c r="G980">
        <v>0.2611</v>
      </c>
      <c r="H980" t="s">
        <v>11</v>
      </c>
      <c r="I980" t="s">
        <v>10</v>
      </c>
    </row>
    <row r="981" spans="1:9" x14ac:dyDescent="0.25">
      <c r="A981" t="str">
        <f t="shared" si="16"/>
        <v>89301000</v>
      </c>
      <c r="B981" t="str">
        <f>"1009160559"</f>
        <v>1009160559</v>
      </c>
      <c r="C981" s="1">
        <v>45140</v>
      </c>
      <c r="D981" s="1">
        <v>45142</v>
      </c>
      <c r="E981">
        <v>1</v>
      </c>
      <c r="F981" t="str">
        <f>"10-K14-05"</f>
        <v>10-K14-05</v>
      </c>
      <c r="G981">
        <v>0.36199999999999999</v>
      </c>
      <c r="H981" t="s">
        <v>11</v>
      </c>
      <c r="I981" t="s">
        <v>10</v>
      </c>
    </row>
    <row r="982" spans="1:9" x14ac:dyDescent="0.25">
      <c r="A982" t="str">
        <f t="shared" si="16"/>
        <v>89301000</v>
      </c>
      <c r="B982" t="str">
        <f>"1009161285"</f>
        <v>1009161285</v>
      </c>
      <c r="C982" s="1">
        <v>45222</v>
      </c>
      <c r="D982" s="1">
        <v>45224</v>
      </c>
      <c r="E982">
        <v>1</v>
      </c>
      <c r="F982" t="str">
        <f>"06-I16-05"</f>
        <v>06-I16-05</v>
      </c>
      <c r="G982">
        <v>0.4622</v>
      </c>
      <c r="H982" t="s">
        <v>9</v>
      </c>
      <c r="I982" t="s">
        <v>10</v>
      </c>
    </row>
    <row r="983" spans="1:9" x14ac:dyDescent="0.25">
      <c r="A983" t="str">
        <f t="shared" si="16"/>
        <v>89301000</v>
      </c>
      <c r="B983" t="str">
        <f>"1010010045"</f>
        <v>1010010045</v>
      </c>
      <c r="C983" s="1">
        <v>45020</v>
      </c>
      <c r="D983" s="1">
        <v>45022</v>
      </c>
      <c r="E983">
        <v>1</v>
      </c>
      <c r="F983" t="str">
        <f>"03-K06-01"</f>
        <v>03-K06-01</v>
      </c>
      <c r="G983">
        <v>0.4713</v>
      </c>
      <c r="H983" t="s">
        <v>11</v>
      </c>
      <c r="I983" t="s">
        <v>10</v>
      </c>
    </row>
    <row r="984" spans="1:9" x14ac:dyDescent="0.25">
      <c r="A984" t="str">
        <f t="shared" si="16"/>
        <v>89301000</v>
      </c>
      <c r="B984" t="str">
        <f>"1010050228"</f>
        <v>1010050228</v>
      </c>
      <c r="C984" s="1">
        <v>45010</v>
      </c>
      <c r="D984" s="1">
        <v>45012</v>
      </c>
      <c r="E984">
        <v>1</v>
      </c>
      <c r="F984" t="str">
        <f>"08-I20-03"</f>
        <v>08-I20-03</v>
      </c>
      <c r="G984">
        <v>0.62639999999999996</v>
      </c>
      <c r="H984" t="s">
        <v>12</v>
      </c>
      <c r="I984" t="s">
        <v>10</v>
      </c>
    </row>
    <row r="985" spans="1:9" x14ac:dyDescent="0.25">
      <c r="A985" t="str">
        <f t="shared" si="16"/>
        <v>89301000</v>
      </c>
      <c r="B985" t="str">
        <f>"1010050228"</f>
        <v>1010050228</v>
      </c>
      <c r="C985" s="1">
        <v>45069</v>
      </c>
      <c r="D985" s="1">
        <v>45071</v>
      </c>
      <c r="E985">
        <v>1</v>
      </c>
      <c r="F985" t="str">
        <f>"08-I32-00"</f>
        <v>08-I32-00</v>
      </c>
      <c r="G985">
        <v>0.4093</v>
      </c>
      <c r="H985" t="s">
        <v>11</v>
      </c>
      <c r="I985" t="s">
        <v>10</v>
      </c>
    </row>
    <row r="986" spans="1:9" x14ac:dyDescent="0.25">
      <c r="A986" t="str">
        <f t="shared" si="16"/>
        <v>89301000</v>
      </c>
      <c r="B986" t="str">
        <f>"1010060315"</f>
        <v>1010060315</v>
      </c>
      <c r="C986" s="1">
        <v>44960</v>
      </c>
      <c r="D986" s="1">
        <v>44963</v>
      </c>
      <c r="E986">
        <v>1</v>
      </c>
      <c r="F986" t="str">
        <f>"06-I18-04"</f>
        <v>06-I18-04</v>
      </c>
      <c r="G986">
        <v>1.1088</v>
      </c>
      <c r="H986" t="s">
        <v>9</v>
      </c>
      <c r="I986" t="s">
        <v>10</v>
      </c>
    </row>
    <row r="987" spans="1:9" x14ac:dyDescent="0.25">
      <c r="A987" t="str">
        <f t="shared" si="16"/>
        <v>89301000</v>
      </c>
      <c r="B987" t="str">
        <f>"1010060315"</f>
        <v>1010060315</v>
      </c>
      <c r="C987" s="1">
        <v>45202</v>
      </c>
      <c r="D987" s="1">
        <v>45204</v>
      </c>
      <c r="E987">
        <v>1</v>
      </c>
      <c r="F987" t="str">
        <f>"09-K13-02"</f>
        <v>09-K13-02</v>
      </c>
      <c r="G987">
        <v>0.31190000000000001</v>
      </c>
      <c r="H987" t="s">
        <v>11</v>
      </c>
      <c r="I987" t="s">
        <v>10</v>
      </c>
    </row>
    <row r="988" spans="1:9" x14ac:dyDescent="0.25">
      <c r="A988" t="str">
        <f t="shared" si="16"/>
        <v>89301000</v>
      </c>
      <c r="B988" t="str">
        <f>"1010080291"</f>
        <v>1010080291</v>
      </c>
      <c r="C988" s="1">
        <v>45177</v>
      </c>
      <c r="D988" s="1">
        <v>45182</v>
      </c>
      <c r="E988">
        <v>1</v>
      </c>
      <c r="F988" t="str">
        <f>"03-I11-03"</f>
        <v>03-I11-03</v>
      </c>
      <c r="G988">
        <v>1.1267</v>
      </c>
      <c r="H988" t="s">
        <v>12</v>
      </c>
      <c r="I988" t="s">
        <v>10</v>
      </c>
    </row>
    <row r="989" spans="1:9" x14ac:dyDescent="0.25">
      <c r="A989" t="str">
        <f t="shared" si="16"/>
        <v>89301000</v>
      </c>
      <c r="B989" t="str">
        <f>"1011050326"</f>
        <v>1011050326</v>
      </c>
      <c r="C989" s="1">
        <v>44948</v>
      </c>
      <c r="D989" s="1">
        <v>44954</v>
      </c>
      <c r="E989">
        <v>1</v>
      </c>
      <c r="F989" t="str">
        <f>"06-I18-04"</f>
        <v>06-I18-04</v>
      </c>
      <c r="G989">
        <v>1.1088</v>
      </c>
      <c r="H989" t="s">
        <v>9</v>
      </c>
      <c r="I989" t="s">
        <v>10</v>
      </c>
    </row>
    <row r="990" spans="1:9" x14ac:dyDescent="0.25">
      <c r="A990" t="str">
        <f t="shared" si="16"/>
        <v>89301000</v>
      </c>
      <c r="B990" t="str">
        <f>"1011200069"</f>
        <v>1011200069</v>
      </c>
      <c r="C990" s="1">
        <v>45241</v>
      </c>
      <c r="D990" s="1">
        <v>45245</v>
      </c>
      <c r="E990">
        <v>1</v>
      </c>
      <c r="F990" t="str">
        <f>"01-K03-07"</f>
        <v>01-K03-07</v>
      </c>
      <c r="G990">
        <v>0.5988</v>
      </c>
      <c r="H990" t="s">
        <v>11</v>
      </c>
      <c r="I990" t="s">
        <v>10</v>
      </c>
    </row>
    <row r="991" spans="1:9" x14ac:dyDescent="0.25">
      <c r="A991" t="str">
        <f t="shared" si="16"/>
        <v>89301000</v>
      </c>
      <c r="B991" t="str">
        <f>"1011210112"</f>
        <v>1011210112</v>
      </c>
      <c r="C991" s="1">
        <v>45119</v>
      </c>
      <c r="D991" s="1">
        <v>45124</v>
      </c>
      <c r="E991">
        <v>1</v>
      </c>
      <c r="F991" t="str">
        <f>"06-I18-04"</f>
        <v>06-I18-04</v>
      </c>
      <c r="G991">
        <v>1.1088</v>
      </c>
      <c r="H991" t="s">
        <v>9</v>
      </c>
      <c r="I991" t="s">
        <v>10</v>
      </c>
    </row>
    <row r="992" spans="1:9" x14ac:dyDescent="0.25">
      <c r="A992" t="str">
        <f t="shared" si="16"/>
        <v>89301000</v>
      </c>
      <c r="B992" t="str">
        <f>"1012170258"</f>
        <v>1012170258</v>
      </c>
      <c r="C992" s="1">
        <v>45033</v>
      </c>
      <c r="D992" s="1">
        <v>45034</v>
      </c>
      <c r="E992">
        <v>1</v>
      </c>
      <c r="F992" t="str">
        <f>"02-K06-01"</f>
        <v>02-K06-01</v>
      </c>
      <c r="G992">
        <v>0.64049999999999996</v>
      </c>
      <c r="H992" t="s">
        <v>11</v>
      </c>
      <c r="I992" t="s">
        <v>10</v>
      </c>
    </row>
    <row r="993" spans="1:9" x14ac:dyDescent="0.25">
      <c r="A993" t="str">
        <f t="shared" si="16"/>
        <v>89301000</v>
      </c>
      <c r="B993" t="str">
        <f>"1012220550"</f>
        <v>1012220550</v>
      </c>
      <c r="C993" s="1">
        <v>45163</v>
      </c>
      <c r="D993" s="1">
        <v>45167</v>
      </c>
      <c r="E993">
        <v>1</v>
      </c>
      <c r="F993" t="str">
        <f>"02-I11-01"</f>
        <v>02-I11-01</v>
      </c>
      <c r="G993">
        <v>0.80620000000000003</v>
      </c>
      <c r="H993" t="s">
        <v>12</v>
      </c>
      <c r="I993" t="s">
        <v>10</v>
      </c>
    </row>
    <row r="994" spans="1:9" x14ac:dyDescent="0.25">
      <c r="A994" t="str">
        <f t="shared" si="16"/>
        <v>89301000</v>
      </c>
      <c r="B994" t="str">
        <f>"1012271700"</f>
        <v>1012271700</v>
      </c>
      <c r="C994" s="1">
        <v>45089</v>
      </c>
      <c r="D994" s="1">
        <v>45093</v>
      </c>
      <c r="E994">
        <v>1</v>
      </c>
      <c r="F994" t="str">
        <f>"12-I14-00"</f>
        <v>12-I14-00</v>
      </c>
      <c r="G994">
        <v>0.51500000000000001</v>
      </c>
      <c r="H994" t="s">
        <v>11</v>
      </c>
      <c r="I994" t="s">
        <v>10</v>
      </c>
    </row>
    <row r="995" spans="1:9" x14ac:dyDescent="0.25">
      <c r="A995" t="str">
        <f t="shared" si="16"/>
        <v>89301000</v>
      </c>
      <c r="B995" t="str">
        <f>"1051053674"</f>
        <v>1051053674</v>
      </c>
      <c r="C995" s="1">
        <v>45109</v>
      </c>
      <c r="D995" s="1">
        <v>45112</v>
      </c>
      <c r="E995">
        <v>1</v>
      </c>
      <c r="F995" t="str">
        <f>"03-K12-01"</f>
        <v>03-K12-01</v>
      </c>
      <c r="G995">
        <v>0.37140000000000001</v>
      </c>
      <c r="H995" t="s">
        <v>11</v>
      </c>
      <c r="I995" t="s">
        <v>10</v>
      </c>
    </row>
    <row r="996" spans="1:9" x14ac:dyDescent="0.25">
      <c r="A996" t="str">
        <f t="shared" si="16"/>
        <v>89301000</v>
      </c>
      <c r="B996" t="str">
        <f>"1051055368"</f>
        <v>1051055368</v>
      </c>
      <c r="C996" s="1">
        <v>45037</v>
      </c>
      <c r="D996" s="1">
        <v>45044</v>
      </c>
      <c r="E996">
        <v>1</v>
      </c>
      <c r="F996" t="str">
        <f>"03-K04-02"</f>
        <v>03-K04-02</v>
      </c>
      <c r="G996">
        <v>0.69330000000000003</v>
      </c>
      <c r="H996" t="s">
        <v>11</v>
      </c>
      <c r="I996" t="s">
        <v>10</v>
      </c>
    </row>
    <row r="997" spans="1:9" x14ac:dyDescent="0.25">
      <c r="A997" t="str">
        <f t="shared" si="16"/>
        <v>89301000</v>
      </c>
      <c r="B997" t="str">
        <f>"1051253225"</f>
        <v>1051253225</v>
      </c>
      <c r="C997" s="1">
        <v>45099</v>
      </c>
      <c r="D997" s="1">
        <v>45101</v>
      </c>
      <c r="E997">
        <v>1</v>
      </c>
      <c r="F997" t="str">
        <f>"03-K08-00"</f>
        <v>03-K08-00</v>
      </c>
      <c r="G997">
        <v>0.45639999999999997</v>
      </c>
      <c r="H997" t="s">
        <v>11</v>
      </c>
      <c r="I997" t="s">
        <v>10</v>
      </c>
    </row>
    <row r="998" spans="1:9" x14ac:dyDescent="0.25">
      <c r="A998" t="str">
        <f t="shared" si="16"/>
        <v>89301000</v>
      </c>
      <c r="B998" t="str">
        <f>"1051253225"</f>
        <v>1051253225</v>
      </c>
      <c r="C998" s="1">
        <v>45127</v>
      </c>
      <c r="D998" s="1">
        <v>45130</v>
      </c>
      <c r="E998">
        <v>1</v>
      </c>
      <c r="F998" t="str">
        <f>"01-K03-07"</f>
        <v>01-K03-07</v>
      </c>
      <c r="G998">
        <v>0.5988</v>
      </c>
      <c r="H998" t="s">
        <v>11</v>
      </c>
      <c r="I998" t="s">
        <v>10</v>
      </c>
    </row>
    <row r="999" spans="1:9" x14ac:dyDescent="0.25">
      <c r="A999" t="str">
        <f t="shared" si="16"/>
        <v>89301000</v>
      </c>
      <c r="B999" t="str">
        <f>"1051253225"</f>
        <v>1051253225</v>
      </c>
      <c r="C999" s="1">
        <v>45192</v>
      </c>
      <c r="D999" s="1">
        <v>45202</v>
      </c>
      <c r="E999">
        <v>1</v>
      </c>
      <c r="F999" t="str">
        <f>"04-K02-04"</f>
        <v>04-K02-04</v>
      </c>
      <c r="G999">
        <v>0.82099999999999995</v>
      </c>
      <c r="H999" t="s">
        <v>11</v>
      </c>
      <c r="I999" t="s">
        <v>10</v>
      </c>
    </row>
    <row r="1000" spans="1:9" x14ac:dyDescent="0.25">
      <c r="A1000" t="str">
        <f t="shared" si="16"/>
        <v>89301000</v>
      </c>
      <c r="B1000" t="str">
        <f>"1051253225"</f>
        <v>1051253225</v>
      </c>
      <c r="C1000" s="1">
        <v>45237</v>
      </c>
      <c r="D1000" s="1">
        <v>45239</v>
      </c>
      <c r="E1000">
        <v>1</v>
      </c>
      <c r="F1000" t="str">
        <f>"03-K08-00"</f>
        <v>03-K08-00</v>
      </c>
      <c r="G1000">
        <v>0.45639999999999997</v>
      </c>
      <c r="H1000" t="s">
        <v>11</v>
      </c>
      <c r="I1000" t="s">
        <v>10</v>
      </c>
    </row>
    <row r="1001" spans="1:9" x14ac:dyDescent="0.25">
      <c r="A1001" t="str">
        <f t="shared" si="16"/>
        <v>89301000</v>
      </c>
      <c r="B1001" t="str">
        <f>"1051253225"</f>
        <v>1051253225</v>
      </c>
      <c r="C1001" s="1">
        <v>45079</v>
      </c>
      <c r="D1001" s="1">
        <v>45081</v>
      </c>
      <c r="E1001">
        <v>1</v>
      </c>
      <c r="F1001" t="str">
        <f>"03-K03-02"</f>
        <v>03-K03-02</v>
      </c>
      <c r="G1001">
        <v>0.51949999999999996</v>
      </c>
      <c r="H1001" t="s">
        <v>11</v>
      </c>
      <c r="I1001" t="s">
        <v>10</v>
      </c>
    </row>
    <row r="1002" spans="1:9" x14ac:dyDescent="0.25">
      <c r="A1002" t="str">
        <f t="shared" si="16"/>
        <v>89301000</v>
      </c>
      <c r="B1002" t="str">
        <f>"1052026151"</f>
        <v>1052026151</v>
      </c>
      <c r="C1002" s="1">
        <v>45279</v>
      </c>
      <c r="D1002" s="1">
        <v>45281</v>
      </c>
      <c r="E1002">
        <v>1</v>
      </c>
      <c r="F1002" t="str">
        <f>"06-K03-03"</f>
        <v>06-K03-03</v>
      </c>
      <c r="G1002">
        <v>0.43419999999999997</v>
      </c>
      <c r="H1002" t="s">
        <v>11</v>
      </c>
      <c r="I1002" t="s">
        <v>10</v>
      </c>
    </row>
    <row r="1003" spans="1:9" x14ac:dyDescent="0.25">
      <c r="A1003" t="str">
        <f t="shared" si="16"/>
        <v>89301000</v>
      </c>
      <c r="B1003" t="str">
        <f>"1052026151"</f>
        <v>1052026151</v>
      </c>
      <c r="C1003" s="1">
        <v>45251</v>
      </c>
      <c r="D1003" s="1">
        <v>45252</v>
      </c>
      <c r="E1003">
        <v>1</v>
      </c>
      <c r="F1003" t="str">
        <f>"06-K04-03"</f>
        <v>06-K04-03</v>
      </c>
      <c r="G1003">
        <v>0.38019999999999998</v>
      </c>
      <c r="H1003" t="s">
        <v>11</v>
      </c>
      <c r="I1003" t="s">
        <v>10</v>
      </c>
    </row>
    <row r="1004" spans="1:9" x14ac:dyDescent="0.25">
      <c r="A1004" t="str">
        <f t="shared" si="16"/>
        <v>89301000</v>
      </c>
      <c r="B1004" t="str">
        <f>"1052087234"</f>
        <v>1052087234</v>
      </c>
      <c r="C1004" s="1">
        <v>45007</v>
      </c>
      <c r="D1004" s="1">
        <v>45019</v>
      </c>
      <c r="E1004">
        <v>1</v>
      </c>
      <c r="F1004" t="str">
        <f>"11-I10-03"</f>
        <v>11-I10-03</v>
      </c>
      <c r="G1004">
        <v>2.3294000000000001</v>
      </c>
      <c r="H1004" t="s">
        <v>12</v>
      </c>
      <c r="I1004" t="s">
        <v>10</v>
      </c>
    </row>
    <row r="1005" spans="1:9" x14ac:dyDescent="0.25">
      <c r="A1005" t="str">
        <f t="shared" si="16"/>
        <v>89301000</v>
      </c>
      <c r="B1005" t="str">
        <f>"1052087234"</f>
        <v>1052087234</v>
      </c>
      <c r="C1005" s="1">
        <v>44945</v>
      </c>
      <c r="D1005" s="1">
        <v>44950</v>
      </c>
      <c r="E1005">
        <v>1</v>
      </c>
      <c r="F1005" t="str">
        <f>"11-I17-03"</f>
        <v>11-I17-03</v>
      </c>
      <c r="G1005">
        <v>0.45600000000000002</v>
      </c>
      <c r="H1005" t="s">
        <v>11</v>
      </c>
      <c r="I1005" t="s">
        <v>10</v>
      </c>
    </row>
    <row r="1006" spans="1:9" x14ac:dyDescent="0.25">
      <c r="A1006" t="str">
        <f t="shared" si="16"/>
        <v>89301000</v>
      </c>
      <c r="B1006" t="str">
        <f>"1052146161"</f>
        <v>1052146161</v>
      </c>
      <c r="C1006" s="1">
        <v>45114</v>
      </c>
      <c r="D1006" s="1">
        <v>45116</v>
      </c>
      <c r="E1006">
        <v>1</v>
      </c>
      <c r="F1006" t="str">
        <f>"20-K01-06"</f>
        <v>20-K01-06</v>
      </c>
      <c r="G1006">
        <v>0.26919999999999999</v>
      </c>
      <c r="H1006" t="s">
        <v>11</v>
      </c>
      <c r="I1006" t="s">
        <v>10</v>
      </c>
    </row>
    <row r="1007" spans="1:9" x14ac:dyDescent="0.25">
      <c r="A1007" t="str">
        <f t="shared" si="16"/>
        <v>89301000</v>
      </c>
      <c r="B1007" t="str">
        <f>"1052165279"</f>
        <v>1052165279</v>
      </c>
      <c r="C1007" s="1">
        <v>45257</v>
      </c>
      <c r="D1007" s="1">
        <v>45258</v>
      </c>
      <c r="E1007">
        <v>1</v>
      </c>
      <c r="F1007" t="str">
        <f>"10-K05-02"</f>
        <v>10-K05-02</v>
      </c>
      <c r="G1007">
        <v>0.4597</v>
      </c>
      <c r="H1007" t="s">
        <v>11</v>
      </c>
      <c r="I1007" t="s">
        <v>10</v>
      </c>
    </row>
    <row r="1008" spans="1:9" x14ac:dyDescent="0.25">
      <c r="A1008" t="str">
        <f t="shared" si="16"/>
        <v>89301000</v>
      </c>
      <c r="B1008" t="str">
        <f>"1052165279"</f>
        <v>1052165279</v>
      </c>
      <c r="C1008" s="1">
        <v>45227</v>
      </c>
      <c r="D1008" s="1">
        <v>45231</v>
      </c>
      <c r="E1008">
        <v>1</v>
      </c>
      <c r="F1008" t="str">
        <f>"01-K07-03"</f>
        <v>01-K07-03</v>
      </c>
      <c r="G1008">
        <v>0.48680000000000001</v>
      </c>
      <c r="H1008" t="s">
        <v>11</v>
      </c>
      <c r="I1008" t="s">
        <v>10</v>
      </c>
    </row>
    <row r="1009" spans="1:9" x14ac:dyDescent="0.25">
      <c r="A1009" t="str">
        <f t="shared" si="16"/>
        <v>89301000</v>
      </c>
      <c r="B1009" t="str">
        <f>"1053023235"</f>
        <v>1053023235</v>
      </c>
      <c r="C1009" s="1">
        <v>45202</v>
      </c>
      <c r="D1009" s="1">
        <v>45204</v>
      </c>
      <c r="E1009">
        <v>1</v>
      </c>
      <c r="F1009" t="str">
        <f>"08-I32-00"</f>
        <v>08-I32-00</v>
      </c>
      <c r="G1009">
        <v>0.40870000000000001</v>
      </c>
      <c r="H1009" t="s">
        <v>11</v>
      </c>
      <c r="I1009" t="s">
        <v>10</v>
      </c>
    </row>
    <row r="1010" spans="1:9" x14ac:dyDescent="0.25">
      <c r="A1010" t="str">
        <f t="shared" si="16"/>
        <v>89301000</v>
      </c>
      <c r="B1010" t="str">
        <f>"1053023235"</f>
        <v>1053023235</v>
      </c>
      <c r="C1010" s="1">
        <v>44987</v>
      </c>
      <c r="D1010" s="1">
        <v>44988</v>
      </c>
      <c r="E1010">
        <v>1</v>
      </c>
      <c r="F1010" t="str">
        <f>"08-I20-03"</f>
        <v>08-I20-03</v>
      </c>
      <c r="G1010">
        <v>0.62639999999999996</v>
      </c>
      <c r="H1010" t="s">
        <v>12</v>
      </c>
      <c r="I1010" t="s">
        <v>10</v>
      </c>
    </row>
    <row r="1011" spans="1:9" x14ac:dyDescent="0.25">
      <c r="A1011" t="str">
        <f t="shared" si="16"/>
        <v>89301000</v>
      </c>
      <c r="B1011" t="str">
        <f>"1053068962"</f>
        <v>1053068962</v>
      </c>
      <c r="C1011" s="1">
        <v>45215</v>
      </c>
      <c r="D1011" s="1">
        <v>45217</v>
      </c>
      <c r="E1011">
        <v>1</v>
      </c>
      <c r="F1011" t="str">
        <f>"06-K22-03"</f>
        <v>06-K22-03</v>
      </c>
      <c r="G1011">
        <v>0.31619999999999998</v>
      </c>
      <c r="H1011" t="s">
        <v>11</v>
      </c>
      <c r="I1011" t="s">
        <v>10</v>
      </c>
    </row>
    <row r="1012" spans="1:9" x14ac:dyDescent="0.25">
      <c r="A1012" t="str">
        <f t="shared" si="16"/>
        <v>89301000</v>
      </c>
      <c r="B1012" t="str">
        <f>"1053273232"</f>
        <v>1053273232</v>
      </c>
      <c r="C1012" s="1">
        <v>45129</v>
      </c>
      <c r="D1012" s="1">
        <v>45133</v>
      </c>
      <c r="E1012">
        <v>1</v>
      </c>
      <c r="F1012" t="str">
        <f>"08-K14-01"</f>
        <v>08-K14-01</v>
      </c>
      <c r="G1012">
        <v>0.6653</v>
      </c>
      <c r="H1012" t="s">
        <v>11</v>
      </c>
      <c r="I1012" t="s">
        <v>10</v>
      </c>
    </row>
    <row r="1013" spans="1:9" x14ac:dyDescent="0.25">
      <c r="A1013" t="str">
        <f t="shared" si="16"/>
        <v>89301000</v>
      </c>
      <c r="B1013" t="str">
        <f>"1054013235"</f>
        <v>1054013235</v>
      </c>
      <c r="C1013" s="1">
        <v>45222</v>
      </c>
      <c r="D1013" s="1">
        <v>45225</v>
      </c>
      <c r="E1013">
        <v>1</v>
      </c>
      <c r="F1013" t="str">
        <f>"08-M03-05"</f>
        <v>08-M03-05</v>
      </c>
      <c r="G1013">
        <v>0.46910000000000002</v>
      </c>
      <c r="H1013" t="s">
        <v>11</v>
      </c>
      <c r="I1013" t="s">
        <v>10</v>
      </c>
    </row>
    <row r="1014" spans="1:9" x14ac:dyDescent="0.25">
      <c r="A1014" t="str">
        <f t="shared" si="16"/>
        <v>89301000</v>
      </c>
      <c r="B1014" t="str">
        <f>"1054053231"</f>
        <v>1054053231</v>
      </c>
      <c r="C1014" s="1">
        <v>45119</v>
      </c>
      <c r="D1014" s="1">
        <v>45121</v>
      </c>
      <c r="E1014">
        <v>1</v>
      </c>
      <c r="F1014" t="str">
        <f>"08-M03-05"</f>
        <v>08-M03-05</v>
      </c>
      <c r="G1014">
        <v>0.46910000000000002</v>
      </c>
      <c r="H1014" t="s">
        <v>11</v>
      </c>
      <c r="I1014" t="s">
        <v>10</v>
      </c>
    </row>
    <row r="1015" spans="1:9" x14ac:dyDescent="0.25">
      <c r="A1015" t="str">
        <f t="shared" si="16"/>
        <v>89301000</v>
      </c>
      <c r="B1015" t="str">
        <f>"1054145290"</f>
        <v>1054145290</v>
      </c>
      <c r="C1015" s="1">
        <v>45103</v>
      </c>
      <c r="D1015" s="1">
        <v>45105</v>
      </c>
      <c r="E1015">
        <v>6</v>
      </c>
      <c r="F1015" t="str">
        <f>"11-K03-01"</f>
        <v>11-K03-01</v>
      </c>
      <c r="G1015">
        <v>1.2496</v>
      </c>
      <c r="H1015" t="s">
        <v>11</v>
      </c>
      <c r="I1015" t="s">
        <v>10</v>
      </c>
    </row>
    <row r="1016" spans="1:9" x14ac:dyDescent="0.25">
      <c r="A1016" t="str">
        <f t="shared" si="16"/>
        <v>89301000</v>
      </c>
      <c r="B1016" t="str">
        <f>"1055215260"</f>
        <v>1055215260</v>
      </c>
      <c r="C1016" s="1">
        <v>45043</v>
      </c>
      <c r="D1016" s="1">
        <v>45052</v>
      </c>
      <c r="E1016">
        <v>1</v>
      </c>
      <c r="F1016" t="str">
        <f>"19-K02-03"</f>
        <v>19-K02-03</v>
      </c>
      <c r="G1016">
        <v>0.71950000000000003</v>
      </c>
      <c r="H1016" t="s">
        <v>15</v>
      </c>
      <c r="I1016" t="s">
        <v>10</v>
      </c>
    </row>
    <row r="1017" spans="1:9" x14ac:dyDescent="0.25">
      <c r="A1017" t="str">
        <f t="shared" si="16"/>
        <v>89301000</v>
      </c>
      <c r="B1017" t="str">
        <f>"1055253265"</f>
        <v>1055253265</v>
      </c>
      <c r="C1017" s="1">
        <v>45236</v>
      </c>
      <c r="D1017" s="1">
        <v>45238</v>
      </c>
      <c r="E1017">
        <v>1</v>
      </c>
      <c r="F1017" t="str">
        <f>"08-I20-03"</f>
        <v>08-I20-03</v>
      </c>
      <c r="G1017">
        <v>0.71799999999999997</v>
      </c>
      <c r="H1017" t="s">
        <v>12</v>
      </c>
      <c r="I1017" t="s">
        <v>10</v>
      </c>
    </row>
    <row r="1018" spans="1:9" x14ac:dyDescent="0.25">
      <c r="A1018" t="str">
        <f t="shared" si="16"/>
        <v>89301000</v>
      </c>
      <c r="B1018" t="str">
        <f>"1055285264"</f>
        <v>1055285264</v>
      </c>
      <c r="C1018" s="1">
        <v>45246</v>
      </c>
      <c r="D1018" s="1">
        <v>45253</v>
      </c>
      <c r="E1018">
        <v>1</v>
      </c>
      <c r="F1018" t="str">
        <f>"01-K07-03"</f>
        <v>01-K07-03</v>
      </c>
      <c r="G1018">
        <v>0.48680000000000001</v>
      </c>
      <c r="H1018" t="s">
        <v>11</v>
      </c>
      <c r="I1018" t="s">
        <v>10</v>
      </c>
    </row>
    <row r="1019" spans="1:9" x14ac:dyDescent="0.25">
      <c r="A1019" t="str">
        <f t="shared" si="16"/>
        <v>89301000</v>
      </c>
      <c r="B1019" t="str">
        <f>"1055285264"</f>
        <v>1055285264</v>
      </c>
      <c r="C1019" s="1">
        <v>45218</v>
      </c>
      <c r="D1019" s="1">
        <v>45226</v>
      </c>
      <c r="E1019">
        <v>1</v>
      </c>
      <c r="F1019" t="str">
        <f>"01-K02-03"</f>
        <v>01-K02-03</v>
      </c>
      <c r="G1019">
        <v>2.1114999999999999</v>
      </c>
      <c r="H1019" t="s">
        <v>11</v>
      </c>
      <c r="I1019" t="s">
        <v>10</v>
      </c>
    </row>
    <row r="1020" spans="1:9" x14ac:dyDescent="0.25">
      <c r="A1020" t="str">
        <f t="shared" si="16"/>
        <v>89301000</v>
      </c>
      <c r="B1020" t="str">
        <f>"1055313226"</f>
        <v>1055313226</v>
      </c>
      <c r="C1020" s="1">
        <v>45149</v>
      </c>
      <c r="D1020" s="1">
        <v>45152</v>
      </c>
      <c r="E1020">
        <v>1</v>
      </c>
      <c r="F1020" t="str">
        <f>"01-K07-01"</f>
        <v>01-K07-01</v>
      </c>
      <c r="G1020">
        <v>1.3108</v>
      </c>
      <c r="H1020" t="s">
        <v>11</v>
      </c>
      <c r="I1020" t="s">
        <v>10</v>
      </c>
    </row>
    <row r="1021" spans="1:9" x14ac:dyDescent="0.25">
      <c r="A1021" t="str">
        <f t="shared" ref="A1021:A1083" si="17">"89301000"</f>
        <v>89301000</v>
      </c>
      <c r="B1021" t="str">
        <f>"1056116171"</f>
        <v>1056116171</v>
      </c>
      <c r="C1021" s="1">
        <v>45032</v>
      </c>
      <c r="D1021" s="1">
        <v>45033</v>
      </c>
      <c r="E1021">
        <v>1</v>
      </c>
      <c r="F1021" t="str">
        <f>"13-K02-00"</f>
        <v>13-K02-00</v>
      </c>
      <c r="G1021">
        <v>0.2611</v>
      </c>
      <c r="H1021" t="s">
        <v>11</v>
      </c>
      <c r="I1021" t="s">
        <v>10</v>
      </c>
    </row>
    <row r="1022" spans="1:9" x14ac:dyDescent="0.25">
      <c r="A1022" t="str">
        <f t="shared" si="17"/>
        <v>89301000</v>
      </c>
      <c r="B1022" t="str">
        <f>"1056173250"</f>
        <v>1056173250</v>
      </c>
      <c r="C1022" s="1">
        <v>45048</v>
      </c>
      <c r="D1022" s="1">
        <v>45050</v>
      </c>
      <c r="E1022">
        <v>1</v>
      </c>
      <c r="F1022" t="str">
        <f>"01-K07-01"</f>
        <v>01-K07-01</v>
      </c>
      <c r="G1022">
        <v>1.3108</v>
      </c>
      <c r="H1022" t="s">
        <v>11</v>
      </c>
      <c r="I1022" t="s">
        <v>10</v>
      </c>
    </row>
    <row r="1023" spans="1:9" x14ac:dyDescent="0.25">
      <c r="A1023" t="str">
        <f t="shared" si="17"/>
        <v>89301000</v>
      </c>
      <c r="B1023" t="str">
        <f>"1056216139"</f>
        <v>1056216139</v>
      </c>
      <c r="C1023" s="1">
        <v>45166</v>
      </c>
      <c r="D1023" s="1">
        <v>45168</v>
      </c>
      <c r="E1023">
        <v>1</v>
      </c>
      <c r="F1023" t="str">
        <f>"03-I14-02"</f>
        <v>03-I14-02</v>
      </c>
      <c r="G1023">
        <v>1.0793999999999999</v>
      </c>
      <c r="H1023" t="s">
        <v>11</v>
      </c>
      <c r="I1023" t="s">
        <v>10</v>
      </c>
    </row>
    <row r="1024" spans="1:9" x14ac:dyDescent="0.25">
      <c r="A1024" t="str">
        <f t="shared" si="17"/>
        <v>89301000</v>
      </c>
      <c r="B1024" t="str">
        <f>"1057128941"</f>
        <v>1057128941</v>
      </c>
      <c r="C1024" s="1">
        <v>44934</v>
      </c>
      <c r="D1024" s="1">
        <v>44936</v>
      </c>
      <c r="E1024">
        <v>1</v>
      </c>
      <c r="F1024" t="str">
        <f>"03-I21-00"</f>
        <v>03-I21-00</v>
      </c>
      <c r="G1024">
        <v>0.42449999999999999</v>
      </c>
      <c r="H1024" t="s">
        <v>11</v>
      </c>
      <c r="I1024" t="s">
        <v>10</v>
      </c>
    </row>
    <row r="1025" spans="1:9" x14ac:dyDescent="0.25">
      <c r="A1025" t="str">
        <f t="shared" si="17"/>
        <v>89301000</v>
      </c>
      <c r="B1025" t="str">
        <f>"1057150105"</f>
        <v>1057150105</v>
      </c>
      <c r="C1025" s="1">
        <v>45082</v>
      </c>
      <c r="D1025" s="1">
        <v>45086</v>
      </c>
      <c r="E1025">
        <v>1</v>
      </c>
      <c r="F1025" t="str">
        <f>"01-K07-03"</f>
        <v>01-K07-03</v>
      </c>
      <c r="G1025">
        <v>0.48680000000000001</v>
      </c>
      <c r="H1025" t="s">
        <v>11</v>
      </c>
      <c r="I1025" t="s">
        <v>10</v>
      </c>
    </row>
    <row r="1026" spans="1:9" x14ac:dyDescent="0.25">
      <c r="A1026" t="str">
        <f t="shared" si="17"/>
        <v>89301000</v>
      </c>
      <c r="B1026" t="str">
        <f>"1058091177"</f>
        <v>1058091177</v>
      </c>
      <c r="C1026" s="1">
        <v>45259</v>
      </c>
      <c r="D1026" s="1">
        <v>45261</v>
      </c>
      <c r="E1026">
        <v>1</v>
      </c>
      <c r="F1026" t="str">
        <f>"06-K04-03"</f>
        <v>06-K04-03</v>
      </c>
      <c r="G1026">
        <v>0.38490000000000002</v>
      </c>
      <c r="H1026" t="s">
        <v>11</v>
      </c>
      <c r="I1026" t="s">
        <v>10</v>
      </c>
    </row>
    <row r="1027" spans="1:9" x14ac:dyDescent="0.25">
      <c r="A1027" t="str">
        <f t="shared" si="17"/>
        <v>89301000</v>
      </c>
      <c r="B1027" t="str">
        <f>"1058131646"</f>
        <v>1058131646</v>
      </c>
      <c r="C1027" s="1">
        <v>45065</v>
      </c>
      <c r="D1027" s="1">
        <v>45067</v>
      </c>
      <c r="E1027">
        <v>1</v>
      </c>
      <c r="F1027" t="str">
        <f>"06-K22-03"</f>
        <v>06-K22-03</v>
      </c>
      <c r="G1027">
        <v>0.31619999999999998</v>
      </c>
      <c r="H1027" t="s">
        <v>11</v>
      </c>
      <c r="I1027" t="s">
        <v>10</v>
      </c>
    </row>
    <row r="1028" spans="1:9" x14ac:dyDescent="0.25">
      <c r="A1028" t="str">
        <f t="shared" si="17"/>
        <v>89301000</v>
      </c>
      <c r="B1028" t="str">
        <f>"1058160180"</f>
        <v>1058160180</v>
      </c>
      <c r="C1028" s="1">
        <v>45056</v>
      </c>
      <c r="D1028" s="1">
        <v>45057</v>
      </c>
      <c r="E1028">
        <v>1</v>
      </c>
      <c r="F1028" t="str">
        <f>"09-K12-00"</f>
        <v>09-K12-00</v>
      </c>
      <c r="G1028">
        <v>0.26040000000000002</v>
      </c>
      <c r="H1028" t="s">
        <v>11</v>
      </c>
      <c r="I1028" t="s">
        <v>10</v>
      </c>
    </row>
    <row r="1029" spans="1:9" x14ac:dyDescent="0.25">
      <c r="A1029" t="str">
        <f t="shared" si="17"/>
        <v>89301000</v>
      </c>
      <c r="B1029" t="str">
        <f>"1058171235"</f>
        <v>1058171235</v>
      </c>
      <c r="C1029" s="1">
        <v>44928</v>
      </c>
      <c r="D1029" s="1">
        <v>44931</v>
      </c>
      <c r="E1029">
        <v>1</v>
      </c>
      <c r="F1029" t="str">
        <f>"10-K01-02"</f>
        <v>10-K01-02</v>
      </c>
      <c r="G1029">
        <v>0.62870000000000004</v>
      </c>
      <c r="H1029" t="s">
        <v>11</v>
      </c>
      <c r="I1029" t="s">
        <v>10</v>
      </c>
    </row>
    <row r="1030" spans="1:9" x14ac:dyDescent="0.25">
      <c r="A1030" t="str">
        <f t="shared" si="17"/>
        <v>89301000</v>
      </c>
      <c r="B1030" t="str">
        <f>"1058171235"</f>
        <v>1058171235</v>
      </c>
      <c r="C1030" s="1">
        <v>45012</v>
      </c>
      <c r="D1030" s="1">
        <v>45019</v>
      </c>
      <c r="E1030">
        <v>1</v>
      </c>
      <c r="F1030" t="str">
        <f>"10-I13-02"</f>
        <v>10-I13-02</v>
      </c>
      <c r="G1030">
        <v>1.1124000000000001</v>
      </c>
      <c r="H1030" t="s">
        <v>9</v>
      </c>
      <c r="I1030" t="s">
        <v>10</v>
      </c>
    </row>
    <row r="1031" spans="1:9" x14ac:dyDescent="0.25">
      <c r="A1031" t="str">
        <f t="shared" si="17"/>
        <v>89301000</v>
      </c>
      <c r="B1031" t="str">
        <f>"1059010337"</f>
        <v>1059010337</v>
      </c>
      <c r="C1031" s="1">
        <v>45031</v>
      </c>
      <c r="D1031" s="1">
        <v>45034</v>
      </c>
      <c r="E1031">
        <v>1</v>
      </c>
      <c r="F1031" t="str">
        <f>"16-K03-03"</f>
        <v>16-K03-03</v>
      </c>
      <c r="G1031">
        <v>0.62470000000000003</v>
      </c>
      <c r="H1031" t="s">
        <v>11</v>
      </c>
      <c r="I1031" t="s">
        <v>10</v>
      </c>
    </row>
    <row r="1032" spans="1:9" x14ac:dyDescent="0.25">
      <c r="A1032" t="str">
        <f t="shared" si="17"/>
        <v>89301000</v>
      </c>
      <c r="B1032" t="str">
        <f>"1059190088"</f>
        <v>1059190088</v>
      </c>
      <c r="C1032" s="1">
        <v>45041</v>
      </c>
      <c r="D1032" s="1">
        <v>45042</v>
      </c>
      <c r="E1032">
        <v>1</v>
      </c>
      <c r="F1032" t="str">
        <f>"06-K16-00"</f>
        <v>06-K16-00</v>
      </c>
      <c r="G1032">
        <v>0.57450000000000001</v>
      </c>
      <c r="H1032" t="s">
        <v>11</v>
      </c>
      <c r="I1032" t="s">
        <v>10</v>
      </c>
    </row>
    <row r="1033" spans="1:9" x14ac:dyDescent="0.25">
      <c r="A1033" t="str">
        <f t="shared" si="17"/>
        <v>89301000</v>
      </c>
      <c r="B1033" t="str">
        <f>"1059190088"</f>
        <v>1059190088</v>
      </c>
      <c r="C1033" s="1">
        <v>44988</v>
      </c>
      <c r="D1033" s="1">
        <v>44996</v>
      </c>
      <c r="E1033">
        <v>1</v>
      </c>
      <c r="F1033" t="str">
        <f>"06-K22-02"</f>
        <v>06-K22-02</v>
      </c>
      <c r="G1033">
        <v>0.51359999999999995</v>
      </c>
      <c r="H1033" t="s">
        <v>11</v>
      </c>
      <c r="I1033" t="s">
        <v>10</v>
      </c>
    </row>
    <row r="1034" spans="1:9" x14ac:dyDescent="0.25">
      <c r="A1034" t="str">
        <f t="shared" si="17"/>
        <v>89301000</v>
      </c>
      <c r="B1034" t="str">
        <f>"1060070209"</f>
        <v>1060070209</v>
      </c>
      <c r="C1034" s="1">
        <v>45254</v>
      </c>
      <c r="D1034" s="1">
        <v>45255</v>
      </c>
      <c r="E1034">
        <v>1</v>
      </c>
      <c r="F1034" t="str">
        <f>"09-K12-00"</f>
        <v>09-K12-00</v>
      </c>
      <c r="G1034">
        <v>0.26040000000000002</v>
      </c>
      <c r="H1034" t="s">
        <v>11</v>
      </c>
      <c r="I1034" t="s">
        <v>10</v>
      </c>
    </row>
    <row r="1035" spans="1:9" x14ac:dyDescent="0.25">
      <c r="A1035" t="str">
        <f t="shared" si="17"/>
        <v>89301000</v>
      </c>
      <c r="B1035" t="str">
        <f>"1060070429"</f>
        <v>1060070429</v>
      </c>
      <c r="C1035" s="1">
        <v>45266</v>
      </c>
      <c r="D1035" s="1">
        <v>45270</v>
      </c>
      <c r="E1035">
        <v>6</v>
      </c>
      <c r="F1035" t="str">
        <f>"01-K07-03"</f>
        <v>01-K07-03</v>
      </c>
      <c r="G1035">
        <v>0.48680000000000001</v>
      </c>
      <c r="H1035" t="s">
        <v>11</v>
      </c>
      <c r="I1035" t="s">
        <v>10</v>
      </c>
    </row>
    <row r="1036" spans="1:9" x14ac:dyDescent="0.25">
      <c r="A1036" t="str">
        <f t="shared" si="17"/>
        <v>89301000</v>
      </c>
      <c r="B1036" t="str">
        <f>"1061110523"</f>
        <v>1061110523</v>
      </c>
      <c r="C1036" s="1">
        <v>45106</v>
      </c>
      <c r="D1036" s="1">
        <v>45107</v>
      </c>
      <c r="E1036">
        <v>1</v>
      </c>
      <c r="F1036" t="str">
        <f>"09-K13-02"</f>
        <v>09-K13-02</v>
      </c>
      <c r="G1036">
        <v>0.31190000000000001</v>
      </c>
      <c r="H1036" t="s">
        <v>11</v>
      </c>
      <c r="I1036" t="s">
        <v>10</v>
      </c>
    </row>
    <row r="1037" spans="1:9" x14ac:dyDescent="0.25">
      <c r="A1037" t="str">
        <f t="shared" si="17"/>
        <v>89301000</v>
      </c>
      <c r="B1037" t="str">
        <f>"1061140047"</f>
        <v>1061140047</v>
      </c>
      <c r="C1037" s="1">
        <v>45179</v>
      </c>
      <c r="D1037" s="1">
        <v>45183</v>
      </c>
      <c r="E1037">
        <v>1</v>
      </c>
      <c r="F1037" t="str">
        <f>"06-I18-04"</f>
        <v>06-I18-04</v>
      </c>
      <c r="G1037">
        <v>1.1088</v>
      </c>
      <c r="H1037" t="s">
        <v>9</v>
      </c>
      <c r="I1037" t="s">
        <v>10</v>
      </c>
    </row>
    <row r="1038" spans="1:9" x14ac:dyDescent="0.25">
      <c r="A1038" t="str">
        <f t="shared" si="17"/>
        <v>89301000</v>
      </c>
      <c r="B1038" t="str">
        <f>"1062130036"</f>
        <v>1062130036</v>
      </c>
      <c r="C1038" s="1">
        <v>45156</v>
      </c>
      <c r="D1038" s="1">
        <v>45157</v>
      </c>
      <c r="E1038">
        <v>1</v>
      </c>
      <c r="F1038" t="str">
        <f>"06-K02-04"</f>
        <v>06-K02-04</v>
      </c>
      <c r="G1038">
        <v>0.37659999999999999</v>
      </c>
      <c r="H1038" t="s">
        <v>11</v>
      </c>
      <c r="I1038" t="s">
        <v>10</v>
      </c>
    </row>
    <row r="1039" spans="1:9" x14ac:dyDescent="0.25">
      <c r="A1039" t="str">
        <f t="shared" si="17"/>
        <v>89301000</v>
      </c>
      <c r="B1039" t="str">
        <f>"1062160033"</f>
        <v>1062160033</v>
      </c>
      <c r="C1039" s="1">
        <v>44999</v>
      </c>
      <c r="D1039" s="1">
        <v>45001</v>
      </c>
      <c r="E1039">
        <v>1</v>
      </c>
      <c r="F1039" t="str">
        <f>"06-K06-02"</f>
        <v>06-K06-02</v>
      </c>
      <c r="G1039">
        <v>0.64170000000000005</v>
      </c>
      <c r="H1039" t="s">
        <v>11</v>
      </c>
      <c r="I1039" t="s">
        <v>10</v>
      </c>
    </row>
    <row r="1040" spans="1:9" x14ac:dyDescent="0.25">
      <c r="A1040" t="str">
        <f t="shared" si="17"/>
        <v>89301000</v>
      </c>
      <c r="B1040" t="str">
        <f>"1062291670"</f>
        <v>1062291670</v>
      </c>
      <c r="C1040" s="1">
        <v>45244</v>
      </c>
      <c r="D1040" s="1">
        <v>45247</v>
      </c>
      <c r="E1040">
        <v>1</v>
      </c>
      <c r="F1040" t="str">
        <f>"08-K04-02"</f>
        <v>08-K04-02</v>
      </c>
      <c r="G1040">
        <v>0.5706</v>
      </c>
      <c r="H1040" t="s">
        <v>11</v>
      </c>
      <c r="I1040" t="s">
        <v>10</v>
      </c>
    </row>
    <row r="1041" spans="1:9" x14ac:dyDescent="0.25">
      <c r="A1041" t="str">
        <f t="shared" si="17"/>
        <v>89301000</v>
      </c>
      <c r="B1041" t="str">
        <f>"1062291670"</f>
        <v>1062291670</v>
      </c>
      <c r="C1041" s="1">
        <v>45120</v>
      </c>
      <c r="D1041" s="1">
        <v>45123</v>
      </c>
      <c r="E1041">
        <v>1</v>
      </c>
      <c r="F1041" t="str">
        <f>"08-K04-02"</f>
        <v>08-K04-02</v>
      </c>
      <c r="G1041">
        <v>0.5706</v>
      </c>
      <c r="H1041" t="s">
        <v>11</v>
      </c>
      <c r="I1041" t="s">
        <v>10</v>
      </c>
    </row>
    <row r="1042" spans="1:9" x14ac:dyDescent="0.25">
      <c r="A1042" t="str">
        <f t="shared" si="17"/>
        <v>89301000</v>
      </c>
      <c r="B1042" t="str">
        <f>"1101050379"</f>
        <v>1101050379</v>
      </c>
      <c r="C1042" s="1">
        <v>45000</v>
      </c>
      <c r="D1042" s="1">
        <v>45002</v>
      </c>
      <c r="E1042">
        <v>1</v>
      </c>
      <c r="F1042" t="str">
        <f>"12-I14-00"</f>
        <v>12-I14-00</v>
      </c>
      <c r="G1042">
        <v>0.42920000000000003</v>
      </c>
      <c r="H1042" t="s">
        <v>11</v>
      </c>
      <c r="I1042" t="s">
        <v>10</v>
      </c>
    </row>
    <row r="1043" spans="1:9" x14ac:dyDescent="0.25">
      <c r="A1043" t="str">
        <f t="shared" si="17"/>
        <v>89301000</v>
      </c>
      <c r="B1043" t="str">
        <f>"1101051160"</f>
        <v>1101051160</v>
      </c>
      <c r="C1043" s="1">
        <v>45263</v>
      </c>
      <c r="D1043" s="1">
        <v>45272</v>
      </c>
      <c r="E1043">
        <v>1</v>
      </c>
      <c r="F1043" t="str">
        <f>"04-M01-06"</f>
        <v>04-M01-06</v>
      </c>
      <c r="G1043">
        <v>3.6739000000000002</v>
      </c>
      <c r="H1043" t="s">
        <v>11</v>
      </c>
      <c r="I1043" t="s">
        <v>16</v>
      </c>
    </row>
    <row r="1044" spans="1:9" x14ac:dyDescent="0.25">
      <c r="A1044" t="str">
        <f t="shared" si="17"/>
        <v>89301000</v>
      </c>
      <c r="B1044" t="str">
        <f>"1101210264"</f>
        <v>1101210264</v>
      </c>
      <c r="C1044" s="1">
        <v>44963</v>
      </c>
      <c r="D1044" s="1">
        <v>44965</v>
      </c>
      <c r="E1044">
        <v>1</v>
      </c>
      <c r="F1044" t="str">
        <f>"12-I14-00"</f>
        <v>12-I14-00</v>
      </c>
      <c r="G1044">
        <v>0.42920000000000003</v>
      </c>
      <c r="H1044" t="s">
        <v>11</v>
      </c>
      <c r="I1044" t="s">
        <v>10</v>
      </c>
    </row>
    <row r="1045" spans="1:9" x14ac:dyDescent="0.25">
      <c r="A1045" t="str">
        <f t="shared" si="17"/>
        <v>89301000</v>
      </c>
      <c r="B1045" t="str">
        <f>"1102180486"</f>
        <v>1102180486</v>
      </c>
      <c r="C1045" s="1">
        <v>45126</v>
      </c>
      <c r="D1045" s="1">
        <v>45131</v>
      </c>
      <c r="E1045">
        <v>1</v>
      </c>
      <c r="F1045" t="str">
        <f>"08-I20-01"</f>
        <v>08-I20-01</v>
      </c>
      <c r="G1045">
        <v>2.4123999999999999</v>
      </c>
      <c r="H1045" t="s">
        <v>12</v>
      </c>
      <c r="I1045" t="s">
        <v>10</v>
      </c>
    </row>
    <row r="1046" spans="1:9" x14ac:dyDescent="0.25">
      <c r="A1046" t="str">
        <f t="shared" si="17"/>
        <v>89301000</v>
      </c>
      <c r="B1046" t="str">
        <f>"1102180486"</f>
        <v>1102180486</v>
      </c>
      <c r="C1046" s="1">
        <v>45138</v>
      </c>
      <c r="D1046" s="1">
        <v>45147</v>
      </c>
      <c r="E1046">
        <v>1</v>
      </c>
      <c r="F1046" t="str">
        <f>"08-I23-02"</f>
        <v>08-I23-02</v>
      </c>
      <c r="G1046">
        <v>1.3562000000000001</v>
      </c>
      <c r="H1046" t="s">
        <v>12</v>
      </c>
      <c r="I1046" t="s">
        <v>10</v>
      </c>
    </row>
    <row r="1047" spans="1:9" x14ac:dyDescent="0.25">
      <c r="A1047" t="str">
        <f t="shared" si="17"/>
        <v>89301000</v>
      </c>
      <c r="B1047" t="str">
        <f>"1102180486"</f>
        <v>1102180486</v>
      </c>
      <c r="C1047" s="1">
        <v>45163</v>
      </c>
      <c r="D1047" s="1">
        <v>45176</v>
      </c>
      <c r="E1047">
        <v>5</v>
      </c>
      <c r="F1047" t="str">
        <f>"18-K02-02"</f>
        <v>18-K02-02</v>
      </c>
      <c r="G1047">
        <v>1.3509</v>
      </c>
      <c r="H1047" t="s">
        <v>11</v>
      </c>
      <c r="I1047" t="s">
        <v>10</v>
      </c>
    </row>
    <row r="1048" spans="1:9" x14ac:dyDescent="0.25">
      <c r="A1048" t="str">
        <f t="shared" si="17"/>
        <v>89301000</v>
      </c>
      <c r="B1048" t="str">
        <f>"1102230294"</f>
        <v>1102230294</v>
      </c>
      <c r="C1048" s="1">
        <v>44973</v>
      </c>
      <c r="D1048" s="1">
        <v>44975</v>
      </c>
      <c r="E1048">
        <v>1</v>
      </c>
      <c r="F1048" t="str">
        <f>"03-I21-00"</f>
        <v>03-I21-00</v>
      </c>
      <c r="G1048">
        <v>0.42449999999999999</v>
      </c>
      <c r="H1048" t="s">
        <v>11</v>
      </c>
      <c r="I1048" t="s">
        <v>10</v>
      </c>
    </row>
    <row r="1049" spans="1:9" x14ac:dyDescent="0.25">
      <c r="A1049" t="str">
        <f t="shared" si="17"/>
        <v>89301000</v>
      </c>
      <c r="B1049" t="str">
        <f>"1102240073"</f>
        <v>1102240073</v>
      </c>
      <c r="C1049" s="1">
        <v>45238</v>
      </c>
      <c r="D1049" s="1">
        <v>45239</v>
      </c>
      <c r="E1049">
        <v>1</v>
      </c>
      <c r="F1049" t="str">
        <f>"08-I20-03"</f>
        <v>08-I20-03</v>
      </c>
      <c r="G1049">
        <v>0.62639999999999996</v>
      </c>
      <c r="H1049" t="s">
        <v>12</v>
      </c>
      <c r="I1049" t="s">
        <v>10</v>
      </c>
    </row>
    <row r="1050" spans="1:9" x14ac:dyDescent="0.25">
      <c r="A1050" t="str">
        <f t="shared" si="17"/>
        <v>89301000</v>
      </c>
      <c r="B1050" t="str">
        <f>"1103110008"</f>
        <v>1103110008</v>
      </c>
      <c r="C1050" s="1">
        <v>45277</v>
      </c>
      <c r="D1050" s="1">
        <v>45279</v>
      </c>
      <c r="E1050">
        <v>1</v>
      </c>
      <c r="F1050" t="str">
        <f>"01-K07-03"</f>
        <v>01-K07-03</v>
      </c>
      <c r="G1050">
        <v>0.48680000000000001</v>
      </c>
      <c r="H1050" t="s">
        <v>11</v>
      </c>
      <c r="I1050" t="s">
        <v>10</v>
      </c>
    </row>
    <row r="1051" spans="1:9" x14ac:dyDescent="0.25">
      <c r="A1051" t="str">
        <f t="shared" si="17"/>
        <v>89301000</v>
      </c>
      <c r="B1051" t="str">
        <f>"1103130050"</f>
        <v>1103130050</v>
      </c>
      <c r="C1051" s="1">
        <v>45082</v>
      </c>
      <c r="D1051" s="1">
        <v>45084</v>
      </c>
      <c r="E1051">
        <v>1</v>
      </c>
      <c r="F1051" t="str">
        <f>"23-K04-02"</f>
        <v>23-K04-02</v>
      </c>
      <c r="G1051">
        <v>0.38150000000000001</v>
      </c>
      <c r="H1051" t="s">
        <v>11</v>
      </c>
      <c r="I1051" t="s">
        <v>10</v>
      </c>
    </row>
    <row r="1052" spans="1:9" x14ac:dyDescent="0.25">
      <c r="A1052" t="str">
        <f t="shared" si="17"/>
        <v>89301000</v>
      </c>
      <c r="B1052" t="str">
        <f>"1103170222"</f>
        <v>1103170222</v>
      </c>
      <c r="C1052" s="1">
        <v>45173</v>
      </c>
      <c r="D1052" s="1">
        <v>45176</v>
      </c>
      <c r="E1052">
        <v>1</v>
      </c>
      <c r="F1052" t="str">
        <f>"10-M01-00"</f>
        <v>10-M01-00</v>
      </c>
      <c r="G1052">
        <v>0.43469999999999998</v>
      </c>
      <c r="H1052" t="s">
        <v>11</v>
      </c>
      <c r="I1052" t="s">
        <v>10</v>
      </c>
    </row>
    <row r="1053" spans="1:9" x14ac:dyDescent="0.25">
      <c r="A1053" t="str">
        <f t="shared" si="17"/>
        <v>89301000</v>
      </c>
      <c r="B1053" t="str">
        <f>"1103280871"</f>
        <v>1103280871</v>
      </c>
      <c r="C1053" s="1">
        <v>45286</v>
      </c>
      <c r="D1053" s="1">
        <v>45287</v>
      </c>
      <c r="E1053">
        <v>1</v>
      </c>
      <c r="F1053" t="str">
        <f>"06-K02-04"</f>
        <v>06-K02-04</v>
      </c>
      <c r="G1053">
        <v>0.37659999999999999</v>
      </c>
      <c r="H1053" t="s">
        <v>11</v>
      </c>
      <c r="I1053" t="s">
        <v>10</v>
      </c>
    </row>
    <row r="1054" spans="1:9" x14ac:dyDescent="0.25">
      <c r="A1054" t="str">
        <f t="shared" si="17"/>
        <v>89301000</v>
      </c>
      <c r="B1054" t="str">
        <f>"1104040157"</f>
        <v>1104040157</v>
      </c>
      <c r="C1054" s="1">
        <v>44955</v>
      </c>
      <c r="D1054" s="1">
        <v>44957</v>
      </c>
      <c r="E1054">
        <v>1</v>
      </c>
      <c r="F1054" t="str">
        <f>"08-I20-02"</f>
        <v>08-I20-02</v>
      </c>
      <c r="G1054">
        <v>1.0647</v>
      </c>
      <c r="H1054" t="s">
        <v>12</v>
      </c>
      <c r="I1054" t="s">
        <v>10</v>
      </c>
    </row>
    <row r="1055" spans="1:9" x14ac:dyDescent="0.25">
      <c r="A1055" t="str">
        <f t="shared" si="17"/>
        <v>89301000</v>
      </c>
      <c r="B1055" t="str">
        <f>"1104050365"</f>
        <v>1104050365</v>
      </c>
      <c r="C1055" s="1">
        <v>45154</v>
      </c>
      <c r="D1055" s="1">
        <v>45156</v>
      </c>
      <c r="E1055">
        <v>1</v>
      </c>
      <c r="F1055" t="str">
        <f>"12-I13-02"</f>
        <v>12-I13-02</v>
      </c>
      <c r="G1055">
        <v>0.53879999999999995</v>
      </c>
      <c r="H1055" t="s">
        <v>9</v>
      </c>
      <c r="I1055" t="s">
        <v>10</v>
      </c>
    </row>
    <row r="1056" spans="1:9" x14ac:dyDescent="0.25">
      <c r="A1056" t="str">
        <f t="shared" si="17"/>
        <v>89301000</v>
      </c>
      <c r="B1056" t="str">
        <f>"1104070847"</f>
        <v>1104070847</v>
      </c>
      <c r="C1056" s="1">
        <v>45049</v>
      </c>
      <c r="D1056" s="1">
        <v>45051</v>
      </c>
      <c r="E1056">
        <v>1</v>
      </c>
      <c r="F1056" t="str">
        <f>"02-I13-02"</f>
        <v>02-I13-02</v>
      </c>
      <c r="G1056">
        <v>0.4259</v>
      </c>
      <c r="H1056" t="s">
        <v>11</v>
      </c>
      <c r="I1056" t="s">
        <v>10</v>
      </c>
    </row>
    <row r="1057" spans="1:9" x14ac:dyDescent="0.25">
      <c r="A1057" t="str">
        <f t="shared" si="17"/>
        <v>89301000</v>
      </c>
      <c r="B1057" t="str">
        <f>"1104070979"</f>
        <v>1104070979</v>
      </c>
      <c r="C1057" s="1">
        <v>45041</v>
      </c>
      <c r="D1057" s="1">
        <v>45048</v>
      </c>
      <c r="E1057">
        <v>1</v>
      </c>
      <c r="F1057" t="str">
        <f>"09-K04-02"</f>
        <v>09-K04-02</v>
      </c>
      <c r="G1057">
        <v>0.64849999999999997</v>
      </c>
      <c r="H1057" t="s">
        <v>11</v>
      </c>
      <c r="I1057" t="s">
        <v>10</v>
      </c>
    </row>
    <row r="1058" spans="1:9" x14ac:dyDescent="0.25">
      <c r="A1058" t="str">
        <f t="shared" si="17"/>
        <v>89301000</v>
      </c>
      <c r="B1058" t="str">
        <f>"1104130016"</f>
        <v>1104130016</v>
      </c>
      <c r="C1058" s="1">
        <v>45090</v>
      </c>
      <c r="D1058" s="1">
        <v>45092</v>
      </c>
      <c r="E1058">
        <v>1</v>
      </c>
      <c r="F1058" t="str">
        <f>"08-I26-02"</f>
        <v>08-I26-02</v>
      </c>
      <c r="G1058">
        <v>0.83779999999999999</v>
      </c>
      <c r="H1058" t="s">
        <v>11</v>
      </c>
      <c r="I1058" t="s">
        <v>10</v>
      </c>
    </row>
    <row r="1059" spans="1:9" x14ac:dyDescent="0.25">
      <c r="A1059" t="str">
        <f t="shared" si="17"/>
        <v>89301000</v>
      </c>
      <c r="B1059" t="str">
        <f>"1104160035"</f>
        <v>1104160035</v>
      </c>
      <c r="C1059" s="1">
        <v>45006</v>
      </c>
      <c r="D1059" s="1">
        <v>45008</v>
      </c>
      <c r="E1059">
        <v>1</v>
      </c>
      <c r="F1059" t="str">
        <f>"03-I18-03"</f>
        <v>03-I18-03</v>
      </c>
      <c r="G1059">
        <v>0.83940000000000003</v>
      </c>
      <c r="H1059" t="s">
        <v>9</v>
      </c>
      <c r="I1059" t="s">
        <v>10</v>
      </c>
    </row>
    <row r="1060" spans="1:9" x14ac:dyDescent="0.25">
      <c r="A1060" t="str">
        <f t="shared" si="17"/>
        <v>89301000</v>
      </c>
      <c r="B1060" t="str">
        <f>"1104260025"</f>
        <v>1104260025</v>
      </c>
      <c r="C1060" s="1">
        <v>45159</v>
      </c>
      <c r="D1060" s="1">
        <v>45160</v>
      </c>
      <c r="E1060">
        <v>1</v>
      </c>
      <c r="F1060" t="str">
        <f>"04-M02-04"</f>
        <v>04-M02-04</v>
      </c>
      <c r="G1060">
        <v>0.82489999999999997</v>
      </c>
      <c r="H1060" t="s">
        <v>11</v>
      </c>
      <c r="I1060" t="s">
        <v>10</v>
      </c>
    </row>
    <row r="1061" spans="1:9" x14ac:dyDescent="0.25">
      <c r="A1061" t="str">
        <f t="shared" si="17"/>
        <v>89301000</v>
      </c>
      <c r="B1061" t="str">
        <f>"1105071264"</f>
        <v>1105071264</v>
      </c>
      <c r="C1061" s="1">
        <v>44981</v>
      </c>
      <c r="D1061" s="1">
        <v>44985</v>
      </c>
      <c r="E1061">
        <v>1</v>
      </c>
      <c r="F1061" t="str">
        <f>"06-I18-04"</f>
        <v>06-I18-04</v>
      </c>
      <c r="G1061">
        <v>1.1088</v>
      </c>
      <c r="H1061" t="s">
        <v>9</v>
      </c>
      <c r="I1061" t="s">
        <v>10</v>
      </c>
    </row>
    <row r="1062" spans="1:9" x14ac:dyDescent="0.25">
      <c r="A1062" t="str">
        <f t="shared" si="17"/>
        <v>89301000</v>
      </c>
      <c r="B1062" t="str">
        <f>"1105180417"</f>
        <v>1105180417</v>
      </c>
      <c r="C1062" s="1">
        <v>44994</v>
      </c>
      <c r="D1062" s="1">
        <v>44996</v>
      </c>
      <c r="E1062">
        <v>1</v>
      </c>
      <c r="F1062" t="str">
        <f>"03-I21-00"</f>
        <v>03-I21-00</v>
      </c>
      <c r="G1062">
        <v>0.42449999999999999</v>
      </c>
      <c r="H1062" t="s">
        <v>11</v>
      </c>
      <c r="I1062" t="s">
        <v>10</v>
      </c>
    </row>
    <row r="1063" spans="1:9" x14ac:dyDescent="0.25">
      <c r="A1063" t="str">
        <f t="shared" si="17"/>
        <v>89301000</v>
      </c>
      <c r="B1063" t="str">
        <f>"1105230214"</f>
        <v>1105230214</v>
      </c>
      <c r="C1063" s="1">
        <v>44987</v>
      </c>
      <c r="D1063" s="1">
        <v>44994</v>
      </c>
      <c r="E1063">
        <v>1</v>
      </c>
      <c r="F1063" t="str">
        <f>"04-K02-04"</f>
        <v>04-K02-04</v>
      </c>
      <c r="G1063">
        <v>0.82099999999999995</v>
      </c>
      <c r="H1063" t="s">
        <v>11</v>
      </c>
      <c r="I1063" t="s">
        <v>10</v>
      </c>
    </row>
    <row r="1064" spans="1:9" x14ac:dyDescent="0.25">
      <c r="A1064" t="str">
        <f t="shared" si="17"/>
        <v>89301000</v>
      </c>
      <c r="B1064" t="str">
        <f>"1105230214"</f>
        <v>1105230214</v>
      </c>
      <c r="C1064" s="1">
        <v>45077</v>
      </c>
      <c r="D1064" s="1">
        <v>45081</v>
      </c>
      <c r="E1064">
        <v>1</v>
      </c>
      <c r="F1064" t="str">
        <f>"03-K06-01"</f>
        <v>03-K06-01</v>
      </c>
      <c r="G1064">
        <v>0.4713</v>
      </c>
      <c r="H1064" t="s">
        <v>11</v>
      </c>
      <c r="I1064" t="s">
        <v>10</v>
      </c>
    </row>
    <row r="1065" spans="1:9" x14ac:dyDescent="0.25">
      <c r="A1065" t="str">
        <f t="shared" si="17"/>
        <v>89301000</v>
      </c>
      <c r="B1065" t="str">
        <f>"1106010422"</f>
        <v>1106010422</v>
      </c>
      <c r="C1065" s="1">
        <v>45288</v>
      </c>
      <c r="D1065" s="1">
        <v>45291</v>
      </c>
      <c r="E1065">
        <v>1</v>
      </c>
      <c r="F1065" t="str">
        <f>"02-K09-00"</f>
        <v>02-K09-00</v>
      </c>
      <c r="G1065">
        <v>0.49120000000000003</v>
      </c>
      <c r="H1065" t="s">
        <v>11</v>
      </c>
      <c r="I1065" t="s">
        <v>10</v>
      </c>
    </row>
    <row r="1066" spans="1:9" x14ac:dyDescent="0.25">
      <c r="A1066" t="str">
        <f t="shared" si="17"/>
        <v>89301000</v>
      </c>
      <c r="B1066" t="str">
        <f>"1106120048"</f>
        <v>1106120048</v>
      </c>
      <c r="C1066" s="1">
        <v>45008</v>
      </c>
      <c r="D1066" s="1">
        <v>45010</v>
      </c>
      <c r="E1066">
        <v>1</v>
      </c>
      <c r="F1066" t="str">
        <f>"06-K06-01"</f>
        <v>06-K06-01</v>
      </c>
      <c r="G1066">
        <v>1.1001000000000001</v>
      </c>
      <c r="H1066" t="s">
        <v>11</v>
      </c>
      <c r="I1066" t="s">
        <v>10</v>
      </c>
    </row>
    <row r="1067" spans="1:9" x14ac:dyDescent="0.25">
      <c r="A1067" t="str">
        <f t="shared" si="17"/>
        <v>89301000</v>
      </c>
      <c r="B1067" t="str">
        <f>"1106140277"</f>
        <v>1106140277</v>
      </c>
      <c r="C1067" s="1">
        <v>45006</v>
      </c>
      <c r="D1067" s="1">
        <v>45009</v>
      </c>
      <c r="E1067">
        <v>1</v>
      </c>
      <c r="F1067" t="str">
        <f>"03-I19-03"</f>
        <v>03-I19-03</v>
      </c>
      <c r="G1067">
        <v>0.53420000000000001</v>
      </c>
      <c r="H1067" t="s">
        <v>11</v>
      </c>
      <c r="I1067" t="s">
        <v>10</v>
      </c>
    </row>
    <row r="1068" spans="1:9" x14ac:dyDescent="0.25">
      <c r="A1068" t="str">
        <f t="shared" si="17"/>
        <v>89301000</v>
      </c>
      <c r="B1068" t="str">
        <f>"1106160429"</f>
        <v>1106160429</v>
      </c>
      <c r="C1068" s="1">
        <v>45230</v>
      </c>
      <c r="D1068" s="1">
        <v>45235</v>
      </c>
      <c r="E1068">
        <v>1</v>
      </c>
      <c r="F1068" t="str">
        <f>"08-I21-01"</f>
        <v>08-I21-01</v>
      </c>
      <c r="G1068">
        <v>2.3639999999999999</v>
      </c>
      <c r="H1068" t="s">
        <v>12</v>
      </c>
      <c r="I1068" t="s">
        <v>10</v>
      </c>
    </row>
    <row r="1069" spans="1:9" x14ac:dyDescent="0.25">
      <c r="A1069" t="str">
        <f t="shared" si="17"/>
        <v>89301000</v>
      </c>
      <c r="B1069" t="str">
        <f>"1106210325"</f>
        <v>1106210325</v>
      </c>
      <c r="C1069" s="1">
        <v>45268</v>
      </c>
      <c r="D1069" s="1">
        <v>45270</v>
      </c>
      <c r="E1069">
        <v>1</v>
      </c>
      <c r="F1069" t="str">
        <f>"11-K14-02"</f>
        <v>11-K14-02</v>
      </c>
      <c r="G1069">
        <v>0.48649999999999999</v>
      </c>
      <c r="H1069" t="s">
        <v>11</v>
      </c>
      <c r="I1069" t="s">
        <v>10</v>
      </c>
    </row>
    <row r="1070" spans="1:9" x14ac:dyDescent="0.25">
      <c r="A1070" t="str">
        <f t="shared" si="17"/>
        <v>89301000</v>
      </c>
      <c r="B1070" t="str">
        <f>"1106290229"</f>
        <v>1106290229</v>
      </c>
      <c r="C1070" s="1">
        <v>45040</v>
      </c>
      <c r="D1070" s="1">
        <v>45042</v>
      </c>
      <c r="E1070">
        <v>1</v>
      </c>
      <c r="F1070" t="str">
        <f>"02-I06-03"</f>
        <v>02-I06-03</v>
      </c>
      <c r="G1070">
        <v>0.99260000000000004</v>
      </c>
      <c r="H1070" t="s">
        <v>12</v>
      </c>
      <c r="I1070" t="s">
        <v>10</v>
      </c>
    </row>
    <row r="1071" spans="1:9" x14ac:dyDescent="0.25">
      <c r="A1071" t="str">
        <f t="shared" si="17"/>
        <v>89301000</v>
      </c>
      <c r="B1071" t="str">
        <f>"1106290229"</f>
        <v>1106290229</v>
      </c>
      <c r="C1071" s="1">
        <v>45035</v>
      </c>
      <c r="D1071" s="1">
        <v>45037</v>
      </c>
      <c r="E1071">
        <v>1</v>
      </c>
      <c r="F1071" t="str">
        <f>"02-I06-03"</f>
        <v>02-I06-03</v>
      </c>
      <c r="G1071">
        <v>0.99260000000000004</v>
      </c>
      <c r="H1071" t="s">
        <v>12</v>
      </c>
      <c r="I1071" t="s">
        <v>10</v>
      </c>
    </row>
    <row r="1072" spans="1:9" x14ac:dyDescent="0.25">
      <c r="A1072" t="str">
        <f t="shared" si="17"/>
        <v>89301000</v>
      </c>
      <c r="B1072" t="str">
        <f>"1106290229"</f>
        <v>1106290229</v>
      </c>
      <c r="C1072" s="1">
        <v>45147</v>
      </c>
      <c r="D1072" s="1">
        <v>45149</v>
      </c>
      <c r="E1072">
        <v>1</v>
      </c>
      <c r="F1072" t="str">
        <f>"02-I06-03"</f>
        <v>02-I06-03</v>
      </c>
      <c r="G1072">
        <v>0.99260000000000004</v>
      </c>
      <c r="H1072" t="s">
        <v>12</v>
      </c>
      <c r="I1072" t="s">
        <v>10</v>
      </c>
    </row>
    <row r="1073" spans="1:9" x14ac:dyDescent="0.25">
      <c r="A1073" t="str">
        <f t="shared" si="17"/>
        <v>89301000</v>
      </c>
      <c r="B1073" t="str">
        <f>"1107070327"</f>
        <v>1107070327</v>
      </c>
      <c r="C1073" s="1">
        <v>45174</v>
      </c>
      <c r="D1073" s="1">
        <v>45179</v>
      </c>
      <c r="E1073">
        <v>1</v>
      </c>
      <c r="F1073" t="str">
        <f>"08-I22-02"</f>
        <v>08-I22-02</v>
      </c>
      <c r="G1073">
        <v>1.131</v>
      </c>
      <c r="H1073" t="s">
        <v>12</v>
      </c>
      <c r="I1073" t="s">
        <v>10</v>
      </c>
    </row>
    <row r="1074" spans="1:9" x14ac:dyDescent="0.25">
      <c r="A1074" t="str">
        <f t="shared" si="17"/>
        <v>89301000</v>
      </c>
      <c r="B1074" t="str">
        <f>"1107082262"</f>
        <v>1107082262</v>
      </c>
      <c r="C1074" s="1">
        <v>45166</v>
      </c>
      <c r="D1074" s="1">
        <v>45168</v>
      </c>
      <c r="E1074">
        <v>1</v>
      </c>
      <c r="F1074" t="str">
        <f>"10-M01-00"</f>
        <v>10-M01-00</v>
      </c>
      <c r="G1074">
        <v>0.43469999999999998</v>
      </c>
      <c r="H1074" t="s">
        <v>11</v>
      </c>
      <c r="I1074" t="s">
        <v>10</v>
      </c>
    </row>
    <row r="1075" spans="1:9" x14ac:dyDescent="0.25">
      <c r="A1075" t="str">
        <f t="shared" si="17"/>
        <v>89301000</v>
      </c>
      <c r="B1075" t="str">
        <f>"1107150308"</f>
        <v>1107150308</v>
      </c>
      <c r="C1075" s="1">
        <v>44932</v>
      </c>
      <c r="D1075" s="1">
        <v>44936</v>
      </c>
      <c r="E1075">
        <v>1</v>
      </c>
      <c r="F1075" t="str">
        <f>"06-I18-04"</f>
        <v>06-I18-04</v>
      </c>
      <c r="G1075">
        <v>1.1088</v>
      </c>
      <c r="H1075" t="s">
        <v>9</v>
      </c>
      <c r="I1075" t="s">
        <v>10</v>
      </c>
    </row>
    <row r="1076" spans="1:9" x14ac:dyDescent="0.25">
      <c r="A1076" t="str">
        <f t="shared" si="17"/>
        <v>89301000</v>
      </c>
      <c r="B1076" t="str">
        <f>"1108080171"</f>
        <v>1108080171</v>
      </c>
      <c r="C1076" s="1">
        <v>44931</v>
      </c>
      <c r="D1076" s="1">
        <v>44933</v>
      </c>
      <c r="E1076">
        <v>1</v>
      </c>
      <c r="F1076" t="str">
        <f>"11-I17-03"</f>
        <v>11-I17-03</v>
      </c>
      <c r="G1076">
        <v>0.45600000000000002</v>
      </c>
      <c r="H1076" t="s">
        <v>11</v>
      </c>
      <c r="I1076" t="s">
        <v>10</v>
      </c>
    </row>
    <row r="1077" spans="1:9" x14ac:dyDescent="0.25">
      <c r="A1077" t="str">
        <f t="shared" si="17"/>
        <v>89301000</v>
      </c>
      <c r="B1077" t="str">
        <f>"1109040339"</f>
        <v>1109040339</v>
      </c>
      <c r="C1077" s="1">
        <v>45048</v>
      </c>
      <c r="D1077" s="1">
        <v>45052</v>
      </c>
      <c r="E1077">
        <v>1</v>
      </c>
      <c r="F1077" t="str">
        <f>"08-K04-02"</f>
        <v>08-K04-02</v>
      </c>
      <c r="G1077">
        <v>0.54300000000000004</v>
      </c>
      <c r="H1077" t="s">
        <v>11</v>
      </c>
      <c r="I1077" t="s">
        <v>10</v>
      </c>
    </row>
    <row r="1078" spans="1:9" x14ac:dyDescent="0.25">
      <c r="A1078" t="str">
        <f t="shared" si="17"/>
        <v>89301000</v>
      </c>
      <c r="B1078" t="str">
        <f>"1109260438"</f>
        <v>1109260438</v>
      </c>
      <c r="C1078" s="1">
        <v>45252</v>
      </c>
      <c r="D1078" s="1">
        <v>45253</v>
      </c>
      <c r="E1078">
        <v>1</v>
      </c>
      <c r="F1078" t="str">
        <f>"01-K16-06"</f>
        <v>01-K16-06</v>
      </c>
      <c r="G1078">
        <v>0.27150000000000002</v>
      </c>
      <c r="H1078" t="s">
        <v>11</v>
      </c>
      <c r="I1078" t="s">
        <v>10</v>
      </c>
    </row>
    <row r="1079" spans="1:9" x14ac:dyDescent="0.25">
      <c r="A1079" t="str">
        <f t="shared" si="17"/>
        <v>89301000</v>
      </c>
      <c r="B1079" t="str">
        <f>"1109300368"</f>
        <v>1109300368</v>
      </c>
      <c r="C1079" s="1">
        <v>45258</v>
      </c>
      <c r="D1079" s="1">
        <v>45260</v>
      </c>
      <c r="E1079">
        <v>1</v>
      </c>
      <c r="F1079" t="str">
        <f>"08-K06-02"</f>
        <v>08-K06-02</v>
      </c>
      <c r="G1079">
        <v>0.1908</v>
      </c>
      <c r="H1079" t="s">
        <v>11</v>
      </c>
      <c r="I1079" t="s">
        <v>10</v>
      </c>
    </row>
    <row r="1080" spans="1:9" x14ac:dyDescent="0.25">
      <c r="A1080" t="str">
        <f t="shared" si="17"/>
        <v>89301000</v>
      </c>
      <c r="B1080" t="str">
        <f>"1110100024"</f>
        <v>1110100024</v>
      </c>
      <c r="C1080" s="1">
        <v>45152</v>
      </c>
      <c r="D1080" s="1">
        <v>45153</v>
      </c>
      <c r="E1080">
        <v>1</v>
      </c>
      <c r="F1080" t="str">
        <f>"08-I20-03"</f>
        <v>08-I20-03</v>
      </c>
      <c r="G1080">
        <v>0.62639999999999996</v>
      </c>
      <c r="H1080" t="s">
        <v>12</v>
      </c>
      <c r="I1080" t="s">
        <v>10</v>
      </c>
    </row>
    <row r="1081" spans="1:9" x14ac:dyDescent="0.25">
      <c r="A1081" t="str">
        <f t="shared" si="17"/>
        <v>89301000</v>
      </c>
      <c r="B1081" t="str">
        <f>"1110120330"</f>
        <v>1110120330</v>
      </c>
      <c r="C1081" s="1">
        <v>45057</v>
      </c>
      <c r="D1081" s="1">
        <v>45059</v>
      </c>
      <c r="E1081">
        <v>1</v>
      </c>
      <c r="F1081" t="str">
        <f>"03-I21-00"</f>
        <v>03-I21-00</v>
      </c>
      <c r="G1081">
        <v>0.42449999999999999</v>
      </c>
      <c r="H1081" t="s">
        <v>11</v>
      </c>
      <c r="I1081" t="s">
        <v>10</v>
      </c>
    </row>
    <row r="1082" spans="1:9" x14ac:dyDescent="0.25">
      <c r="A1082" t="str">
        <f t="shared" si="17"/>
        <v>89301000</v>
      </c>
      <c r="B1082" t="str">
        <f>"1110120330"</f>
        <v>1110120330</v>
      </c>
      <c r="C1082" s="1">
        <v>45029</v>
      </c>
      <c r="D1082" s="1">
        <v>45032</v>
      </c>
      <c r="E1082">
        <v>1</v>
      </c>
      <c r="F1082" t="str">
        <f>"03-K06-01"</f>
        <v>03-K06-01</v>
      </c>
      <c r="G1082">
        <v>0.46660000000000001</v>
      </c>
      <c r="H1082" t="s">
        <v>11</v>
      </c>
      <c r="I1082" t="s">
        <v>10</v>
      </c>
    </row>
    <row r="1083" spans="1:9" x14ac:dyDescent="0.25">
      <c r="A1083" t="str">
        <f t="shared" si="17"/>
        <v>89301000</v>
      </c>
      <c r="B1083" t="str">
        <f>"1110160007"</f>
        <v>1110160007</v>
      </c>
      <c r="C1083" s="1">
        <v>45232</v>
      </c>
      <c r="D1083" s="1">
        <v>45239</v>
      </c>
      <c r="E1083">
        <v>1</v>
      </c>
      <c r="F1083" t="str">
        <f>"09-K04-02"</f>
        <v>09-K04-02</v>
      </c>
      <c r="G1083">
        <v>0.64849999999999997</v>
      </c>
      <c r="H1083" t="s">
        <v>11</v>
      </c>
      <c r="I1083" t="s">
        <v>10</v>
      </c>
    </row>
    <row r="1084" spans="1:9" x14ac:dyDescent="0.25">
      <c r="A1084" t="str">
        <f t="shared" ref="A1084:A1147" si="18">"89301000"</f>
        <v>89301000</v>
      </c>
      <c r="B1084" t="str">
        <f>"1110191775"</f>
        <v>1110191775</v>
      </c>
      <c r="C1084" s="1">
        <v>44942</v>
      </c>
      <c r="D1084" s="1">
        <v>44951</v>
      </c>
      <c r="E1084">
        <v>1</v>
      </c>
      <c r="F1084" t="str">
        <f>"10-K03-02"</f>
        <v>10-K03-02</v>
      </c>
      <c r="G1084">
        <v>1.6890000000000001</v>
      </c>
      <c r="H1084" t="s">
        <v>11</v>
      </c>
      <c r="I1084" t="s">
        <v>10</v>
      </c>
    </row>
    <row r="1085" spans="1:9" x14ac:dyDescent="0.25">
      <c r="A1085" t="str">
        <f t="shared" si="18"/>
        <v>89301000</v>
      </c>
      <c r="B1085" t="str">
        <f>"1110240263"</f>
        <v>1110240263</v>
      </c>
      <c r="C1085" s="1">
        <v>45274</v>
      </c>
      <c r="D1085" s="1">
        <v>45275</v>
      </c>
      <c r="E1085">
        <v>1</v>
      </c>
      <c r="F1085" t="str">
        <f>"21-K05-03"</f>
        <v>21-K05-03</v>
      </c>
      <c r="G1085">
        <v>0.45729999999999998</v>
      </c>
      <c r="H1085" t="s">
        <v>11</v>
      </c>
      <c r="I1085" t="s">
        <v>10</v>
      </c>
    </row>
    <row r="1086" spans="1:9" x14ac:dyDescent="0.25">
      <c r="A1086" t="str">
        <f t="shared" si="18"/>
        <v>89301000</v>
      </c>
      <c r="B1086" t="str">
        <f>"1111210353"</f>
        <v>1111210353</v>
      </c>
      <c r="C1086" s="1">
        <v>45092</v>
      </c>
      <c r="D1086" s="1">
        <v>45094</v>
      </c>
      <c r="E1086">
        <v>1</v>
      </c>
      <c r="F1086" t="str">
        <f>"08-I20-03"</f>
        <v>08-I20-03</v>
      </c>
      <c r="G1086">
        <v>0.62639999999999996</v>
      </c>
      <c r="H1086" t="s">
        <v>12</v>
      </c>
      <c r="I1086" t="s">
        <v>10</v>
      </c>
    </row>
    <row r="1087" spans="1:9" x14ac:dyDescent="0.25">
      <c r="A1087" t="str">
        <f t="shared" si="18"/>
        <v>89301000</v>
      </c>
      <c r="B1087" t="str">
        <f>"1111250228"</f>
        <v>1111250228</v>
      </c>
      <c r="C1087" s="1">
        <v>45201</v>
      </c>
      <c r="D1087" s="1">
        <v>45205</v>
      </c>
      <c r="E1087">
        <v>1</v>
      </c>
      <c r="F1087" t="str">
        <f>"11-I12-00"</f>
        <v>11-I12-00</v>
      </c>
      <c r="G1087">
        <v>1.302</v>
      </c>
      <c r="H1087" t="s">
        <v>12</v>
      </c>
      <c r="I1087" t="s">
        <v>10</v>
      </c>
    </row>
    <row r="1088" spans="1:9" x14ac:dyDescent="0.25">
      <c r="A1088" t="str">
        <f t="shared" si="18"/>
        <v>89301000</v>
      </c>
      <c r="B1088" t="str">
        <f>"1111280863"</f>
        <v>1111280863</v>
      </c>
      <c r="C1088" s="1">
        <v>45265</v>
      </c>
      <c r="D1088" s="1">
        <v>45267</v>
      </c>
      <c r="E1088">
        <v>1</v>
      </c>
      <c r="F1088" t="str">
        <f>"08-I21-02"</f>
        <v>08-I21-02</v>
      </c>
      <c r="G1088">
        <v>1.2658</v>
      </c>
      <c r="H1088" t="s">
        <v>12</v>
      </c>
      <c r="I1088" t="s">
        <v>10</v>
      </c>
    </row>
    <row r="1089" spans="1:9" x14ac:dyDescent="0.25">
      <c r="A1089" t="str">
        <f t="shared" si="18"/>
        <v>89301000</v>
      </c>
      <c r="B1089" t="str">
        <f>"1112020162"</f>
        <v>1112020162</v>
      </c>
      <c r="C1089" s="1">
        <v>45138</v>
      </c>
      <c r="D1089" s="1">
        <v>45145</v>
      </c>
      <c r="E1089">
        <v>1</v>
      </c>
      <c r="F1089" t="str">
        <f>"01-K02-04"</f>
        <v>01-K02-04</v>
      </c>
      <c r="G1089">
        <v>1.2504</v>
      </c>
      <c r="H1089" t="s">
        <v>11</v>
      </c>
      <c r="I1089" t="s">
        <v>10</v>
      </c>
    </row>
    <row r="1090" spans="1:9" x14ac:dyDescent="0.25">
      <c r="A1090" t="str">
        <f t="shared" si="18"/>
        <v>89301000</v>
      </c>
      <c r="B1090" t="str">
        <f>"1112050005"</f>
        <v>1112050005</v>
      </c>
      <c r="C1090" s="1">
        <v>45021</v>
      </c>
      <c r="D1090" s="1">
        <v>45027</v>
      </c>
      <c r="E1090">
        <v>1</v>
      </c>
      <c r="F1090" t="str">
        <f>"06-I18-04"</f>
        <v>06-I18-04</v>
      </c>
      <c r="G1090">
        <v>1.1088</v>
      </c>
      <c r="H1090" t="s">
        <v>9</v>
      </c>
      <c r="I1090" t="s">
        <v>10</v>
      </c>
    </row>
    <row r="1091" spans="1:9" x14ac:dyDescent="0.25">
      <c r="A1091" t="str">
        <f t="shared" si="18"/>
        <v>89301000</v>
      </c>
      <c r="B1091" t="str">
        <f>"1112140359"</f>
        <v>1112140359</v>
      </c>
      <c r="C1091" s="1">
        <v>45032</v>
      </c>
      <c r="D1091" s="1">
        <v>45034</v>
      </c>
      <c r="E1091">
        <v>1</v>
      </c>
      <c r="F1091" t="str">
        <f>"06-K02-04"</f>
        <v>06-K02-04</v>
      </c>
      <c r="G1091">
        <v>0.37659999999999999</v>
      </c>
      <c r="H1091" t="s">
        <v>11</v>
      </c>
      <c r="I1091" t="s">
        <v>10</v>
      </c>
    </row>
    <row r="1092" spans="1:9" x14ac:dyDescent="0.25">
      <c r="A1092" t="str">
        <f t="shared" si="18"/>
        <v>89301000</v>
      </c>
      <c r="B1092" t="str">
        <f>"1151050483"</f>
        <v>1151050483</v>
      </c>
      <c r="C1092" s="1">
        <v>45106</v>
      </c>
      <c r="D1092" s="1">
        <v>45107</v>
      </c>
      <c r="E1092">
        <v>1</v>
      </c>
      <c r="F1092" t="str">
        <f>"06-K17-02"</f>
        <v>06-K17-02</v>
      </c>
      <c r="G1092">
        <v>0.2999</v>
      </c>
      <c r="H1092" t="s">
        <v>11</v>
      </c>
      <c r="I1092" t="s">
        <v>10</v>
      </c>
    </row>
    <row r="1093" spans="1:9" x14ac:dyDescent="0.25">
      <c r="A1093" t="str">
        <f t="shared" si="18"/>
        <v>89301000</v>
      </c>
      <c r="B1093" t="str">
        <f>"1151280317"</f>
        <v>1151280317</v>
      </c>
      <c r="C1093" s="1">
        <v>45168</v>
      </c>
      <c r="D1093" s="1">
        <v>45170</v>
      </c>
      <c r="E1093">
        <v>1</v>
      </c>
      <c r="F1093" t="str">
        <f>"08-K04-02"</f>
        <v>08-K04-02</v>
      </c>
      <c r="G1093">
        <v>0.54300000000000004</v>
      </c>
      <c r="H1093" t="s">
        <v>11</v>
      </c>
      <c r="I1093" t="s">
        <v>10</v>
      </c>
    </row>
    <row r="1094" spans="1:9" x14ac:dyDescent="0.25">
      <c r="A1094" t="str">
        <f t="shared" si="18"/>
        <v>89301000</v>
      </c>
      <c r="B1094" t="str">
        <f>"1152211170"</f>
        <v>1152211170</v>
      </c>
      <c r="C1094" s="1">
        <v>45057</v>
      </c>
      <c r="D1094" s="1">
        <v>45063</v>
      </c>
      <c r="E1094">
        <v>1</v>
      </c>
      <c r="F1094" t="str">
        <f>"03-I16-02"</f>
        <v>03-I16-02</v>
      </c>
      <c r="G1094">
        <v>0.92979999999999996</v>
      </c>
      <c r="H1094" t="s">
        <v>9</v>
      </c>
      <c r="I1094" t="s">
        <v>10</v>
      </c>
    </row>
    <row r="1095" spans="1:9" x14ac:dyDescent="0.25">
      <c r="A1095" t="str">
        <f t="shared" si="18"/>
        <v>89301000</v>
      </c>
      <c r="B1095" t="str">
        <f>"1152280360"</f>
        <v>1152280360</v>
      </c>
      <c r="C1095" s="1">
        <v>45125</v>
      </c>
      <c r="D1095" s="1">
        <v>45127</v>
      </c>
      <c r="E1095">
        <v>1</v>
      </c>
      <c r="F1095" t="str">
        <f>"01-K16-06"</f>
        <v>01-K16-06</v>
      </c>
      <c r="G1095">
        <v>0.27150000000000002</v>
      </c>
      <c r="H1095" t="s">
        <v>11</v>
      </c>
      <c r="I1095" t="s">
        <v>10</v>
      </c>
    </row>
    <row r="1096" spans="1:9" x14ac:dyDescent="0.25">
      <c r="A1096" t="str">
        <f t="shared" si="18"/>
        <v>89301000</v>
      </c>
      <c r="B1096" t="str">
        <f>"1153030186"</f>
        <v>1153030186</v>
      </c>
      <c r="C1096" s="1">
        <v>45095</v>
      </c>
      <c r="D1096" s="1">
        <v>45097</v>
      </c>
      <c r="E1096">
        <v>1</v>
      </c>
      <c r="F1096" t="str">
        <f>"02-I11-01"</f>
        <v>02-I11-01</v>
      </c>
      <c r="G1096">
        <v>0.80620000000000003</v>
      </c>
      <c r="H1096" t="s">
        <v>12</v>
      </c>
      <c r="I1096" t="s">
        <v>10</v>
      </c>
    </row>
    <row r="1097" spans="1:9" x14ac:dyDescent="0.25">
      <c r="A1097" t="str">
        <f t="shared" si="18"/>
        <v>89301000</v>
      </c>
      <c r="B1097" t="str">
        <f>"1153140296"</f>
        <v>1153140296</v>
      </c>
      <c r="C1097" s="1">
        <v>44927</v>
      </c>
      <c r="D1097" s="1">
        <v>44928</v>
      </c>
      <c r="E1097">
        <v>1</v>
      </c>
      <c r="F1097" t="str">
        <f>"06-K22-03"</f>
        <v>06-K22-03</v>
      </c>
      <c r="G1097">
        <v>0.31619999999999998</v>
      </c>
      <c r="H1097" t="s">
        <v>11</v>
      </c>
      <c r="I1097" t="s">
        <v>10</v>
      </c>
    </row>
    <row r="1098" spans="1:9" x14ac:dyDescent="0.25">
      <c r="A1098" t="str">
        <f t="shared" si="18"/>
        <v>89301000</v>
      </c>
      <c r="B1098" t="str">
        <f>"1153140296"</f>
        <v>1153140296</v>
      </c>
      <c r="C1098" s="1">
        <v>45014</v>
      </c>
      <c r="D1098" s="1">
        <v>45016</v>
      </c>
      <c r="E1098">
        <v>1</v>
      </c>
      <c r="F1098" t="str">
        <f>"06-K04-03"</f>
        <v>06-K04-03</v>
      </c>
      <c r="G1098">
        <v>0.38019999999999998</v>
      </c>
      <c r="H1098" t="s">
        <v>11</v>
      </c>
      <c r="I1098" t="s">
        <v>10</v>
      </c>
    </row>
    <row r="1099" spans="1:9" x14ac:dyDescent="0.25">
      <c r="A1099" t="str">
        <f t="shared" si="18"/>
        <v>89301000</v>
      </c>
      <c r="B1099" t="str">
        <f>"1153140296"</f>
        <v>1153140296</v>
      </c>
      <c r="C1099" s="1">
        <v>45176</v>
      </c>
      <c r="D1099" s="1">
        <v>45178</v>
      </c>
      <c r="E1099">
        <v>1</v>
      </c>
      <c r="F1099" t="str">
        <f>"06-K22-03"</f>
        <v>06-K22-03</v>
      </c>
      <c r="G1099">
        <v>0.31619999999999998</v>
      </c>
      <c r="H1099" t="s">
        <v>11</v>
      </c>
      <c r="I1099" t="s">
        <v>10</v>
      </c>
    </row>
    <row r="1100" spans="1:9" x14ac:dyDescent="0.25">
      <c r="A1100" t="str">
        <f t="shared" si="18"/>
        <v>89301000</v>
      </c>
      <c r="B1100" t="str">
        <f>"1153210861"</f>
        <v>1153210861</v>
      </c>
      <c r="C1100" s="1">
        <v>45236</v>
      </c>
      <c r="D1100" s="1">
        <v>45237</v>
      </c>
      <c r="E1100">
        <v>1</v>
      </c>
      <c r="F1100" t="str">
        <f>"23-K01-00"</f>
        <v>23-K01-00</v>
      </c>
      <c r="G1100">
        <v>0.1401</v>
      </c>
      <c r="H1100" t="s">
        <v>11</v>
      </c>
      <c r="I1100" t="s">
        <v>10</v>
      </c>
    </row>
    <row r="1101" spans="1:9" x14ac:dyDescent="0.25">
      <c r="A1101" t="str">
        <f t="shared" si="18"/>
        <v>89301000</v>
      </c>
      <c r="B1101" t="str">
        <f>"1153290171"</f>
        <v>1153290171</v>
      </c>
      <c r="C1101" s="1">
        <v>45288</v>
      </c>
      <c r="D1101" s="1">
        <v>45289</v>
      </c>
      <c r="E1101">
        <v>1</v>
      </c>
      <c r="F1101" t="str">
        <f>"09-K12-00"</f>
        <v>09-K12-00</v>
      </c>
      <c r="G1101">
        <v>0.26040000000000002</v>
      </c>
      <c r="H1101" t="s">
        <v>11</v>
      </c>
      <c r="I1101" t="s">
        <v>10</v>
      </c>
    </row>
    <row r="1102" spans="1:9" x14ac:dyDescent="0.25">
      <c r="A1102" t="str">
        <f t="shared" si="18"/>
        <v>89301000</v>
      </c>
      <c r="B1102" t="str">
        <f>"1154190015"</f>
        <v>1154190015</v>
      </c>
      <c r="C1102" s="1">
        <v>44913</v>
      </c>
      <c r="D1102" s="1">
        <v>44932</v>
      </c>
      <c r="E1102">
        <v>1</v>
      </c>
      <c r="F1102" t="str">
        <f>"08-K04-01"</f>
        <v>08-K04-01</v>
      </c>
      <c r="G1102">
        <v>0.90980000000000005</v>
      </c>
      <c r="H1102" t="s">
        <v>11</v>
      </c>
      <c r="I1102" t="s">
        <v>10</v>
      </c>
    </row>
    <row r="1103" spans="1:9" x14ac:dyDescent="0.25">
      <c r="A1103" t="str">
        <f t="shared" si="18"/>
        <v>89301000</v>
      </c>
      <c r="B1103" t="str">
        <f>"1155210100"</f>
        <v>1155210100</v>
      </c>
      <c r="C1103" s="1">
        <v>44992</v>
      </c>
      <c r="D1103" s="1">
        <v>44999</v>
      </c>
      <c r="E1103">
        <v>1</v>
      </c>
      <c r="F1103" t="str">
        <f>"03-I16-02"</f>
        <v>03-I16-02</v>
      </c>
      <c r="G1103">
        <v>0.93510000000000004</v>
      </c>
      <c r="H1103" t="s">
        <v>9</v>
      </c>
      <c r="I1103" t="s">
        <v>10</v>
      </c>
    </row>
    <row r="1104" spans="1:9" x14ac:dyDescent="0.25">
      <c r="A1104" t="str">
        <f t="shared" si="18"/>
        <v>89301000</v>
      </c>
      <c r="B1104" t="str">
        <f>"1155220088"</f>
        <v>1155220088</v>
      </c>
      <c r="C1104" s="1">
        <v>45083</v>
      </c>
      <c r="D1104" s="1">
        <v>45090</v>
      </c>
      <c r="E1104">
        <v>1</v>
      </c>
      <c r="F1104" t="str">
        <f>"08-I21-02"</f>
        <v>08-I21-02</v>
      </c>
      <c r="G1104">
        <v>1.2658</v>
      </c>
      <c r="H1104" t="s">
        <v>12</v>
      </c>
      <c r="I1104" t="s">
        <v>10</v>
      </c>
    </row>
    <row r="1105" spans="1:9" x14ac:dyDescent="0.25">
      <c r="A1105" t="str">
        <f t="shared" si="18"/>
        <v>89301000</v>
      </c>
      <c r="B1105" t="str">
        <f>"1156221847"</f>
        <v>1156221847</v>
      </c>
      <c r="C1105" s="1">
        <v>45238</v>
      </c>
      <c r="D1105" s="1">
        <v>45243</v>
      </c>
      <c r="E1105">
        <v>1</v>
      </c>
      <c r="F1105" t="str">
        <f>"06-I21-03"</f>
        <v>06-I21-03</v>
      </c>
      <c r="G1105">
        <v>0.4572</v>
      </c>
      <c r="H1105" t="s">
        <v>12</v>
      </c>
      <c r="I1105" t="s">
        <v>10</v>
      </c>
    </row>
    <row r="1106" spans="1:9" x14ac:dyDescent="0.25">
      <c r="A1106" t="str">
        <f t="shared" si="18"/>
        <v>89301000</v>
      </c>
      <c r="B1106" t="str">
        <f>"1156301674"</f>
        <v>1156301674</v>
      </c>
      <c r="C1106" s="1">
        <v>44972</v>
      </c>
      <c r="D1106" s="1">
        <v>44973</v>
      </c>
      <c r="E1106">
        <v>2</v>
      </c>
      <c r="F1106" t="str">
        <f>"04-K02-03"</f>
        <v>04-K02-03</v>
      </c>
      <c r="G1106">
        <v>0.67479999999999996</v>
      </c>
      <c r="H1106" t="s">
        <v>11</v>
      </c>
      <c r="I1106" t="s">
        <v>10</v>
      </c>
    </row>
    <row r="1107" spans="1:9" x14ac:dyDescent="0.25">
      <c r="A1107" t="str">
        <f t="shared" si="18"/>
        <v>89301000</v>
      </c>
      <c r="B1107" t="str">
        <f>"1156301674"</f>
        <v>1156301674</v>
      </c>
      <c r="C1107" s="1">
        <v>45093</v>
      </c>
      <c r="D1107" s="1">
        <v>45098</v>
      </c>
      <c r="E1107">
        <v>4</v>
      </c>
      <c r="F1107" t="str">
        <f>"04-K02-02"</f>
        <v>04-K02-02</v>
      </c>
      <c r="G1107">
        <v>2.8616999999999999</v>
      </c>
      <c r="H1107" t="s">
        <v>11</v>
      </c>
      <c r="I1107" t="s">
        <v>10</v>
      </c>
    </row>
    <row r="1108" spans="1:9" x14ac:dyDescent="0.25">
      <c r="A1108" t="str">
        <f t="shared" si="18"/>
        <v>89301000</v>
      </c>
      <c r="B1108" t="str">
        <f>"1157040324"</f>
        <v>1157040324</v>
      </c>
      <c r="C1108" s="1">
        <v>45197</v>
      </c>
      <c r="D1108" s="1">
        <v>45199</v>
      </c>
      <c r="E1108">
        <v>1</v>
      </c>
      <c r="F1108" t="str">
        <f>"08-I20-03"</f>
        <v>08-I20-03</v>
      </c>
      <c r="G1108">
        <v>0.62639999999999996</v>
      </c>
      <c r="H1108" t="s">
        <v>12</v>
      </c>
      <c r="I1108" t="s">
        <v>10</v>
      </c>
    </row>
    <row r="1109" spans="1:9" x14ac:dyDescent="0.25">
      <c r="A1109" t="str">
        <f t="shared" si="18"/>
        <v>89301000</v>
      </c>
      <c r="B1109" t="str">
        <f>"1158111801"</f>
        <v>1158111801</v>
      </c>
      <c r="C1109" s="1">
        <v>45182</v>
      </c>
      <c r="D1109" s="1">
        <v>45185</v>
      </c>
      <c r="E1109">
        <v>1</v>
      </c>
      <c r="F1109" t="str">
        <f>"08-K03-03"</f>
        <v>08-K03-03</v>
      </c>
      <c r="G1109">
        <v>0.7903</v>
      </c>
      <c r="H1109" t="s">
        <v>11</v>
      </c>
      <c r="I1109" t="s">
        <v>10</v>
      </c>
    </row>
    <row r="1110" spans="1:9" x14ac:dyDescent="0.25">
      <c r="A1110" t="str">
        <f t="shared" si="18"/>
        <v>89301000</v>
      </c>
      <c r="B1110" t="str">
        <f>"1158111801"</f>
        <v>1158111801</v>
      </c>
      <c r="C1110" s="1">
        <v>45274</v>
      </c>
      <c r="D1110" s="1">
        <v>45277</v>
      </c>
      <c r="E1110">
        <v>1</v>
      </c>
      <c r="F1110" t="str">
        <f>"08-K03-03"</f>
        <v>08-K03-03</v>
      </c>
      <c r="G1110">
        <v>0.7903</v>
      </c>
      <c r="H1110" t="s">
        <v>11</v>
      </c>
      <c r="I1110" t="s">
        <v>10</v>
      </c>
    </row>
    <row r="1111" spans="1:9" x14ac:dyDescent="0.25">
      <c r="A1111" t="str">
        <f t="shared" si="18"/>
        <v>89301000</v>
      </c>
      <c r="B1111" t="str">
        <f>"1159300340"</f>
        <v>1159300340</v>
      </c>
      <c r="C1111" s="1">
        <v>45160</v>
      </c>
      <c r="D1111" s="1">
        <v>45163</v>
      </c>
      <c r="E1111">
        <v>1</v>
      </c>
      <c r="F1111" t="str">
        <f>"08-K03-03"</f>
        <v>08-K03-03</v>
      </c>
      <c r="G1111">
        <v>0.7903</v>
      </c>
      <c r="H1111" t="s">
        <v>11</v>
      </c>
      <c r="I1111" t="s">
        <v>10</v>
      </c>
    </row>
    <row r="1112" spans="1:9" x14ac:dyDescent="0.25">
      <c r="A1112" t="str">
        <f t="shared" si="18"/>
        <v>89301000</v>
      </c>
      <c r="B1112" t="str">
        <f>"1159300340"</f>
        <v>1159300340</v>
      </c>
      <c r="C1112" s="1">
        <v>45057</v>
      </c>
      <c r="D1112" s="1">
        <v>45060</v>
      </c>
      <c r="E1112">
        <v>1</v>
      </c>
      <c r="F1112" t="str">
        <f>"08-K08-00"</f>
        <v>08-K08-00</v>
      </c>
      <c r="G1112">
        <v>0.55030000000000001</v>
      </c>
      <c r="H1112" t="s">
        <v>11</v>
      </c>
      <c r="I1112" t="s">
        <v>10</v>
      </c>
    </row>
    <row r="1113" spans="1:9" x14ac:dyDescent="0.25">
      <c r="A1113" t="str">
        <f t="shared" si="18"/>
        <v>89301000</v>
      </c>
      <c r="B1113" t="str">
        <f>"1159300340"</f>
        <v>1159300340</v>
      </c>
      <c r="C1113" s="1">
        <v>45246</v>
      </c>
      <c r="D1113" s="1">
        <v>45249</v>
      </c>
      <c r="E1113">
        <v>1</v>
      </c>
      <c r="F1113" t="str">
        <f>"08-K03-03"</f>
        <v>08-K03-03</v>
      </c>
      <c r="G1113">
        <v>0.7903</v>
      </c>
      <c r="H1113" t="s">
        <v>11</v>
      </c>
      <c r="I1113" t="s">
        <v>10</v>
      </c>
    </row>
    <row r="1114" spans="1:9" x14ac:dyDescent="0.25">
      <c r="A1114" t="str">
        <f t="shared" si="18"/>
        <v>89301000</v>
      </c>
      <c r="B1114" t="str">
        <f>"1159300340"</f>
        <v>1159300340</v>
      </c>
      <c r="C1114" s="1">
        <v>44973</v>
      </c>
      <c r="D1114" s="1">
        <v>44976</v>
      </c>
      <c r="E1114">
        <v>1</v>
      </c>
      <c r="F1114" t="str">
        <f>"08-K08-00"</f>
        <v>08-K08-00</v>
      </c>
      <c r="G1114">
        <v>0.5272</v>
      </c>
      <c r="H1114" t="s">
        <v>11</v>
      </c>
      <c r="I1114" t="s">
        <v>10</v>
      </c>
    </row>
    <row r="1115" spans="1:9" x14ac:dyDescent="0.25">
      <c r="A1115" t="str">
        <f t="shared" si="18"/>
        <v>89301000</v>
      </c>
      <c r="B1115" t="str">
        <f>"1160100337"</f>
        <v>1160100337</v>
      </c>
      <c r="C1115" s="1">
        <v>44949</v>
      </c>
      <c r="D1115" s="1">
        <v>44951</v>
      </c>
      <c r="E1115">
        <v>1</v>
      </c>
      <c r="F1115" t="str">
        <f>"03-I14-02"</f>
        <v>03-I14-02</v>
      </c>
      <c r="G1115">
        <v>1.0793999999999999</v>
      </c>
      <c r="H1115" t="s">
        <v>11</v>
      </c>
      <c r="I1115" t="s">
        <v>10</v>
      </c>
    </row>
    <row r="1116" spans="1:9" x14ac:dyDescent="0.25">
      <c r="A1116" t="str">
        <f t="shared" si="18"/>
        <v>89301000</v>
      </c>
      <c r="B1116" t="str">
        <f>"1160120104"</f>
        <v>1160120104</v>
      </c>
      <c r="C1116" s="1">
        <v>45182</v>
      </c>
      <c r="D1116" s="1">
        <v>45188</v>
      </c>
      <c r="E1116">
        <v>1</v>
      </c>
      <c r="F1116" t="str">
        <f>"07-I10-06"</f>
        <v>07-I10-06</v>
      </c>
      <c r="G1116">
        <v>0.98419999999999996</v>
      </c>
      <c r="H1116" t="s">
        <v>12</v>
      </c>
      <c r="I1116" t="s">
        <v>10</v>
      </c>
    </row>
    <row r="1117" spans="1:9" x14ac:dyDescent="0.25">
      <c r="A1117" t="str">
        <f t="shared" si="18"/>
        <v>89301000</v>
      </c>
      <c r="B1117" t="str">
        <f>"1160120104"</f>
        <v>1160120104</v>
      </c>
      <c r="C1117" s="1">
        <v>45124</v>
      </c>
      <c r="D1117" s="1">
        <v>45132</v>
      </c>
      <c r="E1117">
        <v>1</v>
      </c>
      <c r="F1117" t="str">
        <f>"07-M02-04"</f>
        <v>07-M02-04</v>
      </c>
      <c r="G1117">
        <v>0.77339999999999998</v>
      </c>
      <c r="H1117" t="s">
        <v>12</v>
      </c>
      <c r="I1117" t="s">
        <v>10</v>
      </c>
    </row>
    <row r="1118" spans="1:9" x14ac:dyDescent="0.25">
      <c r="A1118" t="str">
        <f t="shared" si="18"/>
        <v>89301000</v>
      </c>
      <c r="B1118" t="str">
        <f>"1160230005"</f>
        <v>1160230005</v>
      </c>
      <c r="C1118" s="1">
        <v>44969</v>
      </c>
      <c r="D1118" s="1">
        <v>44971</v>
      </c>
      <c r="E1118">
        <v>1</v>
      </c>
      <c r="F1118" t="str">
        <f>"02-I11-01"</f>
        <v>02-I11-01</v>
      </c>
      <c r="G1118">
        <v>0.80620000000000003</v>
      </c>
      <c r="H1118" t="s">
        <v>12</v>
      </c>
      <c r="I1118" t="s">
        <v>10</v>
      </c>
    </row>
    <row r="1119" spans="1:9" x14ac:dyDescent="0.25">
      <c r="A1119" t="str">
        <f t="shared" si="18"/>
        <v>89301000</v>
      </c>
      <c r="B1119" t="str">
        <f>"1161090139"</f>
        <v>1161090139</v>
      </c>
      <c r="C1119" s="1">
        <v>45265</v>
      </c>
      <c r="D1119" s="1">
        <v>45271</v>
      </c>
      <c r="E1119">
        <v>1</v>
      </c>
      <c r="F1119" t="str">
        <f>"06-K06-02"</f>
        <v>06-K06-02</v>
      </c>
      <c r="G1119">
        <v>0.64170000000000005</v>
      </c>
      <c r="H1119" t="s">
        <v>11</v>
      </c>
      <c r="I1119" t="s">
        <v>10</v>
      </c>
    </row>
    <row r="1120" spans="1:9" x14ac:dyDescent="0.25">
      <c r="A1120" t="str">
        <f t="shared" si="18"/>
        <v>89301000</v>
      </c>
      <c r="B1120" t="str">
        <f>"1161090139"</f>
        <v>1161090139</v>
      </c>
      <c r="C1120" s="1">
        <v>45282</v>
      </c>
      <c r="D1120" s="1">
        <v>45287</v>
      </c>
      <c r="E1120">
        <v>1</v>
      </c>
      <c r="F1120" t="str">
        <f>"06-C01-00"</f>
        <v>06-C01-00</v>
      </c>
      <c r="G1120">
        <v>0.34610000000000002</v>
      </c>
      <c r="H1120" t="s">
        <v>11</v>
      </c>
      <c r="I1120" t="s">
        <v>10</v>
      </c>
    </row>
    <row r="1121" spans="1:9" x14ac:dyDescent="0.25">
      <c r="A1121" t="str">
        <f t="shared" si="18"/>
        <v>89301000</v>
      </c>
      <c r="B1121" t="str">
        <f>"1161240168"</f>
        <v>1161240168</v>
      </c>
      <c r="C1121" s="1">
        <v>45163</v>
      </c>
      <c r="D1121" s="1">
        <v>45166</v>
      </c>
      <c r="E1121">
        <v>1</v>
      </c>
      <c r="F1121" t="str">
        <f>"06-K02-03"</f>
        <v>06-K02-03</v>
      </c>
      <c r="G1121">
        <v>0.5081</v>
      </c>
      <c r="H1121" t="s">
        <v>11</v>
      </c>
      <c r="I1121" t="s">
        <v>10</v>
      </c>
    </row>
    <row r="1122" spans="1:9" x14ac:dyDescent="0.25">
      <c r="A1122" t="str">
        <f t="shared" si="18"/>
        <v>89301000</v>
      </c>
      <c r="B1122" t="str">
        <f>"1162081844"</f>
        <v>1162081844</v>
      </c>
      <c r="C1122" s="1">
        <v>45023</v>
      </c>
      <c r="D1122" s="1">
        <v>45028</v>
      </c>
      <c r="E1122">
        <v>1</v>
      </c>
      <c r="F1122" t="str">
        <f>"03-I16-02"</f>
        <v>03-I16-02</v>
      </c>
      <c r="G1122">
        <v>0.92979999999999996</v>
      </c>
      <c r="H1122" t="s">
        <v>9</v>
      </c>
      <c r="I1122" t="s">
        <v>10</v>
      </c>
    </row>
    <row r="1123" spans="1:9" x14ac:dyDescent="0.25">
      <c r="A1123" t="str">
        <f t="shared" si="18"/>
        <v>89301000</v>
      </c>
      <c r="B1123" t="str">
        <f>"1162210148"</f>
        <v>1162210148</v>
      </c>
      <c r="C1123" s="1">
        <v>45239</v>
      </c>
      <c r="D1123" s="1">
        <v>45248</v>
      </c>
      <c r="E1123">
        <v>1</v>
      </c>
      <c r="F1123" t="str">
        <f>"09-K01-04"</f>
        <v>09-K01-04</v>
      </c>
      <c r="G1123">
        <v>0.59330000000000005</v>
      </c>
      <c r="H1123" t="s">
        <v>11</v>
      </c>
      <c r="I1123" t="s">
        <v>10</v>
      </c>
    </row>
    <row r="1124" spans="1:9" x14ac:dyDescent="0.25">
      <c r="A1124" t="str">
        <f t="shared" si="18"/>
        <v>89301000</v>
      </c>
      <c r="B1124" t="str">
        <f>"1162240068"</f>
        <v>1162240068</v>
      </c>
      <c r="C1124" s="1">
        <v>45245</v>
      </c>
      <c r="D1124" s="1">
        <v>45252</v>
      </c>
      <c r="E1124">
        <v>1</v>
      </c>
      <c r="F1124" t="str">
        <f>"02-K11-01"</f>
        <v>02-K11-01</v>
      </c>
      <c r="G1124">
        <v>0.87490000000000001</v>
      </c>
      <c r="H1124" t="s">
        <v>11</v>
      </c>
      <c r="I1124" t="s">
        <v>10</v>
      </c>
    </row>
    <row r="1125" spans="1:9" x14ac:dyDescent="0.25">
      <c r="A1125" t="str">
        <f t="shared" si="18"/>
        <v>89301000</v>
      </c>
      <c r="B1125" t="str">
        <f>"1201060223"</f>
        <v>1201060223</v>
      </c>
      <c r="C1125" s="1">
        <v>45196</v>
      </c>
      <c r="D1125" s="1">
        <v>45198</v>
      </c>
      <c r="E1125">
        <v>1</v>
      </c>
      <c r="F1125" t="str">
        <f>"21-K05-03"</f>
        <v>21-K05-03</v>
      </c>
      <c r="G1125">
        <v>0.45729999999999998</v>
      </c>
      <c r="H1125" t="s">
        <v>11</v>
      </c>
      <c r="I1125" t="s">
        <v>10</v>
      </c>
    </row>
    <row r="1126" spans="1:9" x14ac:dyDescent="0.25">
      <c r="A1126" t="str">
        <f t="shared" si="18"/>
        <v>89301000</v>
      </c>
      <c r="B1126" t="str">
        <f>"1201160323"</f>
        <v>1201160323</v>
      </c>
      <c r="C1126" s="1">
        <v>45161</v>
      </c>
      <c r="D1126" s="1">
        <v>45163</v>
      </c>
      <c r="E1126">
        <v>1</v>
      </c>
      <c r="F1126" t="str">
        <f>"12-I14-00"</f>
        <v>12-I14-00</v>
      </c>
      <c r="G1126">
        <v>0.42920000000000003</v>
      </c>
      <c r="H1126" t="s">
        <v>11</v>
      </c>
      <c r="I1126" t="s">
        <v>10</v>
      </c>
    </row>
    <row r="1127" spans="1:9" x14ac:dyDescent="0.25">
      <c r="A1127" t="str">
        <f t="shared" si="18"/>
        <v>89301000</v>
      </c>
      <c r="B1127" t="str">
        <f>"1201210043"</f>
        <v>1201210043</v>
      </c>
      <c r="C1127" s="1">
        <v>45014</v>
      </c>
      <c r="D1127" s="1">
        <v>45016</v>
      </c>
      <c r="E1127">
        <v>1</v>
      </c>
      <c r="F1127" t="str">
        <f>"12-I10-02"</f>
        <v>12-I10-02</v>
      </c>
      <c r="G1127">
        <v>0.51690000000000003</v>
      </c>
      <c r="H1127" t="s">
        <v>9</v>
      </c>
      <c r="I1127" t="s">
        <v>10</v>
      </c>
    </row>
    <row r="1128" spans="1:9" x14ac:dyDescent="0.25">
      <c r="A1128" t="str">
        <f t="shared" si="18"/>
        <v>89301000</v>
      </c>
      <c r="B1128" t="str">
        <f>"1201301662"</f>
        <v>1201301662</v>
      </c>
      <c r="C1128" s="1">
        <v>44951</v>
      </c>
      <c r="D1128" s="1">
        <v>44953</v>
      </c>
      <c r="E1128">
        <v>1</v>
      </c>
      <c r="F1128" t="str">
        <f>"12-I14-00"</f>
        <v>12-I14-00</v>
      </c>
      <c r="G1128">
        <v>0.42920000000000003</v>
      </c>
      <c r="H1128" t="s">
        <v>11</v>
      </c>
      <c r="I1128" t="s">
        <v>10</v>
      </c>
    </row>
    <row r="1129" spans="1:9" x14ac:dyDescent="0.25">
      <c r="A1129" t="str">
        <f t="shared" si="18"/>
        <v>89301000</v>
      </c>
      <c r="B1129" t="str">
        <f>"1202061509"</f>
        <v>1202061509</v>
      </c>
      <c r="C1129" s="1">
        <v>45201</v>
      </c>
      <c r="D1129" s="1">
        <v>45204</v>
      </c>
      <c r="E1129">
        <v>1</v>
      </c>
      <c r="F1129" t="str">
        <f>"12-I13-02"</f>
        <v>12-I13-02</v>
      </c>
      <c r="G1129">
        <v>0.53879999999999995</v>
      </c>
      <c r="H1129" t="s">
        <v>9</v>
      </c>
      <c r="I1129" t="s">
        <v>10</v>
      </c>
    </row>
    <row r="1130" spans="1:9" x14ac:dyDescent="0.25">
      <c r="A1130" t="str">
        <f t="shared" si="18"/>
        <v>89301000</v>
      </c>
      <c r="B1130" t="str">
        <f>"1202091198"</f>
        <v>1202091198</v>
      </c>
      <c r="C1130" s="1">
        <v>45134</v>
      </c>
      <c r="D1130" s="1">
        <v>45138</v>
      </c>
      <c r="E1130">
        <v>1</v>
      </c>
      <c r="F1130" t="str">
        <f>"06-I18-04"</f>
        <v>06-I18-04</v>
      </c>
      <c r="G1130">
        <v>1.1088</v>
      </c>
      <c r="H1130" t="s">
        <v>9</v>
      </c>
      <c r="I1130" t="s">
        <v>10</v>
      </c>
    </row>
    <row r="1131" spans="1:9" x14ac:dyDescent="0.25">
      <c r="A1131" t="str">
        <f t="shared" si="18"/>
        <v>89301000</v>
      </c>
      <c r="B1131" t="str">
        <f>"1202100372"</f>
        <v>1202100372</v>
      </c>
      <c r="C1131" s="1">
        <v>45059</v>
      </c>
      <c r="D1131" s="1">
        <v>45060</v>
      </c>
      <c r="E1131">
        <v>1</v>
      </c>
      <c r="F1131" t="str">
        <f>"08-I20-02"</f>
        <v>08-I20-02</v>
      </c>
      <c r="G1131">
        <v>0.94279999999999997</v>
      </c>
      <c r="H1131" t="s">
        <v>12</v>
      </c>
      <c r="I1131" t="s">
        <v>10</v>
      </c>
    </row>
    <row r="1132" spans="1:9" x14ac:dyDescent="0.25">
      <c r="A1132" t="str">
        <f t="shared" si="18"/>
        <v>89301000</v>
      </c>
      <c r="B1132" t="str">
        <f>"1202190110"</f>
        <v>1202190110</v>
      </c>
      <c r="C1132" s="1">
        <v>44973</v>
      </c>
      <c r="D1132" s="1">
        <v>44975</v>
      </c>
      <c r="E1132">
        <v>1</v>
      </c>
      <c r="F1132" t="str">
        <f>"11-I17-03"</f>
        <v>11-I17-03</v>
      </c>
      <c r="G1132">
        <v>0.45600000000000002</v>
      </c>
      <c r="H1132" t="s">
        <v>11</v>
      </c>
      <c r="I1132" t="s">
        <v>10</v>
      </c>
    </row>
    <row r="1133" spans="1:9" x14ac:dyDescent="0.25">
      <c r="A1133" t="str">
        <f t="shared" si="18"/>
        <v>89301000</v>
      </c>
      <c r="B1133" t="str">
        <f>"1203240115"</f>
        <v>1203240115</v>
      </c>
      <c r="C1133" s="1">
        <v>45057</v>
      </c>
      <c r="D1133" s="1">
        <v>45059</v>
      </c>
      <c r="E1133">
        <v>1</v>
      </c>
      <c r="F1133" t="str">
        <f>"03-I21-00"</f>
        <v>03-I21-00</v>
      </c>
      <c r="G1133">
        <v>0.42759999999999998</v>
      </c>
      <c r="H1133" t="s">
        <v>11</v>
      </c>
      <c r="I1133" t="s">
        <v>10</v>
      </c>
    </row>
    <row r="1134" spans="1:9" x14ac:dyDescent="0.25">
      <c r="A1134" t="str">
        <f t="shared" si="18"/>
        <v>89301000</v>
      </c>
      <c r="B1134" t="str">
        <f>"1203290528"</f>
        <v>1203290528</v>
      </c>
      <c r="C1134" s="1">
        <v>45032</v>
      </c>
      <c r="D1134" s="1">
        <v>45034</v>
      </c>
      <c r="E1134">
        <v>1</v>
      </c>
      <c r="F1134" t="str">
        <f>"03-I21-00"</f>
        <v>03-I21-00</v>
      </c>
      <c r="G1134">
        <v>0.42449999999999999</v>
      </c>
      <c r="H1134" t="s">
        <v>11</v>
      </c>
      <c r="I1134" t="s">
        <v>10</v>
      </c>
    </row>
    <row r="1135" spans="1:9" x14ac:dyDescent="0.25">
      <c r="A1135" t="str">
        <f t="shared" si="18"/>
        <v>89301000</v>
      </c>
      <c r="B1135" t="str">
        <f>"1204151179"</f>
        <v>1204151179</v>
      </c>
      <c r="C1135" s="1">
        <v>45180</v>
      </c>
      <c r="D1135" s="1">
        <v>45182</v>
      </c>
      <c r="E1135">
        <v>1</v>
      </c>
      <c r="F1135" t="str">
        <f>"12-I08-03"</f>
        <v>12-I08-03</v>
      </c>
      <c r="G1135">
        <v>0.71730000000000005</v>
      </c>
      <c r="H1135" t="s">
        <v>11</v>
      </c>
      <c r="I1135" t="s">
        <v>10</v>
      </c>
    </row>
    <row r="1136" spans="1:9" x14ac:dyDescent="0.25">
      <c r="A1136" t="str">
        <f t="shared" si="18"/>
        <v>89301000</v>
      </c>
      <c r="B1136" t="str">
        <f>"1206070261"</f>
        <v>1206070261</v>
      </c>
      <c r="C1136" s="1">
        <v>45173</v>
      </c>
      <c r="D1136" s="1">
        <v>45175</v>
      </c>
      <c r="E1136">
        <v>1</v>
      </c>
      <c r="F1136" t="str">
        <f>"03-K08-00"</f>
        <v>03-K08-00</v>
      </c>
      <c r="G1136">
        <v>0.45639999999999997</v>
      </c>
      <c r="H1136" t="s">
        <v>11</v>
      </c>
      <c r="I1136" t="s">
        <v>10</v>
      </c>
    </row>
    <row r="1137" spans="1:9" x14ac:dyDescent="0.25">
      <c r="A1137" t="str">
        <f t="shared" si="18"/>
        <v>89301000</v>
      </c>
      <c r="B1137" t="str">
        <f>"1206300491"</f>
        <v>1206300491</v>
      </c>
      <c r="C1137" s="1">
        <v>45104</v>
      </c>
      <c r="D1137" s="1">
        <v>45105</v>
      </c>
      <c r="E1137">
        <v>1</v>
      </c>
      <c r="F1137" t="str">
        <f>"06-K03-03"</f>
        <v>06-K03-03</v>
      </c>
      <c r="G1137">
        <v>0.42649999999999999</v>
      </c>
      <c r="H1137" t="s">
        <v>11</v>
      </c>
      <c r="I1137" t="s">
        <v>10</v>
      </c>
    </row>
    <row r="1138" spans="1:9" x14ac:dyDescent="0.25">
      <c r="A1138" t="str">
        <f t="shared" si="18"/>
        <v>89301000</v>
      </c>
      <c r="B1138" t="str">
        <f>"1207030286"</f>
        <v>1207030286</v>
      </c>
      <c r="C1138" s="1">
        <v>45028</v>
      </c>
      <c r="D1138" s="1">
        <v>45030</v>
      </c>
      <c r="E1138">
        <v>1</v>
      </c>
      <c r="F1138" t="str">
        <f>"12-I10-02"</f>
        <v>12-I10-02</v>
      </c>
      <c r="G1138">
        <v>0.51690000000000003</v>
      </c>
      <c r="H1138" t="s">
        <v>9</v>
      </c>
      <c r="I1138" t="s">
        <v>10</v>
      </c>
    </row>
    <row r="1139" spans="1:9" x14ac:dyDescent="0.25">
      <c r="A1139" t="str">
        <f t="shared" si="18"/>
        <v>89301000</v>
      </c>
      <c r="B1139" t="str">
        <f>"1207070040"</f>
        <v>1207070040</v>
      </c>
      <c r="C1139" s="1">
        <v>45107</v>
      </c>
      <c r="D1139" s="1">
        <v>45110</v>
      </c>
      <c r="E1139">
        <v>1</v>
      </c>
      <c r="F1139" t="str">
        <f>"06-I18-04"</f>
        <v>06-I18-04</v>
      </c>
      <c r="G1139">
        <v>1.1088</v>
      </c>
      <c r="H1139" t="s">
        <v>9</v>
      </c>
      <c r="I1139" t="s">
        <v>10</v>
      </c>
    </row>
    <row r="1140" spans="1:9" x14ac:dyDescent="0.25">
      <c r="A1140" t="str">
        <f t="shared" si="18"/>
        <v>89301000</v>
      </c>
      <c r="B1140" t="str">
        <f>"1207150846"</f>
        <v>1207150846</v>
      </c>
      <c r="C1140" s="1">
        <v>44928</v>
      </c>
      <c r="D1140" s="1">
        <v>44930</v>
      </c>
      <c r="E1140">
        <v>1</v>
      </c>
      <c r="F1140" t="str">
        <f>"12-I14-00"</f>
        <v>12-I14-00</v>
      </c>
      <c r="G1140">
        <v>0.42920000000000003</v>
      </c>
      <c r="H1140" t="s">
        <v>11</v>
      </c>
      <c r="I1140" t="s">
        <v>10</v>
      </c>
    </row>
    <row r="1141" spans="1:9" x14ac:dyDescent="0.25">
      <c r="A1141" t="str">
        <f t="shared" si="18"/>
        <v>89301000</v>
      </c>
      <c r="B1141" t="str">
        <f>"1207171823"</f>
        <v>1207171823</v>
      </c>
      <c r="C1141" s="1">
        <v>45097</v>
      </c>
      <c r="D1141" s="1">
        <v>45099</v>
      </c>
      <c r="E1141">
        <v>1</v>
      </c>
      <c r="F1141" t="str">
        <f>"06-K03-03"</f>
        <v>06-K03-03</v>
      </c>
      <c r="G1141">
        <v>0.43419999999999997</v>
      </c>
      <c r="H1141" t="s">
        <v>11</v>
      </c>
      <c r="I1141" t="s">
        <v>10</v>
      </c>
    </row>
    <row r="1142" spans="1:9" x14ac:dyDescent="0.25">
      <c r="A1142" t="str">
        <f t="shared" si="18"/>
        <v>89301000</v>
      </c>
      <c r="B1142" t="str">
        <f>"1207200962"</f>
        <v>1207200962</v>
      </c>
      <c r="C1142" s="1">
        <v>45255</v>
      </c>
      <c r="D1142" s="1">
        <v>45258</v>
      </c>
      <c r="E1142">
        <v>1</v>
      </c>
      <c r="F1142" t="str">
        <f>"06-K02-04"</f>
        <v>06-K02-04</v>
      </c>
      <c r="G1142">
        <v>0.37659999999999999</v>
      </c>
      <c r="H1142" t="s">
        <v>11</v>
      </c>
      <c r="I1142" t="s">
        <v>10</v>
      </c>
    </row>
    <row r="1143" spans="1:9" x14ac:dyDescent="0.25">
      <c r="A1143" t="str">
        <f t="shared" si="18"/>
        <v>89301000</v>
      </c>
      <c r="B1143" t="str">
        <f>"1207200962"</f>
        <v>1207200962</v>
      </c>
      <c r="C1143" s="1">
        <v>45279</v>
      </c>
      <c r="D1143" s="1">
        <v>45280</v>
      </c>
      <c r="E1143">
        <v>1</v>
      </c>
      <c r="F1143" t="str">
        <f>"06-K22-03"</f>
        <v>06-K22-03</v>
      </c>
      <c r="G1143">
        <v>0.31619999999999998</v>
      </c>
      <c r="H1143" t="s">
        <v>11</v>
      </c>
      <c r="I1143" t="s">
        <v>10</v>
      </c>
    </row>
    <row r="1144" spans="1:9" x14ac:dyDescent="0.25">
      <c r="A1144" t="str">
        <f t="shared" si="18"/>
        <v>89301000</v>
      </c>
      <c r="B1144" t="str">
        <f>"1207220080"</f>
        <v>1207220080</v>
      </c>
      <c r="C1144" s="1">
        <v>45050</v>
      </c>
      <c r="D1144" s="1">
        <v>45055</v>
      </c>
      <c r="E1144">
        <v>1</v>
      </c>
      <c r="F1144" t="str">
        <f>"06-I18-04"</f>
        <v>06-I18-04</v>
      </c>
      <c r="G1144">
        <v>1.1088</v>
      </c>
      <c r="H1144" t="s">
        <v>9</v>
      </c>
      <c r="I1144" t="s">
        <v>10</v>
      </c>
    </row>
    <row r="1145" spans="1:9" x14ac:dyDescent="0.25">
      <c r="A1145" t="str">
        <f t="shared" si="18"/>
        <v>89301000</v>
      </c>
      <c r="B1145" t="str">
        <f>"1208070039"</f>
        <v>1208070039</v>
      </c>
      <c r="C1145" s="1">
        <v>45176</v>
      </c>
      <c r="D1145" s="1">
        <v>45178</v>
      </c>
      <c r="E1145">
        <v>1</v>
      </c>
      <c r="F1145" t="str">
        <f>"12-I13-02"</f>
        <v>12-I13-02</v>
      </c>
      <c r="G1145">
        <v>0.53879999999999995</v>
      </c>
      <c r="H1145" t="s">
        <v>9</v>
      </c>
      <c r="I1145" t="s">
        <v>10</v>
      </c>
    </row>
    <row r="1146" spans="1:9" x14ac:dyDescent="0.25">
      <c r="A1146" t="str">
        <f t="shared" si="18"/>
        <v>89301000</v>
      </c>
      <c r="B1146" t="str">
        <f>"1208070424"</f>
        <v>1208070424</v>
      </c>
      <c r="C1146" s="1">
        <v>44940</v>
      </c>
      <c r="D1146" s="1">
        <v>44942</v>
      </c>
      <c r="E1146">
        <v>1</v>
      </c>
      <c r="F1146" t="str">
        <f>"01-K03-06"</f>
        <v>01-K03-06</v>
      </c>
      <c r="G1146">
        <v>0.84740000000000004</v>
      </c>
      <c r="H1146" t="s">
        <v>11</v>
      </c>
      <c r="I1146" t="s">
        <v>10</v>
      </c>
    </row>
    <row r="1147" spans="1:9" x14ac:dyDescent="0.25">
      <c r="A1147" t="str">
        <f t="shared" si="18"/>
        <v>89301000</v>
      </c>
      <c r="B1147" t="str">
        <f>"1208260207"</f>
        <v>1208260207</v>
      </c>
      <c r="C1147" s="1">
        <v>45138</v>
      </c>
      <c r="D1147" s="1">
        <v>45142</v>
      </c>
      <c r="E1147">
        <v>1</v>
      </c>
      <c r="F1147" t="str">
        <f>"16-K03-03"</f>
        <v>16-K03-03</v>
      </c>
      <c r="G1147">
        <v>0.62470000000000003</v>
      </c>
      <c r="H1147" t="s">
        <v>11</v>
      </c>
      <c r="I1147" t="s">
        <v>10</v>
      </c>
    </row>
    <row r="1148" spans="1:9" x14ac:dyDescent="0.25">
      <c r="A1148" t="str">
        <f t="shared" ref="A1148:A1211" si="19">"89301000"</f>
        <v>89301000</v>
      </c>
      <c r="B1148" t="str">
        <f>"1208260207"</f>
        <v>1208260207</v>
      </c>
      <c r="C1148" s="1">
        <v>45107</v>
      </c>
      <c r="D1148" s="1">
        <v>45132</v>
      </c>
      <c r="E1148">
        <v>1</v>
      </c>
      <c r="F1148" t="str">
        <f>"06-I07-04"</f>
        <v>06-I07-04</v>
      </c>
      <c r="G1148">
        <v>5.2262000000000004</v>
      </c>
      <c r="H1148" t="s">
        <v>12</v>
      </c>
      <c r="I1148" t="s">
        <v>10</v>
      </c>
    </row>
    <row r="1149" spans="1:9" x14ac:dyDescent="0.25">
      <c r="A1149" t="str">
        <f t="shared" si="19"/>
        <v>89301000</v>
      </c>
      <c r="B1149" t="str">
        <f>"1209110540"</f>
        <v>1209110540</v>
      </c>
      <c r="C1149" s="1">
        <v>45067</v>
      </c>
      <c r="D1149" s="1">
        <v>45069</v>
      </c>
      <c r="E1149">
        <v>1</v>
      </c>
      <c r="F1149" t="str">
        <f>"02-I11-01"</f>
        <v>02-I11-01</v>
      </c>
      <c r="G1149">
        <v>0.80620000000000003</v>
      </c>
      <c r="H1149" t="s">
        <v>12</v>
      </c>
      <c r="I1149" t="s">
        <v>10</v>
      </c>
    </row>
    <row r="1150" spans="1:9" x14ac:dyDescent="0.25">
      <c r="A1150" t="str">
        <f t="shared" si="19"/>
        <v>89301000</v>
      </c>
      <c r="B1150" t="str">
        <f>"1210081015"</f>
        <v>1210081015</v>
      </c>
      <c r="C1150" s="1">
        <v>45106</v>
      </c>
      <c r="D1150" s="1">
        <v>45110</v>
      </c>
      <c r="E1150">
        <v>1</v>
      </c>
      <c r="F1150" t="str">
        <f>"01-K07-01"</f>
        <v>01-K07-01</v>
      </c>
      <c r="G1150">
        <v>1.3108</v>
      </c>
      <c r="H1150" t="s">
        <v>11</v>
      </c>
      <c r="I1150" t="s">
        <v>10</v>
      </c>
    </row>
    <row r="1151" spans="1:9" x14ac:dyDescent="0.25">
      <c r="A1151" t="str">
        <f t="shared" si="19"/>
        <v>89301000</v>
      </c>
      <c r="B1151" t="str">
        <f>"1210250261"</f>
        <v>1210250261</v>
      </c>
      <c r="C1151" s="1">
        <v>44955</v>
      </c>
      <c r="D1151" s="1">
        <v>44964</v>
      </c>
      <c r="E1151">
        <v>6</v>
      </c>
      <c r="F1151" t="str">
        <f>"01-K03-05"</f>
        <v>01-K03-05</v>
      </c>
      <c r="G1151">
        <v>1.6964999999999999</v>
      </c>
      <c r="H1151" t="s">
        <v>11</v>
      </c>
      <c r="I1151" t="s">
        <v>10</v>
      </c>
    </row>
    <row r="1152" spans="1:9" x14ac:dyDescent="0.25">
      <c r="A1152" t="str">
        <f t="shared" si="19"/>
        <v>89301000</v>
      </c>
      <c r="B1152" t="str">
        <f>"1211031294"</f>
        <v>1211031294</v>
      </c>
      <c r="C1152" s="1">
        <v>45118</v>
      </c>
      <c r="D1152" s="1">
        <v>45121</v>
      </c>
      <c r="E1152">
        <v>1</v>
      </c>
      <c r="F1152" t="str">
        <f>"03-K02-03"</f>
        <v>03-K02-03</v>
      </c>
      <c r="G1152">
        <v>0.34050000000000002</v>
      </c>
      <c r="H1152" t="s">
        <v>11</v>
      </c>
      <c r="I1152" t="s">
        <v>10</v>
      </c>
    </row>
    <row r="1153" spans="1:9" x14ac:dyDescent="0.25">
      <c r="A1153" t="str">
        <f t="shared" si="19"/>
        <v>89301000</v>
      </c>
      <c r="B1153" t="str">
        <f>"1211110043"</f>
        <v>1211110043</v>
      </c>
      <c r="C1153" s="1">
        <v>44986</v>
      </c>
      <c r="D1153" s="1">
        <v>44988</v>
      </c>
      <c r="E1153">
        <v>1</v>
      </c>
      <c r="F1153" t="str">
        <f>"12-I14-00"</f>
        <v>12-I14-00</v>
      </c>
      <c r="G1153">
        <v>0.42920000000000003</v>
      </c>
      <c r="H1153" t="s">
        <v>11</v>
      </c>
      <c r="I1153" t="s">
        <v>10</v>
      </c>
    </row>
    <row r="1154" spans="1:9" x14ac:dyDescent="0.25">
      <c r="A1154" t="str">
        <f t="shared" si="19"/>
        <v>89301000</v>
      </c>
      <c r="B1154" t="str">
        <f>"1211190288"</f>
        <v>1211190288</v>
      </c>
      <c r="C1154" s="1">
        <v>45139</v>
      </c>
      <c r="D1154" s="1">
        <v>45141</v>
      </c>
      <c r="E1154">
        <v>1</v>
      </c>
      <c r="F1154" t="str">
        <f>"18-K02-05"</f>
        <v>18-K02-05</v>
      </c>
      <c r="G1154">
        <v>0.48089999999999999</v>
      </c>
      <c r="H1154" t="s">
        <v>11</v>
      </c>
      <c r="I1154" t="s">
        <v>10</v>
      </c>
    </row>
    <row r="1155" spans="1:9" x14ac:dyDescent="0.25">
      <c r="A1155" t="str">
        <f t="shared" si="19"/>
        <v>89301000</v>
      </c>
      <c r="B1155" t="str">
        <f>"1211670515"</f>
        <v>1211670515</v>
      </c>
      <c r="C1155" s="1">
        <v>45059</v>
      </c>
      <c r="D1155" s="1">
        <v>45060</v>
      </c>
      <c r="E1155">
        <v>1</v>
      </c>
      <c r="F1155" t="str">
        <f>"08-I20-03"</f>
        <v>08-I20-03</v>
      </c>
      <c r="G1155">
        <v>0.62639999999999996</v>
      </c>
      <c r="H1155" t="s">
        <v>12</v>
      </c>
      <c r="I1155" t="s">
        <v>10</v>
      </c>
    </row>
    <row r="1156" spans="1:9" x14ac:dyDescent="0.25">
      <c r="A1156" t="str">
        <f t="shared" si="19"/>
        <v>89301000</v>
      </c>
      <c r="B1156" t="str">
        <f>"1212050213"</f>
        <v>1212050213</v>
      </c>
      <c r="C1156" s="1">
        <v>45068</v>
      </c>
      <c r="D1156" s="1">
        <v>45071</v>
      </c>
      <c r="E1156">
        <v>1</v>
      </c>
      <c r="F1156" t="str">
        <f>"06-K22-03"</f>
        <v>06-K22-03</v>
      </c>
      <c r="G1156">
        <v>0.31819999999999998</v>
      </c>
      <c r="H1156" t="s">
        <v>11</v>
      </c>
      <c r="I1156" t="s">
        <v>10</v>
      </c>
    </row>
    <row r="1157" spans="1:9" x14ac:dyDescent="0.25">
      <c r="A1157" t="str">
        <f t="shared" si="19"/>
        <v>89301000</v>
      </c>
      <c r="B1157" t="str">
        <f>"1212090033"</f>
        <v>1212090033</v>
      </c>
      <c r="C1157" s="1">
        <v>45186</v>
      </c>
      <c r="D1157" s="1">
        <v>45187</v>
      </c>
      <c r="E1157">
        <v>1</v>
      </c>
      <c r="F1157" t="str">
        <f>"06-K10-03"</f>
        <v>06-K10-03</v>
      </c>
      <c r="G1157">
        <v>0.42630000000000001</v>
      </c>
      <c r="H1157" t="s">
        <v>11</v>
      </c>
      <c r="I1157" t="s">
        <v>10</v>
      </c>
    </row>
    <row r="1158" spans="1:9" x14ac:dyDescent="0.25">
      <c r="A1158" t="str">
        <f t="shared" si="19"/>
        <v>89301000</v>
      </c>
      <c r="B1158" t="str">
        <f>"1251220047"</f>
        <v>1251220047</v>
      </c>
      <c r="C1158" s="1">
        <v>44980</v>
      </c>
      <c r="D1158" s="1">
        <v>44981</v>
      </c>
      <c r="E1158">
        <v>1</v>
      </c>
      <c r="F1158" t="str">
        <f>"21-K04-00"</f>
        <v>21-K04-00</v>
      </c>
      <c r="G1158">
        <v>0.2397</v>
      </c>
      <c r="H1158" t="s">
        <v>11</v>
      </c>
      <c r="I1158" t="s">
        <v>10</v>
      </c>
    </row>
    <row r="1159" spans="1:9" x14ac:dyDescent="0.25">
      <c r="A1159" t="str">
        <f t="shared" si="19"/>
        <v>89301000</v>
      </c>
      <c r="B1159" t="str">
        <f>"1252051306"</f>
        <v>1252051306</v>
      </c>
      <c r="C1159" s="1">
        <v>45238</v>
      </c>
      <c r="D1159" s="1">
        <v>45238</v>
      </c>
      <c r="E1159">
        <v>1</v>
      </c>
      <c r="F1159" t="str">
        <f>"06-K02-04"</f>
        <v>06-K02-04</v>
      </c>
      <c r="G1159">
        <v>0.1883</v>
      </c>
      <c r="H1159" t="s">
        <v>11</v>
      </c>
      <c r="I1159" t="s">
        <v>10</v>
      </c>
    </row>
    <row r="1160" spans="1:9" x14ac:dyDescent="0.25">
      <c r="A1160" t="str">
        <f t="shared" si="19"/>
        <v>89301000</v>
      </c>
      <c r="B1160" t="str">
        <f>"1253031186"</f>
        <v>1253031186</v>
      </c>
      <c r="C1160" s="1">
        <v>45110</v>
      </c>
      <c r="D1160" s="1">
        <v>45115</v>
      </c>
      <c r="E1160">
        <v>1</v>
      </c>
      <c r="F1160" t="str">
        <f>"03-I16-02"</f>
        <v>03-I16-02</v>
      </c>
      <c r="G1160">
        <v>0.92979999999999996</v>
      </c>
      <c r="H1160" t="s">
        <v>9</v>
      </c>
      <c r="I1160" t="s">
        <v>10</v>
      </c>
    </row>
    <row r="1161" spans="1:9" x14ac:dyDescent="0.25">
      <c r="A1161" t="str">
        <f t="shared" si="19"/>
        <v>89301000</v>
      </c>
      <c r="B1161" t="str">
        <f>"1253170105"</f>
        <v>1253170105</v>
      </c>
      <c r="C1161" s="1">
        <v>45244</v>
      </c>
      <c r="D1161" s="1">
        <v>45246</v>
      </c>
      <c r="E1161">
        <v>1</v>
      </c>
      <c r="F1161" t="str">
        <f>"08-I26-02"</f>
        <v>08-I26-02</v>
      </c>
      <c r="G1161">
        <v>0.83779999999999999</v>
      </c>
      <c r="H1161" t="s">
        <v>11</v>
      </c>
      <c r="I1161" t="s">
        <v>10</v>
      </c>
    </row>
    <row r="1162" spans="1:9" x14ac:dyDescent="0.25">
      <c r="A1162" t="str">
        <f t="shared" si="19"/>
        <v>89301000</v>
      </c>
      <c r="B1162" t="str">
        <f>"1254040238"</f>
        <v>1254040238</v>
      </c>
      <c r="C1162" s="1">
        <v>45130</v>
      </c>
      <c r="D1162" s="1">
        <v>45132</v>
      </c>
      <c r="E1162">
        <v>1</v>
      </c>
      <c r="F1162" t="str">
        <f>"03-K03-02"</f>
        <v>03-K03-02</v>
      </c>
      <c r="G1162">
        <v>0.51949999999999996</v>
      </c>
      <c r="H1162" t="s">
        <v>11</v>
      </c>
      <c r="I1162" t="s">
        <v>10</v>
      </c>
    </row>
    <row r="1163" spans="1:9" x14ac:dyDescent="0.25">
      <c r="A1163" t="str">
        <f t="shared" si="19"/>
        <v>89301000</v>
      </c>
      <c r="B1163" t="str">
        <f>"1254161667"</f>
        <v>1254161667</v>
      </c>
      <c r="C1163" s="1">
        <v>44973</v>
      </c>
      <c r="D1163" s="1">
        <v>44974</v>
      </c>
      <c r="E1163">
        <v>1</v>
      </c>
      <c r="F1163" t="str">
        <f>"10-K16-03"</f>
        <v>10-K16-03</v>
      </c>
      <c r="G1163">
        <v>0.34539999999999998</v>
      </c>
      <c r="H1163" t="s">
        <v>11</v>
      </c>
      <c r="I1163" t="s">
        <v>10</v>
      </c>
    </row>
    <row r="1164" spans="1:9" x14ac:dyDescent="0.25">
      <c r="A1164" t="str">
        <f t="shared" si="19"/>
        <v>89301000</v>
      </c>
      <c r="B1164" t="str">
        <f>"1255020239"</f>
        <v>1255020239</v>
      </c>
      <c r="C1164" s="1">
        <v>45139</v>
      </c>
      <c r="D1164" s="1">
        <v>45141</v>
      </c>
      <c r="E1164">
        <v>1</v>
      </c>
      <c r="F1164" t="str">
        <f>"08-K08-00"</f>
        <v>08-K08-00</v>
      </c>
      <c r="G1164">
        <v>0.5272</v>
      </c>
      <c r="H1164" t="s">
        <v>11</v>
      </c>
      <c r="I1164" t="s">
        <v>10</v>
      </c>
    </row>
    <row r="1165" spans="1:9" x14ac:dyDescent="0.25">
      <c r="A1165" t="str">
        <f t="shared" si="19"/>
        <v>89301000</v>
      </c>
      <c r="B1165" t="str">
        <f>"1255070223"</f>
        <v>1255070223</v>
      </c>
      <c r="C1165" s="1">
        <v>45117</v>
      </c>
      <c r="D1165" s="1">
        <v>45119</v>
      </c>
      <c r="E1165">
        <v>1</v>
      </c>
      <c r="F1165" t="str">
        <f>"03-K08-00"</f>
        <v>03-K08-00</v>
      </c>
      <c r="G1165">
        <v>0.45639999999999997</v>
      </c>
      <c r="H1165" t="s">
        <v>11</v>
      </c>
      <c r="I1165" t="s">
        <v>10</v>
      </c>
    </row>
    <row r="1166" spans="1:9" x14ac:dyDescent="0.25">
      <c r="A1166" t="str">
        <f t="shared" si="19"/>
        <v>89301000</v>
      </c>
      <c r="B1166" t="str">
        <f>"1255111000"</f>
        <v>1255111000</v>
      </c>
      <c r="C1166" s="1">
        <v>45041</v>
      </c>
      <c r="D1166" s="1">
        <v>45043</v>
      </c>
      <c r="E1166">
        <v>1</v>
      </c>
      <c r="F1166" t="str">
        <f>"08-I32-00"</f>
        <v>08-I32-00</v>
      </c>
      <c r="G1166">
        <v>0.40870000000000001</v>
      </c>
      <c r="H1166" t="s">
        <v>11</v>
      </c>
      <c r="I1166" t="s">
        <v>10</v>
      </c>
    </row>
    <row r="1167" spans="1:9" x14ac:dyDescent="0.25">
      <c r="A1167" t="str">
        <f t="shared" si="19"/>
        <v>89301000</v>
      </c>
      <c r="B1167" t="str">
        <f>"1257111240"</f>
        <v>1257111240</v>
      </c>
      <c r="C1167" s="1">
        <v>45115</v>
      </c>
      <c r="D1167" s="1">
        <v>45117</v>
      </c>
      <c r="E1167">
        <v>1</v>
      </c>
      <c r="F1167" t="str">
        <f>"03-K06-01"</f>
        <v>03-K06-01</v>
      </c>
      <c r="G1167">
        <v>0.4713</v>
      </c>
      <c r="H1167" t="s">
        <v>11</v>
      </c>
      <c r="I1167" t="s">
        <v>10</v>
      </c>
    </row>
    <row r="1168" spans="1:9" x14ac:dyDescent="0.25">
      <c r="A1168" t="str">
        <f t="shared" si="19"/>
        <v>89301000</v>
      </c>
      <c r="B1168" t="str">
        <f>"1258081924"</f>
        <v>1258081924</v>
      </c>
      <c r="C1168" s="1">
        <v>44973</v>
      </c>
      <c r="D1168" s="1">
        <v>44977</v>
      </c>
      <c r="E1168">
        <v>1</v>
      </c>
      <c r="F1168" t="str">
        <f>"06-I18-04"</f>
        <v>06-I18-04</v>
      </c>
      <c r="G1168">
        <v>1.1088</v>
      </c>
      <c r="H1168" t="s">
        <v>9</v>
      </c>
      <c r="I1168" t="s">
        <v>10</v>
      </c>
    </row>
    <row r="1169" spans="1:9" x14ac:dyDescent="0.25">
      <c r="A1169" t="str">
        <f t="shared" si="19"/>
        <v>89301000</v>
      </c>
      <c r="B1169" t="str">
        <f>"1258141962"</f>
        <v>1258141962</v>
      </c>
      <c r="C1169" s="1">
        <v>44988</v>
      </c>
      <c r="D1169" s="1">
        <v>45002</v>
      </c>
      <c r="E1169">
        <v>1</v>
      </c>
      <c r="F1169" t="str">
        <f>"04-K02-02"</f>
        <v>04-K02-02</v>
      </c>
      <c r="G1169">
        <v>2.8616999999999999</v>
      </c>
      <c r="H1169" t="s">
        <v>11</v>
      </c>
      <c r="I1169" t="s">
        <v>10</v>
      </c>
    </row>
    <row r="1170" spans="1:9" x14ac:dyDescent="0.25">
      <c r="A1170" t="str">
        <f t="shared" si="19"/>
        <v>89301000</v>
      </c>
      <c r="B1170" t="str">
        <f>"1259150046"</f>
        <v>1259150046</v>
      </c>
      <c r="C1170" s="1">
        <v>45014</v>
      </c>
      <c r="D1170" s="1">
        <v>45016</v>
      </c>
      <c r="E1170">
        <v>1</v>
      </c>
      <c r="F1170" t="str">
        <f>"06-I16-05"</f>
        <v>06-I16-05</v>
      </c>
      <c r="G1170">
        <v>0.4622</v>
      </c>
      <c r="H1170" t="s">
        <v>9</v>
      </c>
      <c r="I1170" t="s">
        <v>10</v>
      </c>
    </row>
    <row r="1171" spans="1:9" x14ac:dyDescent="0.25">
      <c r="A1171" t="str">
        <f t="shared" si="19"/>
        <v>89301000</v>
      </c>
      <c r="B1171" t="str">
        <f>"1260050286"</f>
        <v>1260050286</v>
      </c>
      <c r="C1171" s="1">
        <v>45265</v>
      </c>
      <c r="D1171" s="1">
        <v>45267</v>
      </c>
      <c r="E1171">
        <v>1</v>
      </c>
      <c r="F1171" t="str">
        <f>"08-I32-00"</f>
        <v>08-I32-00</v>
      </c>
      <c r="G1171">
        <v>0.40870000000000001</v>
      </c>
      <c r="H1171" t="s">
        <v>11</v>
      </c>
      <c r="I1171" t="s">
        <v>10</v>
      </c>
    </row>
    <row r="1172" spans="1:9" x14ac:dyDescent="0.25">
      <c r="A1172" t="str">
        <f t="shared" si="19"/>
        <v>89301000</v>
      </c>
      <c r="B1172" t="str">
        <f>"1260050286"</f>
        <v>1260050286</v>
      </c>
      <c r="C1172" s="1">
        <v>45179</v>
      </c>
      <c r="D1172" s="1">
        <v>45181</v>
      </c>
      <c r="E1172">
        <v>1</v>
      </c>
      <c r="F1172" t="str">
        <f>"08-I20-03"</f>
        <v>08-I20-03</v>
      </c>
      <c r="G1172">
        <v>0.62639999999999996</v>
      </c>
      <c r="H1172" t="s">
        <v>12</v>
      </c>
      <c r="I1172" t="s">
        <v>10</v>
      </c>
    </row>
    <row r="1173" spans="1:9" x14ac:dyDescent="0.25">
      <c r="A1173" t="str">
        <f t="shared" si="19"/>
        <v>89301000</v>
      </c>
      <c r="B1173" t="str">
        <f>"1260290229"</f>
        <v>1260290229</v>
      </c>
      <c r="C1173" s="1">
        <v>45032</v>
      </c>
      <c r="D1173" s="1">
        <v>45033</v>
      </c>
      <c r="E1173">
        <v>1</v>
      </c>
      <c r="F1173" t="str">
        <f>"08-I20-03"</f>
        <v>08-I20-03</v>
      </c>
      <c r="G1173">
        <v>0.62639999999999996</v>
      </c>
      <c r="H1173" t="s">
        <v>12</v>
      </c>
      <c r="I1173" t="s">
        <v>10</v>
      </c>
    </row>
    <row r="1174" spans="1:9" x14ac:dyDescent="0.25">
      <c r="A1174" t="str">
        <f t="shared" si="19"/>
        <v>89301000</v>
      </c>
      <c r="B1174" t="str">
        <f>"1260310018"</f>
        <v>1260310018</v>
      </c>
      <c r="C1174" s="1">
        <v>45013</v>
      </c>
      <c r="D1174" s="1">
        <v>45020</v>
      </c>
      <c r="E1174">
        <v>1</v>
      </c>
      <c r="F1174" t="str">
        <f>"04-K03-03"</f>
        <v>04-K03-03</v>
      </c>
      <c r="G1174">
        <v>0.56110000000000004</v>
      </c>
      <c r="H1174" t="s">
        <v>11</v>
      </c>
      <c r="I1174" t="s">
        <v>10</v>
      </c>
    </row>
    <row r="1175" spans="1:9" x14ac:dyDescent="0.25">
      <c r="A1175" t="str">
        <f t="shared" si="19"/>
        <v>89301000</v>
      </c>
      <c r="B1175" t="str">
        <f>"1261010729"</f>
        <v>1261010729</v>
      </c>
      <c r="C1175" s="1">
        <v>45195</v>
      </c>
      <c r="D1175" s="1">
        <v>45197</v>
      </c>
      <c r="E1175">
        <v>1</v>
      </c>
      <c r="F1175" t="str">
        <f>"03-I21-00"</f>
        <v>03-I21-00</v>
      </c>
      <c r="G1175">
        <v>0.42449999999999999</v>
      </c>
      <c r="H1175" t="s">
        <v>11</v>
      </c>
      <c r="I1175" t="s">
        <v>10</v>
      </c>
    </row>
    <row r="1176" spans="1:9" x14ac:dyDescent="0.25">
      <c r="A1176" t="str">
        <f t="shared" si="19"/>
        <v>89301000</v>
      </c>
      <c r="B1176" t="str">
        <f>"1261010729"</f>
        <v>1261010729</v>
      </c>
      <c r="C1176" s="1">
        <v>45116</v>
      </c>
      <c r="D1176" s="1">
        <v>45118</v>
      </c>
      <c r="E1176">
        <v>1</v>
      </c>
      <c r="F1176" t="str">
        <f>"03-K06-01"</f>
        <v>03-K06-01</v>
      </c>
      <c r="G1176">
        <v>0.4713</v>
      </c>
      <c r="H1176" t="s">
        <v>11</v>
      </c>
      <c r="I1176" t="s">
        <v>10</v>
      </c>
    </row>
    <row r="1177" spans="1:9" x14ac:dyDescent="0.25">
      <c r="A1177" t="str">
        <f t="shared" si="19"/>
        <v>89301000</v>
      </c>
      <c r="B1177" t="str">
        <f>"1261060449"</f>
        <v>1261060449</v>
      </c>
      <c r="C1177" s="1">
        <v>45156</v>
      </c>
      <c r="D1177" s="1">
        <v>45157</v>
      </c>
      <c r="E1177">
        <v>1</v>
      </c>
      <c r="F1177" t="str">
        <f>"08-I20-03"</f>
        <v>08-I20-03</v>
      </c>
      <c r="G1177">
        <v>0.62639999999999996</v>
      </c>
      <c r="H1177" t="s">
        <v>12</v>
      </c>
      <c r="I1177" t="s">
        <v>10</v>
      </c>
    </row>
    <row r="1178" spans="1:9" x14ac:dyDescent="0.25">
      <c r="A1178" t="str">
        <f t="shared" si="19"/>
        <v>89301000</v>
      </c>
      <c r="B1178" t="str">
        <f>"1261060449"</f>
        <v>1261060449</v>
      </c>
      <c r="C1178" s="1">
        <v>44942</v>
      </c>
      <c r="D1178" s="1">
        <v>44946</v>
      </c>
      <c r="E1178">
        <v>1</v>
      </c>
      <c r="F1178" t="str">
        <f>"17-K01-01"</f>
        <v>17-K01-01</v>
      </c>
      <c r="G1178">
        <v>3.7141999999999999</v>
      </c>
      <c r="H1178" t="s">
        <v>11</v>
      </c>
      <c r="I1178" t="s">
        <v>10</v>
      </c>
    </row>
    <row r="1179" spans="1:9" x14ac:dyDescent="0.25">
      <c r="A1179" t="str">
        <f t="shared" si="19"/>
        <v>89301000</v>
      </c>
      <c r="B1179" t="str">
        <f>"1261111170"</f>
        <v>1261111170</v>
      </c>
      <c r="C1179" s="1">
        <v>45101</v>
      </c>
      <c r="D1179" s="1">
        <v>45103</v>
      </c>
      <c r="E1179">
        <v>1</v>
      </c>
      <c r="F1179" t="str">
        <f>"01-K16-06"</f>
        <v>01-K16-06</v>
      </c>
      <c r="G1179">
        <v>0.27150000000000002</v>
      </c>
      <c r="H1179" t="s">
        <v>11</v>
      </c>
      <c r="I1179" t="s">
        <v>10</v>
      </c>
    </row>
    <row r="1180" spans="1:9" x14ac:dyDescent="0.25">
      <c r="A1180" t="str">
        <f t="shared" si="19"/>
        <v>89301000</v>
      </c>
      <c r="B1180" t="str">
        <f>"1262100180"</f>
        <v>1262100180</v>
      </c>
      <c r="C1180" s="1">
        <v>44965</v>
      </c>
      <c r="D1180" s="1">
        <v>44988</v>
      </c>
      <c r="E1180">
        <v>1</v>
      </c>
      <c r="F1180" t="str">
        <f>"01-I06-02"</f>
        <v>01-I06-02</v>
      </c>
      <c r="G1180">
        <v>5.1349</v>
      </c>
      <c r="H1180" t="s">
        <v>12</v>
      </c>
      <c r="I1180" t="s">
        <v>10</v>
      </c>
    </row>
    <row r="1181" spans="1:9" x14ac:dyDescent="0.25">
      <c r="A1181" t="str">
        <f t="shared" si="19"/>
        <v>89301000</v>
      </c>
      <c r="B1181" t="str">
        <f>"1262100180"</f>
        <v>1262100180</v>
      </c>
      <c r="C1181" s="1">
        <v>45061</v>
      </c>
      <c r="D1181" s="1">
        <v>45065</v>
      </c>
      <c r="E1181">
        <v>1</v>
      </c>
      <c r="F1181" t="str">
        <f>"01-I07-04"</f>
        <v>01-I07-04</v>
      </c>
      <c r="G1181">
        <v>2.3734000000000002</v>
      </c>
      <c r="H1181" t="s">
        <v>12</v>
      </c>
      <c r="I1181" t="s">
        <v>10</v>
      </c>
    </row>
    <row r="1182" spans="1:9" x14ac:dyDescent="0.25">
      <c r="A1182" t="str">
        <f t="shared" si="19"/>
        <v>89301000</v>
      </c>
      <c r="B1182" t="str">
        <f>"1262111741"</f>
        <v>1262111741</v>
      </c>
      <c r="C1182" s="1">
        <v>44964</v>
      </c>
      <c r="D1182" s="1">
        <v>44965</v>
      </c>
      <c r="E1182">
        <v>1</v>
      </c>
      <c r="F1182" t="str">
        <f>"08-I32-00"</f>
        <v>08-I32-00</v>
      </c>
      <c r="G1182">
        <v>0.40870000000000001</v>
      </c>
      <c r="H1182" t="s">
        <v>11</v>
      </c>
      <c r="I1182" t="s">
        <v>10</v>
      </c>
    </row>
    <row r="1183" spans="1:9" x14ac:dyDescent="0.25">
      <c r="A1183" t="str">
        <f t="shared" si="19"/>
        <v>89301000</v>
      </c>
      <c r="B1183" t="str">
        <f>"1302130423"</f>
        <v>1302130423</v>
      </c>
      <c r="C1183" s="1">
        <v>44984</v>
      </c>
      <c r="D1183" s="1">
        <v>44985</v>
      </c>
      <c r="E1183">
        <v>1</v>
      </c>
      <c r="F1183" t="str">
        <f>"08-K14-03"</f>
        <v>08-K14-03</v>
      </c>
      <c r="G1183">
        <v>0.2611</v>
      </c>
      <c r="H1183" t="s">
        <v>11</v>
      </c>
      <c r="I1183" t="s">
        <v>10</v>
      </c>
    </row>
    <row r="1184" spans="1:9" x14ac:dyDescent="0.25">
      <c r="A1184" t="str">
        <f t="shared" si="19"/>
        <v>89301000</v>
      </c>
      <c r="B1184" t="str">
        <f>"1302140917"</f>
        <v>1302140917</v>
      </c>
      <c r="C1184" s="1">
        <v>45272</v>
      </c>
      <c r="D1184" s="1">
        <v>45274</v>
      </c>
      <c r="E1184">
        <v>1</v>
      </c>
      <c r="F1184" t="str">
        <f>"08-I32-00"</f>
        <v>08-I32-00</v>
      </c>
      <c r="G1184">
        <v>0.4093</v>
      </c>
      <c r="H1184" t="s">
        <v>11</v>
      </c>
      <c r="I1184" t="s">
        <v>10</v>
      </c>
    </row>
    <row r="1185" spans="1:9" x14ac:dyDescent="0.25">
      <c r="A1185" t="str">
        <f t="shared" si="19"/>
        <v>89301000</v>
      </c>
      <c r="B1185" t="str">
        <f>"1302140917"</f>
        <v>1302140917</v>
      </c>
      <c r="C1185" s="1">
        <v>45179</v>
      </c>
      <c r="D1185" s="1">
        <v>45180</v>
      </c>
      <c r="E1185">
        <v>1</v>
      </c>
      <c r="F1185" t="str">
        <f>"08-I20-03"</f>
        <v>08-I20-03</v>
      </c>
      <c r="G1185">
        <v>0.62639999999999996</v>
      </c>
      <c r="H1185" t="s">
        <v>12</v>
      </c>
      <c r="I1185" t="s">
        <v>10</v>
      </c>
    </row>
    <row r="1186" spans="1:9" x14ac:dyDescent="0.25">
      <c r="A1186" t="str">
        <f t="shared" si="19"/>
        <v>89301000</v>
      </c>
      <c r="B1186" t="str">
        <f>"1302260410"</f>
        <v>1302260410</v>
      </c>
      <c r="C1186" s="1">
        <v>45174</v>
      </c>
      <c r="D1186" s="1">
        <v>45176</v>
      </c>
      <c r="E1186">
        <v>1</v>
      </c>
      <c r="F1186" t="str">
        <f>"08-I25-02"</f>
        <v>08-I25-02</v>
      </c>
      <c r="G1186">
        <v>0.55279999999999996</v>
      </c>
      <c r="H1186" t="s">
        <v>11</v>
      </c>
      <c r="I1186" t="s">
        <v>10</v>
      </c>
    </row>
    <row r="1187" spans="1:9" x14ac:dyDescent="0.25">
      <c r="A1187" t="str">
        <f t="shared" si="19"/>
        <v>89301000</v>
      </c>
      <c r="B1187" t="str">
        <f>"1303030102"</f>
        <v>1303030102</v>
      </c>
      <c r="C1187" s="1">
        <v>44971</v>
      </c>
      <c r="D1187" s="1">
        <v>44972</v>
      </c>
      <c r="E1187">
        <v>1</v>
      </c>
      <c r="F1187" t="str">
        <f>"08-I32-00"</f>
        <v>08-I32-00</v>
      </c>
      <c r="G1187">
        <v>0.40870000000000001</v>
      </c>
      <c r="H1187" t="s">
        <v>11</v>
      </c>
      <c r="I1187" t="s">
        <v>10</v>
      </c>
    </row>
    <row r="1188" spans="1:9" x14ac:dyDescent="0.25">
      <c r="A1188" t="str">
        <f t="shared" si="19"/>
        <v>89301000</v>
      </c>
      <c r="B1188" t="str">
        <f>"1303080372"</f>
        <v>1303080372</v>
      </c>
      <c r="C1188" s="1">
        <v>44942</v>
      </c>
      <c r="D1188" s="1">
        <v>44944</v>
      </c>
      <c r="E1188">
        <v>1</v>
      </c>
      <c r="F1188" t="str">
        <f>"06-I16-05"</f>
        <v>06-I16-05</v>
      </c>
      <c r="G1188">
        <v>0.4622</v>
      </c>
      <c r="H1188" t="s">
        <v>9</v>
      </c>
      <c r="I1188" t="s">
        <v>10</v>
      </c>
    </row>
    <row r="1189" spans="1:9" x14ac:dyDescent="0.25">
      <c r="A1189" t="str">
        <f t="shared" si="19"/>
        <v>89301000</v>
      </c>
      <c r="B1189" t="str">
        <f>"1303111601"</f>
        <v>1303111601</v>
      </c>
      <c r="C1189" s="1">
        <v>45032</v>
      </c>
      <c r="D1189" s="1">
        <v>45033</v>
      </c>
      <c r="E1189">
        <v>1</v>
      </c>
      <c r="F1189" t="str">
        <f>"01-K18-04"</f>
        <v>01-K18-04</v>
      </c>
      <c r="G1189">
        <v>0.54610000000000003</v>
      </c>
      <c r="H1189" t="s">
        <v>11</v>
      </c>
      <c r="I1189" t="s">
        <v>10</v>
      </c>
    </row>
    <row r="1190" spans="1:9" x14ac:dyDescent="0.25">
      <c r="A1190" t="str">
        <f t="shared" si="19"/>
        <v>89301000</v>
      </c>
      <c r="B1190" t="str">
        <f>"1303111601"</f>
        <v>1303111601</v>
      </c>
      <c r="C1190" s="1">
        <v>45025</v>
      </c>
      <c r="D1190" s="1">
        <v>45029</v>
      </c>
      <c r="E1190">
        <v>1</v>
      </c>
      <c r="F1190" t="str">
        <f>"08-K04-02"</f>
        <v>08-K04-02</v>
      </c>
      <c r="G1190">
        <v>0.54369999999999996</v>
      </c>
      <c r="H1190" t="s">
        <v>11</v>
      </c>
      <c r="I1190" t="s">
        <v>10</v>
      </c>
    </row>
    <row r="1191" spans="1:9" x14ac:dyDescent="0.25">
      <c r="A1191" t="str">
        <f t="shared" si="19"/>
        <v>89301000</v>
      </c>
      <c r="B1191" t="str">
        <f>"1303180021"</f>
        <v>1303180021</v>
      </c>
      <c r="C1191" s="1">
        <v>45221</v>
      </c>
      <c r="D1191" s="1">
        <v>45223</v>
      </c>
      <c r="E1191">
        <v>1</v>
      </c>
      <c r="F1191" t="str">
        <f>"21-K04-00"</f>
        <v>21-K04-00</v>
      </c>
      <c r="G1191">
        <v>0.2397</v>
      </c>
      <c r="H1191" t="s">
        <v>11</v>
      </c>
      <c r="I1191" t="s">
        <v>10</v>
      </c>
    </row>
    <row r="1192" spans="1:9" x14ac:dyDescent="0.25">
      <c r="A1192" t="str">
        <f t="shared" si="19"/>
        <v>89301000</v>
      </c>
      <c r="B1192" t="str">
        <f>"1303181616"</f>
        <v>1303181616</v>
      </c>
      <c r="C1192" s="1">
        <v>44977</v>
      </c>
      <c r="D1192" s="1">
        <v>44979</v>
      </c>
      <c r="E1192">
        <v>1</v>
      </c>
      <c r="F1192" t="str">
        <f>"19-K02-03"</f>
        <v>19-K02-03</v>
      </c>
      <c r="G1192">
        <v>0.71950000000000003</v>
      </c>
      <c r="H1192" t="s">
        <v>15</v>
      </c>
      <c r="I1192" t="s">
        <v>10</v>
      </c>
    </row>
    <row r="1193" spans="1:9" x14ac:dyDescent="0.25">
      <c r="A1193" t="str">
        <f t="shared" si="19"/>
        <v>89301000</v>
      </c>
      <c r="B1193" t="str">
        <f>"1304050385"</f>
        <v>1304050385</v>
      </c>
      <c r="C1193" s="1">
        <v>45084</v>
      </c>
      <c r="D1193" s="1">
        <v>45085</v>
      </c>
      <c r="E1193">
        <v>1</v>
      </c>
      <c r="F1193" t="str">
        <f>"04-K04-02"</f>
        <v>04-K04-02</v>
      </c>
      <c r="G1193">
        <v>0.52159999999999995</v>
      </c>
      <c r="H1193" t="s">
        <v>11</v>
      </c>
      <c r="I1193" t="s">
        <v>10</v>
      </c>
    </row>
    <row r="1194" spans="1:9" x14ac:dyDescent="0.25">
      <c r="A1194" t="str">
        <f t="shared" si="19"/>
        <v>89301000</v>
      </c>
      <c r="B1194" t="str">
        <f>"1304110269"</f>
        <v>1304110269</v>
      </c>
      <c r="C1194" s="1">
        <v>45152</v>
      </c>
      <c r="D1194" s="1">
        <v>45156</v>
      </c>
      <c r="E1194">
        <v>1</v>
      </c>
      <c r="F1194" t="str">
        <f>"06-I18-04"</f>
        <v>06-I18-04</v>
      </c>
      <c r="G1194">
        <v>1.1088</v>
      </c>
      <c r="H1194" t="s">
        <v>9</v>
      </c>
      <c r="I1194" t="s">
        <v>10</v>
      </c>
    </row>
    <row r="1195" spans="1:9" x14ac:dyDescent="0.25">
      <c r="A1195" t="str">
        <f t="shared" si="19"/>
        <v>89301000</v>
      </c>
      <c r="B1195" t="str">
        <f>"1304170296"</f>
        <v>1304170296</v>
      </c>
      <c r="C1195" s="1">
        <v>45062</v>
      </c>
      <c r="D1195" s="1">
        <v>45064</v>
      </c>
      <c r="E1195">
        <v>1</v>
      </c>
      <c r="F1195" t="str">
        <f>"03-I19-03"</f>
        <v>03-I19-03</v>
      </c>
      <c r="G1195">
        <v>0.53420000000000001</v>
      </c>
      <c r="H1195" t="s">
        <v>11</v>
      </c>
      <c r="I1195" t="s">
        <v>10</v>
      </c>
    </row>
    <row r="1196" spans="1:9" x14ac:dyDescent="0.25">
      <c r="A1196" t="str">
        <f t="shared" si="19"/>
        <v>89301000</v>
      </c>
      <c r="B1196" t="str">
        <f>"1305070602"</f>
        <v>1305070602</v>
      </c>
      <c r="C1196" s="1">
        <v>45183</v>
      </c>
      <c r="D1196" s="1">
        <v>45185</v>
      </c>
      <c r="E1196">
        <v>1</v>
      </c>
      <c r="F1196" t="str">
        <f>"11-I17-03"</f>
        <v>11-I17-03</v>
      </c>
      <c r="G1196">
        <v>0.45600000000000002</v>
      </c>
      <c r="H1196" t="s">
        <v>11</v>
      </c>
      <c r="I1196" t="s">
        <v>10</v>
      </c>
    </row>
    <row r="1197" spans="1:9" x14ac:dyDescent="0.25">
      <c r="A1197" t="str">
        <f t="shared" si="19"/>
        <v>89301000</v>
      </c>
      <c r="B1197" t="str">
        <f>"1305070602"</f>
        <v>1305070602</v>
      </c>
      <c r="C1197" s="1">
        <v>45069</v>
      </c>
      <c r="D1197" s="1">
        <v>45082</v>
      </c>
      <c r="E1197">
        <v>1</v>
      </c>
      <c r="F1197" t="str">
        <f>"11-K12-01"</f>
        <v>11-K12-01</v>
      </c>
      <c r="G1197">
        <v>2.1867999999999999</v>
      </c>
      <c r="H1197" t="s">
        <v>11</v>
      </c>
      <c r="I1197" t="s">
        <v>10</v>
      </c>
    </row>
    <row r="1198" spans="1:9" x14ac:dyDescent="0.25">
      <c r="A1198" t="str">
        <f t="shared" si="19"/>
        <v>89301000</v>
      </c>
      <c r="B1198" t="str">
        <f>"1305100280"</f>
        <v>1305100280</v>
      </c>
      <c r="C1198" s="1">
        <v>45004</v>
      </c>
      <c r="D1198" s="1">
        <v>45006</v>
      </c>
      <c r="E1198">
        <v>1</v>
      </c>
      <c r="F1198" t="str">
        <f>"09-I13-04"</f>
        <v>09-I13-04</v>
      </c>
      <c r="G1198">
        <v>0.53610000000000002</v>
      </c>
      <c r="H1198" t="s">
        <v>11</v>
      </c>
      <c r="I1198" t="s">
        <v>10</v>
      </c>
    </row>
    <row r="1199" spans="1:9" x14ac:dyDescent="0.25">
      <c r="A1199" t="str">
        <f t="shared" si="19"/>
        <v>89301000</v>
      </c>
      <c r="B1199" t="str">
        <f>"1305280207"</f>
        <v>1305280207</v>
      </c>
      <c r="C1199" s="1">
        <v>45074</v>
      </c>
      <c r="D1199" s="1">
        <v>45076</v>
      </c>
      <c r="E1199">
        <v>1</v>
      </c>
      <c r="F1199" t="str">
        <f>"03-I21-00"</f>
        <v>03-I21-00</v>
      </c>
      <c r="G1199">
        <v>0.42449999999999999</v>
      </c>
      <c r="H1199" t="s">
        <v>11</v>
      </c>
      <c r="I1199" t="s">
        <v>10</v>
      </c>
    </row>
    <row r="1200" spans="1:9" x14ac:dyDescent="0.25">
      <c r="A1200" t="str">
        <f t="shared" si="19"/>
        <v>89301000</v>
      </c>
      <c r="B1200" t="str">
        <f>"1306060327"</f>
        <v>1306060327</v>
      </c>
      <c r="C1200" s="1">
        <v>44977</v>
      </c>
      <c r="D1200" s="1">
        <v>44984</v>
      </c>
      <c r="E1200">
        <v>1</v>
      </c>
      <c r="F1200" t="str">
        <f>"12-I07-02"</f>
        <v>12-I07-02</v>
      </c>
      <c r="G1200">
        <v>1.3044</v>
      </c>
      <c r="H1200" t="s">
        <v>12</v>
      </c>
      <c r="I1200" t="s">
        <v>10</v>
      </c>
    </row>
    <row r="1201" spans="1:9" x14ac:dyDescent="0.25">
      <c r="A1201" t="str">
        <f t="shared" si="19"/>
        <v>89301000</v>
      </c>
      <c r="B1201" t="str">
        <f>"1306110597"</f>
        <v>1306110597</v>
      </c>
      <c r="C1201" s="1">
        <v>44998</v>
      </c>
      <c r="D1201" s="1">
        <v>45000</v>
      </c>
      <c r="E1201">
        <v>1</v>
      </c>
      <c r="F1201" t="str">
        <f>"12-I14-00"</f>
        <v>12-I14-00</v>
      </c>
      <c r="G1201">
        <v>0.42920000000000003</v>
      </c>
      <c r="H1201" t="s">
        <v>11</v>
      </c>
      <c r="I1201" t="s">
        <v>10</v>
      </c>
    </row>
    <row r="1202" spans="1:9" x14ac:dyDescent="0.25">
      <c r="A1202" t="str">
        <f t="shared" si="19"/>
        <v>89301000</v>
      </c>
      <c r="B1202" t="str">
        <f>"1306171790"</f>
        <v>1306171790</v>
      </c>
      <c r="C1202" s="1">
        <v>45180</v>
      </c>
      <c r="D1202" s="1">
        <v>45182</v>
      </c>
      <c r="E1202">
        <v>1</v>
      </c>
      <c r="F1202" t="str">
        <f>"12-I10-02"</f>
        <v>12-I10-02</v>
      </c>
      <c r="G1202">
        <v>0.51690000000000003</v>
      </c>
      <c r="H1202" t="s">
        <v>9</v>
      </c>
      <c r="I1202" t="s">
        <v>10</v>
      </c>
    </row>
    <row r="1203" spans="1:9" x14ac:dyDescent="0.25">
      <c r="A1203" t="str">
        <f t="shared" si="19"/>
        <v>89301000</v>
      </c>
      <c r="B1203" t="str">
        <f>"1306261880"</f>
        <v>1306261880</v>
      </c>
      <c r="C1203" s="1">
        <v>45035</v>
      </c>
      <c r="D1203" s="1">
        <v>45037</v>
      </c>
      <c r="E1203">
        <v>1</v>
      </c>
      <c r="F1203" t="str">
        <f>"12-I14-00"</f>
        <v>12-I14-00</v>
      </c>
      <c r="G1203">
        <v>0.42920000000000003</v>
      </c>
      <c r="H1203" t="s">
        <v>11</v>
      </c>
      <c r="I1203" t="s">
        <v>10</v>
      </c>
    </row>
    <row r="1204" spans="1:9" x14ac:dyDescent="0.25">
      <c r="A1204" t="str">
        <f t="shared" si="19"/>
        <v>89301000</v>
      </c>
      <c r="B1204" t="str">
        <f>"1306290326"</f>
        <v>1306290326</v>
      </c>
      <c r="C1204" s="1">
        <v>45039</v>
      </c>
      <c r="D1204" s="1">
        <v>45044</v>
      </c>
      <c r="E1204">
        <v>1</v>
      </c>
      <c r="F1204" t="str">
        <f>"01-K16-02"</f>
        <v>01-K16-02</v>
      </c>
      <c r="G1204">
        <v>1.0113000000000001</v>
      </c>
      <c r="H1204" t="s">
        <v>11</v>
      </c>
      <c r="I1204" t="s">
        <v>10</v>
      </c>
    </row>
    <row r="1205" spans="1:9" x14ac:dyDescent="0.25">
      <c r="A1205" t="str">
        <f t="shared" si="19"/>
        <v>89301000</v>
      </c>
      <c r="B1205" t="str">
        <f>"1307030021"</f>
        <v>1307030021</v>
      </c>
      <c r="C1205" s="1">
        <v>45063</v>
      </c>
      <c r="D1205" s="1">
        <v>45066</v>
      </c>
      <c r="E1205">
        <v>1</v>
      </c>
      <c r="F1205" t="str">
        <f>"12-I10-02"</f>
        <v>12-I10-02</v>
      </c>
      <c r="G1205">
        <v>0.51690000000000003</v>
      </c>
      <c r="H1205" t="s">
        <v>9</v>
      </c>
      <c r="I1205" t="s">
        <v>10</v>
      </c>
    </row>
    <row r="1206" spans="1:9" x14ac:dyDescent="0.25">
      <c r="A1206" t="str">
        <f t="shared" si="19"/>
        <v>89301000</v>
      </c>
      <c r="B1206" t="str">
        <f>"1307090235"</f>
        <v>1307090235</v>
      </c>
      <c r="C1206" s="1">
        <v>45026</v>
      </c>
      <c r="D1206" s="1">
        <v>45028</v>
      </c>
      <c r="E1206">
        <v>1</v>
      </c>
      <c r="F1206" t="str">
        <f>"12-I14-00"</f>
        <v>12-I14-00</v>
      </c>
      <c r="G1206">
        <v>0.42920000000000003</v>
      </c>
      <c r="H1206" t="s">
        <v>11</v>
      </c>
      <c r="I1206" t="s">
        <v>10</v>
      </c>
    </row>
    <row r="1207" spans="1:9" x14ac:dyDescent="0.25">
      <c r="A1207" t="str">
        <f t="shared" si="19"/>
        <v>89301000</v>
      </c>
      <c r="B1207" t="str">
        <f>"1307111784"</f>
        <v>1307111784</v>
      </c>
      <c r="C1207" s="1">
        <v>45166</v>
      </c>
      <c r="D1207" s="1">
        <v>45167</v>
      </c>
      <c r="E1207">
        <v>1</v>
      </c>
      <c r="F1207" t="str">
        <f>"08-I20-03"</f>
        <v>08-I20-03</v>
      </c>
      <c r="G1207">
        <v>0.62639999999999996</v>
      </c>
      <c r="H1207" t="s">
        <v>12</v>
      </c>
      <c r="I1207" t="s">
        <v>10</v>
      </c>
    </row>
    <row r="1208" spans="1:9" x14ac:dyDescent="0.25">
      <c r="A1208" t="str">
        <f t="shared" si="19"/>
        <v>89301000</v>
      </c>
      <c r="B1208" t="str">
        <f>"1307141209"</f>
        <v>1307141209</v>
      </c>
      <c r="C1208" s="1">
        <v>45204</v>
      </c>
      <c r="D1208" s="1">
        <v>45206</v>
      </c>
      <c r="E1208">
        <v>1</v>
      </c>
      <c r="F1208" t="str">
        <f>"12-I14-00"</f>
        <v>12-I14-00</v>
      </c>
      <c r="G1208">
        <v>0.42920000000000003</v>
      </c>
      <c r="H1208" t="s">
        <v>11</v>
      </c>
      <c r="I1208" t="s">
        <v>10</v>
      </c>
    </row>
    <row r="1209" spans="1:9" x14ac:dyDescent="0.25">
      <c r="A1209" t="str">
        <f t="shared" si="19"/>
        <v>89301000</v>
      </c>
      <c r="B1209" t="str">
        <f>"1307230276"</f>
        <v>1307230276</v>
      </c>
      <c r="C1209" s="1">
        <v>45232</v>
      </c>
      <c r="D1209" s="1">
        <v>45236</v>
      </c>
      <c r="E1209">
        <v>1</v>
      </c>
      <c r="F1209" t="str">
        <f>"06-K02-04"</f>
        <v>06-K02-04</v>
      </c>
      <c r="G1209">
        <v>0.37659999999999999</v>
      </c>
      <c r="H1209" t="s">
        <v>11</v>
      </c>
      <c r="I1209" t="s">
        <v>10</v>
      </c>
    </row>
    <row r="1210" spans="1:9" x14ac:dyDescent="0.25">
      <c r="A1210" t="str">
        <f t="shared" si="19"/>
        <v>89301000</v>
      </c>
      <c r="B1210" t="str">
        <f>"1308050007"</f>
        <v>1308050007</v>
      </c>
      <c r="C1210" s="1">
        <v>45257</v>
      </c>
      <c r="D1210" s="1">
        <v>45259</v>
      </c>
      <c r="E1210">
        <v>1</v>
      </c>
      <c r="F1210" t="str">
        <f>"12-I14-00"</f>
        <v>12-I14-00</v>
      </c>
      <c r="G1210">
        <v>0.42920000000000003</v>
      </c>
      <c r="H1210" t="s">
        <v>11</v>
      </c>
      <c r="I1210" t="s">
        <v>10</v>
      </c>
    </row>
    <row r="1211" spans="1:9" x14ac:dyDescent="0.25">
      <c r="A1211" t="str">
        <f t="shared" si="19"/>
        <v>89301000</v>
      </c>
      <c r="B1211" t="str">
        <f>"1308050370"</f>
        <v>1308050370</v>
      </c>
      <c r="C1211" s="1">
        <v>44977</v>
      </c>
      <c r="D1211" s="1">
        <v>44980</v>
      </c>
      <c r="E1211">
        <v>1</v>
      </c>
      <c r="F1211" t="str">
        <f>"01-K03-07"</f>
        <v>01-K03-07</v>
      </c>
      <c r="G1211">
        <v>0.5988</v>
      </c>
      <c r="H1211" t="s">
        <v>11</v>
      </c>
      <c r="I1211" t="s">
        <v>10</v>
      </c>
    </row>
    <row r="1212" spans="1:9" x14ac:dyDescent="0.25">
      <c r="A1212" t="str">
        <f t="shared" ref="A1212:A1275" si="20">"89301000"</f>
        <v>89301000</v>
      </c>
      <c r="B1212" t="str">
        <f>"1308051239"</f>
        <v>1308051239</v>
      </c>
      <c r="C1212" s="1">
        <v>45104</v>
      </c>
      <c r="D1212" s="1">
        <v>45105</v>
      </c>
      <c r="E1212">
        <v>1</v>
      </c>
      <c r="F1212" t="str">
        <f>"08-I32-00"</f>
        <v>08-I32-00</v>
      </c>
      <c r="G1212">
        <v>0.40870000000000001</v>
      </c>
      <c r="H1212" t="s">
        <v>11</v>
      </c>
      <c r="I1212" t="s">
        <v>10</v>
      </c>
    </row>
    <row r="1213" spans="1:9" x14ac:dyDescent="0.25">
      <c r="A1213" t="str">
        <f t="shared" si="20"/>
        <v>89301000</v>
      </c>
      <c r="B1213" t="str">
        <f>"1308060325"</f>
        <v>1308060325</v>
      </c>
      <c r="C1213" s="1">
        <v>45188</v>
      </c>
      <c r="D1213" s="1">
        <v>45190</v>
      </c>
      <c r="E1213">
        <v>1</v>
      </c>
      <c r="F1213" t="str">
        <f>"08-I20-03"</f>
        <v>08-I20-03</v>
      </c>
      <c r="G1213">
        <v>0.62639999999999996</v>
      </c>
      <c r="H1213" t="s">
        <v>12</v>
      </c>
      <c r="I1213" t="s">
        <v>10</v>
      </c>
    </row>
    <row r="1214" spans="1:9" x14ac:dyDescent="0.25">
      <c r="A1214" t="str">
        <f t="shared" si="20"/>
        <v>89301000</v>
      </c>
      <c r="B1214" t="str">
        <f>"1308200245"</f>
        <v>1308200245</v>
      </c>
      <c r="C1214" s="1">
        <v>45200</v>
      </c>
      <c r="D1214" s="1">
        <v>45202</v>
      </c>
      <c r="E1214">
        <v>1</v>
      </c>
      <c r="F1214" t="str">
        <f>"03-I21-00"</f>
        <v>03-I21-00</v>
      </c>
      <c r="G1214">
        <v>0.42449999999999999</v>
      </c>
      <c r="H1214" t="s">
        <v>11</v>
      </c>
      <c r="I1214" t="s">
        <v>10</v>
      </c>
    </row>
    <row r="1215" spans="1:9" x14ac:dyDescent="0.25">
      <c r="A1215" t="str">
        <f t="shared" si="20"/>
        <v>89301000</v>
      </c>
      <c r="B1215" t="str">
        <f>"1308260316"</f>
        <v>1308260316</v>
      </c>
      <c r="C1215" s="1">
        <v>45149</v>
      </c>
      <c r="D1215" s="1">
        <v>45173</v>
      </c>
      <c r="E1215">
        <v>5</v>
      </c>
      <c r="F1215" t="str">
        <f>"08-I21-01"</f>
        <v>08-I21-01</v>
      </c>
      <c r="G1215">
        <v>2.5844</v>
      </c>
      <c r="H1215" t="s">
        <v>12</v>
      </c>
      <c r="I1215" t="s">
        <v>10</v>
      </c>
    </row>
    <row r="1216" spans="1:9" x14ac:dyDescent="0.25">
      <c r="A1216" t="str">
        <f t="shared" si="20"/>
        <v>89301000</v>
      </c>
      <c r="B1216" t="str">
        <f>"1309040007"</f>
        <v>1309040007</v>
      </c>
      <c r="C1216" s="1">
        <v>44923</v>
      </c>
      <c r="D1216" s="1">
        <v>44930</v>
      </c>
      <c r="E1216">
        <v>1</v>
      </c>
      <c r="F1216" t="str">
        <f>"06-I18-02"</f>
        <v>06-I18-02</v>
      </c>
      <c r="G1216">
        <v>2.4735999999999998</v>
      </c>
      <c r="H1216" t="s">
        <v>9</v>
      </c>
      <c r="I1216" t="s">
        <v>10</v>
      </c>
    </row>
    <row r="1217" spans="1:9" x14ac:dyDescent="0.25">
      <c r="A1217" t="str">
        <f t="shared" si="20"/>
        <v>89301000</v>
      </c>
      <c r="B1217" t="str">
        <f>"1309230923"</f>
        <v>1309230923</v>
      </c>
      <c r="C1217" s="1">
        <v>45160</v>
      </c>
      <c r="D1217" s="1">
        <v>45161</v>
      </c>
      <c r="E1217">
        <v>1</v>
      </c>
      <c r="F1217" t="str">
        <f>"06-K22-03"</f>
        <v>06-K22-03</v>
      </c>
      <c r="G1217">
        <v>0.31619999999999998</v>
      </c>
      <c r="H1217" t="s">
        <v>11</v>
      </c>
      <c r="I1217" t="s">
        <v>10</v>
      </c>
    </row>
    <row r="1218" spans="1:9" x14ac:dyDescent="0.25">
      <c r="A1218" t="str">
        <f t="shared" si="20"/>
        <v>89301000</v>
      </c>
      <c r="B1218" t="str">
        <f>"1311050246"</f>
        <v>1311050246</v>
      </c>
      <c r="C1218" s="1">
        <v>45223</v>
      </c>
      <c r="D1218" s="1">
        <v>45224</v>
      </c>
      <c r="E1218">
        <v>1</v>
      </c>
      <c r="F1218" t="str">
        <f>"06-K06-02"</f>
        <v>06-K06-02</v>
      </c>
      <c r="G1218">
        <v>0.64170000000000005</v>
      </c>
      <c r="H1218" t="s">
        <v>11</v>
      </c>
      <c r="I1218" t="s">
        <v>10</v>
      </c>
    </row>
    <row r="1219" spans="1:9" x14ac:dyDescent="0.25">
      <c r="A1219" t="str">
        <f t="shared" si="20"/>
        <v>89301000</v>
      </c>
      <c r="B1219" t="str">
        <f>"1311132031"</f>
        <v>1311132031</v>
      </c>
      <c r="C1219" s="1">
        <v>45223</v>
      </c>
      <c r="D1219" s="1">
        <v>45225</v>
      </c>
      <c r="E1219">
        <v>1</v>
      </c>
      <c r="F1219" t="str">
        <f>"03-I14-02"</f>
        <v>03-I14-02</v>
      </c>
      <c r="G1219">
        <v>1.0793999999999999</v>
      </c>
      <c r="H1219" t="s">
        <v>11</v>
      </c>
      <c r="I1219" t="s">
        <v>10</v>
      </c>
    </row>
    <row r="1220" spans="1:9" x14ac:dyDescent="0.25">
      <c r="A1220" t="str">
        <f t="shared" si="20"/>
        <v>89301000</v>
      </c>
      <c r="B1220" t="str">
        <f>"1311150236"</f>
        <v>1311150236</v>
      </c>
      <c r="C1220" s="1">
        <v>45214</v>
      </c>
      <c r="D1220" s="1">
        <v>45216</v>
      </c>
      <c r="E1220">
        <v>1</v>
      </c>
      <c r="F1220" t="str">
        <f>"03-I21-00"</f>
        <v>03-I21-00</v>
      </c>
      <c r="G1220">
        <v>0.42449999999999999</v>
      </c>
      <c r="H1220" t="s">
        <v>11</v>
      </c>
      <c r="I1220" t="s">
        <v>10</v>
      </c>
    </row>
    <row r="1221" spans="1:9" x14ac:dyDescent="0.25">
      <c r="A1221" t="str">
        <f t="shared" si="20"/>
        <v>89301000</v>
      </c>
      <c r="B1221" t="str">
        <f>"1312150059"</f>
        <v>1312150059</v>
      </c>
      <c r="C1221" s="1">
        <v>45108</v>
      </c>
      <c r="D1221" s="1">
        <v>45113</v>
      </c>
      <c r="E1221">
        <v>1</v>
      </c>
      <c r="F1221" t="str">
        <f>"06-I18-04"</f>
        <v>06-I18-04</v>
      </c>
      <c r="G1221">
        <v>1.1088</v>
      </c>
      <c r="H1221" t="s">
        <v>9</v>
      </c>
      <c r="I1221" t="s">
        <v>10</v>
      </c>
    </row>
    <row r="1222" spans="1:9" x14ac:dyDescent="0.25">
      <c r="A1222" t="str">
        <f t="shared" si="20"/>
        <v>89301000</v>
      </c>
      <c r="B1222" t="str">
        <f>"1312200186"</f>
        <v>1312200186</v>
      </c>
      <c r="C1222" s="1">
        <v>44980</v>
      </c>
      <c r="D1222" s="1">
        <v>44981</v>
      </c>
      <c r="E1222">
        <v>1</v>
      </c>
      <c r="F1222" t="str">
        <f>"08-I20-03"</f>
        <v>08-I20-03</v>
      </c>
      <c r="G1222">
        <v>0.62639999999999996</v>
      </c>
      <c r="H1222" t="s">
        <v>12</v>
      </c>
      <c r="I1222" t="s">
        <v>10</v>
      </c>
    </row>
    <row r="1223" spans="1:9" x14ac:dyDescent="0.25">
      <c r="A1223" t="str">
        <f t="shared" si="20"/>
        <v>89301000</v>
      </c>
      <c r="B1223" t="str">
        <f>"1312301782"</f>
        <v>1312301782</v>
      </c>
      <c r="C1223" s="1">
        <v>45194</v>
      </c>
      <c r="D1223" s="1">
        <v>45196</v>
      </c>
      <c r="E1223">
        <v>1</v>
      </c>
      <c r="F1223" t="str">
        <f>"12-I10-02"</f>
        <v>12-I10-02</v>
      </c>
      <c r="G1223">
        <v>0.51690000000000003</v>
      </c>
      <c r="H1223" t="s">
        <v>9</v>
      </c>
      <c r="I1223" t="s">
        <v>10</v>
      </c>
    </row>
    <row r="1224" spans="1:9" x14ac:dyDescent="0.25">
      <c r="A1224" t="str">
        <f t="shared" si="20"/>
        <v>89301000</v>
      </c>
      <c r="B1224" t="str">
        <f>"1352060204"</f>
        <v>1352060204</v>
      </c>
      <c r="C1224" s="1">
        <v>45245</v>
      </c>
      <c r="D1224" s="1">
        <v>45247</v>
      </c>
      <c r="E1224">
        <v>1</v>
      </c>
      <c r="F1224" t="str">
        <f>"03-K12-01"</f>
        <v>03-K12-01</v>
      </c>
      <c r="G1224">
        <v>0.37</v>
      </c>
      <c r="H1224" t="s">
        <v>11</v>
      </c>
      <c r="I1224" t="s">
        <v>10</v>
      </c>
    </row>
    <row r="1225" spans="1:9" x14ac:dyDescent="0.25">
      <c r="A1225" t="str">
        <f t="shared" si="20"/>
        <v>89301000</v>
      </c>
      <c r="B1225" t="str">
        <f>"1352070841"</f>
        <v>1352070841</v>
      </c>
      <c r="C1225" s="1">
        <v>44939</v>
      </c>
      <c r="D1225" s="1">
        <v>44946</v>
      </c>
      <c r="E1225">
        <v>1</v>
      </c>
      <c r="F1225" t="str">
        <f>"11-K02-02"</f>
        <v>11-K02-02</v>
      </c>
      <c r="G1225">
        <v>1.4524999999999999</v>
      </c>
      <c r="H1225" t="s">
        <v>11</v>
      </c>
      <c r="I1225" t="s">
        <v>10</v>
      </c>
    </row>
    <row r="1226" spans="1:9" x14ac:dyDescent="0.25">
      <c r="A1226" t="str">
        <f t="shared" si="20"/>
        <v>89301000</v>
      </c>
      <c r="B1226" t="str">
        <f>"1352130285"</f>
        <v>1352130285</v>
      </c>
      <c r="C1226" s="1">
        <v>44985</v>
      </c>
      <c r="D1226" s="1">
        <v>44989</v>
      </c>
      <c r="E1226">
        <v>1</v>
      </c>
      <c r="F1226" t="str">
        <f>"06-I18-04"</f>
        <v>06-I18-04</v>
      </c>
      <c r="G1226">
        <v>1.1088</v>
      </c>
      <c r="H1226" t="s">
        <v>9</v>
      </c>
      <c r="I1226" t="s">
        <v>10</v>
      </c>
    </row>
    <row r="1227" spans="1:9" x14ac:dyDescent="0.25">
      <c r="A1227" t="str">
        <f t="shared" si="20"/>
        <v>89301000</v>
      </c>
      <c r="B1227" t="str">
        <f>"1353200431"</f>
        <v>1353200431</v>
      </c>
      <c r="C1227" s="1">
        <v>44976</v>
      </c>
      <c r="D1227" s="1">
        <v>44978</v>
      </c>
      <c r="E1227">
        <v>1</v>
      </c>
      <c r="F1227" t="str">
        <f>"03-I20-03"</f>
        <v>03-I20-03</v>
      </c>
      <c r="G1227">
        <v>0.71</v>
      </c>
      <c r="H1227" t="s">
        <v>12</v>
      </c>
      <c r="I1227" t="s">
        <v>10</v>
      </c>
    </row>
    <row r="1228" spans="1:9" x14ac:dyDescent="0.25">
      <c r="A1228" t="str">
        <f t="shared" si="20"/>
        <v>89301000</v>
      </c>
      <c r="B1228" t="str">
        <f>"1353260051"</f>
        <v>1353260051</v>
      </c>
      <c r="C1228" s="1">
        <v>45277</v>
      </c>
      <c r="D1228" s="1">
        <v>45282</v>
      </c>
      <c r="E1228">
        <v>1</v>
      </c>
      <c r="F1228" t="str">
        <f>"06-I18-04"</f>
        <v>06-I18-04</v>
      </c>
      <c r="G1228">
        <v>1.1088</v>
      </c>
      <c r="H1228" t="s">
        <v>9</v>
      </c>
      <c r="I1228" t="s">
        <v>10</v>
      </c>
    </row>
    <row r="1229" spans="1:9" x14ac:dyDescent="0.25">
      <c r="A1229" t="str">
        <f t="shared" si="20"/>
        <v>89301000</v>
      </c>
      <c r="B1229" t="str">
        <f>"1354190310"</f>
        <v>1354190310</v>
      </c>
      <c r="C1229" s="1">
        <v>45217</v>
      </c>
      <c r="D1229" s="1">
        <v>45222</v>
      </c>
      <c r="E1229">
        <v>1</v>
      </c>
      <c r="F1229" t="str">
        <f>"06-I18-04"</f>
        <v>06-I18-04</v>
      </c>
      <c r="G1229">
        <v>1.1088</v>
      </c>
      <c r="H1229" t="s">
        <v>9</v>
      </c>
      <c r="I1229" t="s">
        <v>10</v>
      </c>
    </row>
    <row r="1230" spans="1:9" x14ac:dyDescent="0.25">
      <c r="A1230" t="str">
        <f t="shared" si="20"/>
        <v>89301000</v>
      </c>
      <c r="B1230" t="str">
        <f>"1355090264"</f>
        <v>1355090264</v>
      </c>
      <c r="C1230" s="1">
        <v>44957</v>
      </c>
      <c r="D1230" s="1">
        <v>44960</v>
      </c>
      <c r="E1230">
        <v>1</v>
      </c>
      <c r="F1230" t="str">
        <f>"03-I15-00"</f>
        <v>03-I15-00</v>
      </c>
      <c r="G1230">
        <v>0.99539999999999995</v>
      </c>
      <c r="H1230" t="s">
        <v>9</v>
      </c>
      <c r="I1230" t="s">
        <v>10</v>
      </c>
    </row>
    <row r="1231" spans="1:9" x14ac:dyDescent="0.25">
      <c r="A1231" t="str">
        <f t="shared" si="20"/>
        <v>89301000</v>
      </c>
      <c r="B1231" t="str">
        <f>"1355091584"</f>
        <v>1355091584</v>
      </c>
      <c r="C1231" s="1">
        <v>45069</v>
      </c>
      <c r="D1231" s="1">
        <v>45072</v>
      </c>
      <c r="E1231">
        <v>1</v>
      </c>
      <c r="F1231" t="str">
        <f>"06-I18-04"</f>
        <v>06-I18-04</v>
      </c>
      <c r="G1231">
        <v>1.1088</v>
      </c>
      <c r="H1231" t="s">
        <v>9</v>
      </c>
      <c r="I1231" t="s">
        <v>10</v>
      </c>
    </row>
    <row r="1232" spans="1:9" x14ac:dyDescent="0.25">
      <c r="A1232" t="str">
        <f t="shared" si="20"/>
        <v>89301000</v>
      </c>
      <c r="B1232" t="str">
        <f>"1356010018"</f>
        <v>1356010018</v>
      </c>
      <c r="C1232" s="1">
        <v>44998</v>
      </c>
      <c r="D1232" s="1">
        <v>45001</v>
      </c>
      <c r="E1232">
        <v>1</v>
      </c>
      <c r="F1232" t="str">
        <f>"08-K03-03"</f>
        <v>08-K03-03</v>
      </c>
      <c r="G1232">
        <v>0.7903</v>
      </c>
      <c r="H1232" t="s">
        <v>11</v>
      </c>
      <c r="I1232" t="s">
        <v>10</v>
      </c>
    </row>
    <row r="1233" spans="1:9" x14ac:dyDescent="0.25">
      <c r="A1233" t="str">
        <f t="shared" si="20"/>
        <v>89301000</v>
      </c>
      <c r="B1233" t="str">
        <f>"1356010018"</f>
        <v>1356010018</v>
      </c>
      <c r="C1233" s="1">
        <v>45090</v>
      </c>
      <c r="D1233" s="1">
        <v>45093</v>
      </c>
      <c r="E1233">
        <v>1</v>
      </c>
      <c r="F1233" t="str">
        <f>"08-K03-03"</f>
        <v>08-K03-03</v>
      </c>
      <c r="G1233">
        <v>0.7903</v>
      </c>
      <c r="H1233" t="s">
        <v>11</v>
      </c>
      <c r="I1233" t="s">
        <v>10</v>
      </c>
    </row>
    <row r="1234" spans="1:9" x14ac:dyDescent="0.25">
      <c r="A1234" t="str">
        <f t="shared" si="20"/>
        <v>89301000</v>
      </c>
      <c r="B1234" t="str">
        <f>"1356010018"</f>
        <v>1356010018</v>
      </c>
      <c r="C1234" s="1">
        <v>45195</v>
      </c>
      <c r="D1234" s="1">
        <v>45198</v>
      </c>
      <c r="E1234">
        <v>1</v>
      </c>
      <c r="F1234" t="str">
        <f>"08-K03-03"</f>
        <v>08-K03-03</v>
      </c>
      <c r="G1234">
        <v>0.7903</v>
      </c>
      <c r="H1234" t="s">
        <v>11</v>
      </c>
      <c r="I1234" t="s">
        <v>10</v>
      </c>
    </row>
    <row r="1235" spans="1:9" x14ac:dyDescent="0.25">
      <c r="A1235" t="str">
        <f t="shared" si="20"/>
        <v>89301000</v>
      </c>
      <c r="B1235" t="str">
        <f>"1356010018"</f>
        <v>1356010018</v>
      </c>
      <c r="C1235" s="1">
        <v>45267</v>
      </c>
      <c r="D1235" s="1">
        <v>45270</v>
      </c>
      <c r="E1235">
        <v>1</v>
      </c>
      <c r="F1235" t="str">
        <f>"08-K03-03"</f>
        <v>08-K03-03</v>
      </c>
      <c r="G1235">
        <v>0.7903</v>
      </c>
      <c r="H1235" t="s">
        <v>11</v>
      </c>
      <c r="I1235" t="s">
        <v>10</v>
      </c>
    </row>
    <row r="1236" spans="1:9" x14ac:dyDescent="0.25">
      <c r="A1236" t="str">
        <f t="shared" si="20"/>
        <v>89301000</v>
      </c>
      <c r="B1236" t="str">
        <f>"1356160113"</f>
        <v>1356160113</v>
      </c>
      <c r="C1236" s="1">
        <v>45230</v>
      </c>
      <c r="D1236" s="1">
        <v>45233</v>
      </c>
      <c r="E1236">
        <v>1</v>
      </c>
      <c r="F1236" t="str">
        <f>"11-K01-03"</f>
        <v>11-K01-03</v>
      </c>
      <c r="G1236">
        <v>0.68789999999999996</v>
      </c>
      <c r="H1236" t="s">
        <v>11</v>
      </c>
      <c r="I1236" t="s">
        <v>10</v>
      </c>
    </row>
    <row r="1237" spans="1:9" x14ac:dyDescent="0.25">
      <c r="A1237" t="str">
        <f t="shared" si="20"/>
        <v>89301000</v>
      </c>
      <c r="B1237" t="str">
        <f>"1356201627"</f>
        <v>1356201627</v>
      </c>
      <c r="C1237" s="1">
        <v>45264</v>
      </c>
      <c r="D1237" s="1">
        <v>45266</v>
      </c>
      <c r="E1237">
        <v>1</v>
      </c>
      <c r="F1237" t="str">
        <f>"06-K02-04"</f>
        <v>06-K02-04</v>
      </c>
      <c r="G1237">
        <v>0.37659999999999999</v>
      </c>
      <c r="H1237" t="s">
        <v>11</v>
      </c>
      <c r="I1237" t="s">
        <v>10</v>
      </c>
    </row>
    <row r="1238" spans="1:9" x14ac:dyDescent="0.25">
      <c r="A1238" t="str">
        <f t="shared" si="20"/>
        <v>89301000</v>
      </c>
      <c r="B1238" t="str">
        <f>"1356210031"</f>
        <v>1356210031</v>
      </c>
      <c r="C1238" s="1">
        <v>45106</v>
      </c>
      <c r="D1238" s="1">
        <v>45108</v>
      </c>
      <c r="E1238">
        <v>1</v>
      </c>
      <c r="F1238" t="str">
        <f>"03-K06-01"</f>
        <v>03-K06-01</v>
      </c>
      <c r="G1238">
        <v>0.4713</v>
      </c>
      <c r="H1238" t="s">
        <v>11</v>
      </c>
      <c r="I1238" t="s">
        <v>10</v>
      </c>
    </row>
    <row r="1239" spans="1:9" x14ac:dyDescent="0.25">
      <c r="A1239" t="str">
        <f t="shared" si="20"/>
        <v>89301000</v>
      </c>
      <c r="B1239" t="str">
        <f>"1356231195"</f>
        <v>1356231195</v>
      </c>
      <c r="C1239" s="1">
        <v>45204</v>
      </c>
      <c r="D1239" s="1">
        <v>45206</v>
      </c>
      <c r="E1239">
        <v>1</v>
      </c>
      <c r="F1239" t="str">
        <f>"21-K05-04"</f>
        <v>21-K05-04</v>
      </c>
      <c r="G1239">
        <v>0.24859999999999999</v>
      </c>
      <c r="H1239" t="s">
        <v>11</v>
      </c>
      <c r="I1239" t="s">
        <v>10</v>
      </c>
    </row>
    <row r="1240" spans="1:9" x14ac:dyDescent="0.25">
      <c r="A1240" t="str">
        <f t="shared" si="20"/>
        <v>89301000</v>
      </c>
      <c r="B1240" t="str">
        <f>"1356250236"</f>
        <v>1356250236</v>
      </c>
      <c r="C1240" s="1">
        <v>45222</v>
      </c>
      <c r="D1240" s="1">
        <v>45229</v>
      </c>
      <c r="E1240">
        <v>1</v>
      </c>
      <c r="F1240" t="str">
        <f>"06-M01-03"</f>
        <v>06-M01-03</v>
      </c>
      <c r="G1240">
        <v>0.82350000000000001</v>
      </c>
      <c r="H1240" t="s">
        <v>11</v>
      </c>
      <c r="I1240" t="s">
        <v>10</v>
      </c>
    </row>
    <row r="1241" spans="1:9" x14ac:dyDescent="0.25">
      <c r="A1241" t="str">
        <f t="shared" si="20"/>
        <v>89301000</v>
      </c>
      <c r="B1241" t="str">
        <f>"1356272027"</f>
        <v>1356272027</v>
      </c>
      <c r="C1241" s="1">
        <v>45210</v>
      </c>
      <c r="D1241" s="1">
        <v>45211</v>
      </c>
      <c r="E1241">
        <v>1</v>
      </c>
      <c r="F1241" t="str">
        <f>"06-M01-05"</f>
        <v>06-M01-05</v>
      </c>
      <c r="G1241">
        <v>0.4481</v>
      </c>
      <c r="H1241" t="s">
        <v>11</v>
      </c>
      <c r="I1241" t="s">
        <v>10</v>
      </c>
    </row>
    <row r="1242" spans="1:9" x14ac:dyDescent="0.25">
      <c r="A1242" t="str">
        <f t="shared" si="20"/>
        <v>89301000</v>
      </c>
      <c r="B1242" t="str">
        <f>"1357070033"</f>
        <v>1357070033</v>
      </c>
      <c r="C1242" s="1">
        <v>45183</v>
      </c>
      <c r="D1242" s="1">
        <v>45186</v>
      </c>
      <c r="E1242">
        <v>1</v>
      </c>
      <c r="F1242" t="str">
        <f>"11-I17-03"</f>
        <v>11-I17-03</v>
      </c>
      <c r="G1242">
        <v>0.45600000000000002</v>
      </c>
      <c r="H1242" t="s">
        <v>11</v>
      </c>
      <c r="I1242" t="s">
        <v>10</v>
      </c>
    </row>
    <row r="1243" spans="1:9" x14ac:dyDescent="0.25">
      <c r="A1243" t="str">
        <f t="shared" si="20"/>
        <v>89301000</v>
      </c>
      <c r="B1243" t="str">
        <f>"1357171233"</f>
        <v>1357171233</v>
      </c>
      <c r="C1243" s="1">
        <v>45148</v>
      </c>
      <c r="D1243" s="1">
        <v>45151</v>
      </c>
      <c r="E1243">
        <v>1</v>
      </c>
      <c r="F1243" t="str">
        <f>"03-K06-01"</f>
        <v>03-K06-01</v>
      </c>
      <c r="G1243">
        <v>0.4713</v>
      </c>
      <c r="H1243" t="s">
        <v>11</v>
      </c>
      <c r="I1243" t="s">
        <v>10</v>
      </c>
    </row>
    <row r="1244" spans="1:9" x14ac:dyDescent="0.25">
      <c r="A1244" t="str">
        <f t="shared" si="20"/>
        <v>89301000</v>
      </c>
      <c r="B1244" t="str">
        <f>"1358070274"</f>
        <v>1358070274</v>
      </c>
      <c r="C1244" s="1">
        <v>45084</v>
      </c>
      <c r="D1244" s="1">
        <v>45087</v>
      </c>
      <c r="E1244">
        <v>1</v>
      </c>
      <c r="F1244" t="str">
        <f>"11-K01-03"</f>
        <v>11-K01-03</v>
      </c>
      <c r="G1244">
        <v>0.68389999999999995</v>
      </c>
      <c r="H1244" t="s">
        <v>11</v>
      </c>
      <c r="I1244" t="s">
        <v>10</v>
      </c>
    </row>
    <row r="1245" spans="1:9" x14ac:dyDescent="0.25">
      <c r="A1245" t="str">
        <f t="shared" si="20"/>
        <v>89301000</v>
      </c>
      <c r="B1245" t="str">
        <f>"1358101228"</f>
        <v>1358101228</v>
      </c>
      <c r="C1245" s="1">
        <v>45183</v>
      </c>
      <c r="D1245" s="1">
        <v>45185</v>
      </c>
      <c r="E1245">
        <v>1</v>
      </c>
      <c r="F1245" t="str">
        <f>"03-I21-00"</f>
        <v>03-I21-00</v>
      </c>
      <c r="G1245">
        <v>0.42449999999999999</v>
      </c>
      <c r="H1245" t="s">
        <v>11</v>
      </c>
      <c r="I1245" t="s">
        <v>10</v>
      </c>
    </row>
    <row r="1246" spans="1:9" x14ac:dyDescent="0.25">
      <c r="A1246" t="str">
        <f t="shared" si="20"/>
        <v>89301000</v>
      </c>
      <c r="B1246" t="str">
        <f>"1358121127"</f>
        <v>1358121127</v>
      </c>
      <c r="C1246" s="1">
        <v>45001</v>
      </c>
      <c r="D1246" s="1">
        <v>45005</v>
      </c>
      <c r="E1246">
        <v>1</v>
      </c>
      <c r="F1246" t="str">
        <f>"03-K08-00"</f>
        <v>03-K08-00</v>
      </c>
      <c r="G1246">
        <v>0.45639999999999997</v>
      </c>
      <c r="H1246" t="s">
        <v>11</v>
      </c>
      <c r="I1246" t="s">
        <v>10</v>
      </c>
    </row>
    <row r="1247" spans="1:9" x14ac:dyDescent="0.25">
      <c r="A1247" t="str">
        <f t="shared" si="20"/>
        <v>89301000</v>
      </c>
      <c r="B1247" t="str">
        <f>"1358140234"</f>
        <v>1358140234</v>
      </c>
      <c r="C1247" s="1">
        <v>45152</v>
      </c>
      <c r="D1247" s="1">
        <v>45153</v>
      </c>
      <c r="E1247">
        <v>1</v>
      </c>
      <c r="F1247" t="str">
        <f>"08-K14-03"</f>
        <v>08-K14-03</v>
      </c>
      <c r="G1247">
        <v>0.26040000000000002</v>
      </c>
      <c r="H1247" t="s">
        <v>11</v>
      </c>
      <c r="I1247" t="s">
        <v>10</v>
      </c>
    </row>
    <row r="1248" spans="1:9" x14ac:dyDescent="0.25">
      <c r="A1248" t="str">
        <f t="shared" si="20"/>
        <v>89301000</v>
      </c>
      <c r="B1248" t="str">
        <f>"1358310734"</f>
        <v>1358310734</v>
      </c>
      <c r="C1248" s="1">
        <v>45006</v>
      </c>
      <c r="D1248" s="1">
        <v>45009</v>
      </c>
      <c r="E1248">
        <v>1</v>
      </c>
      <c r="F1248" t="str">
        <f>"08-K14-01"</f>
        <v>08-K14-01</v>
      </c>
      <c r="G1248">
        <v>0.6653</v>
      </c>
      <c r="H1248" t="s">
        <v>11</v>
      </c>
      <c r="I1248" t="s">
        <v>10</v>
      </c>
    </row>
    <row r="1249" spans="1:9" x14ac:dyDescent="0.25">
      <c r="A1249" t="str">
        <f t="shared" si="20"/>
        <v>89301000</v>
      </c>
      <c r="B1249" t="str">
        <f>"1360080282"</f>
        <v>1360080282</v>
      </c>
      <c r="C1249" s="1">
        <v>45270</v>
      </c>
      <c r="D1249" s="1">
        <v>45272</v>
      </c>
      <c r="E1249">
        <v>1</v>
      </c>
      <c r="F1249" t="str">
        <f>"03-I21-00"</f>
        <v>03-I21-00</v>
      </c>
      <c r="G1249">
        <v>0.42449999999999999</v>
      </c>
      <c r="H1249" t="s">
        <v>11</v>
      </c>
      <c r="I1249" t="s">
        <v>10</v>
      </c>
    </row>
    <row r="1250" spans="1:9" x14ac:dyDescent="0.25">
      <c r="A1250" t="str">
        <f t="shared" si="20"/>
        <v>89301000</v>
      </c>
      <c r="B1250" t="str">
        <f>"1360160230"</f>
        <v>1360160230</v>
      </c>
      <c r="C1250" s="1">
        <v>45123</v>
      </c>
      <c r="D1250" s="1">
        <v>45125</v>
      </c>
      <c r="E1250">
        <v>1</v>
      </c>
      <c r="F1250" t="str">
        <f>"03-K06-01"</f>
        <v>03-K06-01</v>
      </c>
      <c r="G1250">
        <v>0.4713</v>
      </c>
      <c r="H1250" t="s">
        <v>11</v>
      </c>
      <c r="I1250" t="s">
        <v>10</v>
      </c>
    </row>
    <row r="1251" spans="1:9" x14ac:dyDescent="0.25">
      <c r="A1251" t="str">
        <f t="shared" si="20"/>
        <v>89301000</v>
      </c>
      <c r="B1251" t="str">
        <f>"1361280228"</f>
        <v>1361280228</v>
      </c>
      <c r="C1251" s="1">
        <v>45058</v>
      </c>
      <c r="D1251" s="1">
        <v>45061</v>
      </c>
      <c r="E1251">
        <v>1</v>
      </c>
      <c r="F1251" t="str">
        <f>"06-K02-04"</f>
        <v>06-K02-04</v>
      </c>
      <c r="G1251">
        <v>0.37809999999999999</v>
      </c>
      <c r="H1251" t="s">
        <v>11</v>
      </c>
      <c r="I1251" t="s">
        <v>10</v>
      </c>
    </row>
    <row r="1252" spans="1:9" x14ac:dyDescent="0.25">
      <c r="A1252" t="str">
        <f t="shared" si="20"/>
        <v>89301000</v>
      </c>
      <c r="B1252" t="str">
        <f>"1362030219"</f>
        <v>1362030219</v>
      </c>
      <c r="C1252" s="1">
        <v>45010</v>
      </c>
      <c r="D1252" s="1">
        <v>45013</v>
      </c>
      <c r="E1252">
        <v>1</v>
      </c>
      <c r="F1252" t="str">
        <f>"16-K01-02"</f>
        <v>16-K01-02</v>
      </c>
      <c r="G1252">
        <v>0.48060000000000003</v>
      </c>
      <c r="H1252" t="s">
        <v>11</v>
      </c>
      <c r="I1252" t="s">
        <v>10</v>
      </c>
    </row>
    <row r="1253" spans="1:9" x14ac:dyDescent="0.25">
      <c r="A1253" t="str">
        <f t="shared" si="20"/>
        <v>89301000</v>
      </c>
      <c r="B1253" t="str">
        <f>"1362291084"</f>
        <v>1362291084</v>
      </c>
      <c r="C1253" s="1">
        <v>45249</v>
      </c>
      <c r="D1253" s="1">
        <v>45251</v>
      </c>
      <c r="E1253">
        <v>1</v>
      </c>
      <c r="F1253" t="str">
        <f>"02-I13-02"</f>
        <v>02-I13-02</v>
      </c>
      <c r="G1253">
        <v>0.4259</v>
      </c>
      <c r="H1253" t="s">
        <v>11</v>
      </c>
      <c r="I1253" t="s">
        <v>10</v>
      </c>
    </row>
    <row r="1254" spans="1:9" x14ac:dyDescent="0.25">
      <c r="A1254" t="str">
        <f t="shared" si="20"/>
        <v>89301000</v>
      </c>
      <c r="B1254" t="str">
        <f>"1401030235"</f>
        <v>1401030235</v>
      </c>
      <c r="C1254" s="1">
        <v>45085</v>
      </c>
      <c r="D1254" s="1">
        <v>45087</v>
      </c>
      <c r="E1254">
        <v>1</v>
      </c>
      <c r="F1254" t="str">
        <f>"09-K12-00"</f>
        <v>09-K12-00</v>
      </c>
      <c r="G1254">
        <v>0.26040000000000002</v>
      </c>
      <c r="H1254" t="s">
        <v>11</v>
      </c>
      <c r="I1254" t="s">
        <v>10</v>
      </c>
    </row>
    <row r="1255" spans="1:9" x14ac:dyDescent="0.25">
      <c r="A1255" t="str">
        <f t="shared" si="20"/>
        <v>89301000</v>
      </c>
      <c r="B1255" t="str">
        <f>"1401040047"</f>
        <v>1401040047</v>
      </c>
      <c r="C1255" s="1">
        <v>45076</v>
      </c>
      <c r="D1255" s="1">
        <v>45079</v>
      </c>
      <c r="E1255">
        <v>1</v>
      </c>
      <c r="F1255" t="str">
        <f>"06-I18-04"</f>
        <v>06-I18-04</v>
      </c>
      <c r="G1255">
        <v>1.1088</v>
      </c>
      <c r="H1255" t="s">
        <v>9</v>
      </c>
      <c r="I1255" t="s">
        <v>10</v>
      </c>
    </row>
    <row r="1256" spans="1:9" x14ac:dyDescent="0.25">
      <c r="A1256" t="str">
        <f t="shared" si="20"/>
        <v>89301000</v>
      </c>
      <c r="B1256" t="str">
        <f>"1401081407"</f>
        <v>1401081407</v>
      </c>
      <c r="C1256" s="1">
        <v>45083</v>
      </c>
      <c r="D1256" s="1">
        <v>45084</v>
      </c>
      <c r="E1256">
        <v>1</v>
      </c>
      <c r="F1256" t="str">
        <f>"08-I32-00"</f>
        <v>08-I32-00</v>
      </c>
      <c r="G1256">
        <v>0.40870000000000001</v>
      </c>
      <c r="H1256" t="s">
        <v>11</v>
      </c>
      <c r="I1256" t="s">
        <v>10</v>
      </c>
    </row>
    <row r="1257" spans="1:9" x14ac:dyDescent="0.25">
      <c r="A1257" t="str">
        <f t="shared" si="20"/>
        <v>89301000</v>
      </c>
      <c r="B1257" t="str">
        <f>"1401081407"</f>
        <v>1401081407</v>
      </c>
      <c r="C1257" s="1">
        <v>44997</v>
      </c>
      <c r="D1257" s="1">
        <v>44998</v>
      </c>
      <c r="E1257">
        <v>1</v>
      </c>
      <c r="F1257" t="str">
        <f>"08-I20-03"</f>
        <v>08-I20-03</v>
      </c>
      <c r="G1257">
        <v>0.62639999999999996</v>
      </c>
      <c r="H1257" t="s">
        <v>12</v>
      </c>
      <c r="I1257" t="s">
        <v>10</v>
      </c>
    </row>
    <row r="1258" spans="1:9" x14ac:dyDescent="0.25">
      <c r="A1258" t="str">
        <f t="shared" si="20"/>
        <v>89301000</v>
      </c>
      <c r="B1258" t="str">
        <f>"1401090405"</f>
        <v>1401090405</v>
      </c>
      <c r="C1258" s="1">
        <v>44944</v>
      </c>
      <c r="D1258" s="1">
        <v>44952</v>
      </c>
      <c r="E1258">
        <v>1</v>
      </c>
      <c r="F1258" t="str">
        <f>"10-K03-02"</f>
        <v>10-K03-02</v>
      </c>
      <c r="G1258">
        <v>1.6890000000000001</v>
      </c>
      <c r="H1258" t="s">
        <v>11</v>
      </c>
      <c r="I1258" t="s">
        <v>10</v>
      </c>
    </row>
    <row r="1259" spans="1:9" x14ac:dyDescent="0.25">
      <c r="A1259" t="str">
        <f t="shared" si="20"/>
        <v>89301000</v>
      </c>
      <c r="B1259" t="str">
        <f>"1401090405"</f>
        <v>1401090405</v>
      </c>
      <c r="C1259" s="1">
        <v>45055</v>
      </c>
      <c r="D1259" s="1">
        <v>45057</v>
      </c>
      <c r="E1259">
        <v>1</v>
      </c>
      <c r="F1259" t="str">
        <f>"10-M01-00"</f>
        <v>10-M01-00</v>
      </c>
      <c r="G1259">
        <v>0.43469999999999998</v>
      </c>
      <c r="H1259" t="s">
        <v>11</v>
      </c>
      <c r="I1259" t="s">
        <v>10</v>
      </c>
    </row>
    <row r="1260" spans="1:9" x14ac:dyDescent="0.25">
      <c r="A1260" t="str">
        <f t="shared" si="20"/>
        <v>89301000</v>
      </c>
      <c r="B1260" t="str">
        <f>"1401180011"</f>
        <v>1401180011</v>
      </c>
      <c r="C1260" s="1">
        <v>45035</v>
      </c>
      <c r="D1260" s="1">
        <v>45040</v>
      </c>
      <c r="E1260">
        <v>1</v>
      </c>
      <c r="F1260" t="str">
        <f>"06-I18-04"</f>
        <v>06-I18-04</v>
      </c>
      <c r="G1260">
        <v>1.1088</v>
      </c>
      <c r="H1260" t="s">
        <v>9</v>
      </c>
      <c r="I1260" t="s">
        <v>10</v>
      </c>
    </row>
    <row r="1261" spans="1:9" x14ac:dyDescent="0.25">
      <c r="A1261" t="str">
        <f t="shared" si="20"/>
        <v>89301000</v>
      </c>
      <c r="B1261" t="str">
        <f>"1401241171"</f>
        <v>1401241171</v>
      </c>
      <c r="C1261" s="1">
        <v>45147</v>
      </c>
      <c r="D1261" s="1">
        <v>45151</v>
      </c>
      <c r="E1261">
        <v>1</v>
      </c>
      <c r="F1261" t="str">
        <f>"03-I15-00"</f>
        <v>03-I15-00</v>
      </c>
      <c r="G1261">
        <v>0.99539999999999995</v>
      </c>
      <c r="H1261" t="s">
        <v>9</v>
      </c>
      <c r="I1261" t="s">
        <v>10</v>
      </c>
    </row>
    <row r="1262" spans="1:9" x14ac:dyDescent="0.25">
      <c r="A1262" t="str">
        <f t="shared" si="20"/>
        <v>89301000</v>
      </c>
      <c r="B1262" t="str">
        <f>"1402171210"</f>
        <v>1402171210</v>
      </c>
      <c r="C1262" s="1">
        <v>45015</v>
      </c>
      <c r="D1262" s="1">
        <v>45019</v>
      </c>
      <c r="E1262">
        <v>1</v>
      </c>
      <c r="F1262" t="str">
        <f>"06-I18-04"</f>
        <v>06-I18-04</v>
      </c>
      <c r="G1262">
        <v>1.1088</v>
      </c>
      <c r="H1262" t="s">
        <v>9</v>
      </c>
      <c r="I1262" t="s">
        <v>10</v>
      </c>
    </row>
    <row r="1263" spans="1:9" x14ac:dyDescent="0.25">
      <c r="A1263" t="str">
        <f t="shared" si="20"/>
        <v>89301000</v>
      </c>
      <c r="B1263" t="str">
        <f>"1402180186"</f>
        <v>1402180186</v>
      </c>
      <c r="C1263" s="1">
        <v>44991</v>
      </c>
      <c r="D1263" s="1">
        <v>44992</v>
      </c>
      <c r="E1263">
        <v>1</v>
      </c>
      <c r="F1263" t="str">
        <f>"06-K02-04"</f>
        <v>06-K02-04</v>
      </c>
      <c r="G1263">
        <v>0.37659999999999999</v>
      </c>
      <c r="H1263" t="s">
        <v>11</v>
      </c>
      <c r="I1263" t="s">
        <v>10</v>
      </c>
    </row>
    <row r="1264" spans="1:9" x14ac:dyDescent="0.25">
      <c r="A1264" t="str">
        <f t="shared" si="20"/>
        <v>89301000</v>
      </c>
      <c r="B1264" t="str">
        <f>"1403020036"</f>
        <v>1403020036</v>
      </c>
      <c r="C1264" s="1">
        <v>45091</v>
      </c>
      <c r="D1264" s="1">
        <v>45093</v>
      </c>
      <c r="E1264">
        <v>1</v>
      </c>
      <c r="F1264" t="str">
        <f>"12-I10-02"</f>
        <v>12-I10-02</v>
      </c>
      <c r="G1264">
        <v>0.51690000000000003</v>
      </c>
      <c r="H1264" t="s">
        <v>9</v>
      </c>
      <c r="I1264" t="s">
        <v>10</v>
      </c>
    </row>
    <row r="1265" spans="1:9" x14ac:dyDescent="0.25">
      <c r="A1265" t="str">
        <f t="shared" si="20"/>
        <v>89301000</v>
      </c>
      <c r="B1265" t="str">
        <f>"1403050418"</f>
        <v>1403050418</v>
      </c>
      <c r="C1265" s="1">
        <v>45253</v>
      </c>
      <c r="D1265" s="1">
        <v>45273</v>
      </c>
      <c r="E1265">
        <v>1</v>
      </c>
      <c r="F1265" t="str">
        <f>"08-K02-03"</f>
        <v>08-K02-03</v>
      </c>
      <c r="G1265">
        <v>1.145</v>
      </c>
      <c r="H1265" t="s">
        <v>11</v>
      </c>
      <c r="I1265" t="s">
        <v>10</v>
      </c>
    </row>
    <row r="1266" spans="1:9" x14ac:dyDescent="0.25">
      <c r="A1266" t="str">
        <f t="shared" si="20"/>
        <v>89301000</v>
      </c>
      <c r="B1266" t="str">
        <f>"1403060142"</f>
        <v>1403060142</v>
      </c>
      <c r="C1266" s="1">
        <v>45195</v>
      </c>
      <c r="D1266" s="1">
        <v>45197</v>
      </c>
      <c r="E1266">
        <v>1</v>
      </c>
      <c r="F1266" t="str">
        <f>"08-I32-00"</f>
        <v>08-I32-00</v>
      </c>
      <c r="G1266">
        <v>0.40870000000000001</v>
      </c>
      <c r="H1266" t="s">
        <v>11</v>
      </c>
      <c r="I1266" t="s">
        <v>10</v>
      </c>
    </row>
    <row r="1267" spans="1:9" x14ac:dyDescent="0.25">
      <c r="A1267" t="str">
        <f t="shared" si="20"/>
        <v>89301000</v>
      </c>
      <c r="B1267" t="str">
        <f>"1403060142"</f>
        <v>1403060142</v>
      </c>
      <c r="C1267" s="1">
        <v>45071</v>
      </c>
      <c r="D1267" s="1">
        <v>45073</v>
      </c>
      <c r="E1267">
        <v>1</v>
      </c>
      <c r="F1267" t="str">
        <f>"08-I20-03"</f>
        <v>08-I20-03</v>
      </c>
      <c r="G1267">
        <v>0.62639999999999996</v>
      </c>
      <c r="H1267" t="s">
        <v>12</v>
      </c>
      <c r="I1267" t="s">
        <v>10</v>
      </c>
    </row>
    <row r="1268" spans="1:9" x14ac:dyDescent="0.25">
      <c r="A1268" t="str">
        <f t="shared" si="20"/>
        <v>89301000</v>
      </c>
      <c r="B1268" t="str">
        <f>"1403061770"</f>
        <v>1403061770</v>
      </c>
      <c r="C1268" s="1">
        <v>45221</v>
      </c>
      <c r="D1268" s="1">
        <v>45223</v>
      </c>
      <c r="E1268">
        <v>1</v>
      </c>
      <c r="F1268" t="str">
        <f>"02-I11-01"</f>
        <v>02-I11-01</v>
      </c>
      <c r="G1268">
        <v>0.80620000000000003</v>
      </c>
      <c r="H1268" t="s">
        <v>12</v>
      </c>
      <c r="I1268" t="s">
        <v>10</v>
      </c>
    </row>
    <row r="1269" spans="1:9" x14ac:dyDescent="0.25">
      <c r="A1269" t="str">
        <f t="shared" si="20"/>
        <v>89301000</v>
      </c>
      <c r="B1269" t="str">
        <f>"1403110280"</f>
        <v>1403110280</v>
      </c>
      <c r="C1269" s="1">
        <v>45203</v>
      </c>
      <c r="D1269" s="1">
        <v>45205</v>
      </c>
      <c r="E1269">
        <v>1</v>
      </c>
      <c r="F1269" t="str">
        <f>"03-I20-03"</f>
        <v>03-I20-03</v>
      </c>
      <c r="G1269">
        <v>0.71</v>
      </c>
      <c r="H1269" t="s">
        <v>12</v>
      </c>
      <c r="I1269" t="s">
        <v>10</v>
      </c>
    </row>
    <row r="1270" spans="1:9" x14ac:dyDescent="0.25">
      <c r="A1270" t="str">
        <f t="shared" si="20"/>
        <v>89301000</v>
      </c>
      <c r="B1270" t="str">
        <f>"1403140002"</f>
        <v>1403140002</v>
      </c>
      <c r="C1270" s="1">
        <v>45139</v>
      </c>
      <c r="D1270" s="1">
        <v>45141</v>
      </c>
      <c r="E1270">
        <v>1</v>
      </c>
      <c r="F1270" t="str">
        <f>"06-K22-03"</f>
        <v>06-K22-03</v>
      </c>
      <c r="G1270">
        <v>0.31619999999999998</v>
      </c>
      <c r="H1270" t="s">
        <v>11</v>
      </c>
      <c r="I1270" t="s">
        <v>10</v>
      </c>
    </row>
    <row r="1271" spans="1:9" x14ac:dyDescent="0.25">
      <c r="A1271" t="str">
        <f t="shared" si="20"/>
        <v>89301000</v>
      </c>
      <c r="B1271" t="str">
        <f>"1403160165"</f>
        <v>1403160165</v>
      </c>
      <c r="C1271" s="1">
        <v>45266</v>
      </c>
      <c r="D1271" s="1">
        <v>45268</v>
      </c>
      <c r="E1271">
        <v>1</v>
      </c>
      <c r="F1271" t="str">
        <f>"12-I14-00"</f>
        <v>12-I14-00</v>
      </c>
      <c r="G1271">
        <v>0.42920000000000003</v>
      </c>
      <c r="H1271" t="s">
        <v>11</v>
      </c>
      <c r="I1271" t="s">
        <v>10</v>
      </c>
    </row>
    <row r="1272" spans="1:9" x14ac:dyDescent="0.25">
      <c r="A1272" t="str">
        <f t="shared" si="20"/>
        <v>89301000</v>
      </c>
      <c r="B1272" t="str">
        <f>"1403221292"</f>
        <v>1403221292</v>
      </c>
      <c r="C1272" s="1">
        <v>45011</v>
      </c>
      <c r="D1272" s="1">
        <v>45022</v>
      </c>
      <c r="E1272">
        <v>6</v>
      </c>
      <c r="F1272" t="str">
        <f>"04-K02-02"</f>
        <v>04-K02-02</v>
      </c>
      <c r="G1272">
        <v>2.8616999999999999</v>
      </c>
      <c r="H1272" t="s">
        <v>11</v>
      </c>
      <c r="I1272" t="s">
        <v>10</v>
      </c>
    </row>
    <row r="1273" spans="1:9" x14ac:dyDescent="0.25">
      <c r="A1273" t="str">
        <f t="shared" si="20"/>
        <v>89301000</v>
      </c>
      <c r="B1273" t="str">
        <f>"1403291252"</f>
        <v>1403291252</v>
      </c>
      <c r="C1273" s="1">
        <v>45245</v>
      </c>
      <c r="D1273" s="1">
        <v>45248</v>
      </c>
      <c r="E1273">
        <v>1</v>
      </c>
      <c r="F1273" t="str">
        <f>"01-K07-03"</f>
        <v>01-K07-03</v>
      </c>
      <c r="G1273">
        <v>0.48849999999999999</v>
      </c>
      <c r="H1273" t="s">
        <v>11</v>
      </c>
      <c r="I1273" t="s">
        <v>10</v>
      </c>
    </row>
    <row r="1274" spans="1:9" x14ac:dyDescent="0.25">
      <c r="A1274" t="str">
        <f t="shared" si="20"/>
        <v>89301000</v>
      </c>
      <c r="B1274" t="str">
        <f>"1404020277"</f>
        <v>1404020277</v>
      </c>
      <c r="C1274" s="1">
        <v>45076</v>
      </c>
      <c r="D1274" s="1">
        <v>45078</v>
      </c>
      <c r="E1274">
        <v>1</v>
      </c>
      <c r="F1274" t="str">
        <f>"03-K06-01"</f>
        <v>03-K06-01</v>
      </c>
      <c r="G1274">
        <v>0.4713</v>
      </c>
      <c r="H1274" t="s">
        <v>11</v>
      </c>
      <c r="I1274" t="s">
        <v>10</v>
      </c>
    </row>
    <row r="1275" spans="1:9" x14ac:dyDescent="0.25">
      <c r="A1275" t="str">
        <f t="shared" si="20"/>
        <v>89301000</v>
      </c>
      <c r="B1275" t="str">
        <f>"1404081844"</f>
        <v>1404081844</v>
      </c>
      <c r="C1275" s="1">
        <v>45075</v>
      </c>
      <c r="D1275" s="1">
        <v>45077</v>
      </c>
      <c r="E1275">
        <v>1</v>
      </c>
      <c r="F1275" t="str">
        <f>"12-I10-02"</f>
        <v>12-I10-02</v>
      </c>
      <c r="G1275">
        <v>0.51690000000000003</v>
      </c>
      <c r="H1275" t="s">
        <v>9</v>
      </c>
      <c r="I1275" t="s">
        <v>10</v>
      </c>
    </row>
    <row r="1276" spans="1:9" x14ac:dyDescent="0.25">
      <c r="A1276" t="str">
        <f t="shared" ref="A1276:A1339" si="21">"89301000"</f>
        <v>89301000</v>
      </c>
      <c r="B1276" t="str">
        <f>"1404090270"</f>
        <v>1404090270</v>
      </c>
      <c r="C1276" s="1">
        <v>45135</v>
      </c>
      <c r="D1276" s="1">
        <v>45155</v>
      </c>
      <c r="E1276">
        <v>5</v>
      </c>
      <c r="F1276" t="str">
        <f>"00-M02-03"</f>
        <v>00-M02-03</v>
      </c>
      <c r="G1276">
        <v>15.769600000000001</v>
      </c>
      <c r="H1276" t="s">
        <v>11</v>
      </c>
      <c r="I1276" t="s">
        <v>10</v>
      </c>
    </row>
    <row r="1277" spans="1:9" x14ac:dyDescent="0.25">
      <c r="A1277" t="str">
        <f t="shared" si="21"/>
        <v>89301000</v>
      </c>
      <c r="B1277" t="str">
        <f>"1404090270"</f>
        <v>1404090270</v>
      </c>
      <c r="C1277" s="1">
        <v>45226</v>
      </c>
      <c r="D1277" s="1">
        <v>45229</v>
      </c>
      <c r="E1277">
        <v>5</v>
      </c>
      <c r="F1277" t="str">
        <f>"09-I03-00"</f>
        <v>09-I03-00</v>
      </c>
      <c r="G1277">
        <v>2.4495</v>
      </c>
      <c r="H1277" t="s">
        <v>14</v>
      </c>
      <c r="I1277" t="s">
        <v>10</v>
      </c>
    </row>
    <row r="1278" spans="1:9" x14ac:dyDescent="0.25">
      <c r="A1278" t="str">
        <f t="shared" si="21"/>
        <v>89301000</v>
      </c>
      <c r="B1278" t="str">
        <f>"1404170350"</f>
        <v>1404170350</v>
      </c>
      <c r="C1278" s="1">
        <v>45289</v>
      </c>
      <c r="D1278" s="1">
        <v>45291</v>
      </c>
      <c r="E1278">
        <v>1</v>
      </c>
      <c r="F1278" t="str">
        <f>"09-K05-00"</f>
        <v>09-K05-00</v>
      </c>
      <c r="G1278">
        <v>0.8054</v>
      </c>
      <c r="H1278" t="s">
        <v>11</v>
      </c>
      <c r="I1278" t="s">
        <v>10</v>
      </c>
    </row>
    <row r="1279" spans="1:9" x14ac:dyDescent="0.25">
      <c r="A1279" t="str">
        <f t="shared" si="21"/>
        <v>89301000</v>
      </c>
      <c r="B1279" t="str">
        <f>"1404241201"</f>
        <v>1404241201</v>
      </c>
      <c r="C1279" s="1">
        <v>44981</v>
      </c>
      <c r="D1279" s="1">
        <v>44982</v>
      </c>
      <c r="E1279">
        <v>1</v>
      </c>
      <c r="F1279" t="str">
        <f>"03-K08-00"</f>
        <v>03-K08-00</v>
      </c>
      <c r="G1279">
        <v>0.45519999999999999</v>
      </c>
      <c r="H1279" t="s">
        <v>11</v>
      </c>
      <c r="I1279" t="s">
        <v>10</v>
      </c>
    </row>
    <row r="1280" spans="1:9" x14ac:dyDescent="0.25">
      <c r="A1280" t="str">
        <f t="shared" si="21"/>
        <v>89301000</v>
      </c>
      <c r="B1280" t="str">
        <f>"1404260033"</f>
        <v>1404260033</v>
      </c>
      <c r="C1280" s="1">
        <v>44965</v>
      </c>
      <c r="D1280" s="1">
        <v>44967</v>
      </c>
      <c r="E1280">
        <v>1</v>
      </c>
      <c r="F1280" t="str">
        <f>"01-K03-07"</f>
        <v>01-K03-07</v>
      </c>
      <c r="G1280">
        <v>0.5988</v>
      </c>
      <c r="H1280" t="s">
        <v>11</v>
      </c>
      <c r="I1280" t="s">
        <v>10</v>
      </c>
    </row>
    <row r="1281" spans="1:9" x14ac:dyDescent="0.25">
      <c r="A1281" t="str">
        <f t="shared" si="21"/>
        <v>89301000</v>
      </c>
      <c r="B1281" t="str">
        <f>"1405070337"</f>
        <v>1405070337</v>
      </c>
      <c r="C1281" s="1">
        <v>45029</v>
      </c>
      <c r="D1281" s="1">
        <v>45031</v>
      </c>
      <c r="E1281">
        <v>1</v>
      </c>
      <c r="F1281" t="str">
        <f>"11-I17-03"</f>
        <v>11-I17-03</v>
      </c>
      <c r="G1281">
        <v>0.45600000000000002</v>
      </c>
      <c r="H1281" t="s">
        <v>11</v>
      </c>
      <c r="I1281" t="s">
        <v>10</v>
      </c>
    </row>
    <row r="1282" spans="1:9" x14ac:dyDescent="0.25">
      <c r="A1282" t="str">
        <f t="shared" si="21"/>
        <v>89301000</v>
      </c>
      <c r="B1282" t="str">
        <f>"1405090104"</f>
        <v>1405090104</v>
      </c>
      <c r="C1282" s="1">
        <v>45165</v>
      </c>
      <c r="D1282" s="1">
        <v>45166</v>
      </c>
      <c r="E1282">
        <v>1</v>
      </c>
      <c r="F1282" t="str">
        <f>"08-I20-03"</f>
        <v>08-I20-03</v>
      </c>
      <c r="G1282">
        <v>0.62639999999999996</v>
      </c>
      <c r="H1282" t="s">
        <v>12</v>
      </c>
      <c r="I1282" t="s">
        <v>10</v>
      </c>
    </row>
    <row r="1283" spans="1:9" x14ac:dyDescent="0.25">
      <c r="A1283" t="str">
        <f t="shared" si="21"/>
        <v>89301000</v>
      </c>
      <c r="B1283" t="str">
        <f>"1405150241"</f>
        <v>1405150241</v>
      </c>
      <c r="C1283" s="1">
        <v>45133</v>
      </c>
      <c r="D1283" s="1">
        <v>45135</v>
      </c>
      <c r="E1283">
        <v>1</v>
      </c>
      <c r="F1283" t="str">
        <f>"01-K16-06"</f>
        <v>01-K16-06</v>
      </c>
      <c r="G1283">
        <v>0.27150000000000002</v>
      </c>
      <c r="H1283" t="s">
        <v>11</v>
      </c>
      <c r="I1283" t="s">
        <v>10</v>
      </c>
    </row>
    <row r="1284" spans="1:9" x14ac:dyDescent="0.25">
      <c r="A1284" t="str">
        <f t="shared" si="21"/>
        <v>89301000</v>
      </c>
      <c r="B1284" t="str">
        <f>"1405150285"</f>
        <v>1405150285</v>
      </c>
      <c r="C1284" s="1">
        <v>45250</v>
      </c>
      <c r="D1284" s="1">
        <v>45252</v>
      </c>
      <c r="E1284">
        <v>1</v>
      </c>
      <c r="F1284" t="str">
        <f>"06-I16-05"</f>
        <v>06-I16-05</v>
      </c>
      <c r="G1284">
        <v>0.4622</v>
      </c>
      <c r="H1284" t="s">
        <v>9</v>
      </c>
      <c r="I1284" t="s">
        <v>10</v>
      </c>
    </row>
    <row r="1285" spans="1:9" x14ac:dyDescent="0.25">
      <c r="A1285" t="str">
        <f t="shared" si="21"/>
        <v>89301000</v>
      </c>
      <c r="B1285" t="str">
        <f>"1405190622"</f>
        <v>1405190622</v>
      </c>
      <c r="C1285" s="1">
        <v>45273</v>
      </c>
      <c r="D1285" s="1">
        <v>45275</v>
      </c>
      <c r="E1285">
        <v>1</v>
      </c>
      <c r="F1285" t="str">
        <f>"06-C01-00"</f>
        <v>06-C01-00</v>
      </c>
      <c r="G1285">
        <v>0.20449999999999999</v>
      </c>
      <c r="H1285" t="s">
        <v>11</v>
      </c>
      <c r="I1285" t="s">
        <v>10</v>
      </c>
    </row>
    <row r="1286" spans="1:9" x14ac:dyDescent="0.25">
      <c r="A1286" t="str">
        <f t="shared" si="21"/>
        <v>89301000</v>
      </c>
      <c r="B1286" t="str">
        <f>"1405270218"</f>
        <v>1405270218</v>
      </c>
      <c r="C1286" s="1">
        <v>45272</v>
      </c>
      <c r="D1286" s="1">
        <v>45273</v>
      </c>
      <c r="E1286">
        <v>1</v>
      </c>
      <c r="F1286" t="str">
        <f>"06-K06-02"</f>
        <v>06-K06-02</v>
      </c>
      <c r="G1286">
        <v>0.64170000000000005</v>
      </c>
      <c r="H1286" t="s">
        <v>11</v>
      </c>
      <c r="I1286" t="s">
        <v>10</v>
      </c>
    </row>
    <row r="1287" spans="1:9" x14ac:dyDescent="0.25">
      <c r="A1287" t="str">
        <f t="shared" si="21"/>
        <v>89301000</v>
      </c>
      <c r="B1287" t="str">
        <f>"1405270218"</f>
        <v>1405270218</v>
      </c>
      <c r="C1287" s="1">
        <v>45250</v>
      </c>
      <c r="D1287" s="1">
        <v>45252</v>
      </c>
      <c r="E1287">
        <v>1</v>
      </c>
      <c r="F1287" t="str">
        <f>"07-K01-02"</f>
        <v>07-K01-02</v>
      </c>
      <c r="G1287">
        <v>1.0169999999999999</v>
      </c>
      <c r="H1287" t="s">
        <v>11</v>
      </c>
      <c r="I1287" t="s">
        <v>10</v>
      </c>
    </row>
    <row r="1288" spans="1:9" x14ac:dyDescent="0.25">
      <c r="A1288" t="str">
        <f t="shared" si="21"/>
        <v>89301000</v>
      </c>
      <c r="B1288" t="str">
        <f>"1406171976"</f>
        <v>1406171976</v>
      </c>
      <c r="C1288" s="1">
        <v>45064</v>
      </c>
      <c r="D1288" s="1">
        <v>45066</v>
      </c>
      <c r="E1288">
        <v>1</v>
      </c>
      <c r="F1288" t="str">
        <f>"03-K06-01"</f>
        <v>03-K06-01</v>
      </c>
      <c r="G1288">
        <v>0.4713</v>
      </c>
      <c r="H1288" t="s">
        <v>11</v>
      </c>
      <c r="I1288" t="s">
        <v>10</v>
      </c>
    </row>
    <row r="1289" spans="1:9" x14ac:dyDescent="0.25">
      <c r="A1289" t="str">
        <f t="shared" si="21"/>
        <v>89301000</v>
      </c>
      <c r="B1289" t="str">
        <f>"1407041702"</f>
        <v>1407041702</v>
      </c>
      <c r="C1289" s="1">
        <v>44970</v>
      </c>
      <c r="D1289" s="1">
        <v>44972</v>
      </c>
      <c r="E1289">
        <v>1</v>
      </c>
      <c r="F1289" t="str">
        <f>"12-I14-00"</f>
        <v>12-I14-00</v>
      </c>
      <c r="G1289">
        <v>0.42920000000000003</v>
      </c>
      <c r="H1289" t="s">
        <v>11</v>
      </c>
      <c r="I1289" t="s">
        <v>10</v>
      </c>
    </row>
    <row r="1290" spans="1:9" x14ac:dyDescent="0.25">
      <c r="A1290" t="str">
        <f t="shared" si="21"/>
        <v>89301000</v>
      </c>
      <c r="B1290" t="str">
        <f>"1407220848"</f>
        <v>1407220848</v>
      </c>
      <c r="C1290" s="1">
        <v>44949</v>
      </c>
      <c r="D1290" s="1">
        <v>44952</v>
      </c>
      <c r="E1290">
        <v>1</v>
      </c>
      <c r="F1290" t="str">
        <f>"03-I16-02"</f>
        <v>03-I16-02</v>
      </c>
      <c r="G1290">
        <v>0.93700000000000006</v>
      </c>
      <c r="H1290" t="s">
        <v>9</v>
      </c>
      <c r="I1290" t="s">
        <v>10</v>
      </c>
    </row>
    <row r="1291" spans="1:9" x14ac:dyDescent="0.25">
      <c r="A1291" t="str">
        <f t="shared" si="21"/>
        <v>89301000</v>
      </c>
      <c r="B1291" t="str">
        <f>"1407251725"</f>
        <v>1407251725</v>
      </c>
      <c r="C1291" s="1">
        <v>45176</v>
      </c>
      <c r="D1291" s="1">
        <v>45180</v>
      </c>
      <c r="E1291">
        <v>1</v>
      </c>
      <c r="F1291" t="str">
        <f>"16-K01-01"</f>
        <v>16-K01-01</v>
      </c>
      <c r="G1291">
        <v>0.83150000000000002</v>
      </c>
      <c r="H1291" t="s">
        <v>11</v>
      </c>
      <c r="I1291" t="s">
        <v>10</v>
      </c>
    </row>
    <row r="1292" spans="1:9" x14ac:dyDescent="0.25">
      <c r="A1292" t="str">
        <f t="shared" si="21"/>
        <v>89301000</v>
      </c>
      <c r="B1292" t="str">
        <f>"1408770539"</f>
        <v>1408770539</v>
      </c>
      <c r="C1292" s="1">
        <v>44997</v>
      </c>
      <c r="D1292" s="1">
        <v>44998</v>
      </c>
      <c r="E1292">
        <v>1</v>
      </c>
      <c r="F1292" t="str">
        <f>"03-K06-01"</f>
        <v>03-K06-01</v>
      </c>
      <c r="G1292">
        <v>0.46660000000000001</v>
      </c>
      <c r="H1292" t="s">
        <v>11</v>
      </c>
      <c r="I1292" t="s">
        <v>10</v>
      </c>
    </row>
    <row r="1293" spans="1:9" x14ac:dyDescent="0.25">
      <c r="A1293" t="str">
        <f t="shared" si="21"/>
        <v>89301000</v>
      </c>
      <c r="B1293" t="str">
        <f>"1409040446"</f>
        <v>1409040446</v>
      </c>
      <c r="C1293" s="1">
        <v>45072</v>
      </c>
      <c r="D1293" s="1">
        <v>45074</v>
      </c>
      <c r="E1293">
        <v>1</v>
      </c>
      <c r="F1293" t="str">
        <f>"06-K02-04"</f>
        <v>06-K02-04</v>
      </c>
      <c r="G1293">
        <v>0.37659999999999999</v>
      </c>
      <c r="H1293" t="s">
        <v>11</v>
      </c>
      <c r="I1293" t="s">
        <v>10</v>
      </c>
    </row>
    <row r="1294" spans="1:9" x14ac:dyDescent="0.25">
      <c r="A1294" t="str">
        <f t="shared" si="21"/>
        <v>89301000</v>
      </c>
      <c r="B1294" t="str">
        <f>"1409080596"</f>
        <v>1409080596</v>
      </c>
      <c r="C1294" s="1">
        <v>45260</v>
      </c>
      <c r="D1294" s="1">
        <v>45262</v>
      </c>
      <c r="E1294">
        <v>1</v>
      </c>
      <c r="F1294" t="str">
        <f>"03-K02-02"</f>
        <v>03-K02-02</v>
      </c>
      <c r="G1294">
        <v>0.57650000000000001</v>
      </c>
      <c r="H1294" t="s">
        <v>11</v>
      </c>
      <c r="I1294" t="s">
        <v>10</v>
      </c>
    </row>
    <row r="1295" spans="1:9" x14ac:dyDescent="0.25">
      <c r="A1295" t="str">
        <f t="shared" si="21"/>
        <v>89301000</v>
      </c>
      <c r="B1295" t="str">
        <f>"1409080596"</f>
        <v>1409080596</v>
      </c>
      <c r="C1295" s="1">
        <v>44950</v>
      </c>
      <c r="D1295" s="1">
        <v>44951</v>
      </c>
      <c r="E1295">
        <v>1</v>
      </c>
      <c r="F1295" t="str">
        <f>"06-K02-04"</f>
        <v>06-K02-04</v>
      </c>
      <c r="G1295">
        <v>0.37659999999999999</v>
      </c>
      <c r="H1295" t="s">
        <v>11</v>
      </c>
      <c r="I1295" t="s">
        <v>10</v>
      </c>
    </row>
    <row r="1296" spans="1:9" x14ac:dyDescent="0.25">
      <c r="A1296" t="str">
        <f t="shared" si="21"/>
        <v>89301000</v>
      </c>
      <c r="B1296" t="str">
        <f>"1409080596"</f>
        <v>1409080596</v>
      </c>
      <c r="C1296" s="1">
        <v>45183</v>
      </c>
      <c r="D1296" s="1">
        <v>45187</v>
      </c>
      <c r="E1296">
        <v>1</v>
      </c>
      <c r="F1296" t="str">
        <f>"06-K02-04"</f>
        <v>06-K02-04</v>
      </c>
      <c r="G1296">
        <v>0.37659999999999999</v>
      </c>
      <c r="H1296" t="s">
        <v>11</v>
      </c>
      <c r="I1296" t="s">
        <v>10</v>
      </c>
    </row>
    <row r="1297" spans="1:9" x14ac:dyDescent="0.25">
      <c r="A1297" t="str">
        <f t="shared" si="21"/>
        <v>89301000</v>
      </c>
      <c r="B1297" t="str">
        <f>"1409150633"</f>
        <v>1409150633</v>
      </c>
      <c r="C1297" s="1">
        <v>45117</v>
      </c>
      <c r="D1297" s="1">
        <v>45119</v>
      </c>
      <c r="E1297">
        <v>1</v>
      </c>
      <c r="F1297" t="str">
        <f>"08-I20-03"</f>
        <v>08-I20-03</v>
      </c>
      <c r="G1297">
        <v>0.62639999999999996</v>
      </c>
      <c r="H1297" t="s">
        <v>12</v>
      </c>
      <c r="I1297" t="s">
        <v>10</v>
      </c>
    </row>
    <row r="1298" spans="1:9" x14ac:dyDescent="0.25">
      <c r="A1298" t="str">
        <f t="shared" si="21"/>
        <v>89301000</v>
      </c>
      <c r="B1298" t="str">
        <f>"1409151843"</f>
        <v>1409151843</v>
      </c>
      <c r="C1298" s="1">
        <v>45235</v>
      </c>
      <c r="D1298" s="1">
        <v>45237</v>
      </c>
      <c r="E1298">
        <v>1</v>
      </c>
      <c r="F1298" t="str">
        <f>"03-I21-00"</f>
        <v>03-I21-00</v>
      </c>
      <c r="G1298">
        <v>0.42759999999999998</v>
      </c>
      <c r="H1298" t="s">
        <v>11</v>
      </c>
      <c r="I1298" t="s">
        <v>10</v>
      </c>
    </row>
    <row r="1299" spans="1:9" x14ac:dyDescent="0.25">
      <c r="A1299" t="str">
        <f t="shared" si="21"/>
        <v>89301000</v>
      </c>
      <c r="B1299" t="str">
        <f>"1409151843"</f>
        <v>1409151843</v>
      </c>
      <c r="C1299" s="1">
        <v>45183</v>
      </c>
      <c r="D1299" s="1">
        <v>45184</v>
      </c>
      <c r="E1299">
        <v>1</v>
      </c>
      <c r="F1299" t="str">
        <f>"23-K01-00"</f>
        <v>23-K01-00</v>
      </c>
      <c r="G1299">
        <v>0.1401</v>
      </c>
      <c r="H1299" t="s">
        <v>11</v>
      </c>
      <c r="I1299" t="s">
        <v>10</v>
      </c>
    </row>
    <row r="1300" spans="1:9" x14ac:dyDescent="0.25">
      <c r="A1300" t="str">
        <f t="shared" si="21"/>
        <v>89301000</v>
      </c>
      <c r="B1300" t="str">
        <f>"1409241999"</f>
        <v>1409241999</v>
      </c>
      <c r="C1300" s="1">
        <v>45285</v>
      </c>
      <c r="D1300" s="1">
        <v>45286</v>
      </c>
      <c r="E1300">
        <v>1</v>
      </c>
      <c r="F1300" t="str">
        <f>"06-K22-03"</f>
        <v>06-K22-03</v>
      </c>
      <c r="G1300">
        <v>0.31619999999999998</v>
      </c>
      <c r="H1300" t="s">
        <v>11</v>
      </c>
      <c r="I1300" t="s">
        <v>10</v>
      </c>
    </row>
    <row r="1301" spans="1:9" x14ac:dyDescent="0.25">
      <c r="A1301" t="str">
        <f t="shared" si="21"/>
        <v>89301000</v>
      </c>
      <c r="B1301" t="str">
        <f>"1409271160"</f>
        <v>1409271160</v>
      </c>
      <c r="C1301" s="1">
        <v>45062</v>
      </c>
      <c r="D1301" s="1">
        <v>45065</v>
      </c>
      <c r="E1301">
        <v>1</v>
      </c>
      <c r="F1301" t="str">
        <f>"08-I26-02"</f>
        <v>08-I26-02</v>
      </c>
      <c r="G1301">
        <v>0.83779999999999999</v>
      </c>
      <c r="H1301" t="s">
        <v>11</v>
      </c>
      <c r="I1301" t="s">
        <v>10</v>
      </c>
    </row>
    <row r="1302" spans="1:9" x14ac:dyDescent="0.25">
      <c r="A1302" t="str">
        <f t="shared" si="21"/>
        <v>89301000</v>
      </c>
      <c r="B1302" t="str">
        <f>"1410191244"</f>
        <v>1410191244</v>
      </c>
      <c r="C1302" s="1">
        <v>45160</v>
      </c>
      <c r="D1302" s="1">
        <v>45162</v>
      </c>
      <c r="E1302">
        <v>1</v>
      </c>
      <c r="F1302" t="str">
        <f>"02-K07-01"</f>
        <v>02-K07-01</v>
      </c>
      <c r="G1302">
        <v>0.77580000000000005</v>
      </c>
      <c r="H1302" t="s">
        <v>11</v>
      </c>
      <c r="I1302" t="s">
        <v>10</v>
      </c>
    </row>
    <row r="1303" spans="1:9" x14ac:dyDescent="0.25">
      <c r="A1303" t="str">
        <f t="shared" si="21"/>
        <v>89301000</v>
      </c>
      <c r="B1303" t="str">
        <f>"1410241371"</f>
        <v>1410241371</v>
      </c>
      <c r="C1303" s="1">
        <v>45208</v>
      </c>
      <c r="D1303" s="1">
        <v>45210</v>
      </c>
      <c r="E1303">
        <v>1</v>
      </c>
      <c r="F1303" t="str">
        <f>"12-K09-00"</f>
        <v>12-K09-00</v>
      </c>
      <c r="G1303">
        <v>0.43219999999999997</v>
      </c>
      <c r="H1303" t="s">
        <v>11</v>
      </c>
      <c r="I1303" t="s">
        <v>10</v>
      </c>
    </row>
    <row r="1304" spans="1:9" x14ac:dyDescent="0.25">
      <c r="A1304" t="str">
        <f t="shared" si="21"/>
        <v>89301000</v>
      </c>
      <c r="B1304" t="str">
        <f>"1410301904"</f>
        <v>1410301904</v>
      </c>
      <c r="C1304" s="1">
        <v>45236</v>
      </c>
      <c r="D1304" s="1">
        <v>45245</v>
      </c>
      <c r="E1304">
        <v>1</v>
      </c>
      <c r="F1304" t="str">
        <f>"16-K04-02"</f>
        <v>16-K04-02</v>
      </c>
      <c r="G1304">
        <v>0.92759999999999998</v>
      </c>
      <c r="H1304" t="s">
        <v>11</v>
      </c>
      <c r="I1304" t="s">
        <v>10</v>
      </c>
    </row>
    <row r="1305" spans="1:9" x14ac:dyDescent="0.25">
      <c r="A1305" t="str">
        <f t="shared" si="21"/>
        <v>89301000</v>
      </c>
      <c r="B1305" t="str">
        <f>"1411010029"</f>
        <v>1411010029</v>
      </c>
      <c r="C1305" s="1">
        <v>45041</v>
      </c>
      <c r="D1305" s="1">
        <v>45044</v>
      </c>
      <c r="E1305">
        <v>1</v>
      </c>
      <c r="F1305" t="str">
        <f>"06-I18-04"</f>
        <v>06-I18-04</v>
      </c>
      <c r="G1305">
        <v>1.1088</v>
      </c>
      <c r="H1305" t="s">
        <v>9</v>
      </c>
      <c r="I1305" t="s">
        <v>10</v>
      </c>
    </row>
    <row r="1306" spans="1:9" x14ac:dyDescent="0.25">
      <c r="A1306" t="str">
        <f t="shared" si="21"/>
        <v>89301000</v>
      </c>
      <c r="B1306" t="str">
        <f>"1411090043"</f>
        <v>1411090043</v>
      </c>
      <c r="C1306" s="1">
        <v>45179</v>
      </c>
      <c r="D1306" s="1">
        <v>45181</v>
      </c>
      <c r="E1306">
        <v>1</v>
      </c>
      <c r="F1306" t="str">
        <f>"02-I11-01"</f>
        <v>02-I11-01</v>
      </c>
      <c r="G1306">
        <v>0.80620000000000003</v>
      </c>
      <c r="H1306" t="s">
        <v>12</v>
      </c>
      <c r="I1306" t="s">
        <v>10</v>
      </c>
    </row>
    <row r="1307" spans="1:9" x14ac:dyDescent="0.25">
      <c r="A1307" t="str">
        <f t="shared" si="21"/>
        <v>89301000</v>
      </c>
      <c r="B1307" t="str">
        <f>"1411120898"</f>
        <v>1411120898</v>
      </c>
      <c r="C1307" s="1">
        <v>44943</v>
      </c>
      <c r="D1307" s="1">
        <v>44945</v>
      </c>
      <c r="E1307">
        <v>1</v>
      </c>
      <c r="F1307" t="str">
        <f>"08-I32-00"</f>
        <v>08-I32-00</v>
      </c>
      <c r="G1307">
        <v>0.40870000000000001</v>
      </c>
      <c r="H1307" t="s">
        <v>11</v>
      </c>
      <c r="I1307" t="s">
        <v>10</v>
      </c>
    </row>
    <row r="1308" spans="1:9" x14ac:dyDescent="0.25">
      <c r="A1308" t="str">
        <f t="shared" si="21"/>
        <v>89301000</v>
      </c>
      <c r="B1308" t="str">
        <f>"1411130204"</f>
        <v>1411130204</v>
      </c>
      <c r="C1308" s="1">
        <v>45082</v>
      </c>
      <c r="D1308" s="1">
        <v>45084</v>
      </c>
      <c r="E1308">
        <v>1</v>
      </c>
      <c r="F1308" t="str">
        <f>"12-I14-00"</f>
        <v>12-I14-00</v>
      </c>
      <c r="G1308">
        <v>0.42920000000000003</v>
      </c>
      <c r="H1308" t="s">
        <v>11</v>
      </c>
      <c r="I1308" t="s">
        <v>10</v>
      </c>
    </row>
    <row r="1309" spans="1:9" x14ac:dyDescent="0.25">
      <c r="A1309" t="str">
        <f t="shared" si="21"/>
        <v>89301000</v>
      </c>
      <c r="B1309" t="str">
        <f>"1411280277"</f>
        <v>1411280277</v>
      </c>
      <c r="C1309" s="1">
        <v>45249</v>
      </c>
      <c r="D1309" s="1">
        <v>45251</v>
      </c>
      <c r="E1309">
        <v>1</v>
      </c>
      <c r="F1309" t="str">
        <f>"03-I21-00"</f>
        <v>03-I21-00</v>
      </c>
      <c r="G1309">
        <v>0.42449999999999999</v>
      </c>
      <c r="H1309" t="s">
        <v>11</v>
      </c>
      <c r="I1309" t="s">
        <v>10</v>
      </c>
    </row>
    <row r="1310" spans="1:9" x14ac:dyDescent="0.25">
      <c r="A1310" t="str">
        <f t="shared" si="21"/>
        <v>89301000</v>
      </c>
      <c r="B1310" t="str">
        <f>"1411280277"</f>
        <v>1411280277</v>
      </c>
      <c r="C1310" s="1">
        <v>45262</v>
      </c>
      <c r="D1310" s="1">
        <v>45264</v>
      </c>
      <c r="E1310">
        <v>1</v>
      </c>
      <c r="F1310" t="str">
        <f>"21-K06-02"</f>
        <v>21-K06-02</v>
      </c>
      <c r="G1310">
        <v>0.55720000000000003</v>
      </c>
      <c r="H1310" t="s">
        <v>11</v>
      </c>
      <c r="I1310" t="s">
        <v>10</v>
      </c>
    </row>
    <row r="1311" spans="1:9" x14ac:dyDescent="0.25">
      <c r="A1311" t="str">
        <f t="shared" si="21"/>
        <v>89301000</v>
      </c>
      <c r="B1311" t="str">
        <f>"1412010424"</f>
        <v>1412010424</v>
      </c>
      <c r="C1311" s="1">
        <v>44932</v>
      </c>
      <c r="D1311" s="1">
        <v>44944</v>
      </c>
      <c r="E1311">
        <v>1</v>
      </c>
      <c r="F1311" t="str">
        <f>"11-K02-02"</f>
        <v>11-K02-02</v>
      </c>
      <c r="G1311">
        <v>1.4047000000000001</v>
      </c>
      <c r="H1311" t="s">
        <v>11</v>
      </c>
      <c r="I1311" t="s">
        <v>10</v>
      </c>
    </row>
    <row r="1312" spans="1:9" x14ac:dyDescent="0.25">
      <c r="A1312" t="str">
        <f t="shared" si="21"/>
        <v>89301000</v>
      </c>
      <c r="B1312" t="str">
        <f>"1412100261"</f>
        <v>1412100261</v>
      </c>
      <c r="C1312" s="1">
        <v>45260</v>
      </c>
      <c r="D1312" s="1">
        <v>45262</v>
      </c>
      <c r="E1312">
        <v>1</v>
      </c>
      <c r="F1312" t="str">
        <f>"12-I14-00"</f>
        <v>12-I14-00</v>
      </c>
      <c r="G1312">
        <v>0.42920000000000003</v>
      </c>
      <c r="H1312" t="s">
        <v>11</v>
      </c>
      <c r="I1312" t="s">
        <v>10</v>
      </c>
    </row>
    <row r="1313" spans="1:9" x14ac:dyDescent="0.25">
      <c r="A1313" t="str">
        <f t="shared" si="21"/>
        <v>89301000</v>
      </c>
      <c r="B1313" t="str">
        <f>"1412110216"</f>
        <v>1412110216</v>
      </c>
      <c r="C1313" s="1">
        <v>44957</v>
      </c>
      <c r="D1313" s="1">
        <v>44958</v>
      </c>
      <c r="E1313">
        <v>1</v>
      </c>
      <c r="F1313" t="str">
        <f>"01-K16-06"</f>
        <v>01-K16-06</v>
      </c>
      <c r="G1313">
        <v>0.27150000000000002</v>
      </c>
      <c r="H1313" t="s">
        <v>11</v>
      </c>
      <c r="I1313" t="s">
        <v>10</v>
      </c>
    </row>
    <row r="1314" spans="1:9" x14ac:dyDescent="0.25">
      <c r="A1314" t="str">
        <f t="shared" si="21"/>
        <v>89301000</v>
      </c>
      <c r="B1314" t="str">
        <f>"1412260036"</f>
        <v>1412260036</v>
      </c>
      <c r="C1314" s="1">
        <v>45089</v>
      </c>
      <c r="D1314" s="1">
        <v>45091</v>
      </c>
      <c r="E1314">
        <v>1</v>
      </c>
      <c r="F1314" t="str">
        <f>"12-I10-02"</f>
        <v>12-I10-02</v>
      </c>
      <c r="G1314">
        <v>0.51690000000000003</v>
      </c>
      <c r="H1314" t="s">
        <v>9</v>
      </c>
      <c r="I1314" t="s">
        <v>10</v>
      </c>
    </row>
    <row r="1315" spans="1:9" x14ac:dyDescent="0.25">
      <c r="A1315" t="str">
        <f t="shared" si="21"/>
        <v>89301000</v>
      </c>
      <c r="B1315" t="str">
        <f>"1412261114"</f>
        <v>1412261114</v>
      </c>
      <c r="C1315" s="1">
        <v>45178</v>
      </c>
      <c r="D1315" s="1">
        <v>45180</v>
      </c>
      <c r="E1315">
        <v>1</v>
      </c>
      <c r="F1315" t="str">
        <f>"04-K04-02"</f>
        <v>04-K04-02</v>
      </c>
      <c r="G1315">
        <v>0.52159999999999995</v>
      </c>
      <c r="H1315" t="s">
        <v>11</v>
      </c>
      <c r="I1315" t="s">
        <v>10</v>
      </c>
    </row>
    <row r="1316" spans="1:9" x14ac:dyDescent="0.25">
      <c r="A1316" t="str">
        <f t="shared" si="21"/>
        <v>89301000</v>
      </c>
      <c r="B1316" t="str">
        <f>"1451070005"</f>
        <v>1451070005</v>
      </c>
      <c r="C1316" s="1">
        <v>44950</v>
      </c>
      <c r="D1316" s="1">
        <v>44956</v>
      </c>
      <c r="E1316">
        <v>1</v>
      </c>
      <c r="F1316" t="str">
        <f>"06-K02-03"</f>
        <v>06-K02-03</v>
      </c>
      <c r="G1316">
        <v>0.5081</v>
      </c>
      <c r="H1316" t="s">
        <v>11</v>
      </c>
      <c r="I1316" t="s">
        <v>10</v>
      </c>
    </row>
    <row r="1317" spans="1:9" x14ac:dyDescent="0.25">
      <c r="A1317" t="str">
        <f t="shared" si="21"/>
        <v>89301000</v>
      </c>
      <c r="B1317" t="str">
        <f>"1451140350"</f>
        <v>1451140350</v>
      </c>
      <c r="C1317" s="1">
        <v>44959</v>
      </c>
      <c r="D1317" s="1">
        <v>44963</v>
      </c>
      <c r="E1317">
        <v>1</v>
      </c>
      <c r="F1317" t="str">
        <f>"18-K02-03"</f>
        <v>18-K02-03</v>
      </c>
      <c r="G1317">
        <v>0.9234</v>
      </c>
      <c r="H1317" t="s">
        <v>11</v>
      </c>
      <c r="I1317" t="s">
        <v>10</v>
      </c>
    </row>
    <row r="1318" spans="1:9" x14ac:dyDescent="0.25">
      <c r="A1318" t="str">
        <f t="shared" si="21"/>
        <v>89301000</v>
      </c>
      <c r="B1318" t="str">
        <f>"1451141747"</f>
        <v>1451141747</v>
      </c>
      <c r="C1318" s="1">
        <v>44943</v>
      </c>
      <c r="D1318" s="1">
        <v>44945</v>
      </c>
      <c r="E1318">
        <v>1</v>
      </c>
      <c r="F1318" t="str">
        <f>"06-K02-04"</f>
        <v>06-K02-04</v>
      </c>
      <c r="G1318">
        <v>0.37659999999999999</v>
      </c>
      <c r="H1318" t="s">
        <v>11</v>
      </c>
      <c r="I1318" t="s">
        <v>10</v>
      </c>
    </row>
    <row r="1319" spans="1:9" x14ac:dyDescent="0.25">
      <c r="A1319" t="str">
        <f t="shared" si="21"/>
        <v>89301000</v>
      </c>
      <c r="B1319" t="str">
        <f>"1451180027"</f>
        <v>1451180027</v>
      </c>
      <c r="C1319" s="1">
        <v>45275</v>
      </c>
      <c r="D1319" s="1">
        <v>45279</v>
      </c>
      <c r="E1319">
        <v>1</v>
      </c>
      <c r="F1319" t="str">
        <f>"08-K04-02"</f>
        <v>08-K04-02</v>
      </c>
      <c r="G1319">
        <v>0.54300000000000004</v>
      </c>
      <c r="H1319" t="s">
        <v>11</v>
      </c>
      <c r="I1319" t="s">
        <v>10</v>
      </c>
    </row>
    <row r="1320" spans="1:9" x14ac:dyDescent="0.25">
      <c r="A1320" t="str">
        <f t="shared" si="21"/>
        <v>89301000</v>
      </c>
      <c r="B1320" t="str">
        <f>"1451231584"</f>
        <v>1451231584</v>
      </c>
      <c r="C1320" s="1">
        <v>44945</v>
      </c>
      <c r="D1320" s="1">
        <v>44948</v>
      </c>
      <c r="E1320">
        <v>1</v>
      </c>
      <c r="F1320" t="str">
        <f>"03-I16-02"</f>
        <v>03-I16-02</v>
      </c>
      <c r="G1320">
        <v>0.93700000000000006</v>
      </c>
      <c r="H1320" t="s">
        <v>9</v>
      </c>
      <c r="I1320" t="s">
        <v>10</v>
      </c>
    </row>
    <row r="1321" spans="1:9" x14ac:dyDescent="0.25">
      <c r="A1321" t="str">
        <f t="shared" si="21"/>
        <v>89301000</v>
      </c>
      <c r="B1321" t="str">
        <f>"1452100001"</f>
        <v>1452100001</v>
      </c>
      <c r="C1321" s="1">
        <v>45231</v>
      </c>
      <c r="D1321" s="1">
        <v>45236</v>
      </c>
      <c r="E1321">
        <v>1</v>
      </c>
      <c r="F1321" t="str">
        <f>"06-I18-04"</f>
        <v>06-I18-04</v>
      </c>
      <c r="G1321">
        <v>1.1088</v>
      </c>
      <c r="H1321" t="s">
        <v>9</v>
      </c>
      <c r="I1321" t="s">
        <v>10</v>
      </c>
    </row>
    <row r="1322" spans="1:9" x14ac:dyDescent="0.25">
      <c r="A1322" t="str">
        <f t="shared" si="21"/>
        <v>89301000</v>
      </c>
      <c r="B1322" t="str">
        <f>"1453140172"</f>
        <v>1453140172</v>
      </c>
      <c r="C1322" s="1">
        <v>45162</v>
      </c>
      <c r="D1322" s="1">
        <v>45168</v>
      </c>
      <c r="E1322">
        <v>1</v>
      </c>
      <c r="F1322" t="str">
        <f>"06-K02-04"</f>
        <v>06-K02-04</v>
      </c>
      <c r="G1322">
        <v>0.37659999999999999</v>
      </c>
      <c r="H1322" t="s">
        <v>11</v>
      </c>
      <c r="I1322" t="s">
        <v>10</v>
      </c>
    </row>
    <row r="1323" spans="1:9" x14ac:dyDescent="0.25">
      <c r="A1323" t="str">
        <f t="shared" si="21"/>
        <v>89301000</v>
      </c>
      <c r="B1323" t="str">
        <f>"1454040005"</f>
        <v>1454040005</v>
      </c>
      <c r="C1323" s="1">
        <v>45091</v>
      </c>
      <c r="D1323" s="1">
        <v>45096</v>
      </c>
      <c r="E1323">
        <v>1</v>
      </c>
      <c r="F1323" t="str">
        <f>"08-I20-03"</f>
        <v>08-I20-03</v>
      </c>
      <c r="G1323">
        <v>0.62639999999999996</v>
      </c>
      <c r="H1323" t="s">
        <v>12</v>
      </c>
      <c r="I1323" t="s">
        <v>10</v>
      </c>
    </row>
    <row r="1324" spans="1:9" x14ac:dyDescent="0.25">
      <c r="A1324" t="str">
        <f t="shared" si="21"/>
        <v>89301000</v>
      </c>
      <c r="B1324" t="str">
        <f>"1454110295"</f>
        <v>1454110295</v>
      </c>
      <c r="C1324" s="1">
        <v>45242</v>
      </c>
      <c r="D1324" s="1">
        <v>45244</v>
      </c>
      <c r="E1324">
        <v>1</v>
      </c>
      <c r="F1324" t="str">
        <f>"09-I12-01"</f>
        <v>09-I12-01</v>
      </c>
      <c r="G1324">
        <v>1.1693</v>
      </c>
      <c r="H1324" t="s">
        <v>11</v>
      </c>
      <c r="I1324" t="s">
        <v>10</v>
      </c>
    </row>
    <row r="1325" spans="1:9" x14ac:dyDescent="0.25">
      <c r="A1325" t="str">
        <f t="shared" si="21"/>
        <v>89301000</v>
      </c>
      <c r="B1325" t="str">
        <f>"1454110295"</f>
        <v>1454110295</v>
      </c>
      <c r="C1325" s="1">
        <v>45184</v>
      </c>
      <c r="D1325" s="1">
        <v>45188</v>
      </c>
      <c r="E1325">
        <v>1</v>
      </c>
      <c r="F1325" t="str">
        <f>"09-K13-01"</f>
        <v>09-K13-01</v>
      </c>
      <c r="G1325">
        <v>0.54759999999999998</v>
      </c>
      <c r="H1325" t="s">
        <v>11</v>
      </c>
      <c r="I1325" t="s">
        <v>10</v>
      </c>
    </row>
    <row r="1326" spans="1:9" x14ac:dyDescent="0.25">
      <c r="A1326" t="str">
        <f t="shared" si="21"/>
        <v>89301000</v>
      </c>
      <c r="B1326" t="str">
        <f>"1454230327"</f>
        <v>1454230327</v>
      </c>
      <c r="C1326" s="1">
        <v>45013</v>
      </c>
      <c r="D1326" s="1">
        <v>45015</v>
      </c>
      <c r="E1326">
        <v>1</v>
      </c>
      <c r="F1326" t="str">
        <f>"06-K22-03"</f>
        <v>06-K22-03</v>
      </c>
      <c r="G1326">
        <v>0.31619999999999998</v>
      </c>
      <c r="H1326" t="s">
        <v>11</v>
      </c>
      <c r="I1326" t="s">
        <v>10</v>
      </c>
    </row>
    <row r="1327" spans="1:9" x14ac:dyDescent="0.25">
      <c r="A1327" t="str">
        <f t="shared" si="21"/>
        <v>89301000</v>
      </c>
      <c r="B1327" t="str">
        <f>"1454250215"</f>
        <v>1454250215</v>
      </c>
      <c r="C1327" s="1">
        <v>45244</v>
      </c>
      <c r="D1327" s="1">
        <v>45245</v>
      </c>
      <c r="E1327">
        <v>1</v>
      </c>
      <c r="F1327" t="str">
        <f>"08-I20-03"</f>
        <v>08-I20-03</v>
      </c>
      <c r="G1327">
        <v>0.62639999999999996</v>
      </c>
      <c r="H1327" t="s">
        <v>12</v>
      </c>
      <c r="I1327" t="s">
        <v>10</v>
      </c>
    </row>
    <row r="1328" spans="1:9" x14ac:dyDescent="0.25">
      <c r="A1328" t="str">
        <f t="shared" si="21"/>
        <v>89301000</v>
      </c>
      <c r="B1328" t="str">
        <f>"1454300221"</f>
        <v>1454300221</v>
      </c>
      <c r="C1328" s="1">
        <v>45160</v>
      </c>
      <c r="D1328" s="1">
        <v>45181</v>
      </c>
      <c r="E1328">
        <v>1</v>
      </c>
      <c r="F1328" t="str">
        <f>"01-K02-01"</f>
        <v>01-K02-01</v>
      </c>
      <c r="G1328">
        <v>2.7972000000000001</v>
      </c>
      <c r="H1328" t="s">
        <v>11</v>
      </c>
      <c r="I1328" t="s">
        <v>10</v>
      </c>
    </row>
    <row r="1329" spans="1:9" x14ac:dyDescent="0.25">
      <c r="A1329" t="str">
        <f t="shared" si="21"/>
        <v>89301000</v>
      </c>
      <c r="B1329" t="str">
        <f>"1454300221"</f>
        <v>1454300221</v>
      </c>
      <c r="C1329" s="1">
        <v>45203</v>
      </c>
      <c r="D1329" s="1">
        <v>45210</v>
      </c>
      <c r="E1329">
        <v>1</v>
      </c>
      <c r="F1329" t="str">
        <f>"07-K05-01"</f>
        <v>07-K05-01</v>
      </c>
      <c r="G1329">
        <v>1.3734999999999999</v>
      </c>
      <c r="H1329" t="s">
        <v>11</v>
      </c>
      <c r="I1329" t="s">
        <v>10</v>
      </c>
    </row>
    <row r="1330" spans="1:9" x14ac:dyDescent="0.25">
      <c r="A1330" t="str">
        <f t="shared" si="21"/>
        <v>89301000</v>
      </c>
      <c r="B1330" t="str">
        <f>"1455090164"</f>
        <v>1455090164</v>
      </c>
      <c r="C1330" s="1">
        <v>45008</v>
      </c>
      <c r="D1330" s="1">
        <v>45011</v>
      </c>
      <c r="E1330">
        <v>1</v>
      </c>
      <c r="F1330" t="str">
        <f>"03-I16-02"</f>
        <v>03-I16-02</v>
      </c>
      <c r="G1330">
        <v>0.92979999999999996</v>
      </c>
      <c r="H1330" t="s">
        <v>9</v>
      </c>
      <c r="I1330" t="s">
        <v>10</v>
      </c>
    </row>
    <row r="1331" spans="1:9" x14ac:dyDescent="0.25">
      <c r="A1331" t="str">
        <f t="shared" si="21"/>
        <v>89301000</v>
      </c>
      <c r="B1331" t="str">
        <f>"1455190352"</f>
        <v>1455190352</v>
      </c>
      <c r="C1331" s="1">
        <v>45039</v>
      </c>
      <c r="D1331" s="1">
        <v>45041</v>
      </c>
      <c r="E1331">
        <v>1</v>
      </c>
      <c r="F1331" t="str">
        <f>"02-I11-01"</f>
        <v>02-I11-01</v>
      </c>
      <c r="G1331">
        <v>0.80620000000000003</v>
      </c>
      <c r="H1331" t="s">
        <v>12</v>
      </c>
      <c r="I1331" t="s">
        <v>10</v>
      </c>
    </row>
    <row r="1332" spans="1:9" x14ac:dyDescent="0.25">
      <c r="A1332" t="str">
        <f t="shared" si="21"/>
        <v>89301000</v>
      </c>
      <c r="B1332" t="str">
        <f>"1455230282"</f>
        <v>1455230282</v>
      </c>
      <c r="C1332" s="1">
        <v>45055</v>
      </c>
      <c r="D1332" s="1">
        <v>45056</v>
      </c>
      <c r="E1332">
        <v>1</v>
      </c>
      <c r="F1332" t="str">
        <f>"01-K07-03"</f>
        <v>01-K07-03</v>
      </c>
      <c r="G1332">
        <v>0.48680000000000001</v>
      </c>
      <c r="H1332" t="s">
        <v>11</v>
      </c>
      <c r="I1332" t="s">
        <v>10</v>
      </c>
    </row>
    <row r="1333" spans="1:9" x14ac:dyDescent="0.25">
      <c r="A1333" t="str">
        <f t="shared" si="21"/>
        <v>89301000</v>
      </c>
      <c r="B1333" t="str">
        <f>"1455231965"</f>
        <v>1455231965</v>
      </c>
      <c r="C1333" s="1">
        <v>45022</v>
      </c>
      <c r="D1333" s="1">
        <v>45028</v>
      </c>
      <c r="E1333">
        <v>1</v>
      </c>
      <c r="F1333" t="str">
        <f>"11-K01-03"</f>
        <v>11-K01-03</v>
      </c>
      <c r="G1333">
        <v>0.69869999999999999</v>
      </c>
      <c r="H1333" t="s">
        <v>11</v>
      </c>
      <c r="I1333" t="s">
        <v>10</v>
      </c>
    </row>
    <row r="1334" spans="1:9" x14ac:dyDescent="0.25">
      <c r="A1334" t="str">
        <f t="shared" si="21"/>
        <v>89301000</v>
      </c>
      <c r="B1334" t="str">
        <f>"1455290188"</f>
        <v>1455290188</v>
      </c>
      <c r="C1334" s="1">
        <v>45059</v>
      </c>
      <c r="D1334" s="1">
        <v>45061</v>
      </c>
      <c r="E1334">
        <v>1</v>
      </c>
      <c r="F1334" t="str">
        <f>"08-I20-03"</f>
        <v>08-I20-03</v>
      </c>
      <c r="G1334">
        <v>0.62639999999999996</v>
      </c>
      <c r="H1334" t="s">
        <v>12</v>
      </c>
      <c r="I1334" t="s">
        <v>10</v>
      </c>
    </row>
    <row r="1335" spans="1:9" x14ac:dyDescent="0.25">
      <c r="A1335" t="str">
        <f t="shared" si="21"/>
        <v>89301000</v>
      </c>
      <c r="B1335" t="str">
        <f>"1456020951"</f>
        <v>1456020951</v>
      </c>
      <c r="C1335" s="1">
        <v>45068</v>
      </c>
      <c r="D1335" s="1">
        <v>45070</v>
      </c>
      <c r="E1335">
        <v>1</v>
      </c>
      <c r="F1335" t="str">
        <f>"06-I16-05"</f>
        <v>06-I16-05</v>
      </c>
      <c r="G1335">
        <v>0.4622</v>
      </c>
      <c r="H1335" t="s">
        <v>9</v>
      </c>
      <c r="I1335" t="s">
        <v>10</v>
      </c>
    </row>
    <row r="1336" spans="1:9" x14ac:dyDescent="0.25">
      <c r="A1336" t="str">
        <f t="shared" si="21"/>
        <v>89301000</v>
      </c>
      <c r="B1336" t="str">
        <f>"1456090020"</f>
        <v>1456090020</v>
      </c>
      <c r="C1336" s="1">
        <v>45197</v>
      </c>
      <c r="D1336" s="1">
        <v>45204</v>
      </c>
      <c r="E1336">
        <v>1</v>
      </c>
      <c r="F1336" t="str">
        <f>"03-I16-02"</f>
        <v>03-I16-02</v>
      </c>
      <c r="G1336">
        <v>0.92979999999999996</v>
      </c>
      <c r="H1336" t="s">
        <v>9</v>
      </c>
      <c r="I1336" t="s">
        <v>10</v>
      </c>
    </row>
    <row r="1337" spans="1:9" x14ac:dyDescent="0.25">
      <c r="A1337" t="str">
        <f t="shared" si="21"/>
        <v>89301000</v>
      </c>
      <c r="B1337" t="str">
        <f>"1456120534"</f>
        <v>1456120534</v>
      </c>
      <c r="C1337" s="1">
        <v>45024</v>
      </c>
      <c r="D1337" s="1">
        <v>45028</v>
      </c>
      <c r="E1337">
        <v>1</v>
      </c>
      <c r="F1337" t="str">
        <f>"03-I23-02"</f>
        <v>03-I23-02</v>
      </c>
      <c r="G1337">
        <v>0.58609999999999995</v>
      </c>
      <c r="H1337" t="s">
        <v>11</v>
      </c>
      <c r="I1337" t="s">
        <v>10</v>
      </c>
    </row>
    <row r="1338" spans="1:9" x14ac:dyDescent="0.25">
      <c r="A1338" t="str">
        <f t="shared" si="21"/>
        <v>89301000</v>
      </c>
      <c r="B1338" t="str">
        <f>"1456131842"</f>
        <v>1456131842</v>
      </c>
      <c r="C1338" s="1">
        <v>44982</v>
      </c>
      <c r="D1338" s="1">
        <v>44984</v>
      </c>
      <c r="E1338">
        <v>6</v>
      </c>
      <c r="F1338" t="str">
        <f>"16-C04-05"</f>
        <v>16-C04-05</v>
      </c>
      <c r="G1338">
        <v>1.1753</v>
      </c>
      <c r="H1338" t="s">
        <v>11</v>
      </c>
      <c r="I1338" t="s">
        <v>10</v>
      </c>
    </row>
    <row r="1339" spans="1:9" x14ac:dyDescent="0.25">
      <c r="A1339" t="str">
        <f t="shared" si="21"/>
        <v>89301000</v>
      </c>
      <c r="B1339" t="str">
        <f>"1456170188"</f>
        <v>1456170188</v>
      </c>
      <c r="C1339" s="1">
        <v>45175</v>
      </c>
      <c r="D1339" s="1">
        <v>45177</v>
      </c>
      <c r="E1339">
        <v>1</v>
      </c>
      <c r="F1339" t="str">
        <f>"06-I16-05"</f>
        <v>06-I16-05</v>
      </c>
      <c r="G1339">
        <v>0.4622</v>
      </c>
      <c r="H1339" t="s">
        <v>9</v>
      </c>
      <c r="I1339" t="s">
        <v>10</v>
      </c>
    </row>
    <row r="1340" spans="1:9" x14ac:dyDescent="0.25">
      <c r="A1340" t="str">
        <f t="shared" ref="A1340:A1402" si="22">"89301000"</f>
        <v>89301000</v>
      </c>
      <c r="B1340" t="str">
        <f>"1457020917"</f>
        <v>1457020917</v>
      </c>
      <c r="C1340" s="1">
        <v>45000</v>
      </c>
      <c r="D1340" s="1">
        <v>45002</v>
      </c>
      <c r="E1340">
        <v>1</v>
      </c>
      <c r="F1340" t="str">
        <f>"03-I20-03"</f>
        <v>03-I20-03</v>
      </c>
      <c r="G1340">
        <v>0.71</v>
      </c>
      <c r="H1340" t="s">
        <v>12</v>
      </c>
      <c r="I1340" t="s">
        <v>10</v>
      </c>
    </row>
    <row r="1341" spans="1:9" x14ac:dyDescent="0.25">
      <c r="A1341" t="str">
        <f t="shared" si="22"/>
        <v>89301000</v>
      </c>
      <c r="B1341" t="str">
        <f>"1457080053"</f>
        <v>1457080053</v>
      </c>
      <c r="C1341" s="1">
        <v>45189</v>
      </c>
      <c r="D1341" s="1">
        <v>45191</v>
      </c>
      <c r="E1341">
        <v>1</v>
      </c>
      <c r="F1341" t="str">
        <f>"09-K12-00"</f>
        <v>09-K12-00</v>
      </c>
      <c r="G1341">
        <v>0.26040000000000002</v>
      </c>
      <c r="H1341" t="s">
        <v>11</v>
      </c>
      <c r="I1341" t="s">
        <v>10</v>
      </c>
    </row>
    <row r="1342" spans="1:9" x14ac:dyDescent="0.25">
      <c r="A1342" t="str">
        <f t="shared" si="22"/>
        <v>89301000</v>
      </c>
      <c r="B1342" t="str">
        <f>"1457101085"</f>
        <v>1457101085</v>
      </c>
      <c r="C1342" s="1">
        <v>45239</v>
      </c>
      <c r="D1342" s="1">
        <v>45242</v>
      </c>
      <c r="E1342">
        <v>1</v>
      </c>
      <c r="F1342" t="str">
        <f>"03-I16-02"</f>
        <v>03-I16-02</v>
      </c>
      <c r="G1342">
        <v>0.92979999999999996</v>
      </c>
      <c r="H1342" t="s">
        <v>9</v>
      </c>
      <c r="I1342" t="s">
        <v>10</v>
      </c>
    </row>
    <row r="1343" spans="1:9" x14ac:dyDescent="0.25">
      <c r="A1343" t="str">
        <f t="shared" si="22"/>
        <v>89301000</v>
      </c>
      <c r="B1343" t="str">
        <f>"1458060120"</f>
        <v>1458060120</v>
      </c>
      <c r="C1343" s="1">
        <v>45167</v>
      </c>
      <c r="D1343" s="1">
        <v>45169</v>
      </c>
      <c r="E1343">
        <v>1</v>
      </c>
      <c r="F1343" t="str">
        <f>"08-I25-02"</f>
        <v>08-I25-02</v>
      </c>
      <c r="G1343">
        <v>0.55279999999999996</v>
      </c>
      <c r="H1343" t="s">
        <v>11</v>
      </c>
      <c r="I1343" t="s">
        <v>10</v>
      </c>
    </row>
    <row r="1344" spans="1:9" x14ac:dyDescent="0.25">
      <c r="A1344" t="str">
        <f t="shared" si="22"/>
        <v>89301000</v>
      </c>
      <c r="B1344" t="str">
        <f>"1458251784"</f>
        <v>1458251784</v>
      </c>
      <c r="C1344" s="1">
        <v>44922</v>
      </c>
      <c r="D1344" s="1">
        <v>44931</v>
      </c>
      <c r="E1344">
        <v>5</v>
      </c>
      <c r="F1344" t="str">
        <f>"03-I23-01"</f>
        <v>03-I23-01</v>
      </c>
      <c r="G1344">
        <v>1.0173000000000001</v>
      </c>
      <c r="H1344" t="s">
        <v>11</v>
      </c>
      <c r="I1344" t="s">
        <v>10</v>
      </c>
    </row>
    <row r="1345" spans="1:9" x14ac:dyDescent="0.25">
      <c r="A1345" t="str">
        <f t="shared" si="22"/>
        <v>89301000</v>
      </c>
      <c r="B1345" t="str">
        <f>"1458300030"</f>
        <v>1458300030</v>
      </c>
      <c r="C1345" s="1">
        <v>45039</v>
      </c>
      <c r="D1345" s="1">
        <v>45042</v>
      </c>
      <c r="E1345">
        <v>1</v>
      </c>
      <c r="F1345" t="str">
        <f>"03-I16-02"</f>
        <v>03-I16-02</v>
      </c>
      <c r="G1345">
        <v>0.92979999999999996</v>
      </c>
      <c r="H1345" t="s">
        <v>9</v>
      </c>
      <c r="I1345" t="s">
        <v>10</v>
      </c>
    </row>
    <row r="1346" spans="1:9" x14ac:dyDescent="0.25">
      <c r="A1346" t="str">
        <f t="shared" si="22"/>
        <v>89301000</v>
      </c>
      <c r="B1346" t="str">
        <f>"1459221731"</f>
        <v>1459221731</v>
      </c>
      <c r="C1346" s="1">
        <v>45065</v>
      </c>
      <c r="D1346" s="1">
        <v>45068</v>
      </c>
      <c r="E1346">
        <v>1</v>
      </c>
      <c r="F1346" t="str">
        <f>"03-K06-01"</f>
        <v>03-K06-01</v>
      </c>
      <c r="G1346">
        <v>0.4713</v>
      </c>
      <c r="H1346" t="s">
        <v>11</v>
      </c>
      <c r="I1346" t="s">
        <v>10</v>
      </c>
    </row>
    <row r="1347" spans="1:9" x14ac:dyDescent="0.25">
      <c r="A1347" t="str">
        <f t="shared" si="22"/>
        <v>89301000</v>
      </c>
      <c r="B1347" t="str">
        <f>"1459221731"</f>
        <v>1459221731</v>
      </c>
      <c r="C1347" s="1">
        <v>45032</v>
      </c>
      <c r="D1347" s="1">
        <v>45043</v>
      </c>
      <c r="E1347">
        <v>1</v>
      </c>
      <c r="F1347" t="str">
        <f>"08-K04-02"</f>
        <v>08-K04-02</v>
      </c>
      <c r="G1347">
        <v>0.54369999999999996</v>
      </c>
      <c r="H1347" t="s">
        <v>11</v>
      </c>
      <c r="I1347" t="s">
        <v>10</v>
      </c>
    </row>
    <row r="1348" spans="1:9" x14ac:dyDescent="0.25">
      <c r="A1348" t="str">
        <f t="shared" si="22"/>
        <v>89301000</v>
      </c>
      <c r="B1348" t="str">
        <f t="shared" ref="B1348:B1353" si="23">"1459270021"</f>
        <v>1459270021</v>
      </c>
      <c r="C1348" s="1">
        <v>45088</v>
      </c>
      <c r="D1348" s="1">
        <v>45090</v>
      </c>
      <c r="E1348">
        <v>1</v>
      </c>
      <c r="F1348" t="str">
        <f>"10-K14-05"</f>
        <v>10-K14-05</v>
      </c>
      <c r="G1348">
        <v>0.36199999999999999</v>
      </c>
      <c r="H1348" t="s">
        <v>11</v>
      </c>
      <c r="I1348" t="s">
        <v>10</v>
      </c>
    </row>
    <row r="1349" spans="1:9" x14ac:dyDescent="0.25">
      <c r="A1349" t="str">
        <f t="shared" si="22"/>
        <v>89301000</v>
      </c>
      <c r="B1349" t="str">
        <f t="shared" si="23"/>
        <v>1459270021</v>
      </c>
      <c r="C1349" s="1">
        <v>45050</v>
      </c>
      <c r="D1349" s="1">
        <v>45053</v>
      </c>
      <c r="E1349">
        <v>1</v>
      </c>
      <c r="F1349" t="str">
        <f>"06-K02-04"</f>
        <v>06-K02-04</v>
      </c>
      <c r="G1349">
        <v>0.37659999999999999</v>
      </c>
      <c r="H1349" t="s">
        <v>11</v>
      </c>
      <c r="I1349" t="s">
        <v>10</v>
      </c>
    </row>
    <row r="1350" spans="1:9" x14ac:dyDescent="0.25">
      <c r="A1350" t="str">
        <f t="shared" si="22"/>
        <v>89301000</v>
      </c>
      <c r="B1350" t="str">
        <f t="shared" si="23"/>
        <v>1459270021</v>
      </c>
      <c r="C1350" s="1">
        <v>45032</v>
      </c>
      <c r="D1350" s="1">
        <v>45034</v>
      </c>
      <c r="E1350">
        <v>1</v>
      </c>
      <c r="F1350" t="str">
        <f>"06-K22-03"</f>
        <v>06-K22-03</v>
      </c>
      <c r="G1350">
        <v>0.31619999999999998</v>
      </c>
      <c r="H1350" t="s">
        <v>11</v>
      </c>
      <c r="I1350" t="s">
        <v>10</v>
      </c>
    </row>
    <row r="1351" spans="1:9" x14ac:dyDescent="0.25">
      <c r="A1351" t="str">
        <f t="shared" si="22"/>
        <v>89301000</v>
      </c>
      <c r="B1351" t="str">
        <f t="shared" si="23"/>
        <v>1459270021</v>
      </c>
      <c r="C1351" s="1">
        <v>45012</v>
      </c>
      <c r="D1351" s="1">
        <v>45013</v>
      </c>
      <c r="E1351">
        <v>1</v>
      </c>
      <c r="F1351" t="str">
        <f>"06-K22-03"</f>
        <v>06-K22-03</v>
      </c>
      <c r="G1351">
        <v>0.31619999999999998</v>
      </c>
      <c r="H1351" t="s">
        <v>11</v>
      </c>
      <c r="I1351" t="s">
        <v>10</v>
      </c>
    </row>
    <row r="1352" spans="1:9" x14ac:dyDescent="0.25">
      <c r="A1352" t="str">
        <f t="shared" si="22"/>
        <v>89301000</v>
      </c>
      <c r="B1352" t="str">
        <f t="shared" si="23"/>
        <v>1459270021</v>
      </c>
      <c r="C1352" s="1">
        <v>44980</v>
      </c>
      <c r="D1352" s="1">
        <v>44981</v>
      </c>
      <c r="E1352">
        <v>1</v>
      </c>
      <c r="F1352" t="str">
        <f>"06-K03-03"</f>
        <v>06-K03-03</v>
      </c>
      <c r="G1352">
        <v>0.42649999999999999</v>
      </c>
      <c r="H1352" t="s">
        <v>11</v>
      </c>
      <c r="I1352" t="s">
        <v>10</v>
      </c>
    </row>
    <row r="1353" spans="1:9" x14ac:dyDescent="0.25">
      <c r="A1353" t="str">
        <f t="shared" si="22"/>
        <v>89301000</v>
      </c>
      <c r="B1353" t="str">
        <f t="shared" si="23"/>
        <v>1459270021</v>
      </c>
      <c r="C1353" s="1">
        <v>44966</v>
      </c>
      <c r="D1353" s="1">
        <v>44967</v>
      </c>
      <c r="E1353">
        <v>1</v>
      </c>
      <c r="F1353" t="str">
        <f>"10-K14-05"</f>
        <v>10-K14-05</v>
      </c>
      <c r="G1353">
        <v>0.36199999999999999</v>
      </c>
      <c r="H1353" t="s">
        <v>11</v>
      </c>
      <c r="I1353" t="s">
        <v>10</v>
      </c>
    </row>
    <row r="1354" spans="1:9" x14ac:dyDescent="0.25">
      <c r="A1354" t="str">
        <f t="shared" si="22"/>
        <v>89301000</v>
      </c>
      <c r="B1354" t="str">
        <f>"1460270020"</f>
        <v>1460270020</v>
      </c>
      <c r="C1354" s="1">
        <v>45217</v>
      </c>
      <c r="D1354" s="1">
        <v>45219</v>
      </c>
      <c r="E1354">
        <v>1</v>
      </c>
      <c r="F1354" t="str">
        <f>"06-I16-05"</f>
        <v>06-I16-05</v>
      </c>
      <c r="G1354">
        <v>0.4622</v>
      </c>
      <c r="H1354" t="s">
        <v>9</v>
      </c>
      <c r="I1354" t="s">
        <v>10</v>
      </c>
    </row>
    <row r="1355" spans="1:9" x14ac:dyDescent="0.25">
      <c r="A1355" t="str">
        <f t="shared" si="22"/>
        <v>89301000</v>
      </c>
      <c r="B1355" t="str">
        <f>"1461100685"</f>
        <v>1461100685</v>
      </c>
      <c r="C1355" s="1">
        <v>45263</v>
      </c>
      <c r="D1355" s="1">
        <v>45265</v>
      </c>
      <c r="E1355">
        <v>1</v>
      </c>
      <c r="F1355" t="str">
        <f>"02-I11-01"</f>
        <v>02-I11-01</v>
      </c>
      <c r="G1355">
        <v>0.80620000000000003</v>
      </c>
      <c r="H1355" t="s">
        <v>12</v>
      </c>
      <c r="I1355" t="s">
        <v>10</v>
      </c>
    </row>
    <row r="1356" spans="1:9" x14ac:dyDescent="0.25">
      <c r="A1356" t="str">
        <f t="shared" si="22"/>
        <v>89301000</v>
      </c>
      <c r="B1356" t="str">
        <f>"1461180325"</f>
        <v>1461180325</v>
      </c>
      <c r="C1356" s="1">
        <v>45268</v>
      </c>
      <c r="D1356" s="1">
        <v>45270</v>
      </c>
      <c r="E1356">
        <v>1</v>
      </c>
      <c r="F1356" t="str">
        <f>"03-K06-01"</f>
        <v>03-K06-01</v>
      </c>
      <c r="G1356">
        <v>0.4713</v>
      </c>
      <c r="H1356" t="s">
        <v>11</v>
      </c>
      <c r="I1356" t="s">
        <v>10</v>
      </c>
    </row>
    <row r="1357" spans="1:9" x14ac:dyDescent="0.25">
      <c r="A1357" t="str">
        <f t="shared" si="22"/>
        <v>89301000</v>
      </c>
      <c r="B1357" t="str">
        <f>"1461190236"</f>
        <v>1461190236</v>
      </c>
      <c r="C1357" s="1">
        <v>45086</v>
      </c>
      <c r="D1357" s="1">
        <v>45089</v>
      </c>
      <c r="E1357">
        <v>1</v>
      </c>
      <c r="F1357" t="str">
        <f>"09-K04-02"</f>
        <v>09-K04-02</v>
      </c>
      <c r="G1357">
        <v>0.64849999999999997</v>
      </c>
      <c r="H1357" t="s">
        <v>11</v>
      </c>
      <c r="I1357" t="s">
        <v>10</v>
      </c>
    </row>
    <row r="1358" spans="1:9" x14ac:dyDescent="0.25">
      <c r="A1358" t="str">
        <f t="shared" si="22"/>
        <v>89301000</v>
      </c>
      <c r="B1358" t="str">
        <f>"1462091048"</f>
        <v>1462091048</v>
      </c>
      <c r="C1358" s="1">
        <v>44993</v>
      </c>
      <c r="D1358" s="1">
        <v>44995</v>
      </c>
      <c r="E1358">
        <v>6</v>
      </c>
      <c r="F1358" t="str">
        <f>"05-K14-03"</f>
        <v>05-K14-03</v>
      </c>
      <c r="G1358">
        <v>0.3997</v>
      </c>
      <c r="H1358" t="s">
        <v>11</v>
      </c>
      <c r="I1358" t="s">
        <v>10</v>
      </c>
    </row>
    <row r="1359" spans="1:9" x14ac:dyDescent="0.25">
      <c r="A1359" t="str">
        <f t="shared" si="22"/>
        <v>89301000</v>
      </c>
      <c r="B1359" t="str">
        <f>"1501010060"</f>
        <v>1501010060</v>
      </c>
      <c r="C1359" s="1">
        <v>45229</v>
      </c>
      <c r="D1359" s="1">
        <v>45231</v>
      </c>
      <c r="E1359">
        <v>1</v>
      </c>
      <c r="F1359" t="str">
        <f>"03-I21-00"</f>
        <v>03-I21-00</v>
      </c>
      <c r="G1359">
        <v>0.42449999999999999</v>
      </c>
      <c r="H1359" t="s">
        <v>11</v>
      </c>
      <c r="I1359" t="s">
        <v>10</v>
      </c>
    </row>
    <row r="1360" spans="1:9" x14ac:dyDescent="0.25">
      <c r="A1360" t="str">
        <f t="shared" si="22"/>
        <v>89301000</v>
      </c>
      <c r="B1360" t="str">
        <f>"1501030047"</f>
        <v>1501030047</v>
      </c>
      <c r="C1360" s="1">
        <v>45277</v>
      </c>
      <c r="D1360" s="1">
        <v>45280</v>
      </c>
      <c r="E1360">
        <v>1</v>
      </c>
      <c r="F1360" t="str">
        <f>"06-I18-04"</f>
        <v>06-I18-04</v>
      </c>
      <c r="G1360">
        <v>1.1088</v>
      </c>
      <c r="H1360" t="s">
        <v>9</v>
      </c>
      <c r="I1360" t="s">
        <v>10</v>
      </c>
    </row>
    <row r="1361" spans="1:9" x14ac:dyDescent="0.25">
      <c r="A1361" t="str">
        <f t="shared" si="22"/>
        <v>89301000</v>
      </c>
      <c r="B1361" t="str">
        <f>"1501060143"</f>
        <v>1501060143</v>
      </c>
      <c r="C1361" s="1">
        <v>45237</v>
      </c>
      <c r="D1361" s="1">
        <v>45238</v>
      </c>
      <c r="E1361">
        <v>1</v>
      </c>
      <c r="F1361" t="str">
        <f>"08-I20-03"</f>
        <v>08-I20-03</v>
      </c>
      <c r="G1361">
        <v>0.62639999999999996</v>
      </c>
      <c r="H1361" t="s">
        <v>12</v>
      </c>
      <c r="I1361" t="s">
        <v>10</v>
      </c>
    </row>
    <row r="1362" spans="1:9" x14ac:dyDescent="0.25">
      <c r="A1362" t="str">
        <f t="shared" si="22"/>
        <v>89301000</v>
      </c>
      <c r="B1362" t="str">
        <f>"1501100029"</f>
        <v>1501100029</v>
      </c>
      <c r="C1362" s="1">
        <v>45249</v>
      </c>
      <c r="D1362" s="1">
        <v>45257</v>
      </c>
      <c r="E1362">
        <v>1</v>
      </c>
      <c r="F1362" t="str">
        <f>"10-K03-02"</f>
        <v>10-K03-02</v>
      </c>
      <c r="G1362">
        <v>1.6890000000000001</v>
      </c>
      <c r="H1362" t="s">
        <v>11</v>
      </c>
      <c r="I1362" t="s">
        <v>10</v>
      </c>
    </row>
    <row r="1363" spans="1:9" x14ac:dyDescent="0.25">
      <c r="A1363" t="str">
        <f t="shared" si="22"/>
        <v>89301000</v>
      </c>
      <c r="B1363" t="str">
        <f>"1501190328"</f>
        <v>1501190328</v>
      </c>
      <c r="C1363" s="1">
        <v>45039</v>
      </c>
      <c r="D1363" s="1">
        <v>45041</v>
      </c>
      <c r="E1363">
        <v>1</v>
      </c>
      <c r="F1363" t="str">
        <f>"03-I21-00"</f>
        <v>03-I21-00</v>
      </c>
      <c r="G1363">
        <v>0.42449999999999999</v>
      </c>
      <c r="H1363" t="s">
        <v>11</v>
      </c>
      <c r="I1363" t="s">
        <v>10</v>
      </c>
    </row>
    <row r="1364" spans="1:9" x14ac:dyDescent="0.25">
      <c r="A1364" t="str">
        <f t="shared" si="22"/>
        <v>89301000</v>
      </c>
      <c r="B1364" t="str">
        <f>"1502030101"</f>
        <v>1502030101</v>
      </c>
      <c r="C1364" s="1">
        <v>44990</v>
      </c>
      <c r="D1364" s="1">
        <v>44992</v>
      </c>
      <c r="E1364">
        <v>1</v>
      </c>
      <c r="F1364" t="str">
        <f>"03-I21-00"</f>
        <v>03-I21-00</v>
      </c>
      <c r="G1364">
        <v>0.42449999999999999</v>
      </c>
      <c r="H1364" t="s">
        <v>11</v>
      </c>
      <c r="I1364" t="s">
        <v>10</v>
      </c>
    </row>
    <row r="1365" spans="1:9" x14ac:dyDescent="0.25">
      <c r="A1365" t="str">
        <f t="shared" si="22"/>
        <v>89301000</v>
      </c>
      <c r="B1365" t="str">
        <f>"1502121808"</f>
        <v>1502121808</v>
      </c>
      <c r="C1365" s="1">
        <v>45000</v>
      </c>
      <c r="D1365" s="1">
        <v>45002</v>
      </c>
      <c r="E1365">
        <v>1</v>
      </c>
      <c r="F1365" t="str">
        <f>"11-K14-02"</f>
        <v>11-K14-02</v>
      </c>
      <c r="G1365">
        <v>0.48649999999999999</v>
      </c>
      <c r="H1365" t="s">
        <v>11</v>
      </c>
      <c r="I1365" t="s">
        <v>10</v>
      </c>
    </row>
    <row r="1366" spans="1:9" x14ac:dyDescent="0.25">
      <c r="A1366" t="str">
        <f t="shared" si="22"/>
        <v>89301000</v>
      </c>
      <c r="B1366" t="str">
        <f>"1502170296"</f>
        <v>1502170296</v>
      </c>
      <c r="C1366" s="1">
        <v>45243</v>
      </c>
      <c r="D1366" s="1">
        <v>45245</v>
      </c>
      <c r="E1366">
        <v>1</v>
      </c>
      <c r="F1366" t="str">
        <f>"03-I21-00"</f>
        <v>03-I21-00</v>
      </c>
      <c r="G1366">
        <v>0.43319999999999997</v>
      </c>
      <c r="H1366" t="s">
        <v>11</v>
      </c>
      <c r="I1366" t="s">
        <v>10</v>
      </c>
    </row>
    <row r="1367" spans="1:9" x14ac:dyDescent="0.25">
      <c r="A1367" t="str">
        <f t="shared" si="22"/>
        <v>89301000</v>
      </c>
      <c r="B1367" t="str">
        <f>"1502230125"</f>
        <v>1502230125</v>
      </c>
      <c r="C1367" s="1">
        <v>45243</v>
      </c>
      <c r="D1367" s="1">
        <v>45245</v>
      </c>
      <c r="E1367">
        <v>1</v>
      </c>
      <c r="F1367" t="str">
        <f>"12-I14-00"</f>
        <v>12-I14-00</v>
      </c>
      <c r="G1367">
        <v>0.42920000000000003</v>
      </c>
      <c r="H1367" t="s">
        <v>11</v>
      </c>
      <c r="I1367" t="s">
        <v>10</v>
      </c>
    </row>
    <row r="1368" spans="1:9" x14ac:dyDescent="0.25">
      <c r="A1368" t="str">
        <f t="shared" si="22"/>
        <v>89301000</v>
      </c>
      <c r="B1368" t="str">
        <f>"1502250387"</f>
        <v>1502250387</v>
      </c>
      <c r="C1368" s="1">
        <v>45163</v>
      </c>
      <c r="D1368" s="1">
        <v>45164</v>
      </c>
      <c r="E1368">
        <v>1</v>
      </c>
      <c r="F1368" t="str">
        <f>"08-I20-03"</f>
        <v>08-I20-03</v>
      </c>
      <c r="G1368">
        <v>0.62639999999999996</v>
      </c>
      <c r="H1368" t="s">
        <v>12</v>
      </c>
      <c r="I1368" t="s">
        <v>10</v>
      </c>
    </row>
    <row r="1369" spans="1:9" x14ac:dyDescent="0.25">
      <c r="A1369" t="str">
        <f t="shared" si="22"/>
        <v>89301000</v>
      </c>
      <c r="B1369" t="str">
        <f>"1503010014"</f>
        <v>1503010014</v>
      </c>
      <c r="C1369" s="1">
        <v>45136</v>
      </c>
      <c r="D1369" s="1">
        <v>45138</v>
      </c>
      <c r="E1369">
        <v>1</v>
      </c>
      <c r="F1369" t="str">
        <f>"06-K02-04"</f>
        <v>06-K02-04</v>
      </c>
      <c r="G1369">
        <v>0.37659999999999999</v>
      </c>
      <c r="H1369" t="s">
        <v>11</v>
      </c>
      <c r="I1369" t="s">
        <v>10</v>
      </c>
    </row>
    <row r="1370" spans="1:9" x14ac:dyDescent="0.25">
      <c r="A1370" t="str">
        <f t="shared" si="22"/>
        <v>89301000</v>
      </c>
      <c r="B1370" t="str">
        <f>"1503050197"</f>
        <v>1503050197</v>
      </c>
      <c r="C1370" s="1">
        <v>45195</v>
      </c>
      <c r="D1370" s="1">
        <v>45196</v>
      </c>
      <c r="E1370">
        <v>1</v>
      </c>
      <c r="F1370" t="str">
        <f>"06-K22-03"</f>
        <v>06-K22-03</v>
      </c>
      <c r="G1370">
        <v>0.31619999999999998</v>
      </c>
      <c r="H1370" t="s">
        <v>11</v>
      </c>
      <c r="I1370" t="s">
        <v>10</v>
      </c>
    </row>
    <row r="1371" spans="1:9" x14ac:dyDescent="0.25">
      <c r="A1371" t="str">
        <f t="shared" si="22"/>
        <v>89301000</v>
      </c>
      <c r="B1371" t="str">
        <f>"1503050197"</f>
        <v>1503050197</v>
      </c>
      <c r="C1371" s="1">
        <v>45099</v>
      </c>
      <c r="D1371" s="1">
        <v>45100</v>
      </c>
      <c r="E1371">
        <v>1</v>
      </c>
      <c r="F1371" t="str">
        <f>"06-K10-03"</f>
        <v>06-K10-03</v>
      </c>
      <c r="G1371">
        <v>0.43519999999999998</v>
      </c>
      <c r="H1371" t="s">
        <v>11</v>
      </c>
      <c r="I1371" t="s">
        <v>10</v>
      </c>
    </row>
    <row r="1372" spans="1:9" x14ac:dyDescent="0.25">
      <c r="A1372" t="str">
        <f t="shared" si="22"/>
        <v>89301000</v>
      </c>
      <c r="B1372" t="str">
        <f>"1503101919"</f>
        <v>1503101919</v>
      </c>
      <c r="C1372" s="1">
        <v>45014</v>
      </c>
      <c r="D1372" s="1">
        <v>45016</v>
      </c>
      <c r="E1372">
        <v>1</v>
      </c>
      <c r="F1372" t="str">
        <f>"06-I16-05"</f>
        <v>06-I16-05</v>
      </c>
      <c r="G1372">
        <v>0.4622</v>
      </c>
      <c r="H1372" t="s">
        <v>9</v>
      </c>
      <c r="I1372" t="s">
        <v>10</v>
      </c>
    </row>
    <row r="1373" spans="1:9" x14ac:dyDescent="0.25">
      <c r="A1373" t="str">
        <f t="shared" si="22"/>
        <v>89301000</v>
      </c>
      <c r="B1373" t="str">
        <f>"1504010343"</f>
        <v>1504010343</v>
      </c>
      <c r="C1373" s="1">
        <v>45005</v>
      </c>
      <c r="D1373" s="1">
        <v>45008</v>
      </c>
      <c r="E1373">
        <v>1</v>
      </c>
      <c r="F1373" t="str">
        <f>"03-I16-02"</f>
        <v>03-I16-02</v>
      </c>
      <c r="G1373">
        <v>0.92979999999999996</v>
      </c>
      <c r="H1373" t="s">
        <v>9</v>
      </c>
      <c r="I1373" t="s">
        <v>10</v>
      </c>
    </row>
    <row r="1374" spans="1:9" x14ac:dyDescent="0.25">
      <c r="A1374" t="str">
        <f t="shared" si="22"/>
        <v>89301000</v>
      </c>
      <c r="B1374" t="str">
        <f>"1504011487"</f>
        <v>1504011487</v>
      </c>
      <c r="C1374" s="1">
        <v>45263</v>
      </c>
      <c r="D1374" s="1">
        <v>45275</v>
      </c>
      <c r="E1374">
        <v>1</v>
      </c>
      <c r="F1374" t="str">
        <f>"01-K18-01"</f>
        <v>01-K18-01</v>
      </c>
      <c r="G1374">
        <v>3.0190000000000001</v>
      </c>
      <c r="H1374" t="s">
        <v>11</v>
      </c>
      <c r="I1374" t="s">
        <v>10</v>
      </c>
    </row>
    <row r="1375" spans="1:9" x14ac:dyDescent="0.25">
      <c r="A1375" t="str">
        <f t="shared" si="22"/>
        <v>89301000</v>
      </c>
      <c r="B1375" t="str">
        <f>"1504011487"</f>
        <v>1504011487</v>
      </c>
      <c r="C1375" s="1">
        <v>45041</v>
      </c>
      <c r="D1375" s="1">
        <v>45044</v>
      </c>
      <c r="E1375">
        <v>1</v>
      </c>
      <c r="F1375" t="str">
        <f>"04-K03-02"</f>
        <v>04-K03-02</v>
      </c>
      <c r="G1375">
        <v>0.80810000000000004</v>
      </c>
      <c r="H1375" t="s">
        <v>11</v>
      </c>
      <c r="I1375" t="s">
        <v>10</v>
      </c>
    </row>
    <row r="1376" spans="1:9" x14ac:dyDescent="0.25">
      <c r="A1376" t="str">
        <f t="shared" si="22"/>
        <v>89301000</v>
      </c>
      <c r="B1376" t="str">
        <f>"1504011487"</f>
        <v>1504011487</v>
      </c>
      <c r="C1376" s="1">
        <v>45151</v>
      </c>
      <c r="D1376" s="1">
        <v>45154</v>
      </c>
      <c r="E1376">
        <v>1</v>
      </c>
      <c r="F1376" t="str">
        <f>"06-K02-02"</f>
        <v>06-K02-02</v>
      </c>
      <c r="G1376">
        <v>0.85289999999999999</v>
      </c>
      <c r="H1376" t="s">
        <v>11</v>
      </c>
      <c r="I1376" t="s">
        <v>10</v>
      </c>
    </row>
    <row r="1377" spans="1:9" x14ac:dyDescent="0.25">
      <c r="A1377" t="str">
        <f t="shared" si="22"/>
        <v>89301000</v>
      </c>
      <c r="B1377" t="str">
        <f>"1504120167"</f>
        <v>1504120167</v>
      </c>
      <c r="C1377" s="1">
        <v>45224</v>
      </c>
      <c r="D1377" s="1">
        <v>45225</v>
      </c>
      <c r="E1377">
        <v>1</v>
      </c>
      <c r="F1377" t="str">
        <f>"08-K14-02"</f>
        <v>08-K14-02</v>
      </c>
      <c r="G1377">
        <v>0.38159999999999999</v>
      </c>
      <c r="H1377" t="s">
        <v>11</v>
      </c>
      <c r="I1377" t="s">
        <v>10</v>
      </c>
    </row>
    <row r="1378" spans="1:9" x14ac:dyDescent="0.25">
      <c r="A1378" t="str">
        <f t="shared" si="22"/>
        <v>89301000</v>
      </c>
      <c r="B1378" t="str">
        <f>"1504170382"</f>
        <v>1504170382</v>
      </c>
      <c r="C1378" s="1">
        <v>45176</v>
      </c>
      <c r="D1378" s="1">
        <v>45180</v>
      </c>
      <c r="E1378">
        <v>1</v>
      </c>
      <c r="F1378" t="str">
        <f>"12-I14-00"</f>
        <v>12-I14-00</v>
      </c>
      <c r="G1378">
        <v>0.51500000000000001</v>
      </c>
      <c r="H1378" t="s">
        <v>11</v>
      </c>
      <c r="I1378" t="s">
        <v>10</v>
      </c>
    </row>
    <row r="1379" spans="1:9" x14ac:dyDescent="0.25">
      <c r="A1379" t="str">
        <f t="shared" si="22"/>
        <v>89301000</v>
      </c>
      <c r="B1379" t="str">
        <f>"1504190072"</f>
        <v>1504190072</v>
      </c>
      <c r="C1379" s="1">
        <v>45028</v>
      </c>
      <c r="D1379" s="1">
        <v>45030</v>
      </c>
      <c r="E1379">
        <v>1</v>
      </c>
      <c r="F1379" t="str">
        <f>"06-I17-05"</f>
        <v>06-I17-05</v>
      </c>
      <c r="G1379">
        <v>0.39529999999999998</v>
      </c>
      <c r="H1379" t="s">
        <v>12</v>
      </c>
      <c r="I1379" t="s">
        <v>10</v>
      </c>
    </row>
    <row r="1380" spans="1:9" x14ac:dyDescent="0.25">
      <c r="A1380" t="str">
        <f t="shared" si="22"/>
        <v>89301000</v>
      </c>
      <c r="B1380" t="str">
        <f>"1504200434"</f>
        <v>1504200434</v>
      </c>
      <c r="C1380" s="1">
        <v>45074</v>
      </c>
      <c r="D1380" s="1">
        <v>45076</v>
      </c>
      <c r="E1380">
        <v>1</v>
      </c>
      <c r="F1380" t="str">
        <f>"03-I21-00"</f>
        <v>03-I21-00</v>
      </c>
      <c r="G1380">
        <v>0.42449999999999999</v>
      </c>
      <c r="H1380" t="s">
        <v>11</v>
      </c>
      <c r="I1380" t="s">
        <v>10</v>
      </c>
    </row>
    <row r="1381" spans="1:9" x14ac:dyDescent="0.25">
      <c r="A1381" t="str">
        <f t="shared" si="22"/>
        <v>89301000</v>
      </c>
      <c r="B1381" t="str">
        <f>"1505160019"</f>
        <v>1505160019</v>
      </c>
      <c r="C1381" s="1">
        <v>45020</v>
      </c>
      <c r="D1381" s="1">
        <v>45022</v>
      </c>
      <c r="E1381">
        <v>1</v>
      </c>
      <c r="F1381" t="str">
        <f>"06-K03-03"</f>
        <v>06-K03-03</v>
      </c>
      <c r="G1381">
        <v>0.42649999999999999</v>
      </c>
      <c r="H1381" t="s">
        <v>11</v>
      </c>
      <c r="I1381" t="s">
        <v>10</v>
      </c>
    </row>
    <row r="1382" spans="1:9" x14ac:dyDescent="0.25">
      <c r="A1382" t="str">
        <f t="shared" si="22"/>
        <v>89301000</v>
      </c>
      <c r="B1382" t="str">
        <f>"1505201082"</f>
        <v>1505201082</v>
      </c>
      <c r="C1382" s="1">
        <v>45207</v>
      </c>
      <c r="D1382" s="1">
        <v>45209</v>
      </c>
      <c r="E1382">
        <v>1</v>
      </c>
      <c r="F1382" t="str">
        <f>"02-I11-01"</f>
        <v>02-I11-01</v>
      </c>
      <c r="G1382">
        <v>0.80620000000000003</v>
      </c>
      <c r="H1382" t="s">
        <v>12</v>
      </c>
      <c r="I1382" t="s">
        <v>10</v>
      </c>
    </row>
    <row r="1383" spans="1:9" x14ac:dyDescent="0.25">
      <c r="A1383" t="str">
        <f t="shared" si="22"/>
        <v>89301000</v>
      </c>
      <c r="B1383" t="str">
        <f>"1506280028"</f>
        <v>1506280028</v>
      </c>
      <c r="C1383" s="1">
        <v>45186</v>
      </c>
      <c r="D1383" s="1">
        <v>45189</v>
      </c>
      <c r="E1383">
        <v>1</v>
      </c>
      <c r="F1383" t="str">
        <f>"03-I16-02"</f>
        <v>03-I16-02</v>
      </c>
      <c r="G1383">
        <v>0.92579999999999996</v>
      </c>
      <c r="H1383" t="s">
        <v>9</v>
      </c>
      <c r="I1383" t="s">
        <v>10</v>
      </c>
    </row>
    <row r="1384" spans="1:9" x14ac:dyDescent="0.25">
      <c r="A1384" t="str">
        <f t="shared" si="22"/>
        <v>89301000</v>
      </c>
      <c r="B1384" t="str">
        <f>"1506290005"</f>
        <v>1506290005</v>
      </c>
      <c r="C1384" s="1">
        <v>45166</v>
      </c>
      <c r="D1384" s="1">
        <v>45173</v>
      </c>
      <c r="E1384">
        <v>1</v>
      </c>
      <c r="F1384" t="str">
        <f>"12-I07-02"</f>
        <v>12-I07-02</v>
      </c>
      <c r="G1384">
        <v>1.3044</v>
      </c>
      <c r="H1384" t="s">
        <v>12</v>
      </c>
      <c r="I1384" t="s">
        <v>10</v>
      </c>
    </row>
    <row r="1385" spans="1:9" x14ac:dyDescent="0.25">
      <c r="A1385" t="str">
        <f t="shared" si="22"/>
        <v>89301000</v>
      </c>
      <c r="B1385" t="str">
        <f>"1507020009"</f>
        <v>1507020009</v>
      </c>
      <c r="C1385" s="1">
        <v>45179</v>
      </c>
      <c r="D1385" s="1">
        <v>45181</v>
      </c>
      <c r="E1385">
        <v>1</v>
      </c>
      <c r="F1385" t="str">
        <f>"03-I21-00"</f>
        <v>03-I21-00</v>
      </c>
      <c r="G1385">
        <v>0.42449999999999999</v>
      </c>
      <c r="H1385" t="s">
        <v>11</v>
      </c>
      <c r="I1385" t="s">
        <v>10</v>
      </c>
    </row>
    <row r="1386" spans="1:9" x14ac:dyDescent="0.25">
      <c r="A1386" t="str">
        <f t="shared" si="22"/>
        <v>89301000</v>
      </c>
      <c r="B1386" t="str">
        <f>"1507020163"</f>
        <v>1507020163</v>
      </c>
      <c r="C1386" s="1">
        <v>44999</v>
      </c>
      <c r="D1386" s="1">
        <v>45002</v>
      </c>
      <c r="E1386">
        <v>1</v>
      </c>
      <c r="F1386" t="str">
        <f>"06-I18-04"</f>
        <v>06-I18-04</v>
      </c>
      <c r="G1386">
        <v>1.1088</v>
      </c>
      <c r="H1386" t="s">
        <v>9</v>
      </c>
      <c r="I1386" t="s">
        <v>10</v>
      </c>
    </row>
    <row r="1387" spans="1:9" x14ac:dyDescent="0.25">
      <c r="A1387" t="str">
        <f t="shared" si="22"/>
        <v>89301000</v>
      </c>
      <c r="B1387" t="str">
        <f>"1507290488"</f>
        <v>1507290488</v>
      </c>
      <c r="C1387" s="1">
        <v>45173</v>
      </c>
      <c r="D1387" s="1">
        <v>45175</v>
      </c>
      <c r="E1387">
        <v>1</v>
      </c>
      <c r="F1387" t="str">
        <f>"03-K02-03"</f>
        <v>03-K02-03</v>
      </c>
      <c r="G1387">
        <v>0.34050000000000002</v>
      </c>
      <c r="H1387" t="s">
        <v>11</v>
      </c>
      <c r="I1387" t="s">
        <v>10</v>
      </c>
    </row>
    <row r="1388" spans="1:9" x14ac:dyDescent="0.25">
      <c r="A1388" t="str">
        <f t="shared" si="22"/>
        <v>89301000</v>
      </c>
      <c r="B1388" t="str">
        <f>"1507310046"</f>
        <v>1507310046</v>
      </c>
      <c r="C1388" s="1">
        <v>45243</v>
      </c>
      <c r="D1388" s="1">
        <v>45250</v>
      </c>
      <c r="E1388">
        <v>1</v>
      </c>
      <c r="F1388" t="str">
        <f>"09-K05-00"</f>
        <v>09-K05-00</v>
      </c>
      <c r="G1388">
        <v>0.8054</v>
      </c>
      <c r="H1388" t="s">
        <v>11</v>
      </c>
      <c r="I1388" t="s">
        <v>10</v>
      </c>
    </row>
    <row r="1389" spans="1:9" x14ac:dyDescent="0.25">
      <c r="A1389" t="str">
        <f t="shared" si="22"/>
        <v>89301000</v>
      </c>
      <c r="B1389" t="str">
        <f>"1508111990"</f>
        <v>1508111990</v>
      </c>
      <c r="C1389" s="1">
        <v>44979</v>
      </c>
      <c r="D1389" s="1">
        <v>44982</v>
      </c>
      <c r="E1389">
        <v>1</v>
      </c>
      <c r="F1389" t="str">
        <f>"06-I16-05"</f>
        <v>06-I16-05</v>
      </c>
      <c r="G1389">
        <v>0.46229999999999999</v>
      </c>
      <c r="H1389" t="s">
        <v>9</v>
      </c>
      <c r="I1389" t="s">
        <v>10</v>
      </c>
    </row>
    <row r="1390" spans="1:9" x14ac:dyDescent="0.25">
      <c r="A1390" t="str">
        <f t="shared" si="22"/>
        <v>89301000</v>
      </c>
      <c r="B1390" t="str">
        <f>"1508170345"</f>
        <v>1508170345</v>
      </c>
      <c r="C1390" s="1">
        <v>45047</v>
      </c>
      <c r="D1390" s="1">
        <v>45048</v>
      </c>
      <c r="E1390">
        <v>1</v>
      </c>
      <c r="F1390" t="str">
        <f>"09-K13-02"</f>
        <v>09-K13-02</v>
      </c>
      <c r="G1390">
        <v>0.31190000000000001</v>
      </c>
      <c r="H1390" t="s">
        <v>11</v>
      </c>
      <c r="I1390" t="s">
        <v>10</v>
      </c>
    </row>
    <row r="1391" spans="1:9" x14ac:dyDescent="0.25">
      <c r="A1391" t="str">
        <f t="shared" si="22"/>
        <v>89301000</v>
      </c>
      <c r="B1391" t="str">
        <f>"1508200727"</f>
        <v>1508200727</v>
      </c>
      <c r="C1391" s="1">
        <v>45195</v>
      </c>
      <c r="D1391" s="1">
        <v>45196</v>
      </c>
      <c r="E1391">
        <v>1</v>
      </c>
      <c r="F1391" t="str">
        <f>"08-I20-03"</f>
        <v>08-I20-03</v>
      </c>
      <c r="G1391">
        <v>0.62639999999999996</v>
      </c>
      <c r="H1391" t="s">
        <v>12</v>
      </c>
      <c r="I1391" t="s">
        <v>10</v>
      </c>
    </row>
    <row r="1392" spans="1:9" x14ac:dyDescent="0.25">
      <c r="A1392" t="str">
        <f t="shared" si="22"/>
        <v>89301000</v>
      </c>
      <c r="B1392" t="str">
        <f>"1508251833"</f>
        <v>1508251833</v>
      </c>
      <c r="C1392" s="1">
        <v>45166</v>
      </c>
      <c r="D1392" s="1">
        <v>45168</v>
      </c>
      <c r="E1392">
        <v>1</v>
      </c>
      <c r="F1392" t="str">
        <f>"03-K08-00"</f>
        <v>03-K08-00</v>
      </c>
      <c r="G1392">
        <v>0.45639999999999997</v>
      </c>
      <c r="H1392" t="s">
        <v>11</v>
      </c>
      <c r="I1392" t="s">
        <v>10</v>
      </c>
    </row>
    <row r="1393" spans="1:9" x14ac:dyDescent="0.25">
      <c r="A1393" t="str">
        <f t="shared" si="22"/>
        <v>89301000</v>
      </c>
      <c r="B1393" t="str">
        <f>"1509040159"</f>
        <v>1509040159</v>
      </c>
      <c r="C1393" s="1">
        <v>45194</v>
      </c>
      <c r="D1393" s="1">
        <v>45196</v>
      </c>
      <c r="E1393">
        <v>1</v>
      </c>
      <c r="F1393" t="str">
        <f>"12-I10-02"</f>
        <v>12-I10-02</v>
      </c>
      <c r="G1393">
        <v>0.51690000000000003</v>
      </c>
      <c r="H1393" t="s">
        <v>9</v>
      </c>
      <c r="I1393" t="s">
        <v>10</v>
      </c>
    </row>
    <row r="1394" spans="1:9" x14ac:dyDescent="0.25">
      <c r="A1394" t="str">
        <f t="shared" si="22"/>
        <v>89301000</v>
      </c>
      <c r="B1394" t="str">
        <f>"1509050004"</f>
        <v>1509050004</v>
      </c>
      <c r="C1394" s="1">
        <v>45074</v>
      </c>
      <c r="D1394" s="1">
        <v>45076</v>
      </c>
      <c r="E1394">
        <v>1</v>
      </c>
      <c r="F1394" t="str">
        <f>"03-I20-03"</f>
        <v>03-I20-03</v>
      </c>
      <c r="G1394">
        <v>0.71020000000000005</v>
      </c>
      <c r="H1394" t="s">
        <v>12</v>
      </c>
      <c r="I1394" t="s">
        <v>10</v>
      </c>
    </row>
    <row r="1395" spans="1:9" x14ac:dyDescent="0.25">
      <c r="A1395" t="str">
        <f t="shared" si="22"/>
        <v>89301000</v>
      </c>
      <c r="B1395" t="str">
        <f>"1509100417"</f>
        <v>1509100417</v>
      </c>
      <c r="C1395" s="1">
        <v>45187</v>
      </c>
      <c r="D1395" s="1">
        <v>45189</v>
      </c>
      <c r="E1395">
        <v>1</v>
      </c>
      <c r="F1395" t="str">
        <f>"03-I21-00"</f>
        <v>03-I21-00</v>
      </c>
      <c r="G1395">
        <v>0.42449999999999999</v>
      </c>
      <c r="H1395" t="s">
        <v>11</v>
      </c>
      <c r="I1395" t="s">
        <v>10</v>
      </c>
    </row>
    <row r="1396" spans="1:9" x14ac:dyDescent="0.25">
      <c r="A1396" t="str">
        <f t="shared" si="22"/>
        <v>89301000</v>
      </c>
      <c r="B1396" t="str">
        <f>"1509150324"</f>
        <v>1509150324</v>
      </c>
      <c r="C1396" s="1">
        <v>45048</v>
      </c>
      <c r="D1396" s="1">
        <v>45063</v>
      </c>
      <c r="E1396">
        <v>1</v>
      </c>
      <c r="F1396" t="str">
        <f>"08-I26-02"</f>
        <v>08-I26-02</v>
      </c>
      <c r="G1396">
        <v>1.4168000000000001</v>
      </c>
      <c r="H1396" t="s">
        <v>11</v>
      </c>
      <c r="I1396" t="s">
        <v>10</v>
      </c>
    </row>
    <row r="1397" spans="1:9" x14ac:dyDescent="0.25">
      <c r="A1397" t="str">
        <f t="shared" si="22"/>
        <v>89301000</v>
      </c>
      <c r="B1397" t="str">
        <f>"1509150324"</f>
        <v>1509150324</v>
      </c>
      <c r="C1397" s="1">
        <v>45223</v>
      </c>
      <c r="D1397" s="1">
        <v>45229</v>
      </c>
      <c r="E1397">
        <v>1</v>
      </c>
      <c r="F1397" t="str">
        <f>"08-I21-01"</f>
        <v>08-I21-01</v>
      </c>
      <c r="G1397">
        <v>2.3639999999999999</v>
      </c>
      <c r="H1397" t="s">
        <v>12</v>
      </c>
      <c r="I1397" t="s">
        <v>10</v>
      </c>
    </row>
    <row r="1398" spans="1:9" x14ac:dyDescent="0.25">
      <c r="A1398" t="str">
        <f t="shared" si="22"/>
        <v>89301000</v>
      </c>
      <c r="B1398" t="str">
        <f>"1509230932"</f>
        <v>1509230932</v>
      </c>
      <c r="C1398" s="1">
        <v>45006</v>
      </c>
      <c r="D1398" s="1">
        <v>45009</v>
      </c>
      <c r="E1398">
        <v>1</v>
      </c>
      <c r="F1398" t="str">
        <f>"08-I21-02"</f>
        <v>08-I21-02</v>
      </c>
      <c r="G1398">
        <v>1.2658</v>
      </c>
      <c r="H1398" t="s">
        <v>12</v>
      </c>
      <c r="I1398" t="s">
        <v>10</v>
      </c>
    </row>
    <row r="1399" spans="1:9" x14ac:dyDescent="0.25">
      <c r="A1399" t="str">
        <f t="shared" si="22"/>
        <v>89301000</v>
      </c>
      <c r="B1399" t="str">
        <f>"1509251436"</f>
        <v>1509251436</v>
      </c>
      <c r="C1399" s="1">
        <v>45270</v>
      </c>
      <c r="D1399" s="1">
        <v>45271</v>
      </c>
      <c r="E1399">
        <v>1</v>
      </c>
      <c r="F1399" t="str">
        <f>"23-K01-00"</f>
        <v>23-K01-00</v>
      </c>
      <c r="G1399">
        <v>0.1401</v>
      </c>
      <c r="H1399" t="s">
        <v>11</v>
      </c>
      <c r="I1399" t="s">
        <v>10</v>
      </c>
    </row>
    <row r="1400" spans="1:9" x14ac:dyDescent="0.25">
      <c r="A1400" t="str">
        <f t="shared" si="22"/>
        <v>89301000</v>
      </c>
      <c r="B1400" t="str">
        <f>"1510090648"</f>
        <v>1510090648</v>
      </c>
      <c r="C1400" s="1">
        <v>45043</v>
      </c>
      <c r="D1400" s="1">
        <v>45045</v>
      </c>
      <c r="E1400">
        <v>1</v>
      </c>
      <c r="F1400" t="str">
        <f>"03-I21-00"</f>
        <v>03-I21-00</v>
      </c>
      <c r="G1400">
        <v>0.42449999999999999</v>
      </c>
      <c r="H1400" t="s">
        <v>11</v>
      </c>
      <c r="I1400" t="s">
        <v>10</v>
      </c>
    </row>
    <row r="1401" spans="1:9" x14ac:dyDescent="0.25">
      <c r="A1401" t="str">
        <f t="shared" si="22"/>
        <v>89301000</v>
      </c>
      <c r="B1401" t="str">
        <f>"1510191716"</f>
        <v>1510191716</v>
      </c>
      <c r="C1401" s="1">
        <v>45196</v>
      </c>
      <c r="D1401" s="1">
        <v>45197</v>
      </c>
      <c r="E1401">
        <v>1</v>
      </c>
      <c r="F1401" t="str">
        <f>"08-I20-03"</f>
        <v>08-I20-03</v>
      </c>
      <c r="G1401">
        <v>0.62639999999999996</v>
      </c>
      <c r="H1401" t="s">
        <v>12</v>
      </c>
      <c r="I1401" t="s">
        <v>10</v>
      </c>
    </row>
    <row r="1402" spans="1:9" x14ac:dyDescent="0.25">
      <c r="A1402" t="str">
        <f t="shared" si="22"/>
        <v>89301000</v>
      </c>
      <c r="B1402" t="str">
        <f>"1510260224"</f>
        <v>1510260224</v>
      </c>
      <c r="C1402" s="1">
        <v>45134</v>
      </c>
      <c r="D1402" s="1">
        <v>45135</v>
      </c>
      <c r="E1402">
        <v>1</v>
      </c>
      <c r="F1402" t="str">
        <f>"08-K14-03"</f>
        <v>08-K14-03</v>
      </c>
      <c r="G1402">
        <v>0.2611</v>
      </c>
      <c r="H1402" t="s">
        <v>11</v>
      </c>
      <c r="I1402" t="s">
        <v>10</v>
      </c>
    </row>
    <row r="1403" spans="1:9" x14ac:dyDescent="0.25">
      <c r="A1403" t="str">
        <f t="shared" ref="A1403:A1466" si="24">"89301000"</f>
        <v>89301000</v>
      </c>
      <c r="B1403" t="str">
        <f>"1510260312"</f>
        <v>1510260312</v>
      </c>
      <c r="C1403" s="1">
        <v>44975</v>
      </c>
      <c r="D1403" s="1">
        <v>44976</v>
      </c>
      <c r="E1403">
        <v>1</v>
      </c>
      <c r="F1403" t="str">
        <f>"08-I20-03"</f>
        <v>08-I20-03</v>
      </c>
      <c r="G1403">
        <v>0.62639999999999996</v>
      </c>
      <c r="H1403" t="s">
        <v>12</v>
      </c>
      <c r="I1403" t="s">
        <v>10</v>
      </c>
    </row>
    <row r="1404" spans="1:9" x14ac:dyDescent="0.25">
      <c r="A1404" t="str">
        <f t="shared" si="24"/>
        <v>89301000</v>
      </c>
      <c r="B1404" t="str">
        <f>"1510311286"</f>
        <v>1510311286</v>
      </c>
      <c r="C1404" s="1">
        <v>45245</v>
      </c>
      <c r="D1404" s="1">
        <v>45247</v>
      </c>
      <c r="E1404">
        <v>1</v>
      </c>
      <c r="F1404" t="str">
        <f>"12-I10-02"</f>
        <v>12-I10-02</v>
      </c>
      <c r="G1404">
        <v>0.51690000000000003</v>
      </c>
      <c r="H1404" t="s">
        <v>9</v>
      </c>
      <c r="I1404" t="s">
        <v>10</v>
      </c>
    </row>
    <row r="1405" spans="1:9" x14ac:dyDescent="0.25">
      <c r="A1405" t="str">
        <f t="shared" si="24"/>
        <v>89301000</v>
      </c>
      <c r="B1405" t="str">
        <f>"1511020203"</f>
        <v>1511020203</v>
      </c>
      <c r="C1405" s="1">
        <v>45066</v>
      </c>
      <c r="D1405" s="1">
        <v>45071</v>
      </c>
      <c r="E1405">
        <v>1</v>
      </c>
      <c r="F1405" t="str">
        <f>"03-K01-01"</f>
        <v>03-K01-01</v>
      </c>
      <c r="G1405">
        <v>0.60770000000000002</v>
      </c>
      <c r="H1405" t="s">
        <v>11</v>
      </c>
      <c r="I1405" t="s">
        <v>10</v>
      </c>
    </row>
    <row r="1406" spans="1:9" x14ac:dyDescent="0.25">
      <c r="A1406" t="str">
        <f t="shared" si="24"/>
        <v>89301000</v>
      </c>
      <c r="B1406" t="str">
        <f>"1511040014"</f>
        <v>1511040014</v>
      </c>
      <c r="C1406" s="1">
        <v>45229</v>
      </c>
      <c r="D1406" s="1">
        <v>45231</v>
      </c>
      <c r="E1406">
        <v>1</v>
      </c>
      <c r="F1406" t="str">
        <f>"06-K02-04"</f>
        <v>06-K02-04</v>
      </c>
      <c r="G1406">
        <v>0.37659999999999999</v>
      </c>
      <c r="H1406" t="s">
        <v>11</v>
      </c>
      <c r="I1406" t="s">
        <v>10</v>
      </c>
    </row>
    <row r="1407" spans="1:9" x14ac:dyDescent="0.25">
      <c r="A1407" t="str">
        <f t="shared" si="24"/>
        <v>89301000</v>
      </c>
      <c r="B1407" t="str">
        <f>"1511080032"</f>
        <v>1511080032</v>
      </c>
      <c r="C1407" s="1">
        <v>45145</v>
      </c>
      <c r="D1407" s="1">
        <v>45147</v>
      </c>
      <c r="E1407">
        <v>1</v>
      </c>
      <c r="F1407" t="str">
        <f>"06-K02-04"</f>
        <v>06-K02-04</v>
      </c>
      <c r="G1407">
        <v>0.37659999999999999</v>
      </c>
      <c r="H1407" t="s">
        <v>11</v>
      </c>
      <c r="I1407" t="s">
        <v>10</v>
      </c>
    </row>
    <row r="1408" spans="1:9" x14ac:dyDescent="0.25">
      <c r="A1408" t="str">
        <f t="shared" si="24"/>
        <v>89301000</v>
      </c>
      <c r="B1408" t="str">
        <f>"1511100195"</f>
        <v>1511100195</v>
      </c>
      <c r="C1408" s="1">
        <v>45113</v>
      </c>
      <c r="D1408" s="1">
        <v>45114</v>
      </c>
      <c r="E1408">
        <v>1</v>
      </c>
      <c r="F1408" t="str">
        <f>"08-I20-03"</f>
        <v>08-I20-03</v>
      </c>
      <c r="G1408">
        <v>0.62639999999999996</v>
      </c>
      <c r="H1408" t="s">
        <v>12</v>
      </c>
      <c r="I1408" t="s">
        <v>10</v>
      </c>
    </row>
    <row r="1409" spans="1:9" x14ac:dyDescent="0.25">
      <c r="A1409" t="str">
        <f t="shared" si="24"/>
        <v>89301000</v>
      </c>
      <c r="B1409" t="str">
        <f>"1511100217"</f>
        <v>1511100217</v>
      </c>
      <c r="C1409" s="1">
        <v>45152</v>
      </c>
      <c r="D1409" s="1">
        <v>45154</v>
      </c>
      <c r="E1409">
        <v>1</v>
      </c>
      <c r="F1409" t="str">
        <f>"12-I14-00"</f>
        <v>12-I14-00</v>
      </c>
      <c r="G1409">
        <v>0.42920000000000003</v>
      </c>
      <c r="H1409" t="s">
        <v>11</v>
      </c>
      <c r="I1409" t="s">
        <v>10</v>
      </c>
    </row>
    <row r="1410" spans="1:9" x14ac:dyDescent="0.25">
      <c r="A1410" t="str">
        <f t="shared" si="24"/>
        <v>89301000</v>
      </c>
      <c r="B1410" t="str">
        <f>"1511130225"</f>
        <v>1511130225</v>
      </c>
      <c r="C1410" s="1">
        <v>45042</v>
      </c>
      <c r="D1410" s="1">
        <v>45044</v>
      </c>
      <c r="E1410">
        <v>1</v>
      </c>
      <c r="F1410" t="str">
        <f>"12-I10-02"</f>
        <v>12-I10-02</v>
      </c>
      <c r="G1410">
        <v>0.51690000000000003</v>
      </c>
      <c r="H1410" t="s">
        <v>9</v>
      </c>
      <c r="I1410" t="s">
        <v>10</v>
      </c>
    </row>
    <row r="1411" spans="1:9" x14ac:dyDescent="0.25">
      <c r="A1411" t="str">
        <f t="shared" si="24"/>
        <v>89301000</v>
      </c>
      <c r="B1411" t="str">
        <f>"1511170738"</f>
        <v>1511170738</v>
      </c>
      <c r="C1411" s="1">
        <v>45118</v>
      </c>
      <c r="D1411" s="1">
        <v>45124</v>
      </c>
      <c r="E1411">
        <v>1</v>
      </c>
      <c r="F1411" t="str">
        <f>"11-K11-00"</f>
        <v>11-K11-00</v>
      </c>
      <c r="G1411">
        <v>0.59009999999999996</v>
      </c>
      <c r="H1411" t="s">
        <v>11</v>
      </c>
      <c r="I1411" t="s">
        <v>10</v>
      </c>
    </row>
    <row r="1412" spans="1:9" x14ac:dyDescent="0.25">
      <c r="A1412" t="str">
        <f t="shared" si="24"/>
        <v>89301000</v>
      </c>
      <c r="B1412" t="str">
        <f>"1511170738"</f>
        <v>1511170738</v>
      </c>
      <c r="C1412" s="1">
        <v>45243</v>
      </c>
      <c r="D1412" s="1">
        <v>45257</v>
      </c>
      <c r="E1412">
        <v>1</v>
      </c>
      <c r="F1412" t="str">
        <f>"11-I10-01"</f>
        <v>11-I10-01</v>
      </c>
      <c r="G1412">
        <v>3.9565000000000001</v>
      </c>
      <c r="H1412" t="s">
        <v>12</v>
      </c>
      <c r="I1412" t="s">
        <v>10</v>
      </c>
    </row>
    <row r="1413" spans="1:9" x14ac:dyDescent="0.25">
      <c r="A1413" t="str">
        <f t="shared" si="24"/>
        <v>89301000</v>
      </c>
      <c r="B1413" t="str">
        <f>"1511220579"</f>
        <v>1511220579</v>
      </c>
      <c r="C1413" s="1">
        <v>45226</v>
      </c>
      <c r="D1413" s="1">
        <v>45243</v>
      </c>
      <c r="E1413">
        <v>1</v>
      </c>
      <c r="F1413" t="str">
        <f>"04-I08-01"</f>
        <v>04-I08-01</v>
      </c>
      <c r="G1413">
        <v>3.0463</v>
      </c>
      <c r="H1413" t="s">
        <v>11</v>
      </c>
      <c r="I1413" t="s">
        <v>10</v>
      </c>
    </row>
    <row r="1414" spans="1:9" x14ac:dyDescent="0.25">
      <c r="A1414" t="str">
        <f t="shared" si="24"/>
        <v>89301000</v>
      </c>
      <c r="B1414" t="str">
        <f>"1511241688"</f>
        <v>1511241688</v>
      </c>
      <c r="C1414" s="1">
        <v>45001</v>
      </c>
      <c r="D1414" s="1">
        <v>45003</v>
      </c>
      <c r="E1414">
        <v>1</v>
      </c>
      <c r="F1414" t="str">
        <f>"12-K09-00"</f>
        <v>12-K09-00</v>
      </c>
      <c r="G1414">
        <v>0.43219999999999997</v>
      </c>
      <c r="H1414" t="s">
        <v>11</v>
      </c>
      <c r="I1414" t="s">
        <v>10</v>
      </c>
    </row>
    <row r="1415" spans="1:9" x14ac:dyDescent="0.25">
      <c r="A1415" t="str">
        <f t="shared" si="24"/>
        <v>89301000</v>
      </c>
      <c r="B1415" t="str">
        <f>"1511251324"</f>
        <v>1511251324</v>
      </c>
      <c r="C1415" s="1">
        <v>45267</v>
      </c>
      <c r="D1415" s="1">
        <v>45269</v>
      </c>
      <c r="E1415">
        <v>1</v>
      </c>
      <c r="F1415" t="str">
        <f>"11-I17-03"</f>
        <v>11-I17-03</v>
      </c>
      <c r="G1415">
        <v>0.45600000000000002</v>
      </c>
      <c r="H1415" t="s">
        <v>11</v>
      </c>
      <c r="I1415" t="s">
        <v>10</v>
      </c>
    </row>
    <row r="1416" spans="1:9" x14ac:dyDescent="0.25">
      <c r="A1416" t="str">
        <f t="shared" si="24"/>
        <v>89301000</v>
      </c>
      <c r="B1416" t="str">
        <f>"1512300284"</f>
        <v>1512300284</v>
      </c>
      <c r="C1416" s="1">
        <v>44997</v>
      </c>
      <c r="D1416" s="1">
        <v>44999</v>
      </c>
      <c r="E1416">
        <v>1</v>
      </c>
      <c r="F1416" t="str">
        <f>"02-I11-01"</f>
        <v>02-I11-01</v>
      </c>
      <c r="G1416">
        <v>0.80620000000000003</v>
      </c>
      <c r="H1416" t="s">
        <v>12</v>
      </c>
      <c r="I1416" t="s">
        <v>10</v>
      </c>
    </row>
    <row r="1417" spans="1:9" x14ac:dyDescent="0.25">
      <c r="A1417" t="str">
        <f t="shared" si="24"/>
        <v>89301000</v>
      </c>
      <c r="B1417" t="str">
        <f>"1551031218"</f>
        <v>1551031218</v>
      </c>
      <c r="C1417" s="1">
        <v>45172</v>
      </c>
      <c r="D1417" s="1">
        <v>45174</v>
      </c>
      <c r="E1417">
        <v>1</v>
      </c>
      <c r="F1417" t="str">
        <f>"03-I20-03"</f>
        <v>03-I20-03</v>
      </c>
      <c r="G1417">
        <v>0.71</v>
      </c>
      <c r="H1417" t="s">
        <v>12</v>
      </c>
      <c r="I1417" t="s">
        <v>10</v>
      </c>
    </row>
    <row r="1418" spans="1:9" x14ac:dyDescent="0.25">
      <c r="A1418" t="str">
        <f t="shared" si="24"/>
        <v>89301000</v>
      </c>
      <c r="B1418" t="str">
        <f>"1551101189"</f>
        <v>1551101189</v>
      </c>
      <c r="C1418" s="1">
        <v>45162</v>
      </c>
      <c r="D1418" s="1">
        <v>45182</v>
      </c>
      <c r="E1418">
        <v>1</v>
      </c>
      <c r="F1418" t="str">
        <f>"08-K01-03"</f>
        <v>08-K01-03</v>
      </c>
      <c r="G1418">
        <v>1.1284000000000001</v>
      </c>
      <c r="H1418" t="s">
        <v>11</v>
      </c>
      <c r="I1418" t="s">
        <v>10</v>
      </c>
    </row>
    <row r="1419" spans="1:9" x14ac:dyDescent="0.25">
      <c r="A1419" t="str">
        <f t="shared" si="24"/>
        <v>89301000</v>
      </c>
      <c r="B1419" t="str">
        <f>"1551101189"</f>
        <v>1551101189</v>
      </c>
      <c r="C1419" s="1">
        <v>45187</v>
      </c>
      <c r="D1419" s="1">
        <v>45196</v>
      </c>
      <c r="E1419">
        <v>1</v>
      </c>
      <c r="F1419" t="str">
        <f>"08-K01-03"</f>
        <v>08-K01-03</v>
      </c>
      <c r="G1419">
        <v>0.59189999999999998</v>
      </c>
      <c r="H1419" t="s">
        <v>11</v>
      </c>
      <c r="I1419" t="s">
        <v>10</v>
      </c>
    </row>
    <row r="1420" spans="1:9" x14ac:dyDescent="0.25">
      <c r="A1420" t="str">
        <f t="shared" si="24"/>
        <v>89301000</v>
      </c>
      <c r="B1420" t="str">
        <f>"1551101189"</f>
        <v>1551101189</v>
      </c>
      <c r="C1420" s="1">
        <v>45201</v>
      </c>
      <c r="D1420" s="1">
        <v>45204</v>
      </c>
      <c r="E1420">
        <v>1</v>
      </c>
      <c r="F1420" t="str">
        <f>"08-K01-03"</f>
        <v>08-K01-03</v>
      </c>
      <c r="G1420">
        <v>0.59189999999999998</v>
      </c>
      <c r="H1420" t="s">
        <v>11</v>
      </c>
      <c r="I1420" t="s">
        <v>10</v>
      </c>
    </row>
    <row r="1421" spans="1:9" x14ac:dyDescent="0.25">
      <c r="A1421" t="str">
        <f t="shared" si="24"/>
        <v>89301000</v>
      </c>
      <c r="B1421" t="str">
        <f>"1551101189"</f>
        <v>1551101189</v>
      </c>
      <c r="C1421" s="1">
        <v>45210</v>
      </c>
      <c r="D1421" s="1">
        <v>45211</v>
      </c>
      <c r="E1421">
        <v>1</v>
      </c>
      <c r="F1421" t="str">
        <f>"08-K01-03"</f>
        <v>08-K01-03</v>
      </c>
      <c r="G1421">
        <v>0.59189999999999998</v>
      </c>
      <c r="H1421" t="s">
        <v>11</v>
      </c>
      <c r="I1421" t="s">
        <v>10</v>
      </c>
    </row>
    <row r="1422" spans="1:9" x14ac:dyDescent="0.25">
      <c r="A1422" t="str">
        <f t="shared" si="24"/>
        <v>89301000</v>
      </c>
      <c r="B1422" t="str">
        <f>"1551110638"</f>
        <v>1551110638</v>
      </c>
      <c r="C1422" s="1">
        <v>44963</v>
      </c>
      <c r="D1422" s="1">
        <v>44969</v>
      </c>
      <c r="E1422">
        <v>1</v>
      </c>
      <c r="F1422" t="str">
        <f>"03-I16-02"</f>
        <v>03-I16-02</v>
      </c>
      <c r="G1422">
        <v>0.92579999999999996</v>
      </c>
      <c r="H1422" t="s">
        <v>9</v>
      </c>
      <c r="I1422" t="s">
        <v>10</v>
      </c>
    </row>
    <row r="1423" spans="1:9" x14ac:dyDescent="0.25">
      <c r="A1423" t="str">
        <f t="shared" si="24"/>
        <v>89301000</v>
      </c>
      <c r="B1423" t="str">
        <f>"1551150293"</f>
        <v>1551150293</v>
      </c>
      <c r="C1423" s="1">
        <v>45008</v>
      </c>
      <c r="D1423" s="1">
        <v>45010</v>
      </c>
      <c r="E1423">
        <v>1</v>
      </c>
      <c r="F1423" t="str">
        <f>"06-K04-03"</f>
        <v>06-K04-03</v>
      </c>
      <c r="G1423">
        <v>0.38019999999999998</v>
      </c>
      <c r="H1423" t="s">
        <v>11</v>
      </c>
      <c r="I1423" t="s">
        <v>10</v>
      </c>
    </row>
    <row r="1424" spans="1:9" x14ac:dyDescent="0.25">
      <c r="A1424" t="str">
        <f t="shared" si="24"/>
        <v>89301000</v>
      </c>
      <c r="B1424" t="str">
        <f>"1551150678"</f>
        <v>1551150678</v>
      </c>
      <c r="C1424" s="1">
        <v>45070</v>
      </c>
      <c r="D1424" s="1">
        <v>45076</v>
      </c>
      <c r="E1424">
        <v>1</v>
      </c>
      <c r="F1424" t="str">
        <f>"11-I09-00"</f>
        <v>11-I09-00</v>
      </c>
      <c r="G1424">
        <v>2.3191000000000002</v>
      </c>
      <c r="H1424" t="s">
        <v>12</v>
      </c>
      <c r="I1424" t="s">
        <v>10</v>
      </c>
    </row>
    <row r="1425" spans="1:9" x14ac:dyDescent="0.25">
      <c r="A1425" t="str">
        <f t="shared" si="24"/>
        <v>89301000</v>
      </c>
      <c r="B1425" t="str">
        <f>"1551210023"</f>
        <v>1551210023</v>
      </c>
      <c r="C1425" s="1">
        <v>44951</v>
      </c>
      <c r="D1425" s="1">
        <v>44954</v>
      </c>
      <c r="E1425">
        <v>1</v>
      </c>
      <c r="F1425" t="str">
        <f>"06-K02-03"</f>
        <v>06-K02-03</v>
      </c>
      <c r="G1425">
        <v>0.50470000000000004</v>
      </c>
      <c r="H1425" t="s">
        <v>11</v>
      </c>
      <c r="I1425" t="s">
        <v>10</v>
      </c>
    </row>
    <row r="1426" spans="1:9" x14ac:dyDescent="0.25">
      <c r="A1426" t="str">
        <f t="shared" si="24"/>
        <v>89301000</v>
      </c>
      <c r="B1426" t="str">
        <f>"1551230307"</f>
        <v>1551230307</v>
      </c>
      <c r="C1426" s="1">
        <v>44944</v>
      </c>
      <c r="D1426" s="1">
        <v>44946</v>
      </c>
      <c r="E1426">
        <v>1</v>
      </c>
      <c r="F1426" t="str">
        <f>"06-I17-05"</f>
        <v>06-I17-05</v>
      </c>
      <c r="G1426">
        <v>0.39529999999999998</v>
      </c>
      <c r="H1426" t="s">
        <v>12</v>
      </c>
      <c r="I1426" t="s">
        <v>10</v>
      </c>
    </row>
    <row r="1427" spans="1:9" x14ac:dyDescent="0.25">
      <c r="A1427" t="str">
        <f t="shared" si="24"/>
        <v>89301000</v>
      </c>
      <c r="B1427" t="str">
        <f>"1551261547"</f>
        <v>1551261547</v>
      </c>
      <c r="C1427" s="1">
        <v>44932</v>
      </c>
      <c r="D1427" s="1">
        <v>44933</v>
      </c>
      <c r="E1427">
        <v>1</v>
      </c>
      <c r="F1427" t="str">
        <f>"08-I20-03"</f>
        <v>08-I20-03</v>
      </c>
      <c r="G1427">
        <v>0.62639999999999996</v>
      </c>
      <c r="H1427" t="s">
        <v>12</v>
      </c>
      <c r="I1427" t="s">
        <v>10</v>
      </c>
    </row>
    <row r="1428" spans="1:9" x14ac:dyDescent="0.25">
      <c r="A1428" t="str">
        <f t="shared" si="24"/>
        <v>89301000</v>
      </c>
      <c r="B1428" t="str">
        <f>"1551261547"</f>
        <v>1551261547</v>
      </c>
      <c r="C1428" s="1">
        <v>45020</v>
      </c>
      <c r="D1428" s="1">
        <v>45021</v>
      </c>
      <c r="E1428">
        <v>1</v>
      </c>
      <c r="F1428" t="str">
        <f>"08-I32-00"</f>
        <v>08-I32-00</v>
      </c>
      <c r="G1428">
        <v>0.40870000000000001</v>
      </c>
      <c r="H1428" t="s">
        <v>11</v>
      </c>
      <c r="I1428" t="s">
        <v>10</v>
      </c>
    </row>
    <row r="1429" spans="1:9" x14ac:dyDescent="0.25">
      <c r="A1429" t="str">
        <f t="shared" si="24"/>
        <v>89301000</v>
      </c>
      <c r="B1429" t="str">
        <f>"1552130283"</f>
        <v>1552130283</v>
      </c>
      <c r="C1429" s="1">
        <v>45102</v>
      </c>
      <c r="D1429" s="1">
        <v>45104</v>
      </c>
      <c r="E1429">
        <v>1</v>
      </c>
      <c r="F1429" t="str">
        <f>"03-I20-03"</f>
        <v>03-I20-03</v>
      </c>
      <c r="G1429">
        <v>0.71</v>
      </c>
      <c r="H1429" t="s">
        <v>12</v>
      </c>
      <c r="I1429" t="s">
        <v>10</v>
      </c>
    </row>
    <row r="1430" spans="1:9" x14ac:dyDescent="0.25">
      <c r="A1430" t="str">
        <f t="shared" si="24"/>
        <v>89301000</v>
      </c>
      <c r="B1430" t="str">
        <f>"1552160280"</f>
        <v>1552160280</v>
      </c>
      <c r="C1430" s="1">
        <v>44947</v>
      </c>
      <c r="D1430" s="1">
        <v>44947</v>
      </c>
      <c r="E1430">
        <v>1</v>
      </c>
      <c r="F1430" t="str">
        <f>"03-K02-03"</f>
        <v>03-K02-03</v>
      </c>
      <c r="G1430">
        <v>0.17069999999999999</v>
      </c>
      <c r="H1430" t="s">
        <v>11</v>
      </c>
      <c r="I1430" t="s">
        <v>10</v>
      </c>
    </row>
    <row r="1431" spans="1:9" x14ac:dyDescent="0.25">
      <c r="A1431" t="str">
        <f t="shared" si="24"/>
        <v>89301000</v>
      </c>
      <c r="B1431" t="str">
        <f>"1552230075"</f>
        <v>1552230075</v>
      </c>
      <c r="C1431" s="1">
        <v>45182</v>
      </c>
      <c r="D1431" s="1">
        <v>45185</v>
      </c>
      <c r="E1431">
        <v>1</v>
      </c>
      <c r="F1431" t="str">
        <f>"03-K13-02"</f>
        <v>03-K13-02</v>
      </c>
      <c r="G1431">
        <v>0.24440000000000001</v>
      </c>
      <c r="H1431" t="s">
        <v>11</v>
      </c>
      <c r="I1431" t="s">
        <v>10</v>
      </c>
    </row>
    <row r="1432" spans="1:9" x14ac:dyDescent="0.25">
      <c r="A1432" t="str">
        <f t="shared" si="24"/>
        <v>89301000</v>
      </c>
      <c r="B1432" t="str">
        <f>"1553101649"</f>
        <v>1553101649</v>
      </c>
      <c r="C1432" s="1">
        <v>45270</v>
      </c>
      <c r="D1432" s="1">
        <v>45275</v>
      </c>
      <c r="E1432">
        <v>1</v>
      </c>
      <c r="F1432" t="str">
        <f>"09-I08-01"</f>
        <v>09-I08-01</v>
      </c>
      <c r="G1432">
        <v>1.2547999999999999</v>
      </c>
      <c r="H1432" t="s">
        <v>14</v>
      </c>
      <c r="I1432" t="s">
        <v>10</v>
      </c>
    </row>
    <row r="1433" spans="1:9" x14ac:dyDescent="0.25">
      <c r="A1433" t="str">
        <f t="shared" si="24"/>
        <v>89301000</v>
      </c>
      <c r="B1433" t="str">
        <f>"1553160972"</f>
        <v>1553160972</v>
      </c>
      <c r="C1433" s="1">
        <v>45218</v>
      </c>
      <c r="D1433" s="1">
        <v>45219</v>
      </c>
      <c r="E1433">
        <v>1</v>
      </c>
      <c r="F1433" t="str">
        <f>"06-K17-02"</f>
        <v>06-K17-02</v>
      </c>
      <c r="G1433">
        <v>0.2999</v>
      </c>
      <c r="H1433" t="s">
        <v>11</v>
      </c>
      <c r="I1433" t="s">
        <v>10</v>
      </c>
    </row>
    <row r="1434" spans="1:9" x14ac:dyDescent="0.25">
      <c r="A1434" t="str">
        <f t="shared" si="24"/>
        <v>89301000</v>
      </c>
      <c r="B1434" t="str">
        <f>"1553220163"</f>
        <v>1553220163</v>
      </c>
      <c r="C1434" s="1">
        <v>45047</v>
      </c>
      <c r="D1434" s="1">
        <v>45054</v>
      </c>
      <c r="E1434">
        <v>1</v>
      </c>
      <c r="F1434" t="str">
        <f>"03-I16-02"</f>
        <v>03-I16-02</v>
      </c>
      <c r="G1434">
        <v>0.92979999999999996</v>
      </c>
      <c r="H1434" t="s">
        <v>9</v>
      </c>
      <c r="I1434" t="s">
        <v>10</v>
      </c>
    </row>
    <row r="1435" spans="1:9" x14ac:dyDescent="0.25">
      <c r="A1435" t="str">
        <f t="shared" si="24"/>
        <v>89301000</v>
      </c>
      <c r="B1435" t="str">
        <f>"1553290002"</f>
        <v>1553290002</v>
      </c>
      <c r="C1435" s="1">
        <v>45271</v>
      </c>
      <c r="D1435" s="1">
        <v>45273</v>
      </c>
      <c r="E1435">
        <v>1</v>
      </c>
      <c r="F1435" t="str">
        <f>"03-I21-00"</f>
        <v>03-I21-00</v>
      </c>
      <c r="G1435">
        <v>0.42449999999999999</v>
      </c>
      <c r="H1435" t="s">
        <v>11</v>
      </c>
      <c r="I1435" t="s">
        <v>10</v>
      </c>
    </row>
    <row r="1436" spans="1:9" x14ac:dyDescent="0.25">
      <c r="A1436" t="str">
        <f t="shared" si="24"/>
        <v>89301000</v>
      </c>
      <c r="B1436" t="str">
        <f>"1554020820"</f>
        <v>1554020820</v>
      </c>
      <c r="C1436" s="1">
        <v>45189</v>
      </c>
      <c r="D1436" s="1">
        <v>45194</v>
      </c>
      <c r="E1436">
        <v>1</v>
      </c>
      <c r="F1436" t="str">
        <f>"06-I18-04"</f>
        <v>06-I18-04</v>
      </c>
      <c r="G1436">
        <v>1.1088</v>
      </c>
      <c r="H1436" t="s">
        <v>9</v>
      </c>
      <c r="I1436" t="s">
        <v>10</v>
      </c>
    </row>
    <row r="1437" spans="1:9" x14ac:dyDescent="0.25">
      <c r="A1437" t="str">
        <f t="shared" si="24"/>
        <v>89301000</v>
      </c>
      <c r="B1437" t="str">
        <f>"1554050080"</f>
        <v>1554050080</v>
      </c>
      <c r="C1437" s="1">
        <v>45242</v>
      </c>
      <c r="D1437" s="1">
        <v>45244</v>
      </c>
      <c r="E1437">
        <v>1</v>
      </c>
      <c r="F1437" t="str">
        <f>"03-I21-00"</f>
        <v>03-I21-00</v>
      </c>
      <c r="G1437">
        <v>0.42449999999999999</v>
      </c>
      <c r="H1437" t="s">
        <v>11</v>
      </c>
      <c r="I1437" t="s">
        <v>10</v>
      </c>
    </row>
    <row r="1438" spans="1:9" x14ac:dyDescent="0.25">
      <c r="A1438" t="str">
        <f t="shared" si="24"/>
        <v>89301000</v>
      </c>
      <c r="B1438" t="str">
        <f>"1554080528"</f>
        <v>1554080528</v>
      </c>
      <c r="C1438" s="1">
        <v>45187</v>
      </c>
      <c r="D1438" s="1">
        <v>45189</v>
      </c>
      <c r="E1438">
        <v>1</v>
      </c>
      <c r="F1438" t="str">
        <f>"03-K06-01"</f>
        <v>03-K06-01</v>
      </c>
      <c r="G1438">
        <v>0.4713</v>
      </c>
      <c r="H1438" t="s">
        <v>11</v>
      </c>
      <c r="I1438" t="s">
        <v>10</v>
      </c>
    </row>
    <row r="1439" spans="1:9" x14ac:dyDescent="0.25">
      <c r="A1439" t="str">
        <f t="shared" si="24"/>
        <v>89301000</v>
      </c>
      <c r="B1439" t="str">
        <f>"1554111284"</f>
        <v>1554111284</v>
      </c>
      <c r="C1439" s="1">
        <v>45102</v>
      </c>
      <c r="D1439" s="1">
        <v>45104</v>
      </c>
      <c r="E1439">
        <v>1</v>
      </c>
      <c r="F1439" t="str">
        <f>"03-I20-03"</f>
        <v>03-I20-03</v>
      </c>
      <c r="G1439">
        <v>0.71</v>
      </c>
      <c r="H1439" t="s">
        <v>12</v>
      </c>
      <c r="I1439" t="s">
        <v>10</v>
      </c>
    </row>
    <row r="1440" spans="1:9" x14ac:dyDescent="0.25">
      <c r="A1440" t="str">
        <f t="shared" si="24"/>
        <v>89301000</v>
      </c>
      <c r="B1440" t="str">
        <f>"1554190055"</f>
        <v>1554190055</v>
      </c>
      <c r="C1440" s="1">
        <v>45032</v>
      </c>
      <c r="D1440" s="1">
        <v>45034</v>
      </c>
      <c r="E1440">
        <v>1</v>
      </c>
      <c r="F1440" t="str">
        <f>"03-I21-00"</f>
        <v>03-I21-00</v>
      </c>
      <c r="G1440">
        <v>0.42449999999999999</v>
      </c>
      <c r="H1440" t="s">
        <v>11</v>
      </c>
      <c r="I1440" t="s">
        <v>10</v>
      </c>
    </row>
    <row r="1441" spans="1:9" x14ac:dyDescent="0.25">
      <c r="A1441" t="str">
        <f t="shared" si="24"/>
        <v>89301000</v>
      </c>
      <c r="B1441" t="str">
        <f>"1554261159"</f>
        <v>1554261159</v>
      </c>
      <c r="C1441" s="1">
        <v>45005</v>
      </c>
      <c r="D1441" s="1">
        <v>45009</v>
      </c>
      <c r="E1441">
        <v>1</v>
      </c>
      <c r="F1441" t="str">
        <f>"11-I17-03"</f>
        <v>11-I17-03</v>
      </c>
      <c r="G1441">
        <v>0.50139999999999996</v>
      </c>
      <c r="H1441" t="s">
        <v>11</v>
      </c>
      <c r="I1441" t="s">
        <v>10</v>
      </c>
    </row>
    <row r="1442" spans="1:9" x14ac:dyDescent="0.25">
      <c r="A1442" t="str">
        <f t="shared" si="24"/>
        <v>89301000</v>
      </c>
      <c r="B1442" t="str">
        <f>"1555210250"</f>
        <v>1555210250</v>
      </c>
      <c r="C1442" s="1">
        <v>45188</v>
      </c>
      <c r="D1442" s="1">
        <v>45193</v>
      </c>
      <c r="E1442">
        <v>1</v>
      </c>
      <c r="F1442" t="str">
        <f>"06-K02-04"</f>
        <v>06-K02-04</v>
      </c>
      <c r="G1442">
        <v>0.37659999999999999</v>
      </c>
      <c r="H1442" t="s">
        <v>11</v>
      </c>
      <c r="I1442" t="s">
        <v>10</v>
      </c>
    </row>
    <row r="1443" spans="1:9" x14ac:dyDescent="0.25">
      <c r="A1443" t="str">
        <f t="shared" si="24"/>
        <v>89301000</v>
      </c>
      <c r="B1443" t="str">
        <f>"1555221800"</f>
        <v>1555221800</v>
      </c>
      <c r="C1443" s="1">
        <v>45068</v>
      </c>
      <c r="D1443" s="1">
        <v>45070</v>
      </c>
      <c r="E1443">
        <v>1</v>
      </c>
      <c r="F1443" t="str">
        <f>"06-I17-05"</f>
        <v>06-I17-05</v>
      </c>
      <c r="G1443">
        <v>0.39529999999999998</v>
      </c>
      <c r="H1443" t="s">
        <v>12</v>
      </c>
      <c r="I1443" t="s">
        <v>10</v>
      </c>
    </row>
    <row r="1444" spans="1:9" x14ac:dyDescent="0.25">
      <c r="A1444" t="str">
        <f t="shared" si="24"/>
        <v>89301000</v>
      </c>
      <c r="B1444" t="str">
        <f>"1555240016"</f>
        <v>1555240016</v>
      </c>
      <c r="C1444" s="1">
        <v>45001</v>
      </c>
      <c r="D1444" s="1">
        <v>45005</v>
      </c>
      <c r="E1444">
        <v>1</v>
      </c>
      <c r="F1444" t="str">
        <f>"06-I18-04"</f>
        <v>06-I18-04</v>
      </c>
      <c r="G1444">
        <v>1.1088</v>
      </c>
      <c r="H1444" t="s">
        <v>9</v>
      </c>
      <c r="I1444" t="s">
        <v>10</v>
      </c>
    </row>
    <row r="1445" spans="1:9" x14ac:dyDescent="0.25">
      <c r="A1445" t="str">
        <f t="shared" si="24"/>
        <v>89301000</v>
      </c>
      <c r="B1445" t="str">
        <f>"1555280232"</f>
        <v>1555280232</v>
      </c>
      <c r="C1445" s="1">
        <v>45200</v>
      </c>
      <c r="D1445" s="1">
        <v>45202</v>
      </c>
      <c r="E1445">
        <v>1</v>
      </c>
      <c r="F1445" t="str">
        <f>"03-I21-00"</f>
        <v>03-I21-00</v>
      </c>
      <c r="G1445">
        <v>0.42449999999999999</v>
      </c>
      <c r="H1445" t="s">
        <v>11</v>
      </c>
      <c r="I1445" t="s">
        <v>10</v>
      </c>
    </row>
    <row r="1446" spans="1:9" x14ac:dyDescent="0.25">
      <c r="A1446" t="str">
        <f t="shared" si="24"/>
        <v>89301000</v>
      </c>
      <c r="B1446" t="str">
        <f>"1556040310"</f>
        <v>1556040310</v>
      </c>
      <c r="C1446" s="1">
        <v>45078</v>
      </c>
      <c r="D1446" s="1">
        <v>45080</v>
      </c>
      <c r="E1446">
        <v>1</v>
      </c>
      <c r="F1446" t="str">
        <f>"03-I21-00"</f>
        <v>03-I21-00</v>
      </c>
      <c r="G1446">
        <v>0.42449999999999999</v>
      </c>
      <c r="H1446" t="s">
        <v>11</v>
      </c>
      <c r="I1446" t="s">
        <v>10</v>
      </c>
    </row>
    <row r="1447" spans="1:9" x14ac:dyDescent="0.25">
      <c r="A1447" t="str">
        <f t="shared" si="24"/>
        <v>89301000</v>
      </c>
      <c r="B1447" t="str">
        <f>"1556040783"</f>
        <v>1556040783</v>
      </c>
      <c r="C1447" s="1">
        <v>45187</v>
      </c>
      <c r="D1447" s="1">
        <v>45189</v>
      </c>
      <c r="E1447">
        <v>1</v>
      </c>
      <c r="F1447" t="str">
        <f>"03-I21-00"</f>
        <v>03-I21-00</v>
      </c>
      <c r="G1447">
        <v>0.42449999999999999</v>
      </c>
      <c r="H1447" t="s">
        <v>11</v>
      </c>
      <c r="I1447" t="s">
        <v>10</v>
      </c>
    </row>
    <row r="1448" spans="1:9" x14ac:dyDescent="0.25">
      <c r="A1448" t="str">
        <f t="shared" si="24"/>
        <v>89301000</v>
      </c>
      <c r="B1448" t="str">
        <f>"1556190240"</f>
        <v>1556190240</v>
      </c>
      <c r="C1448" s="1">
        <v>44966</v>
      </c>
      <c r="D1448" s="1">
        <v>44968</v>
      </c>
      <c r="E1448">
        <v>1</v>
      </c>
      <c r="F1448" t="str">
        <f>"05-K15-02"</f>
        <v>05-K15-02</v>
      </c>
      <c r="G1448">
        <v>0.45369999999999999</v>
      </c>
      <c r="H1448" t="s">
        <v>11</v>
      </c>
      <c r="I1448" t="s">
        <v>10</v>
      </c>
    </row>
    <row r="1449" spans="1:9" x14ac:dyDescent="0.25">
      <c r="A1449" t="str">
        <f t="shared" si="24"/>
        <v>89301000</v>
      </c>
      <c r="B1449" t="str">
        <f>"1557010224"</f>
        <v>1557010224</v>
      </c>
      <c r="C1449" s="1">
        <v>44994</v>
      </c>
      <c r="D1449" s="1">
        <v>44997</v>
      </c>
      <c r="E1449">
        <v>1</v>
      </c>
      <c r="F1449" t="str">
        <f>"03-I16-02"</f>
        <v>03-I16-02</v>
      </c>
      <c r="G1449">
        <v>0.92979999999999996</v>
      </c>
      <c r="H1449" t="s">
        <v>9</v>
      </c>
      <c r="I1449" t="s">
        <v>10</v>
      </c>
    </row>
    <row r="1450" spans="1:9" x14ac:dyDescent="0.25">
      <c r="A1450" t="str">
        <f t="shared" si="24"/>
        <v>89301000</v>
      </c>
      <c r="B1450" t="str">
        <f>"1557040298"</f>
        <v>1557040298</v>
      </c>
      <c r="C1450" s="1">
        <v>44935</v>
      </c>
      <c r="D1450" s="1">
        <v>44938</v>
      </c>
      <c r="E1450">
        <v>1</v>
      </c>
      <c r="F1450" t="str">
        <f>"10-M01-00"</f>
        <v>10-M01-00</v>
      </c>
      <c r="G1450">
        <v>0.43469999999999998</v>
      </c>
      <c r="H1450" t="s">
        <v>11</v>
      </c>
      <c r="I1450" t="s">
        <v>10</v>
      </c>
    </row>
    <row r="1451" spans="1:9" x14ac:dyDescent="0.25">
      <c r="A1451" t="str">
        <f t="shared" si="24"/>
        <v>89301000</v>
      </c>
      <c r="B1451" t="str">
        <f>"1557090128"</f>
        <v>1557090128</v>
      </c>
      <c r="C1451" s="1">
        <v>45204</v>
      </c>
      <c r="D1451" s="1">
        <v>45206</v>
      </c>
      <c r="E1451">
        <v>1</v>
      </c>
      <c r="F1451" t="str">
        <f>"03-I21-00"</f>
        <v>03-I21-00</v>
      </c>
      <c r="G1451">
        <v>0.42449999999999999</v>
      </c>
      <c r="H1451" t="s">
        <v>11</v>
      </c>
      <c r="I1451" t="s">
        <v>10</v>
      </c>
    </row>
    <row r="1452" spans="1:9" x14ac:dyDescent="0.25">
      <c r="A1452" t="str">
        <f t="shared" si="24"/>
        <v>89301000</v>
      </c>
      <c r="B1452" t="str">
        <f>"1557251102"</f>
        <v>1557251102</v>
      </c>
      <c r="C1452" s="1">
        <v>45110</v>
      </c>
      <c r="D1452" s="1">
        <v>45112</v>
      </c>
      <c r="E1452">
        <v>1</v>
      </c>
      <c r="F1452" t="str">
        <f>"04-K04-02"</f>
        <v>04-K04-02</v>
      </c>
      <c r="G1452">
        <v>0.52159999999999995</v>
      </c>
      <c r="H1452" t="s">
        <v>11</v>
      </c>
      <c r="I1452" t="s">
        <v>10</v>
      </c>
    </row>
    <row r="1453" spans="1:9" x14ac:dyDescent="0.25">
      <c r="A1453" t="str">
        <f t="shared" si="24"/>
        <v>89301000</v>
      </c>
      <c r="B1453" t="str">
        <f>"1558081217"</f>
        <v>1558081217</v>
      </c>
      <c r="C1453" s="1">
        <v>44941</v>
      </c>
      <c r="D1453" s="1">
        <v>44943</v>
      </c>
      <c r="E1453">
        <v>1</v>
      </c>
      <c r="F1453" t="str">
        <f>"02-I11-01"</f>
        <v>02-I11-01</v>
      </c>
      <c r="G1453">
        <v>0.80620000000000003</v>
      </c>
      <c r="H1453" t="s">
        <v>12</v>
      </c>
      <c r="I1453" t="s">
        <v>10</v>
      </c>
    </row>
    <row r="1454" spans="1:9" x14ac:dyDescent="0.25">
      <c r="A1454" t="str">
        <f t="shared" si="24"/>
        <v>89301000</v>
      </c>
      <c r="B1454" t="str">
        <f>"1558081360"</f>
        <v>1558081360</v>
      </c>
      <c r="C1454" s="1">
        <v>45118</v>
      </c>
      <c r="D1454" s="1">
        <v>45132</v>
      </c>
      <c r="E1454">
        <v>1</v>
      </c>
      <c r="F1454" t="str">
        <f>"01-K02-01"</f>
        <v>01-K02-01</v>
      </c>
      <c r="G1454">
        <v>2.7972000000000001</v>
      </c>
      <c r="H1454" t="s">
        <v>11</v>
      </c>
      <c r="I1454" t="s">
        <v>10</v>
      </c>
    </row>
    <row r="1455" spans="1:9" x14ac:dyDescent="0.25">
      <c r="A1455" t="str">
        <f t="shared" si="24"/>
        <v>89301000</v>
      </c>
      <c r="B1455" t="str">
        <f>"1559040208"</f>
        <v>1559040208</v>
      </c>
      <c r="C1455" s="1">
        <v>45130</v>
      </c>
      <c r="D1455" s="1">
        <v>45131</v>
      </c>
      <c r="E1455">
        <v>1</v>
      </c>
      <c r="F1455" t="str">
        <f>"18-K03-02"</f>
        <v>18-K03-02</v>
      </c>
      <c r="G1455">
        <v>0.62429999999999997</v>
      </c>
      <c r="H1455" t="s">
        <v>11</v>
      </c>
      <c r="I1455" t="s">
        <v>10</v>
      </c>
    </row>
    <row r="1456" spans="1:9" x14ac:dyDescent="0.25">
      <c r="A1456" t="str">
        <f t="shared" si="24"/>
        <v>89301000</v>
      </c>
      <c r="B1456" t="str">
        <f>"1559110608"</f>
        <v>1559110608</v>
      </c>
      <c r="C1456" s="1">
        <v>45090</v>
      </c>
      <c r="D1456" s="1">
        <v>45091</v>
      </c>
      <c r="E1456">
        <v>1</v>
      </c>
      <c r="F1456" t="str">
        <f>"23-K01-00"</f>
        <v>23-K01-00</v>
      </c>
      <c r="G1456">
        <v>0.1401</v>
      </c>
      <c r="H1456" t="s">
        <v>11</v>
      </c>
      <c r="I1456" t="s">
        <v>10</v>
      </c>
    </row>
    <row r="1457" spans="1:9" x14ac:dyDescent="0.25">
      <c r="A1457" t="str">
        <f t="shared" si="24"/>
        <v>89301000</v>
      </c>
      <c r="B1457" t="str">
        <f>"1559110608"</f>
        <v>1559110608</v>
      </c>
      <c r="C1457" s="1">
        <v>44934</v>
      </c>
      <c r="D1457" s="1">
        <v>44937</v>
      </c>
      <c r="E1457">
        <v>1</v>
      </c>
      <c r="F1457" t="str">
        <f>"03-I16-02"</f>
        <v>03-I16-02</v>
      </c>
      <c r="G1457">
        <v>0.93669999999999998</v>
      </c>
      <c r="H1457" t="s">
        <v>9</v>
      </c>
      <c r="I1457" t="s">
        <v>10</v>
      </c>
    </row>
    <row r="1458" spans="1:9" x14ac:dyDescent="0.25">
      <c r="A1458" t="str">
        <f t="shared" si="24"/>
        <v>89301000</v>
      </c>
      <c r="B1458" t="str">
        <f>"1560010221"</f>
        <v>1560010221</v>
      </c>
      <c r="C1458" s="1">
        <v>45265</v>
      </c>
      <c r="D1458" s="1">
        <v>45267</v>
      </c>
      <c r="E1458">
        <v>1</v>
      </c>
      <c r="F1458" t="str">
        <f>"11-M08-00"</f>
        <v>11-M08-00</v>
      </c>
      <c r="G1458">
        <v>0.40079999999999999</v>
      </c>
      <c r="H1458" t="s">
        <v>12</v>
      </c>
      <c r="I1458" t="s">
        <v>10</v>
      </c>
    </row>
    <row r="1459" spans="1:9" x14ac:dyDescent="0.25">
      <c r="A1459" t="str">
        <f t="shared" si="24"/>
        <v>89301000</v>
      </c>
      <c r="B1459" t="str">
        <f>"1560050877"</f>
        <v>1560050877</v>
      </c>
      <c r="C1459" s="1">
        <v>44937</v>
      </c>
      <c r="D1459" s="1">
        <v>44939</v>
      </c>
      <c r="E1459">
        <v>1</v>
      </c>
      <c r="F1459" t="str">
        <f>"06-I16-05"</f>
        <v>06-I16-05</v>
      </c>
      <c r="G1459">
        <v>0.4622</v>
      </c>
      <c r="H1459" t="s">
        <v>9</v>
      </c>
      <c r="I1459" t="s">
        <v>10</v>
      </c>
    </row>
    <row r="1460" spans="1:9" x14ac:dyDescent="0.25">
      <c r="A1460" t="str">
        <f t="shared" si="24"/>
        <v>89301000</v>
      </c>
      <c r="B1460" t="str">
        <f>"1560191248"</f>
        <v>1560191248</v>
      </c>
      <c r="C1460" s="1">
        <v>44995</v>
      </c>
      <c r="D1460" s="1">
        <v>45000</v>
      </c>
      <c r="E1460">
        <v>1</v>
      </c>
      <c r="F1460" t="str">
        <f>"16-C04-05"</f>
        <v>16-C04-05</v>
      </c>
      <c r="G1460">
        <v>1.1753</v>
      </c>
      <c r="H1460" t="s">
        <v>11</v>
      </c>
      <c r="I1460" t="s">
        <v>10</v>
      </c>
    </row>
    <row r="1461" spans="1:9" x14ac:dyDescent="0.25">
      <c r="A1461" t="str">
        <f t="shared" si="24"/>
        <v>89301000</v>
      </c>
      <c r="B1461" t="str">
        <f>"1562090277"</f>
        <v>1562090277</v>
      </c>
      <c r="C1461" s="1">
        <v>44953</v>
      </c>
      <c r="D1461" s="1">
        <v>44959</v>
      </c>
      <c r="E1461">
        <v>1</v>
      </c>
      <c r="F1461" t="str">
        <f>"13-I14-03"</f>
        <v>13-I14-03</v>
      </c>
      <c r="G1461">
        <v>0.98229999999999995</v>
      </c>
      <c r="H1461" t="s">
        <v>9</v>
      </c>
      <c r="I1461" t="s">
        <v>10</v>
      </c>
    </row>
    <row r="1462" spans="1:9" x14ac:dyDescent="0.25">
      <c r="A1462" t="str">
        <f t="shared" si="24"/>
        <v>89301000</v>
      </c>
      <c r="B1462" t="str">
        <f>"1562110198"</f>
        <v>1562110198</v>
      </c>
      <c r="C1462" s="1">
        <v>45102</v>
      </c>
      <c r="D1462" s="1">
        <v>45106</v>
      </c>
      <c r="E1462">
        <v>1</v>
      </c>
      <c r="F1462" t="str">
        <f>"03-I16-02"</f>
        <v>03-I16-02</v>
      </c>
      <c r="G1462">
        <v>0.92579999999999996</v>
      </c>
      <c r="H1462" t="s">
        <v>9</v>
      </c>
      <c r="I1462" t="s">
        <v>10</v>
      </c>
    </row>
    <row r="1463" spans="1:9" x14ac:dyDescent="0.25">
      <c r="A1463" t="str">
        <f t="shared" si="24"/>
        <v>89301000</v>
      </c>
      <c r="B1463" t="str">
        <f>"1562130042"</f>
        <v>1562130042</v>
      </c>
      <c r="C1463" s="1">
        <v>45266</v>
      </c>
      <c r="D1463" s="1">
        <v>45267</v>
      </c>
      <c r="E1463">
        <v>1</v>
      </c>
      <c r="F1463" t="str">
        <f>"06-K22-03"</f>
        <v>06-K22-03</v>
      </c>
      <c r="G1463">
        <v>0.31619999999999998</v>
      </c>
      <c r="H1463" t="s">
        <v>11</v>
      </c>
      <c r="I1463" t="s">
        <v>10</v>
      </c>
    </row>
    <row r="1464" spans="1:9" x14ac:dyDescent="0.25">
      <c r="A1464" t="str">
        <f t="shared" si="24"/>
        <v>89301000</v>
      </c>
      <c r="B1464" t="str">
        <f>"1562261184"</f>
        <v>1562261184</v>
      </c>
      <c r="C1464" s="1">
        <v>45238</v>
      </c>
      <c r="D1464" s="1">
        <v>45240</v>
      </c>
      <c r="E1464">
        <v>1</v>
      </c>
      <c r="F1464" t="str">
        <f>"09-K13-02"</f>
        <v>09-K13-02</v>
      </c>
      <c r="G1464">
        <v>0.31190000000000001</v>
      </c>
      <c r="H1464" t="s">
        <v>11</v>
      </c>
      <c r="I1464" t="s">
        <v>10</v>
      </c>
    </row>
    <row r="1465" spans="1:9" x14ac:dyDescent="0.25">
      <c r="A1465" t="str">
        <f t="shared" si="24"/>
        <v>89301000</v>
      </c>
      <c r="B1465" t="str">
        <f>"1601041805"</f>
        <v>1601041805</v>
      </c>
      <c r="C1465" s="1">
        <v>45067</v>
      </c>
      <c r="D1465" s="1">
        <v>45069</v>
      </c>
      <c r="E1465">
        <v>1</v>
      </c>
      <c r="F1465" t="str">
        <f>"02-I11-01"</f>
        <v>02-I11-01</v>
      </c>
      <c r="G1465">
        <v>0.80620000000000003</v>
      </c>
      <c r="H1465" t="s">
        <v>12</v>
      </c>
      <c r="I1465" t="s">
        <v>10</v>
      </c>
    </row>
    <row r="1466" spans="1:9" x14ac:dyDescent="0.25">
      <c r="A1466" t="str">
        <f t="shared" si="24"/>
        <v>89301000</v>
      </c>
      <c r="B1466" t="str">
        <f>"1601070526"</f>
        <v>1601070526</v>
      </c>
      <c r="C1466" s="1">
        <v>45168</v>
      </c>
      <c r="D1466" s="1">
        <v>45170</v>
      </c>
      <c r="E1466">
        <v>1</v>
      </c>
      <c r="F1466" t="str">
        <f>"12-I10-02"</f>
        <v>12-I10-02</v>
      </c>
      <c r="G1466">
        <v>0.51690000000000003</v>
      </c>
      <c r="H1466" t="s">
        <v>9</v>
      </c>
      <c r="I1466" t="s">
        <v>10</v>
      </c>
    </row>
    <row r="1467" spans="1:9" x14ac:dyDescent="0.25">
      <c r="A1467" t="str">
        <f t="shared" ref="A1467:A1529" si="25">"89301000"</f>
        <v>89301000</v>
      </c>
      <c r="B1467" t="str">
        <f>"1601080140"</f>
        <v>1601080140</v>
      </c>
      <c r="C1467" s="1">
        <v>45099</v>
      </c>
      <c r="D1467" s="1">
        <v>45100</v>
      </c>
      <c r="E1467">
        <v>1</v>
      </c>
      <c r="F1467" t="str">
        <f>"06-I16-05"</f>
        <v>06-I16-05</v>
      </c>
      <c r="G1467">
        <v>0.4622</v>
      </c>
      <c r="H1467" t="s">
        <v>9</v>
      </c>
      <c r="I1467" t="s">
        <v>10</v>
      </c>
    </row>
    <row r="1468" spans="1:9" x14ac:dyDescent="0.25">
      <c r="A1468" t="str">
        <f t="shared" si="25"/>
        <v>89301000</v>
      </c>
      <c r="B1468" t="str">
        <f>"1601110236"</f>
        <v>1601110236</v>
      </c>
      <c r="C1468" s="1">
        <v>45222</v>
      </c>
      <c r="D1468" s="1">
        <v>45224</v>
      </c>
      <c r="E1468">
        <v>1</v>
      </c>
      <c r="F1468" t="str">
        <f>"12-I13-02"</f>
        <v>12-I13-02</v>
      </c>
      <c r="G1468">
        <v>0.53879999999999995</v>
      </c>
      <c r="H1468" t="s">
        <v>9</v>
      </c>
      <c r="I1468" t="s">
        <v>10</v>
      </c>
    </row>
    <row r="1469" spans="1:9" x14ac:dyDescent="0.25">
      <c r="A1469" t="str">
        <f t="shared" si="25"/>
        <v>89301000</v>
      </c>
      <c r="B1469" t="str">
        <f>"1601170010"</f>
        <v>1601170010</v>
      </c>
      <c r="C1469" s="1">
        <v>45265</v>
      </c>
      <c r="D1469" s="1">
        <v>45267</v>
      </c>
      <c r="E1469">
        <v>1</v>
      </c>
      <c r="F1469" t="str">
        <f>"08-I26-02"</f>
        <v>08-I26-02</v>
      </c>
      <c r="G1469">
        <v>0.83779999999999999</v>
      </c>
      <c r="H1469" t="s">
        <v>11</v>
      </c>
      <c r="I1469" t="s">
        <v>10</v>
      </c>
    </row>
    <row r="1470" spans="1:9" x14ac:dyDescent="0.25">
      <c r="A1470" t="str">
        <f t="shared" si="25"/>
        <v>89301000</v>
      </c>
      <c r="B1470" t="str">
        <f>"1601220390"</f>
        <v>1601220390</v>
      </c>
      <c r="C1470" s="1">
        <v>45059</v>
      </c>
      <c r="D1470" s="1">
        <v>45061</v>
      </c>
      <c r="E1470">
        <v>1</v>
      </c>
      <c r="F1470" t="str">
        <f>"01-K18-04"</f>
        <v>01-K18-04</v>
      </c>
      <c r="G1470">
        <v>0.54879999999999995</v>
      </c>
      <c r="H1470" t="s">
        <v>11</v>
      </c>
      <c r="I1470" t="s">
        <v>10</v>
      </c>
    </row>
    <row r="1471" spans="1:9" x14ac:dyDescent="0.25">
      <c r="A1471" t="str">
        <f t="shared" si="25"/>
        <v>89301000</v>
      </c>
      <c r="B1471" t="str">
        <f>"1601300052"</f>
        <v>1601300052</v>
      </c>
      <c r="C1471" s="1">
        <v>44952</v>
      </c>
      <c r="D1471" s="1">
        <v>44954</v>
      </c>
      <c r="E1471">
        <v>1</v>
      </c>
      <c r="F1471" t="str">
        <f>"03-I21-00"</f>
        <v>03-I21-00</v>
      </c>
      <c r="G1471">
        <v>0.42759999999999998</v>
      </c>
      <c r="H1471" t="s">
        <v>11</v>
      </c>
      <c r="I1471" t="s">
        <v>10</v>
      </c>
    </row>
    <row r="1472" spans="1:9" x14ac:dyDescent="0.25">
      <c r="A1472" t="str">
        <f t="shared" si="25"/>
        <v>89301000</v>
      </c>
      <c r="B1472" t="str">
        <f>"1602130068"</f>
        <v>1602130068</v>
      </c>
      <c r="C1472" s="1">
        <v>45266</v>
      </c>
      <c r="D1472" s="1">
        <v>45275</v>
      </c>
      <c r="E1472">
        <v>1</v>
      </c>
      <c r="F1472" t="str">
        <f>"04-K02-02"</f>
        <v>04-K02-02</v>
      </c>
      <c r="G1472">
        <v>2.8616999999999999</v>
      </c>
      <c r="H1472" t="s">
        <v>11</v>
      </c>
      <c r="I1472" t="s">
        <v>10</v>
      </c>
    </row>
    <row r="1473" spans="1:9" x14ac:dyDescent="0.25">
      <c r="A1473" t="str">
        <f t="shared" si="25"/>
        <v>89301000</v>
      </c>
      <c r="B1473" t="str">
        <f>"1602200028"</f>
        <v>1602200028</v>
      </c>
      <c r="C1473" s="1">
        <v>45043</v>
      </c>
      <c r="D1473" s="1">
        <v>45045</v>
      </c>
      <c r="E1473">
        <v>1</v>
      </c>
      <c r="F1473" t="str">
        <f>"03-I21-00"</f>
        <v>03-I21-00</v>
      </c>
      <c r="G1473">
        <v>0.42449999999999999</v>
      </c>
      <c r="H1473" t="s">
        <v>11</v>
      </c>
      <c r="I1473" t="s">
        <v>10</v>
      </c>
    </row>
    <row r="1474" spans="1:9" x14ac:dyDescent="0.25">
      <c r="A1474" t="str">
        <f t="shared" si="25"/>
        <v>89301000</v>
      </c>
      <c r="B1474" t="str">
        <f>"1602210038"</f>
        <v>1602210038</v>
      </c>
      <c r="C1474" s="1">
        <v>45232</v>
      </c>
      <c r="D1474" s="1">
        <v>45234</v>
      </c>
      <c r="E1474">
        <v>1</v>
      </c>
      <c r="F1474" t="str">
        <f>"03-I21-00"</f>
        <v>03-I21-00</v>
      </c>
      <c r="G1474">
        <v>0.42759999999999998</v>
      </c>
      <c r="H1474" t="s">
        <v>11</v>
      </c>
      <c r="I1474" t="s">
        <v>10</v>
      </c>
    </row>
    <row r="1475" spans="1:9" x14ac:dyDescent="0.25">
      <c r="A1475" t="str">
        <f t="shared" si="25"/>
        <v>89301000</v>
      </c>
      <c r="B1475" t="str">
        <f>"1602250210"</f>
        <v>1602250210</v>
      </c>
      <c r="C1475" s="1">
        <v>45081</v>
      </c>
      <c r="D1475" s="1">
        <v>45083</v>
      </c>
      <c r="E1475">
        <v>1</v>
      </c>
      <c r="F1475" t="str">
        <f>"03-I21-00"</f>
        <v>03-I21-00</v>
      </c>
      <c r="G1475">
        <v>0.42449999999999999</v>
      </c>
      <c r="H1475" t="s">
        <v>11</v>
      </c>
      <c r="I1475" t="s">
        <v>10</v>
      </c>
    </row>
    <row r="1476" spans="1:9" x14ac:dyDescent="0.25">
      <c r="A1476" t="str">
        <f t="shared" si="25"/>
        <v>89301000</v>
      </c>
      <c r="B1476" t="str">
        <f>"1602280086"</f>
        <v>1602280086</v>
      </c>
      <c r="C1476" s="1">
        <v>45104</v>
      </c>
      <c r="D1476" s="1">
        <v>45105</v>
      </c>
      <c r="E1476">
        <v>1</v>
      </c>
      <c r="F1476" t="str">
        <f>"08-I20-03"</f>
        <v>08-I20-03</v>
      </c>
      <c r="G1476">
        <v>0.62639999999999996</v>
      </c>
      <c r="H1476" t="s">
        <v>12</v>
      </c>
      <c r="I1476" t="s">
        <v>10</v>
      </c>
    </row>
    <row r="1477" spans="1:9" x14ac:dyDescent="0.25">
      <c r="A1477" t="str">
        <f t="shared" si="25"/>
        <v>89301000</v>
      </c>
      <c r="B1477" t="str">
        <f>"1603070964"</f>
        <v>1603070964</v>
      </c>
      <c r="C1477" s="1">
        <v>44997</v>
      </c>
      <c r="D1477" s="1">
        <v>44999</v>
      </c>
      <c r="E1477">
        <v>1</v>
      </c>
      <c r="F1477" t="str">
        <f>"03-I21-00"</f>
        <v>03-I21-00</v>
      </c>
      <c r="G1477">
        <v>0.42449999999999999</v>
      </c>
      <c r="H1477" t="s">
        <v>11</v>
      </c>
      <c r="I1477" t="s">
        <v>10</v>
      </c>
    </row>
    <row r="1478" spans="1:9" x14ac:dyDescent="0.25">
      <c r="A1478" t="str">
        <f t="shared" si="25"/>
        <v>89301000</v>
      </c>
      <c r="B1478" t="str">
        <f>"1603091435"</f>
        <v>1603091435</v>
      </c>
      <c r="C1478" s="1">
        <v>45209</v>
      </c>
      <c r="D1478" s="1">
        <v>45212</v>
      </c>
      <c r="E1478">
        <v>1</v>
      </c>
      <c r="F1478" t="str">
        <f>"08-I22-02"</f>
        <v>08-I22-02</v>
      </c>
      <c r="G1478">
        <v>1.131</v>
      </c>
      <c r="H1478" t="s">
        <v>12</v>
      </c>
      <c r="I1478" t="s">
        <v>10</v>
      </c>
    </row>
    <row r="1479" spans="1:9" x14ac:dyDescent="0.25">
      <c r="A1479" t="str">
        <f t="shared" si="25"/>
        <v>89301000</v>
      </c>
      <c r="B1479" t="str">
        <f>"1603091435"</f>
        <v>1603091435</v>
      </c>
      <c r="C1479" s="1">
        <v>45272</v>
      </c>
      <c r="D1479" s="1">
        <v>45274</v>
      </c>
      <c r="E1479">
        <v>1</v>
      </c>
      <c r="F1479" t="str">
        <f>"08-K06-01"</f>
        <v>08-K06-01</v>
      </c>
      <c r="G1479">
        <v>0.4168</v>
      </c>
      <c r="H1479" t="s">
        <v>11</v>
      </c>
      <c r="I1479" t="s">
        <v>10</v>
      </c>
    </row>
    <row r="1480" spans="1:9" x14ac:dyDescent="0.25">
      <c r="A1480" t="str">
        <f t="shared" si="25"/>
        <v>89301000</v>
      </c>
      <c r="B1480" t="str">
        <f>"1603120068"</f>
        <v>1603120068</v>
      </c>
      <c r="C1480" s="1">
        <v>45249</v>
      </c>
      <c r="D1480" s="1">
        <v>45251</v>
      </c>
      <c r="E1480">
        <v>1</v>
      </c>
      <c r="F1480" t="str">
        <f>"02-I11-01"</f>
        <v>02-I11-01</v>
      </c>
      <c r="G1480">
        <v>0.80620000000000003</v>
      </c>
      <c r="H1480" t="s">
        <v>12</v>
      </c>
      <c r="I1480" t="s">
        <v>10</v>
      </c>
    </row>
    <row r="1481" spans="1:9" x14ac:dyDescent="0.25">
      <c r="A1481" t="str">
        <f t="shared" si="25"/>
        <v>89301000</v>
      </c>
      <c r="B1481" t="str">
        <f>"1603180007"</f>
        <v>1603180007</v>
      </c>
      <c r="C1481" s="1">
        <v>44970</v>
      </c>
      <c r="D1481" s="1">
        <v>44976</v>
      </c>
      <c r="E1481">
        <v>1</v>
      </c>
      <c r="F1481" t="str">
        <f>"04-K15-02"</f>
        <v>04-K15-02</v>
      </c>
      <c r="G1481">
        <v>1.1830000000000001</v>
      </c>
      <c r="H1481" t="s">
        <v>11</v>
      </c>
      <c r="I1481" t="s">
        <v>10</v>
      </c>
    </row>
    <row r="1482" spans="1:9" x14ac:dyDescent="0.25">
      <c r="A1482" t="str">
        <f t="shared" si="25"/>
        <v>89301000</v>
      </c>
      <c r="B1482" t="str">
        <f>"1603200016"</f>
        <v>1603200016</v>
      </c>
      <c r="C1482" s="1">
        <v>45047</v>
      </c>
      <c r="D1482" s="1">
        <v>45049</v>
      </c>
      <c r="E1482">
        <v>1</v>
      </c>
      <c r="F1482" t="str">
        <f>"12-I14-00"</f>
        <v>12-I14-00</v>
      </c>
      <c r="G1482">
        <v>0.42920000000000003</v>
      </c>
      <c r="H1482" t="s">
        <v>11</v>
      </c>
      <c r="I1482" t="s">
        <v>10</v>
      </c>
    </row>
    <row r="1483" spans="1:9" x14ac:dyDescent="0.25">
      <c r="A1483" t="str">
        <f t="shared" si="25"/>
        <v>89301000</v>
      </c>
      <c r="B1483" t="str">
        <f>"1604061393"</f>
        <v>1604061393</v>
      </c>
      <c r="C1483" s="1">
        <v>45237</v>
      </c>
      <c r="D1483" s="1">
        <v>45239</v>
      </c>
      <c r="E1483">
        <v>1</v>
      </c>
      <c r="F1483" t="str">
        <f>"03-I20-03"</f>
        <v>03-I20-03</v>
      </c>
      <c r="G1483">
        <v>0.71</v>
      </c>
      <c r="H1483" t="s">
        <v>12</v>
      </c>
      <c r="I1483" t="s">
        <v>10</v>
      </c>
    </row>
    <row r="1484" spans="1:9" x14ac:dyDescent="0.25">
      <c r="A1484" t="str">
        <f t="shared" si="25"/>
        <v>89301000</v>
      </c>
      <c r="B1484" t="str">
        <f>"1604120023"</f>
        <v>1604120023</v>
      </c>
      <c r="C1484" s="1">
        <v>45142</v>
      </c>
      <c r="D1484" s="1">
        <v>45143</v>
      </c>
      <c r="E1484">
        <v>1</v>
      </c>
      <c r="F1484" t="str">
        <f>"08-I20-03"</f>
        <v>08-I20-03</v>
      </c>
      <c r="G1484">
        <v>0.62639999999999996</v>
      </c>
      <c r="H1484" t="s">
        <v>12</v>
      </c>
      <c r="I1484" t="s">
        <v>10</v>
      </c>
    </row>
    <row r="1485" spans="1:9" x14ac:dyDescent="0.25">
      <c r="A1485" t="str">
        <f t="shared" si="25"/>
        <v>89301000</v>
      </c>
      <c r="B1485" t="str">
        <f>"1604130473"</f>
        <v>1604130473</v>
      </c>
      <c r="C1485" s="1">
        <v>44945</v>
      </c>
      <c r="D1485" s="1">
        <v>44947</v>
      </c>
      <c r="E1485">
        <v>1</v>
      </c>
      <c r="F1485" t="str">
        <f>"03-I21-00"</f>
        <v>03-I21-00</v>
      </c>
      <c r="G1485">
        <v>0.42449999999999999</v>
      </c>
      <c r="H1485" t="s">
        <v>11</v>
      </c>
      <c r="I1485" t="s">
        <v>10</v>
      </c>
    </row>
    <row r="1486" spans="1:9" x14ac:dyDescent="0.25">
      <c r="A1486" t="str">
        <f t="shared" si="25"/>
        <v>89301000</v>
      </c>
      <c r="B1486" t="str">
        <f>"1604141187"</f>
        <v>1604141187</v>
      </c>
      <c r="C1486" s="1">
        <v>44955</v>
      </c>
      <c r="D1486" s="1">
        <v>44958</v>
      </c>
      <c r="E1486">
        <v>1</v>
      </c>
      <c r="F1486" t="str">
        <f>"03-I16-02"</f>
        <v>03-I16-02</v>
      </c>
      <c r="G1486">
        <v>0.92979999999999996</v>
      </c>
      <c r="H1486" t="s">
        <v>9</v>
      </c>
      <c r="I1486" t="s">
        <v>10</v>
      </c>
    </row>
    <row r="1487" spans="1:9" x14ac:dyDescent="0.25">
      <c r="A1487" t="str">
        <f t="shared" si="25"/>
        <v>89301000</v>
      </c>
      <c r="B1487" t="str">
        <f>"1604190676"</f>
        <v>1604190676</v>
      </c>
      <c r="C1487" s="1">
        <v>45154</v>
      </c>
      <c r="D1487" s="1">
        <v>45156</v>
      </c>
      <c r="E1487">
        <v>1</v>
      </c>
      <c r="F1487" t="str">
        <f>"12-I10-02"</f>
        <v>12-I10-02</v>
      </c>
      <c r="G1487">
        <v>0.51690000000000003</v>
      </c>
      <c r="H1487" t="s">
        <v>9</v>
      </c>
      <c r="I1487" t="s">
        <v>10</v>
      </c>
    </row>
    <row r="1488" spans="1:9" x14ac:dyDescent="0.25">
      <c r="A1488" t="str">
        <f t="shared" si="25"/>
        <v>89301000</v>
      </c>
      <c r="B1488" t="str">
        <f>"1604200004"</f>
        <v>1604200004</v>
      </c>
      <c r="C1488" s="1">
        <v>45200</v>
      </c>
      <c r="D1488" s="1">
        <v>45202</v>
      </c>
      <c r="E1488">
        <v>1</v>
      </c>
      <c r="F1488" t="str">
        <f>"03-I21-00"</f>
        <v>03-I21-00</v>
      </c>
      <c r="G1488">
        <v>0.42449999999999999</v>
      </c>
      <c r="H1488" t="s">
        <v>11</v>
      </c>
      <c r="I1488" t="s">
        <v>10</v>
      </c>
    </row>
    <row r="1489" spans="1:9" x14ac:dyDescent="0.25">
      <c r="A1489" t="str">
        <f t="shared" si="25"/>
        <v>89301000</v>
      </c>
      <c r="B1489" t="str">
        <f>"1604260086"</f>
        <v>1604260086</v>
      </c>
      <c r="C1489" s="1">
        <v>45040</v>
      </c>
      <c r="D1489" s="1">
        <v>45042</v>
      </c>
      <c r="E1489">
        <v>1</v>
      </c>
      <c r="F1489" t="str">
        <f>"06-I16-05"</f>
        <v>06-I16-05</v>
      </c>
      <c r="G1489">
        <v>0.4622</v>
      </c>
      <c r="H1489" t="s">
        <v>9</v>
      </c>
      <c r="I1489" t="s">
        <v>10</v>
      </c>
    </row>
    <row r="1490" spans="1:9" x14ac:dyDescent="0.25">
      <c r="A1490" t="str">
        <f t="shared" si="25"/>
        <v>89301000</v>
      </c>
      <c r="B1490" t="str">
        <f>"1604270294"</f>
        <v>1604270294</v>
      </c>
      <c r="C1490" s="1">
        <v>45004</v>
      </c>
      <c r="D1490" s="1">
        <v>45006</v>
      </c>
      <c r="E1490">
        <v>1</v>
      </c>
      <c r="F1490" t="str">
        <f>"03-I21-00"</f>
        <v>03-I21-00</v>
      </c>
      <c r="G1490">
        <v>0.42449999999999999</v>
      </c>
      <c r="H1490" t="s">
        <v>11</v>
      </c>
      <c r="I1490" t="s">
        <v>10</v>
      </c>
    </row>
    <row r="1491" spans="1:9" x14ac:dyDescent="0.25">
      <c r="A1491" t="str">
        <f t="shared" si="25"/>
        <v>89301000</v>
      </c>
      <c r="B1491" t="str">
        <f>"1604281008"</f>
        <v>1604281008</v>
      </c>
      <c r="C1491" s="1">
        <v>45173</v>
      </c>
      <c r="D1491" s="1">
        <v>45175</v>
      </c>
      <c r="E1491">
        <v>1</v>
      </c>
      <c r="F1491" t="str">
        <f>"03-I21-00"</f>
        <v>03-I21-00</v>
      </c>
      <c r="G1491">
        <v>0.42449999999999999</v>
      </c>
      <c r="H1491" t="s">
        <v>11</v>
      </c>
      <c r="I1491" t="s">
        <v>10</v>
      </c>
    </row>
    <row r="1492" spans="1:9" x14ac:dyDescent="0.25">
      <c r="A1492" t="str">
        <f t="shared" si="25"/>
        <v>89301000</v>
      </c>
      <c r="B1492" t="str">
        <f>"1605020252"</f>
        <v>1605020252</v>
      </c>
      <c r="C1492" s="1">
        <v>45102</v>
      </c>
      <c r="D1492" s="1">
        <v>45104</v>
      </c>
      <c r="E1492">
        <v>1</v>
      </c>
      <c r="F1492" t="str">
        <f>"03-I21-00"</f>
        <v>03-I21-00</v>
      </c>
      <c r="G1492">
        <v>0.42759999999999998</v>
      </c>
      <c r="H1492" t="s">
        <v>11</v>
      </c>
      <c r="I1492" t="s">
        <v>10</v>
      </c>
    </row>
    <row r="1493" spans="1:9" x14ac:dyDescent="0.25">
      <c r="A1493" t="str">
        <f t="shared" si="25"/>
        <v>89301000</v>
      </c>
      <c r="B1493" t="str">
        <f>"1605070060"</f>
        <v>1605070060</v>
      </c>
      <c r="C1493" s="1">
        <v>45105</v>
      </c>
      <c r="D1493" s="1">
        <v>45107</v>
      </c>
      <c r="E1493">
        <v>1</v>
      </c>
      <c r="F1493" t="str">
        <f>"06-I16-05"</f>
        <v>06-I16-05</v>
      </c>
      <c r="G1493">
        <v>0.4622</v>
      </c>
      <c r="H1493" t="s">
        <v>9</v>
      </c>
      <c r="I1493" t="s">
        <v>10</v>
      </c>
    </row>
    <row r="1494" spans="1:9" x14ac:dyDescent="0.25">
      <c r="A1494" t="str">
        <f t="shared" si="25"/>
        <v>89301000</v>
      </c>
      <c r="B1494" t="str">
        <f>"1605130252"</f>
        <v>1605130252</v>
      </c>
      <c r="C1494" s="1">
        <v>45061</v>
      </c>
      <c r="D1494" s="1">
        <v>45064</v>
      </c>
      <c r="E1494">
        <v>1</v>
      </c>
      <c r="F1494" t="str">
        <f>"03-I16-02"</f>
        <v>03-I16-02</v>
      </c>
      <c r="G1494">
        <v>0.92579999999999996</v>
      </c>
      <c r="H1494" t="s">
        <v>9</v>
      </c>
      <c r="I1494" t="s">
        <v>10</v>
      </c>
    </row>
    <row r="1495" spans="1:9" x14ac:dyDescent="0.25">
      <c r="A1495" t="str">
        <f t="shared" si="25"/>
        <v>89301000</v>
      </c>
      <c r="B1495" t="str">
        <f>"1605130252"</f>
        <v>1605130252</v>
      </c>
      <c r="C1495" s="1">
        <v>44956</v>
      </c>
      <c r="D1495" s="1">
        <v>44958</v>
      </c>
      <c r="E1495">
        <v>1</v>
      </c>
      <c r="F1495" t="str">
        <f>"18-K02-05"</f>
        <v>18-K02-05</v>
      </c>
      <c r="G1495">
        <v>0.47970000000000002</v>
      </c>
      <c r="H1495" t="s">
        <v>11</v>
      </c>
      <c r="I1495" t="s">
        <v>10</v>
      </c>
    </row>
    <row r="1496" spans="1:9" x14ac:dyDescent="0.25">
      <c r="A1496" t="str">
        <f t="shared" si="25"/>
        <v>89301000</v>
      </c>
      <c r="B1496" t="str">
        <f>"1605170149"</f>
        <v>1605170149</v>
      </c>
      <c r="C1496" s="1">
        <v>45184</v>
      </c>
      <c r="D1496" s="1">
        <v>45188</v>
      </c>
      <c r="E1496">
        <v>1</v>
      </c>
      <c r="F1496" t="str">
        <f>"08-I20-01"</f>
        <v>08-I20-01</v>
      </c>
      <c r="G1496">
        <v>2.0059</v>
      </c>
      <c r="H1496" t="s">
        <v>12</v>
      </c>
      <c r="I1496" t="s">
        <v>10</v>
      </c>
    </row>
    <row r="1497" spans="1:9" x14ac:dyDescent="0.25">
      <c r="A1497" t="str">
        <f t="shared" si="25"/>
        <v>89301000</v>
      </c>
      <c r="B1497" t="str">
        <f>"1605170149"</f>
        <v>1605170149</v>
      </c>
      <c r="C1497" s="1">
        <v>45279</v>
      </c>
      <c r="D1497" s="1">
        <v>45280</v>
      </c>
      <c r="E1497">
        <v>1</v>
      </c>
      <c r="F1497" t="str">
        <f>"08-I32-00"</f>
        <v>08-I32-00</v>
      </c>
      <c r="G1497">
        <v>0.4093</v>
      </c>
      <c r="H1497" t="s">
        <v>11</v>
      </c>
      <c r="I1497" t="s">
        <v>10</v>
      </c>
    </row>
    <row r="1498" spans="1:9" x14ac:dyDescent="0.25">
      <c r="A1498" t="str">
        <f t="shared" si="25"/>
        <v>89301000</v>
      </c>
      <c r="B1498" t="str">
        <f>"1605250174"</f>
        <v>1605250174</v>
      </c>
      <c r="C1498" s="1">
        <v>45274</v>
      </c>
      <c r="D1498" s="1">
        <v>45275</v>
      </c>
      <c r="E1498">
        <v>1</v>
      </c>
      <c r="F1498" t="str">
        <f>"06-I16-05"</f>
        <v>06-I16-05</v>
      </c>
      <c r="G1498">
        <v>0.4622</v>
      </c>
      <c r="H1498" t="s">
        <v>9</v>
      </c>
      <c r="I1498" t="s">
        <v>10</v>
      </c>
    </row>
    <row r="1499" spans="1:9" x14ac:dyDescent="0.25">
      <c r="A1499" t="str">
        <f t="shared" si="25"/>
        <v>89301000</v>
      </c>
      <c r="B1499" t="str">
        <f>"1605290038"</f>
        <v>1605290038</v>
      </c>
      <c r="C1499" s="1">
        <v>44966</v>
      </c>
      <c r="D1499" s="1">
        <v>44969</v>
      </c>
      <c r="E1499">
        <v>1</v>
      </c>
      <c r="F1499" t="str">
        <f>"03-I16-02"</f>
        <v>03-I16-02</v>
      </c>
      <c r="G1499">
        <v>0.92979999999999996</v>
      </c>
      <c r="H1499" t="s">
        <v>9</v>
      </c>
      <c r="I1499" t="s">
        <v>10</v>
      </c>
    </row>
    <row r="1500" spans="1:9" x14ac:dyDescent="0.25">
      <c r="A1500" t="str">
        <f t="shared" si="25"/>
        <v>89301000</v>
      </c>
      <c r="B1500" t="str">
        <f>"1605310201"</f>
        <v>1605310201</v>
      </c>
      <c r="C1500" s="1">
        <v>45096</v>
      </c>
      <c r="D1500" s="1">
        <v>45103</v>
      </c>
      <c r="E1500">
        <v>1</v>
      </c>
      <c r="F1500" t="str">
        <f>"12-I07-02"</f>
        <v>12-I07-02</v>
      </c>
      <c r="G1500">
        <v>1.3044</v>
      </c>
      <c r="H1500" t="s">
        <v>12</v>
      </c>
      <c r="I1500" t="s">
        <v>10</v>
      </c>
    </row>
    <row r="1501" spans="1:9" x14ac:dyDescent="0.25">
      <c r="A1501" t="str">
        <f t="shared" si="25"/>
        <v>89301000</v>
      </c>
      <c r="B1501" t="str">
        <f>"1606090189"</f>
        <v>1606090189</v>
      </c>
      <c r="C1501" s="1">
        <v>45236</v>
      </c>
      <c r="D1501" s="1">
        <v>45238</v>
      </c>
      <c r="E1501">
        <v>1</v>
      </c>
      <c r="F1501" t="str">
        <f>"12-I13-02"</f>
        <v>12-I13-02</v>
      </c>
      <c r="G1501">
        <v>0.53879999999999995</v>
      </c>
      <c r="H1501" t="s">
        <v>9</v>
      </c>
      <c r="I1501" t="s">
        <v>10</v>
      </c>
    </row>
    <row r="1502" spans="1:9" x14ac:dyDescent="0.25">
      <c r="A1502" t="str">
        <f t="shared" si="25"/>
        <v>89301000</v>
      </c>
      <c r="B1502" t="str">
        <f>"1606270204"</f>
        <v>1606270204</v>
      </c>
      <c r="C1502" s="1">
        <v>44968</v>
      </c>
      <c r="D1502" s="1">
        <v>44971</v>
      </c>
      <c r="E1502">
        <v>1</v>
      </c>
      <c r="F1502" t="str">
        <f>"05-K01-02"</f>
        <v>05-K01-02</v>
      </c>
      <c r="G1502">
        <v>0.90839999999999999</v>
      </c>
      <c r="H1502" t="s">
        <v>11</v>
      </c>
      <c r="I1502" t="s">
        <v>10</v>
      </c>
    </row>
    <row r="1503" spans="1:9" x14ac:dyDescent="0.25">
      <c r="A1503" t="str">
        <f t="shared" si="25"/>
        <v>89301000</v>
      </c>
      <c r="B1503" t="str">
        <f>"1607050016"</f>
        <v>1607050016</v>
      </c>
      <c r="C1503" s="1">
        <v>44997</v>
      </c>
      <c r="D1503" s="1">
        <v>45000</v>
      </c>
      <c r="E1503">
        <v>1</v>
      </c>
      <c r="F1503" t="str">
        <f>"04-K04-02"</f>
        <v>04-K04-02</v>
      </c>
      <c r="G1503">
        <v>0.52159999999999995</v>
      </c>
      <c r="H1503" t="s">
        <v>11</v>
      </c>
      <c r="I1503" t="s">
        <v>10</v>
      </c>
    </row>
    <row r="1504" spans="1:9" x14ac:dyDescent="0.25">
      <c r="A1504" t="str">
        <f t="shared" si="25"/>
        <v>89301000</v>
      </c>
      <c r="B1504" t="str">
        <f>"1607090133"</f>
        <v>1607090133</v>
      </c>
      <c r="C1504" s="1">
        <v>45190</v>
      </c>
      <c r="D1504" s="1">
        <v>45192</v>
      </c>
      <c r="E1504">
        <v>1</v>
      </c>
      <c r="F1504" t="str">
        <f>"12-I13-02"</f>
        <v>12-I13-02</v>
      </c>
      <c r="G1504">
        <v>0.53879999999999995</v>
      </c>
      <c r="H1504" t="s">
        <v>9</v>
      </c>
      <c r="I1504" t="s">
        <v>10</v>
      </c>
    </row>
    <row r="1505" spans="1:9" x14ac:dyDescent="0.25">
      <c r="A1505" t="str">
        <f t="shared" si="25"/>
        <v>89301000</v>
      </c>
      <c r="B1505" t="str">
        <f>"1607170026"</f>
        <v>1607170026</v>
      </c>
      <c r="C1505" s="1">
        <v>45191</v>
      </c>
      <c r="D1505" s="1">
        <v>45192</v>
      </c>
      <c r="E1505">
        <v>1</v>
      </c>
      <c r="F1505" t="str">
        <f>"08-I20-03"</f>
        <v>08-I20-03</v>
      </c>
      <c r="G1505">
        <v>0.62639999999999996</v>
      </c>
      <c r="H1505" t="s">
        <v>12</v>
      </c>
      <c r="I1505" t="s">
        <v>10</v>
      </c>
    </row>
    <row r="1506" spans="1:9" x14ac:dyDescent="0.25">
      <c r="A1506" t="str">
        <f t="shared" si="25"/>
        <v>89301000</v>
      </c>
      <c r="B1506" t="str">
        <f>"1607180300"</f>
        <v>1607180300</v>
      </c>
      <c r="C1506" s="1">
        <v>45232</v>
      </c>
      <c r="D1506" s="1">
        <v>45234</v>
      </c>
      <c r="E1506">
        <v>1</v>
      </c>
      <c r="F1506" t="str">
        <f>"03-I21-00"</f>
        <v>03-I21-00</v>
      </c>
      <c r="G1506">
        <v>0.42449999999999999</v>
      </c>
      <c r="H1506" t="s">
        <v>11</v>
      </c>
      <c r="I1506" t="s">
        <v>10</v>
      </c>
    </row>
    <row r="1507" spans="1:9" x14ac:dyDescent="0.25">
      <c r="A1507" t="str">
        <f t="shared" si="25"/>
        <v>89301000</v>
      </c>
      <c r="B1507" t="str">
        <f>"1607270291"</f>
        <v>1607270291</v>
      </c>
      <c r="C1507" s="1">
        <v>45119</v>
      </c>
      <c r="D1507" s="1">
        <v>45121</v>
      </c>
      <c r="E1507">
        <v>1</v>
      </c>
      <c r="F1507" t="str">
        <f>"12-I14-00"</f>
        <v>12-I14-00</v>
      </c>
      <c r="G1507">
        <v>0.42920000000000003</v>
      </c>
      <c r="H1507" t="s">
        <v>11</v>
      </c>
      <c r="I1507" t="s">
        <v>10</v>
      </c>
    </row>
    <row r="1508" spans="1:9" x14ac:dyDescent="0.25">
      <c r="A1508" t="str">
        <f t="shared" si="25"/>
        <v>89301000</v>
      </c>
      <c r="B1508" t="str">
        <f>"1607290289"</f>
        <v>1607290289</v>
      </c>
      <c r="C1508" s="1">
        <v>45109</v>
      </c>
      <c r="D1508" s="1">
        <v>45112</v>
      </c>
      <c r="E1508">
        <v>1</v>
      </c>
      <c r="F1508" t="str">
        <f>"06-K02-04"</f>
        <v>06-K02-04</v>
      </c>
      <c r="G1508">
        <v>0.37659999999999999</v>
      </c>
      <c r="H1508" t="s">
        <v>11</v>
      </c>
      <c r="I1508" t="s">
        <v>10</v>
      </c>
    </row>
    <row r="1509" spans="1:9" x14ac:dyDescent="0.25">
      <c r="A1509" t="str">
        <f t="shared" si="25"/>
        <v>89301000</v>
      </c>
      <c r="B1509" t="str">
        <f>"1607301663"</f>
        <v>1607301663</v>
      </c>
      <c r="C1509" s="1">
        <v>45266</v>
      </c>
      <c r="D1509" s="1">
        <v>45268</v>
      </c>
      <c r="E1509">
        <v>1</v>
      </c>
      <c r="F1509" t="str">
        <f>"12-I14-00"</f>
        <v>12-I14-00</v>
      </c>
      <c r="G1509">
        <v>0.42920000000000003</v>
      </c>
      <c r="H1509" t="s">
        <v>11</v>
      </c>
      <c r="I1509" t="s">
        <v>10</v>
      </c>
    </row>
    <row r="1510" spans="1:9" x14ac:dyDescent="0.25">
      <c r="A1510" t="str">
        <f t="shared" si="25"/>
        <v>89301000</v>
      </c>
      <c r="B1510" t="str">
        <f>"1608010239"</f>
        <v>1608010239</v>
      </c>
      <c r="C1510" s="1">
        <v>45235</v>
      </c>
      <c r="D1510" s="1">
        <v>45238</v>
      </c>
      <c r="E1510">
        <v>1</v>
      </c>
      <c r="F1510" t="str">
        <f>"16-K03-03"</f>
        <v>16-K03-03</v>
      </c>
      <c r="G1510">
        <v>0.62470000000000003</v>
      </c>
      <c r="H1510" t="s">
        <v>11</v>
      </c>
      <c r="I1510" t="s">
        <v>10</v>
      </c>
    </row>
    <row r="1511" spans="1:9" x14ac:dyDescent="0.25">
      <c r="A1511" t="str">
        <f t="shared" si="25"/>
        <v>89301000</v>
      </c>
      <c r="B1511" t="str">
        <f>"1608170399"</f>
        <v>1608170399</v>
      </c>
      <c r="C1511" s="1">
        <v>45112</v>
      </c>
      <c r="D1511" s="1">
        <v>45113</v>
      </c>
      <c r="E1511">
        <v>1</v>
      </c>
      <c r="F1511" t="str">
        <f>"09-K12-00"</f>
        <v>09-K12-00</v>
      </c>
      <c r="G1511">
        <v>0.26040000000000002</v>
      </c>
      <c r="H1511" t="s">
        <v>11</v>
      </c>
      <c r="I1511" t="s">
        <v>10</v>
      </c>
    </row>
    <row r="1512" spans="1:9" x14ac:dyDescent="0.25">
      <c r="A1512" t="str">
        <f t="shared" si="25"/>
        <v>89301000</v>
      </c>
      <c r="B1512" t="str">
        <f>"1608240084"</f>
        <v>1608240084</v>
      </c>
      <c r="C1512" s="1">
        <v>45186</v>
      </c>
      <c r="D1512" s="1">
        <v>45188</v>
      </c>
      <c r="E1512">
        <v>1</v>
      </c>
      <c r="F1512" t="str">
        <f>"09-I13-05"</f>
        <v>09-I13-05</v>
      </c>
      <c r="G1512">
        <v>0.42509999999999998</v>
      </c>
      <c r="H1512" t="s">
        <v>11</v>
      </c>
      <c r="I1512" t="s">
        <v>10</v>
      </c>
    </row>
    <row r="1513" spans="1:9" x14ac:dyDescent="0.25">
      <c r="A1513" t="str">
        <f t="shared" si="25"/>
        <v>89301000</v>
      </c>
      <c r="B1513" t="str">
        <f>"1608251568"</f>
        <v>1608251568</v>
      </c>
      <c r="C1513" s="1">
        <v>45011</v>
      </c>
      <c r="D1513" s="1">
        <v>45013</v>
      </c>
      <c r="E1513">
        <v>1</v>
      </c>
      <c r="F1513" t="str">
        <f>"02-I11-01"</f>
        <v>02-I11-01</v>
      </c>
      <c r="G1513">
        <v>0.80620000000000003</v>
      </c>
      <c r="H1513" t="s">
        <v>12</v>
      </c>
      <c r="I1513" t="s">
        <v>10</v>
      </c>
    </row>
    <row r="1514" spans="1:9" x14ac:dyDescent="0.25">
      <c r="A1514" t="str">
        <f t="shared" si="25"/>
        <v>89301000</v>
      </c>
      <c r="B1514" t="str">
        <f>"1609060211"</f>
        <v>1609060211</v>
      </c>
      <c r="C1514" s="1">
        <v>44987</v>
      </c>
      <c r="D1514" s="1">
        <v>44989</v>
      </c>
      <c r="E1514">
        <v>1</v>
      </c>
      <c r="F1514" t="str">
        <f>"06-K02-04"</f>
        <v>06-K02-04</v>
      </c>
      <c r="G1514">
        <v>0.37659999999999999</v>
      </c>
      <c r="H1514" t="s">
        <v>11</v>
      </c>
      <c r="I1514" t="s">
        <v>10</v>
      </c>
    </row>
    <row r="1515" spans="1:9" x14ac:dyDescent="0.25">
      <c r="A1515" t="str">
        <f t="shared" si="25"/>
        <v>89301000</v>
      </c>
      <c r="B1515" t="str">
        <f>"1609100427"</f>
        <v>1609100427</v>
      </c>
      <c r="C1515" s="1">
        <v>45011</v>
      </c>
      <c r="D1515" s="1">
        <v>45013</v>
      </c>
      <c r="E1515">
        <v>1</v>
      </c>
      <c r="F1515" t="str">
        <f>"03-I21-00"</f>
        <v>03-I21-00</v>
      </c>
      <c r="G1515">
        <v>0.42759999999999998</v>
      </c>
      <c r="H1515" t="s">
        <v>11</v>
      </c>
      <c r="I1515" t="s">
        <v>10</v>
      </c>
    </row>
    <row r="1516" spans="1:9" x14ac:dyDescent="0.25">
      <c r="A1516" t="str">
        <f t="shared" si="25"/>
        <v>89301000</v>
      </c>
      <c r="B1516" t="str">
        <f>"1609150004"</f>
        <v>1609150004</v>
      </c>
      <c r="C1516" s="1">
        <v>45029</v>
      </c>
      <c r="D1516" s="1">
        <v>45031</v>
      </c>
      <c r="E1516">
        <v>1</v>
      </c>
      <c r="F1516" t="str">
        <f>"03-I21-00"</f>
        <v>03-I21-00</v>
      </c>
      <c r="G1516">
        <v>0.42449999999999999</v>
      </c>
      <c r="H1516" t="s">
        <v>11</v>
      </c>
      <c r="I1516" t="s">
        <v>10</v>
      </c>
    </row>
    <row r="1517" spans="1:9" x14ac:dyDescent="0.25">
      <c r="A1517" t="str">
        <f t="shared" si="25"/>
        <v>89301000</v>
      </c>
      <c r="B1517" t="str">
        <f>"1609160135"</f>
        <v>1609160135</v>
      </c>
      <c r="C1517" s="1">
        <v>45259</v>
      </c>
      <c r="D1517" s="1">
        <v>45261</v>
      </c>
      <c r="E1517">
        <v>1</v>
      </c>
      <c r="F1517" t="str">
        <f>"12-I13-02"</f>
        <v>12-I13-02</v>
      </c>
      <c r="G1517">
        <v>0.53879999999999995</v>
      </c>
      <c r="H1517" t="s">
        <v>9</v>
      </c>
      <c r="I1517" t="s">
        <v>10</v>
      </c>
    </row>
    <row r="1518" spans="1:9" x14ac:dyDescent="0.25">
      <c r="A1518" t="str">
        <f t="shared" si="25"/>
        <v>89301000</v>
      </c>
      <c r="B1518" t="str">
        <f>"1609270212"</f>
        <v>1609270212</v>
      </c>
      <c r="C1518" s="1">
        <v>44955</v>
      </c>
      <c r="D1518" s="1">
        <v>44956</v>
      </c>
      <c r="E1518">
        <v>1</v>
      </c>
      <c r="F1518" t="str">
        <f>"06-K22-03"</f>
        <v>06-K22-03</v>
      </c>
      <c r="G1518">
        <v>0.31619999999999998</v>
      </c>
      <c r="H1518" t="s">
        <v>11</v>
      </c>
      <c r="I1518" t="s">
        <v>10</v>
      </c>
    </row>
    <row r="1519" spans="1:9" x14ac:dyDescent="0.25">
      <c r="A1519" t="str">
        <f t="shared" si="25"/>
        <v>89301000</v>
      </c>
      <c r="B1519" t="str">
        <f>"1609270234"</f>
        <v>1609270234</v>
      </c>
      <c r="C1519" s="1">
        <v>45006</v>
      </c>
      <c r="D1519" s="1">
        <v>45008</v>
      </c>
      <c r="E1519">
        <v>1</v>
      </c>
      <c r="F1519" t="str">
        <f>"01-K16-06"</f>
        <v>01-K16-06</v>
      </c>
      <c r="G1519">
        <v>0.27150000000000002</v>
      </c>
      <c r="H1519" t="s">
        <v>11</v>
      </c>
      <c r="I1519" t="s">
        <v>10</v>
      </c>
    </row>
    <row r="1520" spans="1:9" x14ac:dyDescent="0.25">
      <c r="A1520" t="str">
        <f t="shared" si="25"/>
        <v>89301000</v>
      </c>
      <c r="B1520" t="str">
        <f>"1609290243"</f>
        <v>1609290243</v>
      </c>
      <c r="C1520" s="1">
        <v>45236</v>
      </c>
      <c r="D1520" s="1">
        <v>45240</v>
      </c>
      <c r="E1520">
        <v>1</v>
      </c>
      <c r="F1520" t="str">
        <f>"06-I18-04"</f>
        <v>06-I18-04</v>
      </c>
      <c r="G1520">
        <v>1.1088</v>
      </c>
      <c r="H1520" t="s">
        <v>9</v>
      </c>
      <c r="I1520" t="s">
        <v>10</v>
      </c>
    </row>
    <row r="1521" spans="1:9" x14ac:dyDescent="0.25">
      <c r="A1521" t="str">
        <f t="shared" si="25"/>
        <v>89301000</v>
      </c>
      <c r="B1521" t="str">
        <f>"1610010072"</f>
        <v>1610010072</v>
      </c>
      <c r="C1521" s="1">
        <v>45081</v>
      </c>
      <c r="D1521" s="1">
        <v>45083</v>
      </c>
      <c r="E1521">
        <v>1</v>
      </c>
      <c r="F1521" t="str">
        <f>"03-I21-00"</f>
        <v>03-I21-00</v>
      </c>
      <c r="G1521">
        <v>0.42449999999999999</v>
      </c>
      <c r="H1521" t="s">
        <v>11</v>
      </c>
      <c r="I1521" t="s">
        <v>10</v>
      </c>
    </row>
    <row r="1522" spans="1:9" x14ac:dyDescent="0.25">
      <c r="A1522" t="str">
        <f t="shared" si="25"/>
        <v>89301000</v>
      </c>
      <c r="B1522" t="str">
        <f>"1610030994"</f>
        <v>1610030994</v>
      </c>
      <c r="C1522" s="1">
        <v>45102</v>
      </c>
      <c r="D1522" s="1">
        <v>45103</v>
      </c>
      <c r="E1522">
        <v>1</v>
      </c>
      <c r="F1522" t="str">
        <f>"03-K12-01"</f>
        <v>03-K12-01</v>
      </c>
      <c r="G1522">
        <v>0.37</v>
      </c>
      <c r="H1522" t="s">
        <v>11</v>
      </c>
      <c r="I1522" t="s">
        <v>10</v>
      </c>
    </row>
    <row r="1523" spans="1:9" x14ac:dyDescent="0.25">
      <c r="A1523" t="str">
        <f t="shared" si="25"/>
        <v>89301000</v>
      </c>
      <c r="B1523" t="str">
        <f>"1610030994"</f>
        <v>1610030994</v>
      </c>
      <c r="C1523" s="1">
        <v>44973</v>
      </c>
      <c r="D1523" s="1">
        <v>44976</v>
      </c>
      <c r="E1523">
        <v>1</v>
      </c>
      <c r="F1523" t="str">
        <f>"06-K02-02"</f>
        <v>06-K02-02</v>
      </c>
      <c r="G1523">
        <v>0.85289999999999999</v>
      </c>
      <c r="H1523" t="s">
        <v>11</v>
      </c>
      <c r="I1523" t="s">
        <v>10</v>
      </c>
    </row>
    <row r="1524" spans="1:9" x14ac:dyDescent="0.25">
      <c r="A1524" t="str">
        <f t="shared" si="25"/>
        <v>89301000</v>
      </c>
      <c r="B1524" t="str">
        <f>"1610030994"</f>
        <v>1610030994</v>
      </c>
      <c r="C1524" s="1">
        <v>44947</v>
      </c>
      <c r="D1524" s="1">
        <v>44953</v>
      </c>
      <c r="E1524">
        <v>1</v>
      </c>
      <c r="F1524" t="str">
        <f>"06-K02-02"</f>
        <v>06-K02-02</v>
      </c>
      <c r="G1524">
        <v>0.85289999999999999</v>
      </c>
      <c r="H1524" t="s">
        <v>11</v>
      </c>
      <c r="I1524" t="s">
        <v>10</v>
      </c>
    </row>
    <row r="1525" spans="1:9" x14ac:dyDescent="0.25">
      <c r="A1525" t="str">
        <f t="shared" si="25"/>
        <v>89301000</v>
      </c>
      <c r="B1525" t="str">
        <f>"1610140037"</f>
        <v>1610140037</v>
      </c>
      <c r="C1525" s="1">
        <v>44952</v>
      </c>
      <c r="D1525" s="1">
        <v>44954</v>
      </c>
      <c r="E1525">
        <v>1</v>
      </c>
      <c r="F1525" t="str">
        <f>"03-I21-00"</f>
        <v>03-I21-00</v>
      </c>
      <c r="G1525">
        <v>0.42449999999999999</v>
      </c>
      <c r="H1525" t="s">
        <v>11</v>
      </c>
      <c r="I1525" t="s">
        <v>10</v>
      </c>
    </row>
    <row r="1526" spans="1:9" x14ac:dyDescent="0.25">
      <c r="A1526" t="str">
        <f t="shared" si="25"/>
        <v>89301000</v>
      </c>
      <c r="B1526" t="str">
        <f>"1610200361"</f>
        <v>1610200361</v>
      </c>
      <c r="C1526" s="1">
        <v>44963</v>
      </c>
      <c r="D1526" s="1">
        <v>44966</v>
      </c>
      <c r="E1526">
        <v>1</v>
      </c>
      <c r="F1526" t="str">
        <f>"03-I16-02"</f>
        <v>03-I16-02</v>
      </c>
      <c r="G1526">
        <v>0.92979999999999996</v>
      </c>
      <c r="H1526" t="s">
        <v>9</v>
      </c>
      <c r="I1526" t="s">
        <v>10</v>
      </c>
    </row>
    <row r="1527" spans="1:9" x14ac:dyDescent="0.25">
      <c r="A1527" t="str">
        <f t="shared" si="25"/>
        <v>89301000</v>
      </c>
      <c r="B1527" t="str">
        <f>"1610241193"</f>
        <v>1610241193</v>
      </c>
      <c r="C1527" s="1">
        <v>45069</v>
      </c>
      <c r="D1527" s="1">
        <v>45071</v>
      </c>
      <c r="E1527">
        <v>1</v>
      </c>
      <c r="F1527" t="str">
        <f>"03-I20-03"</f>
        <v>03-I20-03</v>
      </c>
      <c r="G1527">
        <v>0.71</v>
      </c>
      <c r="H1527" t="s">
        <v>12</v>
      </c>
      <c r="I1527" t="s">
        <v>10</v>
      </c>
    </row>
    <row r="1528" spans="1:9" x14ac:dyDescent="0.25">
      <c r="A1528" t="str">
        <f t="shared" si="25"/>
        <v>89301000</v>
      </c>
      <c r="B1528" t="str">
        <f>"1610260311"</f>
        <v>1610260311</v>
      </c>
      <c r="C1528" s="1">
        <v>45029</v>
      </c>
      <c r="D1528" s="1">
        <v>45031</v>
      </c>
      <c r="E1528">
        <v>1</v>
      </c>
      <c r="F1528" t="str">
        <f>"03-I21-00"</f>
        <v>03-I21-00</v>
      </c>
      <c r="G1528">
        <v>0.42449999999999999</v>
      </c>
      <c r="H1528" t="s">
        <v>11</v>
      </c>
      <c r="I1528" t="s">
        <v>10</v>
      </c>
    </row>
    <row r="1529" spans="1:9" x14ac:dyDescent="0.25">
      <c r="A1529" t="str">
        <f t="shared" si="25"/>
        <v>89301000</v>
      </c>
      <c r="B1529" t="str">
        <f>"1610270189"</f>
        <v>1610270189</v>
      </c>
      <c r="C1529" s="1">
        <v>45136</v>
      </c>
      <c r="D1529" s="1">
        <v>45137</v>
      </c>
      <c r="E1529">
        <v>1</v>
      </c>
      <c r="F1529" t="str">
        <f>"01-K16-06"</f>
        <v>01-K16-06</v>
      </c>
      <c r="G1529">
        <v>0.27150000000000002</v>
      </c>
      <c r="H1529" t="s">
        <v>11</v>
      </c>
      <c r="I1529" t="s">
        <v>10</v>
      </c>
    </row>
    <row r="1530" spans="1:9" x14ac:dyDescent="0.25">
      <c r="A1530" t="str">
        <f t="shared" ref="A1530:A1592" si="26">"89301000"</f>
        <v>89301000</v>
      </c>
      <c r="B1530" t="str">
        <f>"1611190130"</f>
        <v>1611190130</v>
      </c>
      <c r="C1530" s="1">
        <v>44957</v>
      </c>
      <c r="D1530" s="1">
        <v>44960</v>
      </c>
      <c r="E1530">
        <v>1</v>
      </c>
      <c r="F1530" t="str">
        <f>"08-I23-02"</f>
        <v>08-I23-02</v>
      </c>
      <c r="G1530">
        <v>0.91059999999999997</v>
      </c>
      <c r="H1530" t="s">
        <v>12</v>
      </c>
      <c r="I1530" t="s">
        <v>10</v>
      </c>
    </row>
    <row r="1531" spans="1:9" x14ac:dyDescent="0.25">
      <c r="A1531" t="str">
        <f t="shared" si="26"/>
        <v>89301000</v>
      </c>
      <c r="B1531" t="str">
        <f>"1611190229"</f>
        <v>1611190229</v>
      </c>
      <c r="C1531" s="1">
        <v>44976</v>
      </c>
      <c r="D1531" s="1">
        <v>44978</v>
      </c>
      <c r="E1531">
        <v>1</v>
      </c>
      <c r="F1531" t="str">
        <f>"03-I21-00"</f>
        <v>03-I21-00</v>
      </c>
      <c r="G1531">
        <v>0.43319999999999997</v>
      </c>
      <c r="H1531" t="s">
        <v>11</v>
      </c>
      <c r="I1531" t="s">
        <v>10</v>
      </c>
    </row>
    <row r="1532" spans="1:9" x14ac:dyDescent="0.25">
      <c r="A1532" t="str">
        <f t="shared" si="26"/>
        <v>89301000</v>
      </c>
      <c r="B1532" t="str">
        <f>"1611300284"</f>
        <v>1611300284</v>
      </c>
      <c r="C1532" s="1">
        <v>44973</v>
      </c>
      <c r="D1532" s="1">
        <v>44975</v>
      </c>
      <c r="E1532">
        <v>1</v>
      </c>
      <c r="F1532" t="str">
        <f>"11-I17-03"</f>
        <v>11-I17-03</v>
      </c>
      <c r="G1532">
        <v>0.45600000000000002</v>
      </c>
      <c r="H1532" t="s">
        <v>11</v>
      </c>
      <c r="I1532" t="s">
        <v>10</v>
      </c>
    </row>
    <row r="1533" spans="1:9" x14ac:dyDescent="0.25">
      <c r="A1533" t="str">
        <f t="shared" si="26"/>
        <v>89301000</v>
      </c>
      <c r="B1533" t="str">
        <f>"1612060219"</f>
        <v>1612060219</v>
      </c>
      <c r="C1533" s="1">
        <v>45176</v>
      </c>
      <c r="D1533" s="1">
        <v>45178</v>
      </c>
      <c r="E1533">
        <v>1</v>
      </c>
      <c r="F1533" t="str">
        <f>"12-I10-02"</f>
        <v>12-I10-02</v>
      </c>
      <c r="G1533">
        <v>0.51690000000000003</v>
      </c>
      <c r="H1533" t="s">
        <v>9</v>
      </c>
      <c r="I1533" t="s">
        <v>10</v>
      </c>
    </row>
    <row r="1534" spans="1:9" x14ac:dyDescent="0.25">
      <c r="A1534" t="str">
        <f t="shared" si="26"/>
        <v>89301000</v>
      </c>
      <c r="B1534" t="str">
        <f>"1612180020"</f>
        <v>1612180020</v>
      </c>
      <c r="C1534" s="1">
        <v>45179</v>
      </c>
      <c r="D1534" s="1">
        <v>45181</v>
      </c>
      <c r="E1534">
        <v>1</v>
      </c>
      <c r="F1534" t="str">
        <f>"02-I11-01"</f>
        <v>02-I11-01</v>
      </c>
      <c r="G1534">
        <v>0.80620000000000003</v>
      </c>
      <c r="H1534" t="s">
        <v>12</v>
      </c>
      <c r="I1534" t="s">
        <v>10</v>
      </c>
    </row>
    <row r="1535" spans="1:9" x14ac:dyDescent="0.25">
      <c r="A1535" t="str">
        <f t="shared" si="26"/>
        <v>89301000</v>
      </c>
      <c r="B1535" t="str">
        <f>"1612270418"</f>
        <v>1612270418</v>
      </c>
      <c r="C1535" s="1">
        <v>45036</v>
      </c>
      <c r="D1535" s="1">
        <v>45038</v>
      </c>
      <c r="E1535">
        <v>1</v>
      </c>
      <c r="F1535" t="str">
        <f>"03-I21-00"</f>
        <v>03-I21-00</v>
      </c>
      <c r="G1535">
        <v>0.42759999999999998</v>
      </c>
      <c r="H1535" t="s">
        <v>11</v>
      </c>
      <c r="I1535" t="s">
        <v>10</v>
      </c>
    </row>
    <row r="1536" spans="1:9" x14ac:dyDescent="0.25">
      <c r="A1536" t="str">
        <f t="shared" si="26"/>
        <v>89301000</v>
      </c>
      <c r="B1536" t="str">
        <f>"1651180179"</f>
        <v>1651180179</v>
      </c>
      <c r="C1536" s="1">
        <v>44976</v>
      </c>
      <c r="D1536" s="1">
        <v>44978</v>
      </c>
      <c r="E1536">
        <v>1</v>
      </c>
      <c r="F1536" t="str">
        <f>"03-I21-00"</f>
        <v>03-I21-00</v>
      </c>
      <c r="G1536">
        <v>0.42449999999999999</v>
      </c>
      <c r="H1536" t="s">
        <v>11</v>
      </c>
      <c r="I1536" t="s">
        <v>10</v>
      </c>
    </row>
    <row r="1537" spans="1:9" x14ac:dyDescent="0.25">
      <c r="A1537" t="str">
        <f t="shared" si="26"/>
        <v>89301000</v>
      </c>
      <c r="B1537" t="str">
        <f>"1651230350"</f>
        <v>1651230350</v>
      </c>
      <c r="C1537" s="1">
        <v>45179</v>
      </c>
      <c r="D1537" s="1">
        <v>45181</v>
      </c>
      <c r="E1537">
        <v>1</v>
      </c>
      <c r="F1537" t="str">
        <f>"03-I21-00"</f>
        <v>03-I21-00</v>
      </c>
      <c r="G1537">
        <v>0.42449999999999999</v>
      </c>
      <c r="H1537" t="s">
        <v>11</v>
      </c>
      <c r="I1537" t="s">
        <v>10</v>
      </c>
    </row>
    <row r="1538" spans="1:9" x14ac:dyDescent="0.25">
      <c r="A1538" t="str">
        <f t="shared" si="26"/>
        <v>89301000</v>
      </c>
      <c r="B1538" t="str">
        <f>"1653030192"</f>
        <v>1653030192</v>
      </c>
      <c r="C1538" s="1">
        <v>45207</v>
      </c>
      <c r="D1538" s="1">
        <v>45209</v>
      </c>
      <c r="E1538">
        <v>1</v>
      </c>
      <c r="F1538" t="str">
        <f>"02-I11-01"</f>
        <v>02-I11-01</v>
      </c>
      <c r="G1538">
        <v>0.80620000000000003</v>
      </c>
      <c r="H1538" t="s">
        <v>12</v>
      </c>
      <c r="I1538" t="s">
        <v>10</v>
      </c>
    </row>
    <row r="1539" spans="1:9" x14ac:dyDescent="0.25">
      <c r="A1539" t="str">
        <f t="shared" si="26"/>
        <v>89301000</v>
      </c>
      <c r="B1539" t="str">
        <f>"1653120073"</f>
        <v>1653120073</v>
      </c>
      <c r="C1539" s="1">
        <v>44935</v>
      </c>
      <c r="D1539" s="1">
        <v>44941</v>
      </c>
      <c r="E1539">
        <v>1</v>
      </c>
      <c r="F1539" t="str">
        <f>"03-I16-02"</f>
        <v>03-I16-02</v>
      </c>
      <c r="G1539">
        <v>0.92979999999999996</v>
      </c>
      <c r="H1539" t="s">
        <v>9</v>
      </c>
      <c r="I1539" t="s">
        <v>10</v>
      </c>
    </row>
    <row r="1540" spans="1:9" x14ac:dyDescent="0.25">
      <c r="A1540" t="str">
        <f t="shared" si="26"/>
        <v>89301000</v>
      </c>
      <c r="B1540" t="str">
        <f>"1653180001"</f>
        <v>1653180001</v>
      </c>
      <c r="C1540" s="1">
        <v>45140</v>
      </c>
      <c r="D1540" s="1">
        <v>45155</v>
      </c>
      <c r="E1540">
        <v>1</v>
      </c>
      <c r="F1540" t="str">
        <f>"09-I13-03"</f>
        <v>09-I13-03</v>
      </c>
      <c r="G1540">
        <v>0.79510000000000003</v>
      </c>
      <c r="H1540" t="s">
        <v>11</v>
      </c>
      <c r="I1540" t="s">
        <v>10</v>
      </c>
    </row>
    <row r="1541" spans="1:9" x14ac:dyDescent="0.25">
      <c r="A1541" t="str">
        <f t="shared" si="26"/>
        <v>89301000</v>
      </c>
      <c r="B1541" t="str">
        <f>"1653280035"</f>
        <v>1653280035</v>
      </c>
      <c r="C1541" s="1">
        <v>45123</v>
      </c>
      <c r="D1541" s="1">
        <v>45126</v>
      </c>
      <c r="E1541">
        <v>1</v>
      </c>
      <c r="F1541" t="str">
        <f>"03-K06-01"</f>
        <v>03-K06-01</v>
      </c>
      <c r="G1541">
        <v>0.4713</v>
      </c>
      <c r="H1541" t="s">
        <v>11</v>
      </c>
      <c r="I1541" t="s">
        <v>10</v>
      </c>
    </row>
    <row r="1542" spans="1:9" x14ac:dyDescent="0.25">
      <c r="A1542" t="str">
        <f t="shared" si="26"/>
        <v>89301000</v>
      </c>
      <c r="B1542" t="str">
        <f>"1654120028"</f>
        <v>1654120028</v>
      </c>
      <c r="C1542" s="1">
        <v>45182</v>
      </c>
      <c r="D1542" s="1">
        <v>45187</v>
      </c>
      <c r="E1542">
        <v>1</v>
      </c>
      <c r="F1542" t="str">
        <f>"16-I03-01"</f>
        <v>16-I03-01</v>
      </c>
      <c r="G1542">
        <v>1.8087</v>
      </c>
      <c r="H1542" t="s">
        <v>11</v>
      </c>
      <c r="I1542" t="s">
        <v>10</v>
      </c>
    </row>
    <row r="1543" spans="1:9" x14ac:dyDescent="0.25">
      <c r="A1543" t="str">
        <f t="shared" si="26"/>
        <v>89301000</v>
      </c>
      <c r="B1543" t="str">
        <f>"1654261587"</f>
        <v>1654261587</v>
      </c>
      <c r="C1543" s="1">
        <v>45129</v>
      </c>
      <c r="D1543" s="1">
        <v>45130</v>
      </c>
      <c r="E1543">
        <v>1</v>
      </c>
      <c r="F1543" t="str">
        <f>"08-I20-03"</f>
        <v>08-I20-03</v>
      </c>
      <c r="G1543">
        <v>0.62639999999999996</v>
      </c>
      <c r="H1543" t="s">
        <v>12</v>
      </c>
      <c r="I1543" t="s">
        <v>10</v>
      </c>
    </row>
    <row r="1544" spans="1:9" x14ac:dyDescent="0.25">
      <c r="A1544" t="str">
        <f t="shared" si="26"/>
        <v>89301000</v>
      </c>
      <c r="B1544" t="str">
        <f>"1654290220"</f>
        <v>1654290220</v>
      </c>
      <c r="C1544" s="1">
        <v>45039</v>
      </c>
      <c r="D1544" s="1">
        <v>45041</v>
      </c>
      <c r="E1544">
        <v>1</v>
      </c>
      <c r="F1544" t="str">
        <f>"03-I21-00"</f>
        <v>03-I21-00</v>
      </c>
      <c r="G1544">
        <v>0.43319999999999997</v>
      </c>
      <c r="H1544" t="s">
        <v>11</v>
      </c>
      <c r="I1544" t="s">
        <v>10</v>
      </c>
    </row>
    <row r="1545" spans="1:9" x14ac:dyDescent="0.25">
      <c r="A1545" t="str">
        <f t="shared" si="26"/>
        <v>89301000</v>
      </c>
      <c r="B1545" t="str">
        <f>"1655230038"</f>
        <v>1655230038</v>
      </c>
      <c r="C1545" s="1">
        <v>45250</v>
      </c>
      <c r="D1545" s="1">
        <v>45253</v>
      </c>
      <c r="E1545">
        <v>1</v>
      </c>
      <c r="F1545" t="str">
        <f>"06-I18-04"</f>
        <v>06-I18-04</v>
      </c>
      <c r="G1545">
        <v>1.0212000000000001</v>
      </c>
      <c r="H1545" t="s">
        <v>9</v>
      </c>
      <c r="I1545" t="s">
        <v>10</v>
      </c>
    </row>
    <row r="1546" spans="1:9" x14ac:dyDescent="0.25">
      <c r="A1546" t="str">
        <f t="shared" si="26"/>
        <v>89301000</v>
      </c>
      <c r="B1546" t="str">
        <f>"1655290043"</f>
        <v>1655290043</v>
      </c>
      <c r="C1546" s="1">
        <v>45250</v>
      </c>
      <c r="D1546" s="1">
        <v>45252</v>
      </c>
      <c r="E1546">
        <v>1</v>
      </c>
      <c r="F1546" t="str">
        <f>"06-I16-05"</f>
        <v>06-I16-05</v>
      </c>
      <c r="G1546">
        <v>0.4622</v>
      </c>
      <c r="H1546" t="s">
        <v>9</v>
      </c>
      <c r="I1546" t="s">
        <v>10</v>
      </c>
    </row>
    <row r="1547" spans="1:9" x14ac:dyDescent="0.25">
      <c r="A1547" t="str">
        <f t="shared" si="26"/>
        <v>89301000</v>
      </c>
      <c r="B1547" t="str">
        <f>"1655291286"</f>
        <v>1655291286</v>
      </c>
      <c r="C1547" s="1">
        <v>44976</v>
      </c>
      <c r="D1547" s="1">
        <v>44977</v>
      </c>
      <c r="E1547">
        <v>1</v>
      </c>
      <c r="F1547" t="str">
        <f>"23-K01-00"</f>
        <v>23-K01-00</v>
      </c>
      <c r="G1547">
        <v>0.1401</v>
      </c>
      <c r="H1547" t="s">
        <v>11</v>
      </c>
      <c r="I1547" t="s">
        <v>10</v>
      </c>
    </row>
    <row r="1548" spans="1:9" x14ac:dyDescent="0.25">
      <c r="A1548" t="str">
        <f t="shared" si="26"/>
        <v>89301000</v>
      </c>
      <c r="B1548" t="str">
        <f>"1655291286"</f>
        <v>1655291286</v>
      </c>
      <c r="C1548" s="1">
        <v>45085</v>
      </c>
      <c r="D1548" s="1">
        <v>45087</v>
      </c>
      <c r="E1548">
        <v>1</v>
      </c>
      <c r="F1548" t="str">
        <f>"03-I21-00"</f>
        <v>03-I21-00</v>
      </c>
      <c r="G1548">
        <v>0.42449999999999999</v>
      </c>
      <c r="H1548" t="s">
        <v>11</v>
      </c>
      <c r="I1548" t="s">
        <v>10</v>
      </c>
    </row>
    <row r="1549" spans="1:9" x14ac:dyDescent="0.25">
      <c r="A1549" t="str">
        <f t="shared" si="26"/>
        <v>89301000</v>
      </c>
      <c r="B1549" t="str">
        <f>"1655310162"</f>
        <v>1655310162</v>
      </c>
      <c r="C1549" s="1">
        <v>44938</v>
      </c>
      <c r="D1549" s="1">
        <v>44940</v>
      </c>
      <c r="E1549">
        <v>1</v>
      </c>
      <c r="F1549" t="str">
        <f>"06-K02-04"</f>
        <v>06-K02-04</v>
      </c>
      <c r="G1549">
        <v>0.37659999999999999</v>
      </c>
      <c r="H1549" t="s">
        <v>11</v>
      </c>
      <c r="I1549" t="s">
        <v>10</v>
      </c>
    </row>
    <row r="1550" spans="1:9" x14ac:dyDescent="0.25">
      <c r="A1550" t="str">
        <f t="shared" si="26"/>
        <v>89301000</v>
      </c>
      <c r="B1550" t="str">
        <f>"1655310162"</f>
        <v>1655310162</v>
      </c>
      <c r="C1550" s="1">
        <v>45100</v>
      </c>
      <c r="D1550" s="1">
        <v>45105</v>
      </c>
      <c r="E1550">
        <v>1</v>
      </c>
      <c r="F1550" t="str">
        <f>"10-K14-05"</f>
        <v>10-K14-05</v>
      </c>
      <c r="G1550">
        <v>0.3624</v>
      </c>
      <c r="H1550" t="s">
        <v>11</v>
      </c>
      <c r="I1550" t="s">
        <v>10</v>
      </c>
    </row>
    <row r="1551" spans="1:9" x14ac:dyDescent="0.25">
      <c r="A1551" t="str">
        <f t="shared" si="26"/>
        <v>89301000</v>
      </c>
      <c r="B1551" t="str">
        <f>"1655310162"</f>
        <v>1655310162</v>
      </c>
      <c r="C1551" s="1">
        <v>44993</v>
      </c>
      <c r="D1551" s="1">
        <v>44998</v>
      </c>
      <c r="E1551">
        <v>1</v>
      </c>
      <c r="F1551" t="str">
        <f>"06-K02-04"</f>
        <v>06-K02-04</v>
      </c>
      <c r="G1551">
        <v>0.37809999999999999</v>
      </c>
      <c r="H1551" t="s">
        <v>11</v>
      </c>
      <c r="I1551" t="s">
        <v>10</v>
      </c>
    </row>
    <row r="1552" spans="1:9" x14ac:dyDescent="0.25">
      <c r="A1552" t="str">
        <f t="shared" si="26"/>
        <v>89301000</v>
      </c>
      <c r="B1552" t="str">
        <f>"1656090161"</f>
        <v>1656090161</v>
      </c>
      <c r="C1552" s="1">
        <v>45124</v>
      </c>
      <c r="D1552" s="1">
        <v>45126</v>
      </c>
      <c r="E1552">
        <v>1</v>
      </c>
      <c r="F1552" t="str">
        <f>"06-K02-04"</f>
        <v>06-K02-04</v>
      </c>
      <c r="G1552">
        <v>0.37659999999999999</v>
      </c>
      <c r="H1552" t="s">
        <v>11</v>
      </c>
      <c r="I1552" t="s">
        <v>10</v>
      </c>
    </row>
    <row r="1553" spans="1:9" x14ac:dyDescent="0.25">
      <c r="A1553" t="str">
        <f t="shared" si="26"/>
        <v>89301000</v>
      </c>
      <c r="B1553" t="str">
        <f>"1656090304"</f>
        <v>1656090304</v>
      </c>
      <c r="C1553" s="1">
        <v>45229</v>
      </c>
      <c r="D1553" s="1">
        <v>45232</v>
      </c>
      <c r="E1553">
        <v>1</v>
      </c>
      <c r="F1553" t="str">
        <f>"03-I16-02"</f>
        <v>03-I16-02</v>
      </c>
      <c r="G1553">
        <v>0.92979999999999996</v>
      </c>
      <c r="H1553" t="s">
        <v>9</v>
      </c>
      <c r="I1553" t="s">
        <v>10</v>
      </c>
    </row>
    <row r="1554" spans="1:9" x14ac:dyDescent="0.25">
      <c r="A1554" t="str">
        <f t="shared" si="26"/>
        <v>89301000</v>
      </c>
      <c r="B1554" t="str">
        <f>"1656140409"</f>
        <v>1656140409</v>
      </c>
      <c r="C1554" s="1">
        <v>45263</v>
      </c>
      <c r="D1554" s="1">
        <v>45265</v>
      </c>
      <c r="E1554">
        <v>1</v>
      </c>
      <c r="F1554" t="str">
        <f>"02-I11-01"</f>
        <v>02-I11-01</v>
      </c>
      <c r="G1554">
        <v>0.80620000000000003</v>
      </c>
      <c r="H1554" t="s">
        <v>12</v>
      </c>
      <c r="I1554" t="s">
        <v>10</v>
      </c>
    </row>
    <row r="1555" spans="1:9" x14ac:dyDescent="0.25">
      <c r="A1555" t="str">
        <f t="shared" si="26"/>
        <v>89301000</v>
      </c>
      <c r="B1555" t="str">
        <f>"1656160231"</f>
        <v>1656160231</v>
      </c>
      <c r="C1555" s="1">
        <v>45221</v>
      </c>
      <c r="D1555" s="1">
        <v>45222</v>
      </c>
      <c r="E1555">
        <v>1</v>
      </c>
      <c r="F1555" t="str">
        <f>"18-K02-05"</f>
        <v>18-K02-05</v>
      </c>
      <c r="G1555">
        <v>0.48089999999999999</v>
      </c>
      <c r="H1555" t="s">
        <v>11</v>
      </c>
      <c r="I1555" t="s">
        <v>10</v>
      </c>
    </row>
    <row r="1556" spans="1:9" x14ac:dyDescent="0.25">
      <c r="A1556" t="str">
        <f t="shared" si="26"/>
        <v>89301000</v>
      </c>
      <c r="B1556" t="str">
        <f>"1656160231"</f>
        <v>1656160231</v>
      </c>
      <c r="C1556" s="1">
        <v>45089</v>
      </c>
      <c r="D1556" s="1">
        <v>45093</v>
      </c>
      <c r="E1556">
        <v>1</v>
      </c>
      <c r="F1556" t="str">
        <f>"06-I18-04"</f>
        <v>06-I18-04</v>
      </c>
      <c r="G1556">
        <v>1.1088</v>
      </c>
      <c r="H1556" t="s">
        <v>9</v>
      </c>
      <c r="I1556" t="s">
        <v>10</v>
      </c>
    </row>
    <row r="1557" spans="1:9" x14ac:dyDescent="0.25">
      <c r="A1557" t="str">
        <f t="shared" si="26"/>
        <v>89301000</v>
      </c>
      <c r="B1557" t="str">
        <f>"1656160231"</f>
        <v>1656160231</v>
      </c>
      <c r="C1557" s="1">
        <v>45123</v>
      </c>
      <c r="D1557" s="1">
        <v>45124</v>
      </c>
      <c r="E1557">
        <v>1</v>
      </c>
      <c r="F1557" t="str">
        <f>"08-I20-03"</f>
        <v>08-I20-03</v>
      </c>
      <c r="G1557">
        <v>0.62639999999999996</v>
      </c>
      <c r="H1557" t="s">
        <v>12</v>
      </c>
      <c r="I1557" t="s">
        <v>10</v>
      </c>
    </row>
    <row r="1558" spans="1:9" x14ac:dyDescent="0.25">
      <c r="A1558" t="str">
        <f t="shared" si="26"/>
        <v>89301000</v>
      </c>
      <c r="B1558" t="str">
        <f>"1656210017"</f>
        <v>1656210017</v>
      </c>
      <c r="C1558" s="1">
        <v>45042</v>
      </c>
      <c r="D1558" s="1">
        <v>45049</v>
      </c>
      <c r="E1558">
        <v>1</v>
      </c>
      <c r="F1558" t="str">
        <f>"09-K01-02"</f>
        <v>09-K01-02</v>
      </c>
      <c r="G1558">
        <v>1.0348999999999999</v>
      </c>
      <c r="H1558" t="s">
        <v>11</v>
      </c>
      <c r="I1558" t="s">
        <v>10</v>
      </c>
    </row>
    <row r="1559" spans="1:9" x14ac:dyDescent="0.25">
      <c r="A1559" t="str">
        <f t="shared" si="26"/>
        <v>89301000</v>
      </c>
      <c r="B1559" t="str">
        <f>"1657031409"</f>
        <v>1657031409</v>
      </c>
      <c r="C1559" s="1">
        <v>45088</v>
      </c>
      <c r="D1559" s="1">
        <v>45090</v>
      </c>
      <c r="E1559">
        <v>1</v>
      </c>
      <c r="F1559" t="str">
        <f>"03-I21-00"</f>
        <v>03-I21-00</v>
      </c>
      <c r="G1559">
        <v>0.42449999999999999</v>
      </c>
      <c r="H1559" t="s">
        <v>11</v>
      </c>
      <c r="I1559" t="s">
        <v>10</v>
      </c>
    </row>
    <row r="1560" spans="1:9" x14ac:dyDescent="0.25">
      <c r="A1560" t="str">
        <f t="shared" si="26"/>
        <v>89301000</v>
      </c>
      <c r="B1560" t="str">
        <f>"1657300062"</f>
        <v>1657300062</v>
      </c>
      <c r="C1560" s="1">
        <v>45126</v>
      </c>
      <c r="D1560" s="1">
        <v>45147</v>
      </c>
      <c r="E1560">
        <v>1</v>
      </c>
      <c r="F1560" t="str">
        <f>"00-M01-03"</f>
        <v>00-M01-03</v>
      </c>
      <c r="G1560">
        <v>9.2208000000000006</v>
      </c>
      <c r="H1560" t="s">
        <v>11</v>
      </c>
      <c r="I1560" t="s">
        <v>10</v>
      </c>
    </row>
    <row r="1561" spans="1:9" x14ac:dyDescent="0.25">
      <c r="A1561" t="str">
        <f t="shared" si="26"/>
        <v>89301000</v>
      </c>
      <c r="B1561" t="str">
        <f>"1658051890"</f>
        <v>1658051890</v>
      </c>
      <c r="C1561" s="1">
        <v>45200</v>
      </c>
      <c r="D1561" s="1">
        <v>45202</v>
      </c>
      <c r="E1561">
        <v>1</v>
      </c>
      <c r="F1561" t="str">
        <f>"03-I20-03"</f>
        <v>03-I20-03</v>
      </c>
      <c r="G1561">
        <v>0.71</v>
      </c>
      <c r="H1561" t="s">
        <v>12</v>
      </c>
      <c r="I1561" t="s">
        <v>10</v>
      </c>
    </row>
    <row r="1562" spans="1:9" x14ac:dyDescent="0.25">
      <c r="A1562" t="str">
        <f t="shared" si="26"/>
        <v>89301000</v>
      </c>
      <c r="B1562" t="str">
        <f>"1658110652"</f>
        <v>1658110652</v>
      </c>
      <c r="C1562" s="1">
        <v>45064</v>
      </c>
      <c r="D1562" s="1">
        <v>45066</v>
      </c>
      <c r="E1562">
        <v>1</v>
      </c>
      <c r="F1562" t="str">
        <f>"03-I21-00"</f>
        <v>03-I21-00</v>
      </c>
      <c r="G1562">
        <v>0.42449999999999999</v>
      </c>
      <c r="H1562" t="s">
        <v>11</v>
      </c>
      <c r="I1562" t="s">
        <v>10</v>
      </c>
    </row>
    <row r="1563" spans="1:9" x14ac:dyDescent="0.25">
      <c r="A1563" t="str">
        <f t="shared" si="26"/>
        <v>89301000</v>
      </c>
      <c r="B1563" t="str">
        <f>"1658160416"</f>
        <v>1658160416</v>
      </c>
      <c r="C1563" s="1">
        <v>44970</v>
      </c>
      <c r="D1563" s="1">
        <v>44972</v>
      </c>
      <c r="E1563">
        <v>1</v>
      </c>
      <c r="F1563" t="str">
        <f>"03-I21-00"</f>
        <v>03-I21-00</v>
      </c>
      <c r="G1563">
        <v>0.42449999999999999</v>
      </c>
      <c r="H1563" t="s">
        <v>11</v>
      </c>
      <c r="I1563" t="s">
        <v>10</v>
      </c>
    </row>
    <row r="1564" spans="1:9" x14ac:dyDescent="0.25">
      <c r="A1564" t="str">
        <f t="shared" si="26"/>
        <v>89301000</v>
      </c>
      <c r="B1564" t="str">
        <f>"1658170426"</f>
        <v>1658170426</v>
      </c>
      <c r="C1564" s="1">
        <v>44952</v>
      </c>
      <c r="D1564" s="1">
        <v>44954</v>
      </c>
      <c r="E1564">
        <v>1</v>
      </c>
      <c r="F1564" t="str">
        <f>"03-I21-00"</f>
        <v>03-I21-00</v>
      </c>
      <c r="G1564">
        <v>0.42449999999999999</v>
      </c>
      <c r="H1564" t="s">
        <v>11</v>
      </c>
      <c r="I1564" t="s">
        <v>10</v>
      </c>
    </row>
    <row r="1565" spans="1:9" x14ac:dyDescent="0.25">
      <c r="A1565" t="str">
        <f t="shared" si="26"/>
        <v>89301000</v>
      </c>
      <c r="B1565" t="str">
        <f>"1658171075"</f>
        <v>1658171075</v>
      </c>
      <c r="C1565" s="1">
        <v>45047</v>
      </c>
      <c r="D1565" s="1">
        <v>45055</v>
      </c>
      <c r="E1565">
        <v>1</v>
      </c>
      <c r="F1565" t="str">
        <f>"09-I13-05"</f>
        <v>09-I13-05</v>
      </c>
      <c r="G1565">
        <v>0.61699999999999999</v>
      </c>
      <c r="H1565" t="s">
        <v>11</v>
      </c>
      <c r="I1565" t="s">
        <v>10</v>
      </c>
    </row>
    <row r="1566" spans="1:9" x14ac:dyDescent="0.25">
      <c r="A1566" t="str">
        <f t="shared" si="26"/>
        <v>89301000</v>
      </c>
      <c r="B1566" t="str">
        <f>"1658171075"</f>
        <v>1658171075</v>
      </c>
      <c r="C1566" s="1">
        <v>45228</v>
      </c>
      <c r="D1566" s="1">
        <v>45230</v>
      </c>
      <c r="E1566">
        <v>1</v>
      </c>
      <c r="F1566" t="str">
        <f>"09-I13-05"</f>
        <v>09-I13-05</v>
      </c>
      <c r="G1566">
        <v>0.42509999999999998</v>
      </c>
      <c r="H1566" t="s">
        <v>11</v>
      </c>
      <c r="I1566" t="s">
        <v>10</v>
      </c>
    </row>
    <row r="1567" spans="1:9" x14ac:dyDescent="0.25">
      <c r="A1567" t="str">
        <f t="shared" si="26"/>
        <v>89301000</v>
      </c>
      <c r="B1567" t="str">
        <f>"1658171075"</f>
        <v>1658171075</v>
      </c>
      <c r="C1567" s="1">
        <v>45088</v>
      </c>
      <c r="D1567" s="1">
        <v>45090</v>
      </c>
      <c r="E1567">
        <v>1</v>
      </c>
      <c r="F1567" t="str">
        <f>"09-I04-02"</f>
        <v>09-I04-02</v>
      </c>
      <c r="G1567">
        <v>1.0899000000000001</v>
      </c>
      <c r="H1567" t="s">
        <v>12</v>
      </c>
      <c r="I1567" t="s">
        <v>10</v>
      </c>
    </row>
    <row r="1568" spans="1:9" x14ac:dyDescent="0.25">
      <c r="A1568" t="str">
        <f t="shared" si="26"/>
        <v>89301000</v>
      </c>
      <c r="B1568" t="str">
        <f>"1658250165"</f>
        <v>1658250165</v>
      </c>
      <c r="C1568" s="1">
        <v>44966</v>
      </c>
      <c r="D1568" s="1">
        <v>44967</v>
      </c>
      <c r="E1568">
        <v>1</v>
      </c>
      <c r="F1568" t="str">
        <f>"06-K16-00"</f>
        <v>06-K16-00</v>
      </c>
      <c r="G1568">
        <v>0.57450000000000001</v>
      </c>
      <c r="H1568" t="s">
        <v>11</v>
      </c>
      <c r="I1568" t="s">
        <v>10</v>
      </c>
    </row>
    <row r="1569" spans="1:9" x14ac:dyDescent="0.25">
      <c r="A1569" t="str">
        <f t="shared" si="26"/>
        <v>89301000</v>
      </c>
      <c r="B1569" t="str">
        <f>"1658250165"</f>
        <v>1658250165</v>
      </c>
      <c r="C1569" s="1">
        <v>44958</v>
      </c>
      <c r="D1569" s="1">
        <v>44960</v>
      </c>
      <c r="E1569">
        <v>1</v>
      </c>
      <c r="F1569" t="str">
        <f>"06-K02-04"</f>
        <v>06-K02-04</v>
      </c>
      <c r="G1569">
        <v>0.37659999999999999</v>
      </c>
      <c r="H1569" t="s">
        <v>11</v>
      </c>
      <c r="I1569" t="s">
        <v>10</v>
      </c>
    </row>
    <row r="1570" spans="1:9" x14ac:dyDescent="0.25">
      <c r="A1570" t="str">
        <f t="shared" si="26"/>
        <v>89301000</v>
      </c>
      <c r="B1570" t="str">
        <f>"1659030604"</f>
        <v>1659030604</v>
      </c>
      <c r="C1570" s="1">
        <v>45264</v>
      </c>
      <c r="D1570" s="1">
        <v>45267</v>
      </c>
      <c r="E1570">
        <v>1</v>
      </c>
      <c r="F1570" t="str">
        <f>"08-K04-02"</f>
        <v>08-K04-02</v>
      </c>
      <c r="G1570">
        <v>0.54300000000000004</v>
      </c>
      <c r="H1570" t="s">
        <v>11</v>
      </c>
      <c r="I1570" t="s">
        <v>10</v>
      </c>
    </row>
    <row r="1571" spans="1:9" x14ac:dyDescent="0.25">
      <c r="A1571" t="str">
        <f t="shared" si="26"/>
        <v>89301000</v>
      </c>
      <c r="B1571" t="str">
        <f>"1659260295"</f>
        <v>1659260295</v>
      </c>
      <c r="C1571" s="1">
        <v>45105</v>
      </c>
      <c r="D1571" s="1">
        <v>45107</v>
      </c>
      <c r="E1571">
        <v>1</v>
      </c>
      <c r="F1571" t="str">
        <f>"08-I20-03"</f>
        <v>08-I20-03</v>
      </c>
      <c r="G1571">
        <v>0.62639999999999996</v>
      </c>
      <c r="H1571" t="s">
        <v>12</v>
      </c>
      <c r="I1571" t="s">
        <v>10</v>
      </c>
    </row>
    <row r="1572" spans="1:9" x14ac:dyDescent="0.25">
      <c r="A1572" t="str">
        <f t="shared" si="26"/>
        <v>89301000</v>
      </c>
      <c r="B1572" t="str">
        <f>"1659260295"</f>
        <v>1659260295</v>
      </c>
      <c r="C1572" s="1">
        <v>45133</v>
      </c>
      <c r="D1572" s="1">
        <v>45140</v>
      </c>
      <c r="E1572">
        <v>1</v>
      </c>
      <c r="F1572" t="str">
        <f>"09-I13-02"</f>
        <v>09-I13-02</v>
      </c>
      <c r="G1572">
        <v>1.2537</v>
      </c>
      <c r="H1572" t="s">
        <v>11</v>
      </c>
      <c r="I1572" t="s">
        <v>10</v>
      </c>
    </row>
    <row r="1573" spans="1:9" x14ac:dyDescent="0.25">
      <c r="A1573" t="str">
        <f t="shared" si="26"/>
        <v>89301000</v>
      </c>
      <c r="B1573" t="str">
        <f>"1659270008"</f>
        <v>1659270008</v>
      </c>
      <c r="C1573" s="1">
        <v>45129</v>
      </c>
      <c r="D1573" s="1">
        <v>45131</v>
      </c>
      <c r="E1573">
        <v>1</v>
      </c>
      <c r="F1573" t="str">
        <f>"08-K14-03"</f>
        <v>08-K14-03</v>
      </c>
      <c r="G1573">
        <v>0.26040000000000002</v>
      </c>
      <c r="H1573" t="s">
        <v>11</v>
      </c>
      <c r="I1573" t="s">
        <v>10</v>
      </c>
    </row>
    <row r="1574" spans="1:9" x14ac:dyDescent="0.25">
      <c r="A1574" t="str">
        <f t="shared" si="26"/>
        <v>89301000</v>
      </c>
      <c r="B1574" t="str">
        <f>"1660241187"</f>
        <v>1660241187</v>
      </c>
      <c r="C1574" s="1">
        <v>45019</v>
      </c>
      <c r="D1574" s="1">
        <v>45020</v>
      </c>
      <c r="E1574">
        <v>1</v>
      </c>
      <c r="F1574" t="str">
        <f>"10-K14-05"</f>
        <v>10-K14-05</v>
      </c>
      <c r="G1574">
        <v>0.3624</v>
      </c>
      <c r="H1574" t="s">
        <v>11</v>
      </c>
      <c r="I1574" t="s">
        <v>10</v>
      </c>
    </row>
    <row r="1575" spans="1:9" x14ac:dyDescent="0.25">
      <c r="A1575" t="str">
        <f t="shared" si="26"/>
        <v>89301000</v>
      </c>
      <c r="B1575" t="str">
        <f>"1660261658"</f>
        <v>1660261658</v>
      </c>
      <c r="C1575" s="1">
        <v>45033</v>
      </c>
      <c r="D1575" s="1">
        <v>45035</v>
      </c>
      <c r="E1575">
        <v>1</v>
      </c>
      <c r="F1575" t="str">
        <f>"03-K06-01"</f>
        <v>03-K06-01</v>
      </c>
      <c r="G1575">
        <v>0.4713</v>
      </c>
      <c r="H1575" t="s">
        <v>11</v>
      </c>
      <c r="I1575" t="s">
        <v>10</v>
      </c>
    </row>
    <row r="1576" spans="1:9" x14ac:dyDescent="0.25">
      <c r="A1576" t="str">
        <f t="shared" si="26"/>
        <v>89301000</v>
      </c>
      <c r="B1576" t="str">
        <f>"1662211298"</f>
        <v>1662211298</v>
      </c>
      <c r="C1576" s="1">
        <v>45208</v>
      </c>
      <c r="D1576" s="1">
        <v>45211</v>
      </c>
      <c r="E1576">
        <v>1</v>
      </c>
      <c r="F1576" t="str">
        <f>"03-K01-01"</f>
        <v>03-K01-01</v>
      </c>
      <c r="G1576">
        <v>0.60770000000000002</v>
      </c>
      <c r="H1576" t="s">
        <v>11</v>
      </c>
      <c r="I1576" t="s">
        <v>10</v>
      </c>
    </row>
    <row r="1577" spans="1:9" x14ac:dyDescent="0.25">
      <c r="A1577" t="str">
        <f t="shared" si="26"/>
        <v>89301000</v>
      </c>
      <c r="B1577" t="str">
        <f>"1662270709"</f>
        <v>1662270709</v>
      </c>
      <c r="C1577" s="1">
        <v>45204</v>
      </c>
      <c r="D1577" s="1">
        <v>45206</v>
      </c>
      <c r="E1577">
        <v>1</v>
      </c>
      <c r="F1577" t="str">
        <f>"03-I21-00"</f>
        <v>03-I21-00</v>
      </c>
      <c r="G1577">
        <v>0.42449999999999999</v>
      </c>
      <c r="H1577" t="s">
        <v>11</v>
      </c>
      <c r="I1577" t="s">
        <v>10</v>
      </c>
    </row>
    <row r="1578" spans="1:9" x14ac:dyDescent="0.25">
      <c r="A1578" t="str">
        <f t="shared" si="26"/>
        <v>89301000</v>
      </c>
      <c r="B1578" t="str">
        <f>"1701160582"</f>
        <v>1701160582</v>
      </c>
      <c r="C1578" s="1">
        <v>45036</v>
      </c>
      <c r="D1578" s="1">
        <v>45037</v>
      </c>
      <c r="E1578">
        <v>1</v>
      </c>
      <c r="F1578" t="str">
        <f>"08-K04-02"</f>
        <v>08-K04-02</v>
      </c>
      <c r="G1578">
        <v>0.54300000000000004</v>
      </c>
      <c r="H1578" t="s">
        <v>11</v>
      </c>
      <c r="I1578" t="s">
        <v>10</v>
      </c>
    </row>
    <row r="1579" spans="1:9" x14ac:dyDescent="0.25">
      <c r="A1579" t="str">
        <f t="shared" si="26"/>
        <v>89301000</v>
      </c>
      <c r="B1579" t="str">
        <f>"1701190216"</f>
        <v>1701190216</v>
      </c>
      <c r="C1579" s="1">
        <v>44931</v>
      </c>
      <c r="D1579" s="1">
        <v>44933</v>
      </c>
      <c r="E1579">
        <v>1</v>
      </c>
      <c r="F1579" t="str">
        <f>"03-I21-00"</f>
        <v>03-I21-00</v>
      </c>
      <c r="G1579">
        <v>0.42449999999999999</v>
      </c>
      <c r="H1579" t="s">
        <v>11</v>
      </c>
      <c r="I1579" t="s">
        <v>10</v>
      </c>
    </row>
    <row r="1580" spans="1:9" x14ac:dyDescent="0.25">
      <c r="A1580" t="str">
        <f t="shared" si="26"/>
        <v>89301000</v>
      </c>
      <c r="B1580" t="str">
        <f>"1701250199"</f>
        <v>1701250199</v>
      </c>
      <c r="C1580" s="1">
        <v>45009</v>
      </c>
      <c r="D1580" s="1">
        <v>45013</v>
      </c>
      <c r="E1580">
        <v>1</v>
      </c>
      <c r="F1580" t="str">
        <f>"11-K02-02"</f>
        <v>11-K02-02</v>
      </c>
      <c r="G1580">
        <v>1.4047000000000001</v>
      </c>
      <c r="H1580" t="s">
        <v>11</v>
      </c>
      <c r="I1580" t="s">
        <v>10</v>
      </c>
    </row>
    <row r="1581" spans="1:9" x14ac:dyDescent="0.25">
      <c r="A1581" t="str">
        <f t="shared" si="26"/>
        <v>89301000</v>
      </c>
      <c r="B1581" t="str">
        <f>"1701280042"</f>
        <v>1701280042</v>
      </c>
      <c r="C1581" s="1">
        <v>45288</v>
      </c>
      <c r="D1581" s="1">
        <v>45289</v>
      </c>
      <c r="E1581">
        <v>1</v>
      </c>
      <c r="F1581" t="str">
        <f>"21-K06-03"</f>
        <v>21-K06-03</v>
      </c>
      <c r="G1581">
        <v>0.3644</v>
      </c>
      <c r="H1581" t="s">
        <v>11</v>
      </c>
      <c r="I1581" t="s">
        <v>10</v>
      </c>
    </row>
    <row r="1582" spans="1:9" x14ac:dyDescent="0.25">
      <c r="A1582" t="str">
        <f t="shared" si="26"/>
        <v>89301000</v>
      </c>
      <c r="B1582" t="str">
        <f>"1702070238"</f>
        <v>1702070238</v>
      </c>
      <c r="C1582" s="1">
        <v>45013</v>
      </c>
      <c r="D1582" s="1">
        <v>45015</v>
      </c>
      <c r="E1582">
        <v>1</v>
      </c>
      <c r="F1582" t="str">
        <f>"03-I20-03"</f>
        <v>03-I20-03</v>
      </c>
      <c r="G1582">
        <v>0.71</v>
      </c>
      <c r="H1582" t="s">
        <v>12</v>
      </c>
      <c r="I1582" t="s">
        <v>10</v>
      </c>
    </row>
    <row r="1583" spans="1:9" x14ac:dyDescent="0.25">
      <c r="A1583" t="str">
        <f t="shared" si="26"/>
        <v>89301000</v>
      </c>
      <c r="B1583" t="str">
        <f>"1702081381"</f>
        <v>1702081381</v>
      </c>
      <c r="C1583" s="1">
        <v>44977</v>
      </c>
      <c r="D1583" s="1">
        <v>44980</v>
      </c>
      <c r="E1583">
        <v>1</v>
      </c>
      <c r="F1583" t="str">
        <f>"03-I16-02"</f>
        <v>03-I16-02</v>
      </c>
      <c r="G1583">
        <v>0.92979999999999996</v>
      </c>
      <c r="H1583" t="s">
        <v>9</v>
      </c>
      <c r="I1583" t="s">
        <v>10</v>
      </c>
    </row>
    <row r="1584" spans="1:9" x14ac:dyDescent="0.25">
      <c r="A1584" t="str">
        <f t="shared" si="26"/>
        <v>89301000</v>
      </c>
      <c r="B1584" t="str">
        <f>"1702110003"</f>
        <v>1702110003</v>
      </c>
      <c r="C1584" s="1">
        <v>45099</v>
      </c>
      <c r="D1584" s="1">
        <v>45101</v>
      </c>
      <c r="E1584">
        <v>1</v>
      </c>
      <c r="F1584" t="str">
        <f>"03-I21-00"</f>
        <v>03-I21-00</v>
      </c>
      <c r="G1584">
        <v>0.43319999999999997</v>
      </c>
      <c r="H1584" t="s">
        <v>11</v>
      </c>
      <c r="I1584" t="s">
        <v>10</v>
      </c>
    </row>
    <row r="1585" spans="1:9" x14ac:dyDescent="0.25">
      <c r="A1585" t="str">
        <f t="shared" si="26"/>
        <v>89301000</v>
      </c>
      <c r="B1585" t="str">
        <f>"1702150329"</f>
        <v>1702150329</v>
      </c>
      <c r="C1585" s="1">
        <v>44991</v>
      </c>
      <c r="D1585" s="1">
        <v>44992</v>
      </c>
      <c r="E1585">
        <v>1</v>
      </c>
      <c r="F1585" t="str">
        <f>"06-M01-05"</f>
        <v>06-M01-05</v>
      </c>
      <c r="G1585">
        <v>0.4481</v>
      </c>
      <c r="H1585" t="s">
        <v>11</v>
      </c>
      <c r="I1585" t="s">
        <v>10</v>
      </c>
    </row>
    <row r="1586" spans="1:9" x14ac:dyDescent="0.25">
      <c r="A1586" t="str">
        <f t="shared" si="26"/>
        <v>89301000</v>
      </c>
      <c r="B1586" t="str">
        <f>"1702151759"</f>
        <v>1702151759</v>
      </c>
      <c r="C1586" s="1">
        <v>45261</v>
      </c>
      <c r="D1586" s="1">
        <v>45263</v>
      </c>
      <c r="E1586">
        <v>1</v>
      </c>
      <c r="F1586" t="str">
        <f>"03-K02-03"</f>
        <v>03-K02-03</v>
      </c>
      <c r="G1586">
        <v>0.34050000000000002</v>
      </c>
      <c r="H1586" t="s">
        <v>11</v>
      </c>
      <c r="I1586" t="s">
        <v>10</v>
      </c>
    </row>
    <row r="1587" spans="1:9" x14ac:dyDescent="0.25">
      <c r="A1587" t="str">
        <f t="shared" si="26"/>
        <v>89301000</v>
      </c>
      <c r="B1587" t="str">
        <f>"1702151759"</f>
        <v>1702151759</v>
      </c>
      <c r="C1587" s="1">
        <v>45242</v>
      </c>
      <c r="D1587" s="1">
        <v>45244</v>
      </c>
      <c r="E1587">
        <v>1</v>
      </c>
      <c r="F1587" t="str">
        <f>"03-I21-00"</f>
        <v>03-I21-00</v>
      </c>
      <c r="G1587">
        <v>0.42449999999999999</v>
      </c>
      <c r="H1587" t="s">
        <v>11</v>
      </c>
      <c r="I1587" t="s">
        <v>10</v>
      </c>
    </row>
    <row r="1588" spans="1:9" x14ac:dyDescent="0.25">
      <c r="A1588" t="str">
        <f t="shared" si="26"/>
        <v>89301000</v>
      </c>
      <c r="B1588" t="str">
        <f>"1702231168"</f>
        <v>1702231168</v>
      </c>
      <c r="C1588" s="1">
        <v>45008</v>
      </c>
      <c r="D1588" s="1">
        <v>45011</v>
      </c>
      <c r="E1588">
        <v>1</v>
      </c>
      <c r="F1588" t="str">
        <f>"03-I21-00"</f>
        <v>03-I21-00</v>
      </c>
      <c r="G1588">
        <v>0.42449999999999999</v>
      </c>
      <c r="H1588" t="s">
        <v>11</v>
      </c>
      <c r="I1588" t="s">
        <v>10</v>
      </c>
    </row>
    <row r="1589" spans="1:9" x14ac:dyDescent="0.25">
      <c r="A1589" t="str">
        <f t="shared" si="26"/>
        <v>89301000</v>
      </c>
      <c r="B1589" t="str">
        <f>"1703030626"</f>
        <v>1703030626</v>
      </c>
      <c r="C1589" s="1">
        <v>45229</v>
      </c>
      <c r="D1589" s="1">
        <v>45241</v>
      </c>
      <c r="E1589">
        <v>1</v>
      </c>
      <c r="F1589" t="str">
        <f>"11-I10-01"</f>
        <v>11-I10-01</v>
      </c>
      <c r="G1589">
        <v>3.5204</v>
      </c>
      <c r="H1589" t="s">
        <v>12</v>
      </c>
      <c r="I1589" t="s">
        <v>10</v>
      </c>
    </row>
    <row r="1590" spans="1:9" x14ac:dyDescent="0.25">
      <c r="A1590" t="str">
        <f t="shared" si="26"/>
        <v>89301000</v>
      </c>
      <c r="B1590" t="str">
        <f>"1703060172"</f>
        <v>1703060172</v>
      </c>
      <c r="C1590" s="1">
        <v>45264</v>
      </c>
      <c r="D1590" s="1">
        <v>45266</v>
      </c>
      <c r="E1590">
        <v>1</v>
      </c>
      <c r="F1590" t="str">
        <f>"06-K02-04"</f>
        <v>06-K02-04</v>
      </c>
      <c r="G1590">
        <v>0.37659999999999999</v>
      </c>
      <c r="H1590" t="s">
        <v>11</v>
      </c>
      <c r="I1590" t="s">
        <v>10</v>
      </c>
    </row>
    <row r="1591" spans="1:9" x14ac:dyDescent="0.25">
      <c r="A1591" t="str">
        <f t="shared" si="26"/>
        <v>89301000</v>
      </c>
      <c r="B1591" t="str">
        <f>"1703060172"</f>
        <v>1703060172</v>
      </c>
      <c r="C1591" s="1">
        <v>45064</v>
      </c>
      <c r="D1591" s="1">
        <v>45067</v>
      </c>
      <c r="E1591">
        <v>1</v>
      </c>
      <c r="F1591" t="str">
        <f>"03-K06-01"</f>
        <v>03-K06-01</v>
      </c>
      <c r="G1591">
        <v>0.4713</v>
      </c>
      <c r="H1591" t="s">
        <v>11</v>
      </c>
      <c r="I1591" t="s">
        <v>10</v>
      </c>
    </row>
    <row r="1592" spans="1:9" x14ac:dyDescent="0.25">
      <c r="A1592" t="str">
        <f t="shared" si="26"/>
        <v>89301000</v>
      </c>
      <c r="B1592" t="str">
        <f>"1703090092"</f>
        <v>1703090092</v>
      </c>
      <c r="C1592" s="1">
        <v>45235</v>
      </c>
      <c r="D1592" s="1">
        <v>45237</v>
      </c>
      <c r="E1592">
        <v>1</v>
      </c>
      <c r="F1592" t="str">
        <f>"03-I21-00"</f>
        <v>03-I21-00</v>
      </c>
      <c r="G1592">
        <v>0.43319999999999997</v>
      </c>
      <c r="H1592" t="s">
        <v>11</v>
      </c>
      <c r="I1592" t="s">
        <v>10</v>
      </c>
    </row>
    <row r="1593" spans="1:9" x14ac:dyDescent="0.25">
      <c r="A1593" t="str">
        <f t="shared" ref="A1593:A1656" si="27">"89301000"</f>
        <v>89301000</v>
      </c>
      <c r="B1593" t="str">
        <f>"1703140021"</f>
        <v>1703140021</v>
      </c>
      <c r="C1593" s="1">
        <v>45077</v>
      </c>
      <c r="D1593" s="1">
        <v>45079</v>
      </c>
      <c r="E1593">
        <v>1</v>
      </c>
      <c r="F1593" t="str">
        <f>"12-I13-02"</f>
        <v>12-I13-02</v>
      </c>
      <c r="G1593">
        <v>0.53879999999999995</v>
      </c>
      <c r="H1593" t="s">
        <v>9</v>
      </c>
      <c r="I1593" t="s">
        <v>10</v>
      </c>
    </row>
    <row r="1594" spans="1:9" x14ac:dyDescent="0.25">
      <c r="A1594" t="str">
        <f t="shared" si="27"/>
        <v>89301000</v>
      </c>
      <c r="B1594" t="str">
        <f>"1703210157"</f>
        <v>1703210157</v>
      </c>
      <c r="C1594" s="1">
        <v>44933</v>
      </c>
      <c r="D1594" s="1">
        <v>44934</v>
      </c>
      <c r="E1594">
        <v>1</v>
      </c>
      <c r="F1594" t="str">
        <f>"06-K22-03"</f>
        <v>06-K22-03</v>
      </c>
      <c r="G1594">
        <v>0.31619999999999998</v>
      </c>
      <c r="H1594" t="s">
        <v>11</v>
      </c>
      <c r="I1594" t="s">
        <v>10</v>
      </c>
    </row>
    <row r="1595" spans="1:9" x14ac:dyDescent="0.25">
      <c r="A1595" t="str">
        <f t="shared" si="27"/>
        <v>89301000</v>
      </c>
      <c r="B1595" t="str">
        <f>"1704010088"</f>
        <v>1704010088</v>
      </c>
      <c r="C1595" s="1">
        <v>44929</v>
      </c>
      <c r="D1595" s="1">
        <v>44931</v>
      </c>
      <c r="E1595">
        <v>1</v>
      </c>
      <c r="F1595" t="str">
        <f>"03-K02-03"</f>
        <v>03-K02-03</v>
      </c>
      <c r="G1595">
        <v>0.33960000000000001</v>
      </c>
      <c r="H1595" t="s">
        <v>11</v>
      </c>
      <c r="I1595" t="s">
        <v>10</v>
      </c>
    </row>
    <row r="1596" spans="1:9" x14ac:dyDescent="0.25">
      <c r="A1596" t="str">
        <f t="shared" si="27"/>
        <v>89301000</v>
      </c>
      <c r="B1596" t="str">
        <f>"1704020032"</f>
        <v>1704020032</v>
      </c>
      <c r="C1596" s="1">
        <v>44990</v>
      </c>
      <c r="D1596" s="1">
        <v>44992</v>
      </c>
      <c r="E1596">
        <v>1</v>
      </c>
      <c r="F1596" t="str">
        <f>"03-I21-00"</f>
        <v>03-I21-00</v>
      </c>
      <c r="G1596">
        <v>0.42449999999999999</v>
      </c>
      <c r="H1596" t="s">
        <v>11</v>
      </c>
      <c r="I1596" t="s">
        <v>10</v>
      </c>
    </row>
    <row r="1597" spans="1:9" x14ac:dyDescent="0.25">
      <c r="A1597" t="str">
        <f t="shared" si="27"/>
        <v>89301000</v>
      </c>
      <c r="B1597" t="str">
        <f>"1704020131"</f>
        <v>1704020131</v>
      </c>
      <c r="C1597" s="1">
        <v>44982</v>
      </c>
      <c r="D1597" s="1">
        <v>44984</v>
      </c>
      <c r="E1597">
        <v>1</v>
      </c>
      <c r="F1597" t="str">
        <f>"18-K02-03"</f>
        <v>18-K02-03</v>
      </c>
      <c r="G1597">
        <v>0.89670000000000005</v>
      </c>
      <c r="H1597" t="s">
        <v>11</v>
      </c>
      <c r="I1597" t="s">
        <v>10</v>
      </c>
    </row>
    <row r="1598" spans="1:9" x14ac:dyDescent="0.25">
      <c r="A1598" t="str">
        <f t="shared" si="27"/>
        <v>89301000</v>
      </c>
      <c r="B1598" t="str">
        <f>"1704041427"</f>
        <v>1704041427</v>
      </c>
      <c r="C1598" s="1">
        <v>45074</v>
      </c>
      <c r="D1598" s="1">
        <v>45075</v>
      </c>
      <c r="E1598">
        <v>1</v>
      </c>
      <c r="F1598" t="str">
        <f>"08-I20-03"</f>
        <v>08-I20-03</v>
      </c>
      <c r="G1598">
        <v>0.62639999999999996</v>
      </c>
      <c r="H1598" t="s">
        <v>12</v>
      </c>
      <c r="I1598" t="s">
        <v>10</v>
      </c>
    </row>
    <row r="1599" spans="1:9" x14ac:dyDescent="0.25">
      <c r="A1599" t="str">
        <f t="shared" si="27"/>
        <v>89301000</v>
      </c>
      <c r="B1599" t="str">
        <f>"1704060138"</f>
        <v>1704060138</v>
      </c>
      <c r="C1599" s="1">
        <v>45230</v>
      </c>
      <c r="D1599" s="1">
        <v>45232</v>
      </c>
      <c r="E1599">
        <v>1</v>
      </c>
      <c r="F1599" t="str">
        <f>"04-K03-03"</f>
        <v>04-K03-03</v>
      </c>
      <c r="G1599">
        <v>0.56110000000000004</v>
      </c>
      <c r="H1599" t="s">
        <v>11</v>
      </c>
      <c r="I1599" t="s">
        <v>10</v>
      </c>
    </row>
    <row r="1600" spans="1:9" x14ac:dyDescent="0.25">
      <c r="A1600" t="str">
        <f t="shared" si="27"/>
        <v>89301000</v>
      </c>
      <c r="B1600" t="str">
        <f>"1704060138"</f>
        <v>1704060138</v>
      </c>
      <c r="C1600" s="1">
        <v>44952</v>
      </c>
      <c r="D1600" s="1">
        <v>44956</v>
      </c>
      <c r="E1600">
        <v>1</v>
      </c>
      <c r="F1600" t="str">
        <f>"04-K03-01"</f>
        <v>04-K03-01</v>
      </c>
      <c r="G1600">
        <v>1.3408</v>
      </c>
      <c r="H1600" t="s">
        <v>11</v>
      </c>
      <c r="I1600" t="s">
        <v>10</v>
      </c>
    </row>
    <row r="1601" spans="1:9" x14ac:dyDescent="0.25">
      <c r="A1601" t="str">
        <f t="shared" si="27"/>
        <v>89301000</v>
      </c>
      <c r="B1601" t="str">
        <f>"1704061865"</f>
        <v>1704061865</v>
      </c>
      <c r="C1601" s="1">
        <v>45256</v>
      </c>
      <c r="D1601" s="1">
        <v>45259</v>
      </c>
      <c r="E1601">
        <v>1</v>
      </c>
      <c r="F1601" t="str">
        <f>"03-I21-00"</f>
        <v>03-I21-00</v>
      </c>
      <c r="G1601">
        <v>0.42449999999999999</v>
      </c>
      <c r="H1601" t="s">
        <v>11</v>
      </c>
      <c r="I1601" t="s">
        <v>10</v>
      </c>
    </row>
    <row r="1602" spans="1:9" x14ac:dyDescent="0.25">
      <c r="A1602" t="str">
        <f t="shared" si="27"/>
        <v>89301000</v>
      </c>
      <c r="B1602" t="str">
        <f>"1704122035"</f>
        <v>1704122035</v>
      </c>
      <c r="C1602" s="1">
        <v>45067</v>
      </c>
      <c r="D1602" s="1">
        <v>45069</v>
      </c>
      <c r="E1602">
        <v>1</v>
      </c>
      <c r="F1602" t="str">
        <f>"02-I11-01"</f>
        <v>02-I11-01</v>
      </c>
      <c r="G1602">
        <v>0.80620000000000003</v>
      </c>
      <c r="H1602" t="s">
        <v>12</v>
      </c>
      <c r="I1602" t="s">
        <v>10</v>
      </c>
    </row>
    <row r="1603" spans="1:9" x14ac:dyDescent="0.25">
      <c r="A1603" t="str">
        <f t="shared" si="27"/>
        <v>89301000</v>
      </c>
      <c r="B1603" t="str">
        <f>"1704150063"</f>
        <v>1704150063</v>
      </c>
      <c r="C1603" s="1">
        <v>45005</v>
      </c>
      <c r="D1603" s="1">
        <v>45007</v>
      </c>
      <c r="E1603">
        <v>1</v>
      </c>
      <c r="F1603" t="str">
        <f>"03-I21-00"</f>
        <v>03-I21-00</v>
      </c>
      <c r="G1603">
        <v>0.42449999999999999</v>
      </c>
      <c r="H1603" t="s">
        <v>11</v>
      </c>
      <c r="I1603" t="s">
        <v>10</v>
      </c>
    </row>
    <row r="1604" spans="1:9" x14ac:dyDescent="0.25">
      <c r="A1604" t="str">
        <f t="shared" si="27"/>
        <v>89301000</v>
      </c>
      <c r="B1604" t="str">
        <f>"1704160062"</f>
        <v>1704160062</v>
      </c>
      <c r="C1604" s="1">
        <v>45242</v>
      </c>
      <c r="D1604" s="1">
        <v>45243</v>
      </c>
      <c r="E1604">
        <v>1</v>
      </c>
      <c r="F1604" t="str">
        <f>"23-K01-00"</f>
        <v>23-K01-00</v>
      </c>
      <c r="G1604">
        <v>0.1401</v>
      </c>
      <c r="H1604" t="s">
        <v>11</v>
      </c>
      <c r="I1604" t="s">
        <v>10</v>
      </c>
    </row>
    <row r="1605" spans="1:9" x14ac:dyDescent="0.25">
      <c r="A1605" t="str">
        <f t="shared" si="27"/>
        <v>89301000</v>
      </c>
      <c r="B1605" t="str">
        <f>"1704170930"</f>
        <v>1704170930</v>
      </c>
      <c r="C1605" s="1">
        <v>44973</v>
      </c>
      <c r="D1605" s="1">
        <v>44976</v>
      </c>
      <c r="E1605">
        <v>1</v>
      </c>
      <c r="F1605" t="str">
        <f>"03-I16-02"</f>
        <v>03-I16-02</v>
      </c>
      <c r="G1605">
        <v>0.92979999999999996</v>
      </c>
      <c r="H1605" t="s">
        <v>9</v>
      </c>
      <c r="I1605" t="s">
        <v>10</v>
      </c>
    </row>
    <row r="1606" spans="1:9" x14ac:dyDescent="0.25">
      <c r="A1606" t="str">
        <f t="shared" si="27"/>
        <v>89301000</v>
      </c>
      <c r="B1606" t="str">
        <f>"1704191874"</f>
        <v>1704191874</v>
      </c>
      <c r="C1606" s="1">
        <v>45277</v>
      </c>
      <c r="D1606" s="1">
        <v>45279</v>
      </c>
      <c r="E1606">
        <v>1</v>
      </c>
      <c r="F1606" t="str">
        <f>"03-I21-00"</f>
        <v>03-I21-00</v>
      </c>
      <c r="G1606">
        <v>0.42449999999999999</v>
      </c>
      <c r="H1606" t="s">
        <v>11</v>
      </c>
      <c r="I1606" t="s">
        <v>10</v>
      </c>
    </row>
    <row r="1607" spans="1:9" x14ac:dyDescent="0.25">
      <c r="A1607" t="str">
        <f t="shared" si="27"/>
        <v>89301000</v>
      </c>
      <c r="B1607" t="str">
        <f>"1704220122"</f>
        <v>1704220122</v>
      </c>
      <c r="C1607" s="1">
        <v>44951</v>
      </c>
      <c r="D1607" s="1">
        <v>44953</v>
      </c>
      <c r="E1607">
        <v>1</v>
      </c>
      <c r="F1607" t="str">
        <f>"06-I17-05"</f>
        <v>06-I17-05</v>
      </c>
      <c r="G1607">
        <v>0.39529999999999998</v>
      </c>
      <c r="H1607" t="s">
        <v>12</v>
      </c>
      <c r="I1607" t="s">
        <v>10</v>
      </c>
    </row>
    <row r="1608" spans="1:9" x14ac:dyDescent="0.25">
      <c r="A1608" t="str">
        <f t="shared" si="27"/>
        <v>89301000</v>
      </c>
      <c r="B1608" t="str">
        <f>"1704241363"</f>
        <v>1704241363</v>
      </c>
      <c r="C1608" s="1">
        <v>45084</v>
      </c>
      <c r="D1608" s="1">
        <v>45090</v>
      </c>
      <c r="E1608">
        <v>1</v>
      </c>
      <c r="F1608" t="str">
        <f>"06-I18-04"</f>
        <v>06-I18-04</v>
      </c>
      <c r="G1608">
        <v>1.1088</v>
      </c>
      <c r="H1608" t="s">
        <v>9</v>
      </c>
      <c r="I1608" t="s">
        <v>10</v>
      </c>
    </row>
    <row r="1609" spans="1:9" x14ac:dyDescent="0.25">
      <c r="A1609" t="str">
        <f t="shared" si="27"/>
        <v>89301000</v>
      </c>
      <c r="B1609" t="str">
        <f>"1704281722"</f>
        <v>1704281722</v>
      </c>
      <c r="C1609" s="1">
        <v>45235</v>
      </c>
      <c r="D1609" s="1">
        <v>45237</v>
      </c>
      <c r="E1609">
        <v>1</v>
      </c>
      <c r="F1609" t="str">
        <f>"02-I11-01"</f>
        <v>02-I11-01</v>
      </c>
      <c r="G1609">
        <v>0.80620000000000003</v>
      </c>
      <c r="H1609" t="s">
        <v>12</v>
      </c>
      <c r="I1609" t="s">
        <v>10</v>
      </c>
    </row>
    <row r="1610" spans="1:9" x14ac:dyDescent="0.25">
      <c r="A1610" t="str">
        <f t="shared" si="27"/>
        <v>89301000</v>
      </c>
      <c r="B1610" t="str">
        <f>"1704300246"</f>
        <v>1704300246</v>
      </c>
      <c r="C1610" s="1">
        <v>45062</v>
      </c>
      <c r="D1610" s="1">
        <v>45065</v>
      </c>
      <c r="E1610">
        <v>1</v>
      </c>
      <c r="F1610" t="str">
        <f>"08-I21-02"</f>
        <v>08-I21-02</v>
      </c>
      <c r="G1610">
        <v>1.2658</v>
      </c>
      <c r="H1610" t="s">
        <v>12</v>
      </c>
      <c r="I1610" t="s">
        <v>10</v>
      </c>
    </row>
    <row r="1611" spans="1:9" x14ac:dyDescent="0.25">
      <c r="A1611" t="str">
        <f t="shared" si="27"/>
        <v>89301000</v>
      </c>
      <c r="B1611" t="str">
        <f>"1705040403"</f>
        <v>1705040403</v>
      </c>
      <c r="C1611" s="1">
        <v>45175</v>
      </c>
      <c r="D1611" s="1">
        <v>45177</v>
      </c>
      <c r="E1611">
        <v>1</v>
      </c>
      <c r="F1611" t="str">
        <f>"06-I16-05"</f>
        <v>06-I16-05</v>
      </c>
      <c r="G1611">
        <v>0.4622</v>
      </c>
      <c r="H1611" t="s">
        <v>9</v>
      </c>
      <c r="I1611" t="s">
        <v>10</v>
      </c>
    </row>
    <row r="1612" spans="1:9" x14ac:dyDescent="0.25">
      <c r="A1612" t="str">
        <f t="shared" si="27"/>
        <v>89301000</v>
      </c>
      <c r="B1612" t="str">
        <f>"1705070257"</f>
        <v>1705070257</v>
      </c>
      <c r="C1612" s="1">
        <v>45018</v>
      </c>
      <c r="D1612" s="1">
        <v>45020</v>
      </c>
      <c r="E1612">
        <v>1</v>
      </c>
      <c r="F1612" t="str">
        <f>"03-I21-00"</f>
        <v>03-I21-00</v>
      </c>
      <c r="G1612">
        <v>0.4335</v>
      </c>
      <c r="H1612" t="s">
        <v>11</v>
      </c>
      <c r="I1612" t="s">
        <v>10</v>
      </c>
    </row>
    <row r="1613" spans="1:9" x14ac:dyDescent="0.25">
      <c r="A1613" t="str">
        <f t="shared" si="27"/>
        <v>89301000</v>
      </c>
      <c r="B1613" t="str">
        <f>"1705120494"</f>
        <v>1705120494</v>
      </c>
      <c r="C1613" s="1">
        <v>45071</v>
      </c>
      <c r="D1613" s="1">
        <v>45073</v>
      </c>
      <c r="E1613">
        <v>1</v>
      </c>
      <c r="F1613" t="str">
        <f>"03-I21-00"</f>
        <v>03-I21-00</v>
      </c>
      <c r="G1613">
        <v>0.42449999999999999</v>
      </c>
      <c r="H1613" t="s">
        <v>11</v>
      </c>
      <c r="I1613" t="s">
        <v>10</v>
      </c>
    </row>
    <row r="1614" spans="1:9" x14ac:dyDescent="0.25">
      <c r="A1614" t="str">
        <f t="shared" si="27"/>
        <v>89301000</v>
      </c>
      <c r="B1614" t="str">
        <f>"1705170368"</f>
        <v>1705170368</v>
      </c>
      <c r="C1614" s="1">
        <v>45187</v>
      </c>
      <c r="D1614" s="1">
        <v>45190</v>
      </c>
      <c r="E1614">
        <v>6</v>
      </c>
      <c r="F1614" t="str">
        <f>"04-K02-04"</f>
        <v>04-K02-04</v>
      </c>
      <c r="G1614">
        <v>0.82099999999999995</v>
      </c>
      <c r="H1614" t="s">
        <v>11</v>
      </c>
      <c r="I1614" t="s">
        <v>10</v>
      </c>
    </row>
    <row r="1615" spans="1:9" x14ac:dyDescent="0.25">
      <c r="A1615" t="str">
        <f t="shared" si="27"/>
        <v>89301000</v>
      </c>
      <c r="B1615" t="str">
        <f>"1705190256"</f>
        <v>1705190256</v>
      </c>
      <c r="C1615" s="1">
        <v>44966</v>
      </c>
      <c r="D1615" s="1">
        <v>44968</v>
      </c>
      <c r="E1615">
        <v>1</v>
      </c>
      <c r="F1615" t="str">
        <f>"06-K22-03"</f>
        <v>06-K22-03</v>
      </c>
      <c r="G1615">
        <v>0.31619999999999998</v>
      </c>
      <c r="H1615" t="s">
        <v>11</v>
      </c>
      <c r="I1615" t="s">
        <v>10</v>
      </c>
    </row>
    <row r="1616" spans="1:9" x14ac:dyDescent="0.25">
      <c r="A1616" t="str">
        <f t="shared" si="27"/>
        <v>89301000</v>
      </c>
      <c r="B1616" t="str">
        <f>"1705191708"</f>
        <v>1705191708</v>
      </c>
      <c r="C1616" s="1">
        <v>44953</v>
      </c>
      <c r="D1616" s="1">
        <v>44960</v>
      </c>
      <c r="E1616">
        <v>1</v>
      </c>
      <c r="F1616" t="str">
        <f>"16-C04-05"</f>
        <v>16-C04-05</v>
      </c>
      <c r="G1616">
        <v>1.1753</v>
      </c>
      <c r="H1616" t="s">
        <v>11</v>
      </c>
      <c r="I1616" t="s">
        <v>10</v>
      </c>
    </row>
    <row r="1617" spans="1:9" x14ac:dyDescent="0.25">
      <c r="A1617" t="str">
        <f t="shared" si="27"/>
        <v>89301000</v>
      </c>
      <c r="B1617" t="str">
        <f>"1705250503"</f>
        <v>1705250503</v>
      </c>
      <c r="C1617" s="1">
        <v>45104</v>
      </c>
      <c r="D1617" s="1">
        <v>45106</v>
      </c>
      <c r="E1617">
        <v>1</v>
      </c>
      <c r="F1617" t="str">
        <f>"06-K02-04"</f>
        <v>06-K02-04</v>
      </c>
      <c r="G1617">
        <v>0.37659999999999999</v>
      </c>
      <c r="H1617" t="s">
        <v>11</v>
      </c>
      <c r="I1617" t="s">
        <v>10</v>
      </c>
    </row>
    <row r="1618" spans="1:9" x14ac:dyDescent="0.25">
      <c r="A1618" t="str">
        <f t="shared" si="27"/>
        <v>89301000</v>
      </c>
      <c r="B1618" t="str">
        <f>"1705250503"</f>
        <v>1705250503</v>
      </c>
      <c r="C1618" s="1">
        <v>45152</v>
      </c>
      <c r="D1618" s="1">
        <v>45153</v>
      </c>
      <c r="E1618">
        <v>1</v>
      </c>
      <c r="F1618" t="str">
        <f>"06-K02-04"</f>
        <v>06-K02-04</v>
      </c>
      <c r="G1618">
        <v>0.37659999999999999</v>
      </c>
      <c r="H1618" t="s">
        <v>11</v>
      </c>
      <c r="I1618" t="s">
        <v>10</v>
      </c>
    </row>
    <row r="1619" spans="1:9" x14ac:dyDescent="0.25">
      <c r="A1619" t="str">
        <f t="shared" si="27"/>
        <v>89301000</v>
      </c>
      <c r="B1619" t="str">
        <f>"1705300839"</f>
        <v>1705300839</v>
      </c>
      <c r="C1619" s="1">
        <v>45180</v>
      </c>
      <c r="D1619" s="1">
        <v>45182</v>
      </c>
      <c r="E1619">
        <v>1</v>
      </c>
      <c r="F1619" t="str">
        <f>"12-I13-02"</f>
        <v>12-I13-02</v>
      </c>
      <c r="G1619">
        <v>0.53879999999999995</v>
      </c>
      <c r="H1619" t="s">
        <v>9</v>
      </c>
      <c r="I1619" t="s">
        <v>10</v>
      </c>
    </row>
    <row r="1620" spans="1:9" x14ac:dyDescent="0.25">
      <c r="A1620" t="str">
        <f t="shared" si="27"/>
        <v>89301000</v>
      </c>
      <c r="B1620" t="str">
        <f>"1706130624"</f>
        <v>1706130624</v>
      </c>
      <c r="C1620" s="1">
        <v>45176</v>
      </c>
      <c r="D1620" s="1">
        <v>45178</v>
      </c>
      <c r="E1620">
        <v>1</v>
      </c>
      <c r="F1620" t="str">
        <f>"03-I21-00"</f>
        <v>03-I21-00</v>
      </c>
      <c r="G1620">
        <v>0.42449999999999999</v>
      </c>
      <c r="H1620" t="s">
        <v>11</v>
      </c>
      <c r="I1620" t="s">
        <v>10</v>
      </c>
    </row>
    <row r="1621" spans="1:9" x14ac:dyDescent="0.25">
      <c r="A1621" t="str">
        <f t="shared" si="27"/>
        <v>89301000</v>
      </c>
      <c r="B1621" t="str">
        <f>"1706140304"</f>
        <v>1706140304</v>
      </c>
      <c r="C1621" s="1">
        <v>45061</v>
      </c>
      <c r="D1621" s="1">
        <v>45063</v>
      </c>
      <c r="E1621">
        <v>1</v>
      </c>
      <c r="F1621" t="str">
        <f>"04-K02-04"</f>
        <v>04-K02-04</v>
      </c>
      <c r="G1621">
        <v>0.82099999999999995</v>
      </c>
      <c r="H1621" t="s">
        <v>11</v>
      </c>
      <c r="I1621" t="s">
        <v>10</v>
      </c>
    </row>
    <row r="1622" spans="1:9" x14ac:dyDescent="0.25">
      <c r="A1622" t="str">
        <f t="shared" si="27"/>
        <v>89301000</v>
      </c>
      <c r="B1622" t="str">
        <f>"1706280323"</f>
        <v>1706280323</v>
      </c>
      <c r="C1622" s="1">
        <v>45062</v>
      </c>
      <c r="D1622" s="1">
        <v>45064</v>
      </c>
      <c r="E1622">
        <v>1</v>
      </c>
      <c r="F1622" t="str">
        <f>"01-K03-07"</f>
        <v>01-K03-07</v>
      </c>
      <c r="G1622">
        <v>0.5988</v>
      </c>
      <c r="H1622" t="s">
        <v>11</v>
      </c>
      <c r="I1622" t="s">
        <v>10</v>
      </c>
    </row>
    <row r="1623" spans="1:9" x14ac:dyDescent="0.25">
      <c r="A1623" t="str">
        <f t="shared" si="27"/>
        <v>89301000</v>
      </c>
      <c r="B1623" t="str">
        <f>"1707020733"</f>
        <v>1707020733</v>
      </c>
      <c r="C1623" s="1">
        <v>44949</v>
      </c>
      <c r="D1623" s="1">
        <v>44952</v>
      </c>
      <c r="E1623">
        <v>1</v>
      </c>
      <c r="F1623" t="str">
        <f>"03-I21-00"</f>
        <v>03-I21-00</v>
      </c>
      <c r="G1623">
        <v>0.42449999999999999</v>
      </c>
      <c r="H1623" t="s">
        <v>11</v>
      </c>
      <c r="I1623" t="s">
        <v>10</v>
      </c>
    </row>
    <row r="1624" spans="1:9" x14ac:dyDescent="0.25">
      <c r="A1624" t="str">
        <f t="shared" si="27"/>
        <v>89301000</v>
      </c>
      <c r="B1624" t="str">
        <f>"1707101968"</f>
        <v>1707101968</v>
      </c>
      <c r="C1624" s="1">
        <v>45095</v>
      </c>
      <c r="D1624" s="1">
        <v>45097</v>
      </c>
      <c r="E1624">
        <v>1</v>
      </c>
      <c r="F1624" t="str">
        <f>"02-I11-01"</f>
        <v>02-I11-01</v>
      </c>
      <c r="G1624">
        <v>0.80620000000000003</v>
      </c>
      <c r="H1624" t="s">
        <v>12</v>
      </c>
      <c r="I1624" t="s">
        <v>10</v>
      </c>
    </row>
    <row r="1625" spans="1:9" x14ac:dyDescent="0.25">
      <c r="A1625" t="str">
        <f t="shared" si="27"/>
        <v>89301000</v>
      </c>
      <c r="B1625" t="str">
        <f>"1707110174"</f>
        <v>1707110174</v>
      </c>
      <c r="C1625" s="1">
        <v>45255</v>
      </c>
      <c r="D1625" s="1">
        <v>45256</v>
      </c>
      <c r="E1625">
        <v>1</v>
      </c>
      <c r="F1625" t="str">
        <f>"01-K16-06"</f>
        <v>01-K16-06</v>
      </c>
      <c r="G1625">
        <v>0.27150000000000002</v>
      </c>
      <c r="H1625" t="s">
        <v>11</v>
      </c>
      <c r="I1625" t="s">
        <v>10</v>
      </c>
    </row>
    <row r="1626" spans="1:9" x14ac:dyDescent="0.25">
      <c r="A1626" t="str">
        <f t="shared" si="27"/>
        <v>89301000</v>
      </c>
      <c r="B1626" t="str">
        <f>"1707190001"</f>
        <v>1707190001</v>
      </c>
      <c r="C1626" s="1">
        <v>44980</v>
      </c>
      <c r="D1626" s="1">
        <v>44982</v>
      </c>
      <c r="E1626">
        <v>1</v>
      </c>
      <c r="F1626" t="str">
        <f>"03-I21-00"</f>
        <v>03-I21-00</v>
      </c>
      <c r="G1626">
        <v>0.42449999999999999</v>
      </c>
      <c r="H1626" t="s">
        <v>11</v>
      </c>
      <c r="I1626" t="s">
        <v>10</v>
      </c>
    </row>
    <row r="1627" spans="1:9" x14ac:dyDescent="0.25">
      <c r="A1627" t="str">
        <f t="shared" si="27"/>
        <v>89301000</v>
      </c>
      <c r="B1627" t="str">
        <f>"1708050014"</f>
        <v>1708050014</v>
      </c>
      <c r="C1627" s="1">
        <v>45000</v>
      </c>
      <c r="D1627" s="1">
        <v>45001</v>
      </c>
      <c r="E1627">
        <v>1</v>
      </c>
      <c r="F1627" t="str">
        <f>"10-K16-03"</f>
        <v>10-K16-03</v>
      </c>
      <c r="G1627">
        <v>0.34539999999999998</v>
      </c>
      <c r="H1627" t="s">
        <v>11</v>
      </c>
      <c r="I1627" t="s">
        <v>10</v>
      </c>
    </row>
    <row r="1628" spans="1:9" x14ac:dyDescent="0.25">
      <c r="A1628" t="str">
        <f t="shared" si="27"/>
        <v>89301000</v>
      </c>
      <c r="B1628" t="str">
        <f>"1708100460"</f>
        <v>1708100460</v>
      </c>
      <c r="C1628" s="1">
        <v>45204</v>
      </c>
      <c r="D1628" s="1">
        <v>45206</v>
      </c>
      <c r="E1628">
        <v>1</v>
      </c>
      <c r="F1628" t="str">
        <f>"12-I13-02"</f>
        <v>12-I13-02</v>
      </c>
      <c r="G1628">
        <v>0.53879999999999995</v>
      </c>
      <c r="H1628" t="s">
        <v>9</v>
      </c>
      <c r="I1628" t="s">
        <v>10</v>
      </c>
    </row>
    <row r="1629" spans="1:9" x14ac:dyDescent="0.25">
      <c r="A1629" t="str">
        <f t="shared" si="27"/>
        <v>89301000</v>
      </c>
      <c r="B1629" t="str">
        <f>"1708100845"</f>
        <v>1708100845</v>
      </c>
      <c r="C1629" s="1">
        <v>45190</v>
      </c>
      <c r="D1629" s="1">
        <v>45192</v>
      </c>
      <c r="E1629">
        <v>1</v>
      </c>
      <c r="F1629" t="str">
        <f>"12-I10-02"</f>
        <v>12-I10-02</v>
      </c>
      <c r="G1629">
        <v>0.51690000000000003</v>
      </c>
      <c r="H1629" t="s">
        <v>9</v>
      </c>
      <c r="I1629" t="s">
        <v>10</v>
      </c>
    </row>
    <row r="1630" spans="1:9" x14ac:dyDescent="0.25">
      <c r="A1630" t="str">
        <f t="shared" si="27"/>
        <v>89301000</v>
      </c>
      <c r="B1630" t="str">
        <f>"1708160344"</f>
        <v>1708160344</v>
      </c>
      <c r="C1630" s="1">
        <v>45276</v>
      </c>
      <c r="D1630" s="1">
        <v>45281</v>
      </c>
      <c r="E1630">
        <v>1</v>
      </c>
      <c r="F1630" t="str">
        <f>"03-K06-01"</f>
        <v>03-K06-01</v>
      </c>
      <c r="G1630">
        <v>0.4713</v>
      </c>
      <c r="H1630" t="s">
        <v>11</v>
      </c>
      <c r="I1630" t="s">
        <v>10</v>
      </c>
    </row>
    <row r="1631" spans="1:9" x14ac:dyDescent="0.25">
      <c r="A1631" t="str">
        <f t="shared" si="27"/>
        <v>89301000</v>
      </c>
      <c r="B1631" t="str">
        <f>"1708240413"</f>
        <v>1708240413</v>
      </c>
      <c r="C1631" s="1">
        <v>45190</v>
      </c>
      <c r="D1631" s="1">
        <v>45192</v>
      </c>
      <c r="E1631">
        <v>1</v>
      </c>
      <c r="F1631" t="str">
        <f>"03-I21-00"</f>
        <v>03-I21-00</v>
      </c>
      <c r="G1631">
        <v>0.42449999999999999</v>
      </c>
      <c r="H1631" t="s">
        <v>11</v>
      </c>
      <c r="I1631" t="s">
        <v>10</v>
      </c>
    </row>
    <row r="1632" spans="1:9" x14ac:dyDescent="0.25">
      <c r="A1632" t="str">
        <f t="shared" si="27"/>
        <v>89301000</v>
      </c>
      <c r="B1632" t="str">
        <f>"1708250291"</f>
        <v>1708250291</v>
      </c>
      <c r="C1632" s="1">
        <v>45036</v>
      </c>
      <c r="D1632" s="1">
        <v>45038</v>
      </c>
      <c r="E1632">
        <v>1</v>
      </c>
      <c r="F1632" t="str">
        <f>"03-I21-00"</f>
        <v>03-I21-00</v>
      </c>
      <c r="G1632">
        <v>0.42449999999999999</v>
      </c>
      <c r="H1632" t="s">
        <v>11</v>
      </c>
      <c r="I1632" t="s">
        <v>10</v>
      </c>
    </row>
    <row r="1633" spans="1:9" x14ac:dyDescent="0.25">
      <c r="A1633" t="str">
        <f t="shared" si="27"/>
        <v>89301000</v>
      </c>
      <c r="B1633" t="str">
        <f>"1708300198"</f>
        <v>1708300198</v>
      </c>
      <c r="C1633" s="1">
        <v>45244</v>
      </c>
      <c r="D1633" s="1">
        <v>45245</v>
      </c>
      <c r="E1633">
        <v>1</v>
      </c>
      <c r="F1633" t="str">
        <f>"03-K02-03"</f>
        <v>03-K02-03</v>
      </c>
      <c r="G1633">
        <v>0.34050000000000002</v>
      </c>
      <c r="H1633" t="s">
        <v>11</v>
      </c>
      <c r="I1633" t="s">
        <v>10</v>
      </c>
    </row>
    <row r="1634" spans="1:9" x14ac:dyDescent="0.25">
      <c r="A1634" t="str">
        <f t="shared" si="27"/>
        <v>89301000</v>
      </c>
      <c r="B1634" t="str">
        <f>"1709080230"</f>
        <v>1709080230</v>
      </c>
      <c r="C1634" s="1">
        <v>45088</v>
      </c>
      <c r="D1634" s="1">
        <v>45090</v>
      </c>
      <c r="E1634">
        <v>1</v>
      </c>
      <c r="F1634" t="str">
        <f>"03-I21-00"</f>
        <v>03-I21-00</v>
      </c>
      <c r="G1634">
        <v>0.42759999999999998</v>
      </c>
      <c r="H1634" t="s">
        <v>11</v>
      </c>
      <c r="I1634" t="s">
        <v>10</v>
      </c>
    </row>
    <row r="1635" spans="1:9" x14ac:dyDescent="0.25">
      <c r="A1635" t="str">
        <f t="shared" si="27"/>
        <v>89301000</v>
      </c>
      <c r="B1635" t="str">
        <f>"1709240071"</f>
        <v>1709240071</v>
      </c>
      <c r="C1635" s="1">
        <v>45236</v>
      </c>
      <c r="D1635" s="1">
        <v>45238</v>
      </c>
      <c r="E1635">
        <v>1</v>
      </c>
      <c r="F1635" t="str">
        <f>"06-I17-05"</f>
        <v>06-I17-05</v>
      </c>
      <c r="G1635">
        <v>0.39529999999999998</v>
      </c>
      <c r="H1635" t="s">
        <v>12</v>
      </c>
      <c r="I1635" t="s">
        <v>10</v>
      </c>
    </row>
    <row r="1636" spans="1:9" x14ac:dyDescent="0.25">
      <c r="A1636" t="str">
        <f t="shared" si="27"/>
        <v>89301000</v>
      </c>
      <c r="B1636" t="str">
        <f>"1709250422"</f>
        <v>1709250422</v>
      </c>
      <c r="C1636" s="1">
        <v>45001</v>
      </c>
      <c r="D1636" s="1">
        <v>45003</v>
      </c>
      <c r="E1636">
        <v>1</v>
      </c>
      <c r="F1636" t="str">
        <f>"03-I21-00"</f>
        <v>03-I21-00</v>
      </c>
      <c r="G1636">
        <v>0.42449999999999999</v>
      </c>
      <c r="H1636" t="s">
        <v>11</v>
      </c>
      <c r="I1636" t="s">
        <v>10</v>
      </c>
    </row>
    <row r="1637" spans="1:9" x14ac:dyDescent="0.25">
      <c r="A1637" t="str">
        <f t="shared" si="27"/>
        <v>89301000</v>
      </c>
      <c r="B1637" t="str">
        <f>"1709290231"</f>
        <v>1709290231</v>
      </c>
      <c r="C1637" s="1">
        <v>45265</v>
      </c>
      <c r="D1637" s="1">
        <v>45266</v>
      </c>
      <c r="E1637">
        <v>1</v>
      </c>
      <c r="F1637" t="str">
        <f>"08-I20-03"</f>
        <v>08-I20-03</v>
      </c>
      <c r="G1637">
        <v>0.62639999999999996</v>
      </c>
      <c r="H1637" t="s">
        <v>12</v>
      </c>
      <c r="I1637" t="s">
        <v>10</v>
      </c>
    </row>
    <row r="1638" spans="1:9" x14ac:dyDescent="0.25">
      <c r="A1638" t="str">
        <f t="shared" si="27"/>
        <v>89301000</v>
      </c>
      <c r="B1638" t="str">
        <f>"1710081098"</f>
        <v>1710081098</v>
      </c>
      <c r="C1638" s="1">
        <v>45172</v>
      </c>
      <c r="D1638" s="1">
        <v>45174</v>
      </c>
      <c r="E1638">
        <v>1</v>
      </c>
      <c r="F1638" t="str">
        <f>"03-I21-00"</f>
        <v>03-I21-00</v>
      </c>
      <c r="G1638">
        <v>0.42449999999999999</v>
      </c>
      <c r="H1638" t="s">
        <v>11</v>
      </c>
      <c r="I1638" t="s">
        <v>10</v>
      </c>
    </row>
    <row r="1639" spans="1:9" x14ac:dyDescent="0.25">
      <c r="A1639" t="str">
        <f t="shared" si="27"/>
        <v>89301000</v>
      </c>
      <c r="B1639" t="str">
        <f>"1710081098"</f>
        <v>1710081098</v>
      </c>
      <c r="C1639" s="1">
        <v>45204</v>
      </c>
      <c r="D1639" s="1">
        <v>45206</v>
      </c>
      <c r="E1639">
        <v>1</v>
      </c>
      <c r="F1639" t="str">
        <f>"12-I10-02"</f>
        <v>12-I10-02</v>
      </c>
      <c r="G1639">
        <v>0.51690000000000003</v>
      </c>
      <c r="H1639" t="s">
        <v>9</v>
      </c>
      <c r="I1639" t="s">
        <v>10</v>
      </c>
    </row>
    <row r="1640" spans="1:9" x14ac:dyDescent="0.25">
      <c r="A1640" t="str">
        <f t="shared" si="27"/>
        <v>89301000</v>
      </c>
      <c r="B1640" t="str">
        <f>"1710270760"</f>
        <v>1710270760</v>
      </c>
      <c r="C1640" s="1">
        <v>44934</v>
      </c>
      <c r="D1640" s="1">
        <v>44936</v>
      </c>
      <c r="E1640">
        <v>1</v>
      </c>
      <c r="F1640" t="str">
        <f>"03-I21-00"</f>
        <v>03-I21-00</v>
      </c>
      <c r="G1640">
        <v>0.42449999999999999</v>
      </c>
      <c r="H1640" t="s">
        <v>11</v>
      </c>
      <c r="I1640" t="s">
        <v>10</v>
      </c>
    </row>
    <row r="1641" spans="1:9" x14ac:dyDescent="0.25">
      <c r="A1641" t="str">
        <f t="shared" si="27"/>
        <v>89301000</v>
      </c>
      <c r="B1641" t="str">
        <f>"1710290043"</f>
        <v>1710290043</v>
      </c>
      <c r="C1641" s="1">
        <v>44977</v>
      </c>
      <c r="D1641" s="1">
        <v>44978</v>
      </c>
      <c r="E1641">
        <v>1</v>
      </c>
      <c r="F1641" t="str">
        <f>"01-K06-00"</f>
        <v>01-K06-00</v>
      </c>
      <c r="G1641">
        <v>0.1535</v>
      </c>
      <c r="H1641" t="s">
        <v>11</v>
      </c>
      <c r="I1641" t="s">
        <v>10</v>
      </c>
    </row>
    <row r="1642" spans="1:9" x14ac:dyDescent="0.25">
      <c r="A1642" t="str">
        <f t="shared" si="27"/>
        <v>89301000</v>
      </c>
      <c r="B1642" t="str">
        <f>"1711011753"</f>
        <v>1711011753</v>
      </c>
      <c r="C1642" s="1">
        <v>45219</v>
      </c>
      <c r="D1642" s="1">
        <v>45223</v>
      </c>
      <c r="E1642">
        <v>1</v>
      </c>
      <c r="F1642" t="str">
        <f>"01-K02-04"</f>
        <v>01-K02-04</v>
      </c>
      <c r="G1642">
        <v>1.2504</v>
      </c>
      <c r="H1642" t="s">
        <v>11</v>
      </c>
      <c r="I1642" t="s">
        <v>10</v>
      </c>
    </row>
    <row r="1643" spans="1:9" x14ac:dyDescent="0.25">
      <c r="A1643" t="str">
        <f t="shared" si="27"/>
        <v>89301000</v>
      </c>
      <c r="B1643" t="str">
        <f>"1711060285"</f>
        <v>1711060285</v>
      </c>
      <c r="C1643" s="1">
        <v>45139</v>
      </c>
      <c r="D1643" s="1">
        <v>45140</v>
      </c>
      <c r="E1643">
        <v>1</v>
      </c>
      <c r="F1643" t="str">
        <f>"01-K03-07"</f>
        <v>01-K03-07</v>
      </c>
      <c r="G1643">
        <v>0.5988</v>
      </c>
      <c r="H1643" t="s">
        <v>11</v>
      </c>
      <c r="I1643" t="s">
        <v>10</v>
      </c>
    </row>
    <row r="1644" spans="1:9" x14ac:dyDescent="0.25">
      <c r="A1644" t="str">
        <f t="shared" si="27"/>
        <v>89301000</v>
      </c>
      <c r="B1644" t="str">
        <f>"1711070614"</f>
        <v>1711070614</v>
      </c>
      <c r="C1644" s="1">
        <v>45174</v>
      </c>
      <c r="D1644" s="1">
        <v>45182</v>
      </c>
      <c r="E1644">
        <v>1</v>
      </c>
      <c r="F1644" t="str">
        <f>"11-K03-01"</f>
        <v>11-K03-01</v>
      </c>
      <c r="G1644">
        <v>1.2875000000000001</v>
      </c>
      <c r="H1644" t="s">
        <v>11</v>
      </c>
      <c r="I1644" t="s">
        <v>10</v>
      </c>
    </row>
    <row r="1645" spans="1:9" x14ac:dyDescent="0.25">
      <c r="A1645" t="str">
        <f t="shared" si="27"/>
        <v>89301000</v>
      </c>
      <c r="B1645" t="str">
        <f>"1711100248"</f>
        <v>1711100248</v>
      </c>
      <c r="C1645" s="1">
        <v>45050</v>
      </c>
      <c r="D1645" s="1">
        <v>45052</v>
      </c>
      <c r="E1645">
        <v>1</v>
      </c>
      <c r="F1645" t="str">
        <f>"03-I21-00"</f>
        <v>03-I21-00</v>
      </c>
      <c r="G1645">
        <v>0.42759999999999998</v>
      </c>
      <c r="H1645" t="s">
        <v>11</v>
      </c>
      <c r="I1645" t="s">
        <v>10</v>
      </c>
    </row>
    <row r="1646" spans="1:9" x14ac:dyDescent="0.25">
      <c r="A1646" t="str">
        <f t="shared" si="27"/>
        <v>89301000</v>
      </c>
      <c r="B1646" t="str">
        <f>"1711240278"</f>
        <v>1711240278</v>
      </c>
      <c r="C1646" s="1">
        <v>45161</v>
      </c>
      <c r="D1646" s="1">
        <v>45163</v>
      </c>
      <c r="E1646">
        <v>1</v>
      </c>
      <c r="F1646" t="str">
        <f>"12-I13-02"</f>
        <v>12-I13-02</v>
      </c>
      <c r="G1646">
        <v>0.53879999999999995</v>
      </c>
      <c r="H1646" t="s">
        <v>9</v>
      </c>
      <c r="I1646" t="s">
        <v>10</v>
      </c>
    </row>
    <row r="1647" spans="1:9" x14ac:dyDescent="0.25">
      <c r="A1647" t="str">
        <f t="shared" si="27"/>
        <v>89301000</v>
      </c>
      <c r="B1647" t="str">
        <f>"1711241862"</f>
        <v>1711241862</v>
      </c>
      <c r="C1647" s="1">
        <v>45133</v>
      </c>
      <c r="D1647" s="1">
        <v>45161</v>
      </c>
      <c r="E1647">
        <v>1</v>
      </c>
      <c r="F1647" t="str">
        <f>"00-M02-04"</f>
        <v>00-M02-04</v>
      </c>
      <c r="G1647">
        <v>12.3385</v>
      </c>
      <c r="H1647" t="s">
        <v>11</v>
      </c>
      <c r="I1647" t="s">
        <v>10</v>
      </c>
    </row>
    <row r="1648" spans="1:9" x14ac:dyDescent="0.25">
      <c r="A1648" t="str">
        <f t="shared" si="27"/>
        <v>89301000</v>
      </c>
      <c r="B1648" t="str">
        <f>"1711241862"</f>
        <v>1711241862</v>
      </c>
      <c r="C1648" s="1">
        <v>45210</v>
      </c>
      <c r="D1648" s="1">
        <v>45213</v>
      </c>
      <c r="E1648">
        <v>1</v>
      </c>
      <c r="F1648" t="str">
        <f>"03-I22-02"</f>
        <v>03-I22-02</v>
      </c>
      <c r="G1648">
        <v>0.49809999999999999</v>
      </c>
      <c r="H1648" t="s">
        <v>11</v>
      </c>
      <c r="I1648" t="s">
        <v>10</v>
      </c>
    </row>
    <row r="1649" spans="1:9" x14ac:dyDescent="0.25">
      <c r="A1649" t="str">
        <f t="shared" si="27"/>
        <v>89301000</v>
      </c>
      <c r="B1649" t="str">
        <f>"1712010762"</f>
        <v>1712010762</v>
      </c>
      <c r="C1649" s="1">
        <v>45221</v>
      </c>
      <c r="D1649" s="1">
        <v>45223</v>
      </c>
      <c r="E1649">
        <v>1</v>
      </c>
      <c r="F1649" t="str">
        <f>"03-I21-00"</f>
        <v>03-I21-00</v>
      </c>
      <c r="G1649">
        <v>0.42449999999999999</v>
      </c>
      <c r="H1649" t="s">
        <v>11</v>
      </c>
      <c r="I1649" t="s">
        <v>10</v>
      </c>
    </row>
    <row r="1650" spans="1:9" x14ac:dyDescent="0.25">
      <c r="A1650" t="str">
        <f t="shared" si="27"/>
        <v>89301000</v>
      </c>
      <c r="B1650" t="str">
        <f>"1712050296"</f>
        <v>1712050296</v>
      </c>
      <c r="C1650" s="1">
        <v>45183</v>
      </c>
      <c r="D1650" s="1">
        <v>45185</v>
      </c>
      <c r="E1650">
        <v>1</v>
      </c>
      <c r="F1650" t="str">
        <f>"03-I21-00"</f>
        <v>03-I21-00</v>
      </c>
      <c r="G1650">
        <v>0.42449999999999999</v>
      </c>
      <c r="H1650" t="s">
        <v>11</v>
      </c>
      <c r="I1650" t="s">
        <v>10</v>
      </c>
    </row>
    <row r="1651" spans="1:9" x14ac:dyDescent="0.25">
      <c r="A1651" t="str">
        <f t="shared" si="27"/>
        <v>89301000</v>
      </c>
      <c r="B1651" t="str">
        <f>"1712060328"</f>
        <v>1712060328</v>
      </c>
      <c r="C1651" s="1">
        <v>45081</v>
      </c>
      <c r="D1651" s="1">
        <v>45084</v>
      </c>
      <c r="E1651">
        <v>1</v>
      </c>
      <c r="F1651" t="str">
        <f>"03-I16-02"</f>
        <v>03-I16-02</v>
      </c>
      <c r="G1651">
        <v>0.92979999999999996</v>
      </c>
      <c r="H1651" t="s">
        <v>9</v>
      </c>
      <c r="I1651" t="s">
        <v>10</v>
      </c>
    </row>
    <row r="1652" spans="1:9" x14ac:dyDescent="0.25">
      <c r="A1652" t="str">
        <f t="shared" si="27"/>
        <v>89301000</v>
      </c>
      <c r="B1652" t="str">
        <f>"1712080238"</f>
        <v>1712080238</v>
      </c>
      <c r="C1652" s="1">
        <v>44929</v>
      </c>
      <c r="D1652" s="1">
        <v>44931</v>
      </c>
      <c r="E1652">
        <v>1</v>
      </c>
      <c r="F1652" t="str">
        <f>"01-K18-03"</f>
        <v>01-K18-03</v>
      </c>
      <c r="G1652">
        <v>0.93169999999999997</v>
      </c>
      <c r="H1652" t="s">
        <v>11</v>
      </c>
      <c r="I1652" t="s">
        <v>10</v>
      </c>
    </row>
    <row r="1653" spans="1:9" x14ac:dyDescent="0.25">
      <c r="A1653" t="str">
        <f t="shared" si="27"/>
        <v>89301000</v>
      </c>
      <c r="B1653" t="str">
        <f>"1712081866"</f>
        <v>1712081866</v>
      </c>
      <c r="C1653" s="1">
        <v>44941</v>
      </c>
      <c r="D1653" s="1">
        <v>44943</v>
      </c>
      <c r="E1653">
        <v>1</v>
      </c>
      <c r="F1653" t="str">
        <f>"02-I11-01"</f>
        <v>02-I11-01</v>
      </c>
      <c r="G1653">
        <v>0.80620000000000003</v>
      </c>
      <c r="H1653" t="s">
        <v>12</v>
      </c>
      <c r="I1653" t="s">
        <v>10</v>
      </c>
    </row>
    <row r="1654" spans="1:9" x14ac:dyDescent="0.25">
      <c r="A1654" t="str">
        <f t="shared" si="27"/>
        <v>89301000</v>
      </c>
      <c r="B1654" t="str">
        <f>"1712111357"</f>
        <v>1712111357</v>
      </c>
      <c r="C1654" s="1">
        <v>45050</v>
      </c>
      <c r="D1654" s="1">
        <v>45052</v>
      </c>
      <c r="E1654">
        <v>1</v>
      </c>
      <c r="F1654" t="str">
        <f>"03-I21-00"</f>
        <v>03-I21-00</v>
      </c>
      <c r="G1654">
        <v>0.42449999999999999</v>
      </c>
      <c r="H1654" t="s">
        <v>11</v>
      </c>
      <c r="I1654" t="s">
        <v>10</v>
      </c>
    </row>
    <row r="1655" spans="1:9" x14ac:dyDescent="0.25">
      <c r="A1655" t="str">
        <f t="shared" si="27"/>
        <v>89301000</v>
      </c>
      <c r="B1655" t="str">
        <f>"1712140067"</f>
        <v>1712140067</v>
      </c>
      <c r="C1655" s="1">
        <v>45055</v>
      </c>
      <c r="D1655" s="1">
        <v>45058</v>
      </c>
      <c r="E1655">
        <v>1</v>
      </c>
      <c r="F1655" t="str">
        <f>"10-M01-00"</f>
        <v>10-M01-00</v>
      </c>
      <c r="G1655">
        <v>0.43469999999999998</v>
      </c>
      <c r="H1655" t="s">
        <v>11</v>
      </c>
      <c r="I1655" t="s">
        <v>10</v>
      </c>
    </row>
    <row r="1656" spans="1:9" x14ac:dyDescent="0.25">
      <c r="A1656" t="str">
        <f t="shared" si="27"/>
        <v>89301000</v>
      </c>
      <c r="B1656" t="str">
        <f>"1712190007"</f>
        <v>1712190007</v>
      </c>
      <c r="C1656" s="1">
        <v>45039</v>
      </c>
      <c r="D1656" s="1">
        <v>45041</v>
      </c>
      <c r="E1656">
        <v>1</v>
      </c>
      <c r="F1656" t="str">
        <f>"03-I21-00"</f>
        <v>03-I21-00</v>
      </c>
      <c r="G1656">
        <v>0.42449999999999999</v>
      </c>
      <c r="H1656" t="s">
        <v>11</v>
      </c>
      <c r="I1656" t="s">
        <v>10</v>
      </c>
    </row>
    <row r="1657" spans="1:9" x14ac:dyDescent="0.25">
      <c r="A1657" t="str">
        <f t="shared" ref="A1657:A1720" si="28">"89301000"</f>
        <v>89301000</v>
      </c>
      <c r="B1657" t="str">
        <f>"1712191349"</f>
        <v>1712191349</v>
      </c>
      <c r="C1657" s="1">
        <v>45074</v>
      </c>
      <c r="D1657" s="1">
        <v>45077</v>
      </c>
      <c r="E1657">
        <v>1</v>
      </c>
      <c r="F1657" t="str">
        <f>"03-I16-02"</f>
        <v>03-I16-02</v>
      </c>
      <c r="G1657">
        <v>0.92579999999999996</v>
      </c>
      <c r="H1657" t="s">
        <v>9</v>
      </c>
      <c r="I1657" t="s">
        <v>10</v>
      </c>
    </row>
    <row r="1658" spans="1:9" x14ac:dyDescent="0.25">
      <c r="A1658" t="str">
        <f t="shared" si="28"/>
        <v>89301000</v>
      </c>
      <c r="B1658" t="str">
        <f>"1712200017"</f>
        <v>1712200017</v>
      </c>
      <c r="C1658" s="1">
        <v>45260</v>
      </c>
      <c r="D1658" s="1">
        <v>45262</v>
      </c>
      <c r="E1658">
        <v>1</v>
      </c>
      <c r="F1658" t="str">
        <f>"03-I21-00"</f>
        <v>03-I21-00</v>
      </c>
      <c r="G1658">
        <v>0.43319999999999997</v>
      </c>
      <c r="H1658" t="s">
        <v>11</v>
      </c>
      <c r="I1658" t="s">
        <v>10</v>
      </c>
    </row>
    <row r="1659" spans="1:9" x14ac:dyDescent="0.25">
      <c r="A1659" t="str">
        <f t="shared" si="28"/>
        <v>89301000</v>
      </c>
      <c r="B1659" t="str">
        <f>"1712250144"</f>
        <v>1712250144</v>
      </c>
      <c r="C1659" s="1">
        <v>45228</v>
      </c>
      <c r="D1659" s="1">
        <v>45230</v>
      </c>
      <c r="E1659">
        <v>1</v>
      </c>
      <c r="F1659" t="str">
        <f>"03-I21-00"</f>
        <v>03-I21-00</v>
      </c>
      <c r="G1659">
        <v>0.42449999999999999</v>
      </c>
      <c r="H1659" t="s">
        <v>11</v>
      </c>
      <c r="I1659" t="s">
        <v>10</v>
      </c>
    </row>
    <row r="1660" spans="1:9" x14ac:dyDescent="0.25">
      <c r="A1660" t="str">
        <f t="shared" si="28"/>
        <v>89301000</v>
      </c>
      <c r="B1660" t="str">
        <f>"1712250199"</f>
        <v>1712250199</v>
      </c>
      <c r="C1660" s="1">
        <v>45015</v>
      </c>
      <c r="D1660" s="1">
        <v>45017</v>
      </c>
      <c r="E1660">
        <v>1</v>
      </c>
      <c r="F1660" t="str">
        <f>"03-I21-00"</f>
        <v>03-I21-00</v>
      </c>
      <c r="G1660">
        <v>0.42449999999999999</v>
      </c>
      <c r="H1660" t="s">
        <v>11</v>
      </c>
      <c r="I1660" t="s">
        <v>10</v>
      </c>
    </row>
    <row r="1661" spans="1:9" x14ac:dyDescent="0.25">
      <c r="A1661" t="str">
        <f t="shared" si="28"/>
        <v>89301000</v>
      </c>
      <c r="B1661" t="str">
        <f>"1751091243"</f>
        <v>1751091243</v>
      </c>
      <c r="C1661" s="1">
        <v>45141</v>
      </c>
      <c r="D1661" s="1">
        <v>45142</v>
      </c>
      <c r="E1661">
        <v>1</v>
      </c>
      <c r="F1661" t="str">
        <f>"08-I20-03"</f>
        <v>08-I20-03</v>
      </c>
      <c r="G1661">
        <v>0.62639999999999996</v>
      </c>
      <c r="H1661" t="s">
        <v>12</v>
      </c>
      <c r="I1661" t="s">
        <v>10</v>
      </c>
    </row>
    <row r="1662" spans="1:9" x14ac:dyDescent="0.25">
      <c r="A1662" t="str">
        <f t="shared" si="28"/>
        <v>89301000</v>
      </c>
      <c r="B1662" t="str">
        <f>"1751110218"</f>
        <v>1751110218</v>
      </c>
      <c r="C1662" s="1">
        <v>45124</v>
      </c>
      <c r="D1662" s="1">
        <v>45126</v>
      </c>
      <c r="E1662">
        <v>1</v>
      </c>
      <c r="F1662" t="str">
        <f>"06-K02-04"</f>
        <v>06-K02-04</v>
      </c>
      <c r="G1662">
        <v>0.37659999999999999</v>
      </c>
      <c r="H1662" t="s">
        <v>11</v>
      </c>
      <c r="I1662" t="s">
        <v>10</v>
      </c>
    </row>
    <row r="1663" spans="1:9" x14ac:dyDescent="0.25">
      <c r="A1663" t="str">
        <f t="shared" si="28"/>
        <v>89301000</v>
      </c>
      <c r="B1663" t="str">
        <f>"1751181410"</f>
        <v>1751181410</v>
      </c>
      <c r="C1663" s="1">
        <v>44945</v>
      </c>
      <c r="D1663" s="1">
        <v>44947</v>
      </c>
      <c r="E1663">
        <v>1</v>
      </c>
      <c r="F1663" t="str">
        <f>"03-I21-00"</f>
        <v>03-I21-00</v>
      </c>
      <c r="G1663">
        <v>0.42449999999999999</v>
      </c>
      <c r="H1663" t="s">
        <v>11</v>
      </c>
      <c r="I1663" t="s">
        <v>10</v>
      </c>
    </row>
    <row r="1664" spans="1:9" x14ac:dyDescent="0.25">
      <c r="A1664" t="str">
        <f t="shared" si="28"/>
        <v>89301000</v>
      </c>
      <c r="B1664" t="str">
        <f>"1751260291"</f>
        <v>1751260291</v>
      </c>
      <c r="C1664" s="1">
        <v>45004</v>
      </c>
      <c r="D1664" s="1">
        <v>45006</v>
      </c>
      <c r="E1664">
        <v>1</v>
      </c>
      <c r="F1664" t="str">
        <f>"03-I21-00"</f>
        <v>03-I21-00</v>
      </c>
      <c r="G1664">
        <v>0.42449999999999999</v>
      </c>
      <c r="H1664" t="s">
        <v>11</v>
      </c>
      <c r="I1664" t="s">
        <v>10</v>
      </c>
    </row>
    <row r="1665" spans="1:9" x14ac:dyDescent="0.25">
      <c r="A1665" t="str">
        <f t="shared" si="28"/>
        <v>89301000</v>
      </c>
      <c r="B1665" t="str">
        <f>"1751311848"</f>
        <v>1751311848</v>
      </c>
      <c r="C1665" s="1">
        <v>45257</v>
      </c>
      <c r="D1665" s="1">
        <v>45260</v>
      </c>
      <c r="E1665">
        <v>1</v>
      </c>
      <c r="F1665" t="str">
        <f>"03-I16-02"</f>
        <v>03-I16-02</v>
      </c>
      <c r="G1665">
        <v>0.92579999999999996</v>
      </c>
      <c r="H1665" t="s">
        <v>9</v>
      </c>
      <c r="I1665" t="s">
        <v>10</v>
      </c>
    </row>
    <row r="1666" spans="1:9" x14ac:dyDescent="0.25">
      <c r="A1666" t="str">
        <f t="shared" si="28"/>
        <v>89301000</v>
      </c>
      <c r="B1666" t="str">
        <f>"1752050410"</f>
        <v>1752050410</v>
      </c>
      <c r="C1666" s="1">
        <v>45154</v>
      </c>
      <c r="D1666" s="1">
        <v>45156</v>
      </c>
      <c r="E1666">
        <v>1</v>
      </c>
      <c r="F1666" t="str">
        <f>"06-I16-05"</f>
        <v>06-I16-05</v>
      </c>
      <c r="G1666">
        <v>0.4622</v>
      </c>
      <c r="H1666" t="s">
        <v>9</v>
      </c>
      <c r="I1666" t="s">
        <v>10</v>
      </c>
    </row>
    <row r="1667" spans="1:9" x14ac:dyDescent="0.25">
      <c r="A1667" t="str">
        <f t="shared" si="28"/>
        <v>89301000</v>
      </c>
      <c r="B1667" t="str">
        <f>"1752080264"</f>
        <v>1752080264</v>
      </c>
      <c r="C1667" s="1">
        <v>45189</v>
      </c>
      <c r="D1667" s="1">
        <v>45191</v>
      </c>
      <c r="E1667">
        <v>1</v>
      </c>
      <c r="F1667" t="str">
        <f>"06-K02-04"</f>
        <v>06-K02-04</v>
      </c>
      <c r="G1667">
        <v>0.37809999999999999</v>
      </c>
      <c r="H1667" t="s">
        <v>11</v>
      </c>
      <c r="I1667" t="s">
        <v>10</v>
      </c>
    </row>
    <row r="1668" spans="1:9" x14ac:dyDescent="0.25">
      <c r="A1668" t="str">
        <f t="shared" si="28"/>
        <v>89301000</v>
      </c>
      <c r="B1668" t="str">
        <f>"1752120040"</f>
        <v>1752120040</v>
      </c>
      <c r="C1668" s="1">
        <v>45245</v>
      </c>
      <c r="D1668" s="1">
        <v>45247</v>
      </c>
      <c r="E1668">
        <v>1</v>
      </c>
      <c r="F1668" t="str">
        <f>"06-I17-05"</f>
        <v>06-I17-05</v>
      </c>
      <c r="G1668">
        <v>0.39529999999999998</v>
      </c>
      <c r="H1668" t="s">
        <v>12</v>
      </c>
      <c r="I1668" t="s">
        <v>10</v>
      </c>
    </row>
    <row r="1669" spans="1:9" x14ac:dyDescent="0.25">
      <c r="A1669" t="str">
        <f t="shared" si="28"/>
        <v>89301000</v>
      </c>
      <c r="B1669" t="str">
        <f>"1752141611"</f>
        <v>1752141611</v>
      </c>
      <c r="C1669" s="1">
        <v>45200</v>
      </c>
      <c r="D1669" s="1">
        <v>45202</v>
      </c>
      <c r="E1669">
        <v>1</v>
      </c>
      <c r="F1669" t="str">
        <f>"08-I25-01"</f>
        <v>08-I25-01</v>
      </c>
      <c r="G1669">
        <v>0.92379999999999995</v>
      </c>
      <c r="H1669" t="s">
        <v>11</v>
      </c>
      <c r="I1669" t="s">
        <v>10</v>
      </c>
    </row>
    <row r="1670" spans="1:9" x14ac:dyDescent="0.25">
      <c r="A1670" t="str">
        <f t="shared" si="28"/>
        <v>89301000</v>
      </c>
      <c r="B1670" t="str">
        <f>"1752160212"</f>
        <v>1752160212</v>
      </c>
      <c r="C1670" s="1">
        <v>45127</v>
      </c>
      <c r="D1670" s="1">
        <v>45129</v>
      </c>
      <c r="E1670">
        <v>1</v>
      </c>
      <c r="F1670" t="str">
        <f>"03-I21-00"</f>
        <v>03-I21-00</v>
      </c>
      <c r="G1670">
        <v>0.42449999999999999</v>
      </c>
      <c r="H1670" t="s">
        <v>11</v>
      </c>
      <c r="I1670" t="s">
        <v>10</v>
      </c>
    </row>
    <row r="1671" spans="1:9" x14ac:dyDescent="0.25">
      <c r="A1671" t="str">
        <f t="shared" si="28"/>
        <v>89301000</v>
      </c>
      <c r="B1671" t="str">
        <f>"1752230260"</f>
        <v>1752230260</v>
      </c>
      <c r="C1671" s="1">
        <v>45249</v>
      </c>
      <c r="D1671" s="1">
        <v>45251</v>
      </c>
      <c r="E1671">
        <v>1</v>
      </c>
      <c r="F1671" t="str">
        <f>"03-I21-00"</f>
        <v>03-I21-00</v>
      </c>
      <c r="G1671">
        <v>0.43319999999999997</v>
      </c>
      <c r="H1671" t="s">
        <v>11</v>
      </c>
      <c r="I1671" t="s">
        <v>10</v>
      </c>
    </row>
    <row r="1672" spans="1:9" x14ac:dyDescent="0.25">
      <c r="A1672" t="str">
        <f t="shared" si="28"/>
        <v>89301000</v>
      </c>
      <c r="B1672" t="str">
        <f>"1752280211"</f>
        <v>1752280211</v>
      </c>
      <c r="C1672" s="1">
        <v>45208</v>
      </c>
      <c r="D1672" s="1">
        <v>45211</v>
      </c>
      <c r="E1672">
        <v>1</v>
      </c>
      <c r="F1672" t="str">
        <f>"06-K02-03"</f>
        <v>06-K02-03</v>
      </c>
      <c r="G1672">
        <v>0.50470000000000004</v>
      </c>
      <c r="H1672" t="s">
        <v>11</v>
      </c>
      <c r="I1672" t="s">
        <v>10</v>
      </c>
    </row>
    <row r="1673" spans="1:9" x14ac:dyDescent="0.25">
      <c r="A1673" t="str">
        <f t="shared" si="28"/>
        <v>89301000</v>
      </c>
      <c r="B1673" t="str">
        <f>"1753030345"</f>
        <v>1753030345</v>
      </c>
      <c r="C1673" s="1">
        <v>45014</v>
      </c>
      <c r="D1673" s="1">
        <v>45016</v>
      </c>
      <c r="E1673">
        <v>1</v>
      </c>
      <c r="F1673" t="str">
        <f>"06-I17-05"</f>
        <v>06-I17-05</v>
      </c>
      <c r="G1673">
        <v>0.39529999999999998</v>
      </c>
      <c r="H1673" t="s">
        <v>12</v>
      </c>
      <c r="I1673" t="s">
        <v>10</v>
      </c>
    </row>
    <row r="1674" spans="1:9" x14ac:dyDescent="0.25">
      <c r="A1674" t="str">
        <f t="shared" si="28"/>
        <v>89301000</v>
      </c>
      <c r="B1674" t="str">
        <f>"1753081583"</f>
        <v>1753081583</v>
      </c>
      <c r="C1674" s="1">
        <v>45189</v>
      </c>
      <c r="D1674" s="1">
        <v>45191</v>
      </c>
      <c r="E1674">
        <v>1</v>
      </c>
      <c r="F1674" t="str">
        <f>"06-I17-05"</f>
        <v>06-I17-05</v>
      </c>
      <c r="G1674">
        <v>0.39529999999999998</v>
      </c>
      <c r="H1674" t="s">
        <v>12</v>
      </c>
      <c r="I1674" t="s">
        <v>10</v>
      </c>
    </row>
    <row r="1675" spans="1:9" x14ac:dyDescent="0.25">
      <c r="A1675" t="str">
        <f t="shared" si="28"/>
        <v>89301000</v>
      </c>
      <c r="B1675" t="str">
        <f>"1753100250"</f>
        <v>1753100250</v>
      </c>
      <c r="C1675" s="1">
        <v>45120</v>
      </c>
      <c r="D1675" s="1">
        <v>45124</v>
      </c>
      <c r="E1675">
        <v>1</v>
      </c>
      <c r="F1675" t="str">
        <f>"06-K02-04"</f>
        <v>06-K02-04</v>
      </c>
      <c r="G1675">
        <v>0.37809999999999999</v>
      </c>
      <c r="H1675" t="s">
        <v>11</v>
      </c>
      <c r="I1675" t="s">
        <v>10</v>
      </c>
    </row>
    <row r="1676" spans="1:9" x14ac:dyDescent="0.25">
      <c r="A1676" t="str">
        <f t="shared" si="28"/>
        <v>89301000</v>
      </c>
      <c r="B1676" t="str">
        <f>"1753100305"</f>
        <v>1753100305</v>
      </c>
      <c r="C1676" s="1">
        <v>45250</v>
      </c>
      <c r="D1676" s="1">
        <v>45252</v>
      </c>
      <c r="E1676">
        <v>1</v>
      </c>
      <c r="F1676" t="str">
        <f>"06-I17-05"</f>
        <v>06-I17-05</v>
      </c>
      <c r="G1676">
        <v>0.39529999999999998</v>
      </c>
      <c r="H1676" t="s">
        <v>12</v>
      </c>
      <c r="I1676" t="s">
        <v>10</v>
      </c>
    </row>
    <row r="1677" spans="1:9" x14ac:dyDescent="0.25">
      <c r="A1677" t="str">
        <f t="shared" si="28"/>
        <v>89301000</v>
      </c>
      <c r="B1677" t="str">
        <f>"1753100316"</f>
        <v>1753100316</v>
      </c>
      <c r="C1677" s="1">
        <v>45138</v>
      </c>
      <c r="D1677" s="1">
        <v>45139</v>
      </c>
      <c r="E1677">
        <v>1</v>
      </c>
      <c r="F1677" t="str">
        <f>"01-K16-06"</f>
        <v>01-K16-06</v>
      </c>
      <c r="G1677">
        <v>0.27150000000000002</v>
      </c>
      <c r="H1677" t="s">
        <v>11</v>
      </c>
      <c r="I1677" t="s">
        <v>10</v>
      </c>
    </row>
    <row r="1678" spans="1:9" x14ac:dyDescent="0.25">
      <c r="A1678" t="str">
        <f t="shared" si="28"/>
        <v>89301000</v>
      </c>
      <c r="B1678" t="str">
        <f>"1753110271"</f>
        <v>1753110271</v>
      </c>
      <c r="C1678" s="1">
        <v>44991</v>
      </c>
      <c r="D1678" s="1">
        <v>44993</v>
      </c>
      <c r="E1678">
        <v>1</v>
      </c>
      <c r="F1678" t="str">
        <f>"03-K11-00"</f>
        <v>03-K11-00</v>
      </c>
      <c r="G1678">
        <v>0.44259999999999999</v>
      </c>
      <c r="H1678" t="s">
        <v>11</v>
      </c>
      <c r="I1678" t="s">
        <v>10</v>
      </c>
    </row>
    <row r="1679" spans="1:9" x14ac:dyDescent="0.25">
      <c r="A1679" t="str">
        <f t="shared" si="28"/>
        <v>89301000</v>
      </c>
      <c r="B1679" t="str">
        <f>"1753160079"</f>
        <v>1753160079</v>
      </c>
      <c r="C1679" s="1">
        <v>44948</v>
      </c>
      <c r="D1679" s="1">
        <v>44950</v>
      </c>
      <c r="E1679">
        <v>1</v>
      </c>
      <c r="F1679" t="str">
        <f>"03-I21-00"</f>
        <v>03-I21-00</v>
      </c>
      <c r="G1679">
        <v>0.42449999999999999</v>
      </c>
      <c r="H1679" t="s">
        <v>11</v>
      </c>
      <c r="I1679" t="s">
        <v>10</v>
      </c>
    </row>
    <row r="1680" spans="1:9" x14ac:dyDescent="0.25">
      <c r="A1680" t="str">
        <f t="shared" si="28"/>
        <v>89301000</v>
      </c>
      <c r="B1680" t="str">
        <f>"1753211273"</f>
        <v>1753211273</v>
      </c>
      <c r="C1680" s="1">
        <v>45076</v>
      </c>
      <c r="D1680" s="1">
        <v>45078</v>
      </c>
      <c r="E1680">
        <v>1</v>
      </c>
      <c r="F1680" t="str">
        <f>"06-K22-03"</f>
        <v>06-K22-03</v>
      </c>
      <c r="G1680">
        <v>0.31819999999999998</v>
      </c>
      <c r="H1680" t="s">
        <v>11</v>
      </c>
      <c r="I1680" t="s">
        <v>10</v>
      </c>
    </row>
    <row r="1681" spans="1:9" x14ac:dyDescent="0.25">
      <c r="A1681" t="str">
        <f t="shared" si="28"/>
        <v>89301000</v>
      </c>
      <c r="B1681" t="str">
        <f>"1753250114"</f>
        <v>1753250114</v>
      </c>
      <c r="C1681" s="1">
        <v>45095</v>
      </c>
      <c r="D1681" s="1">
        <v>45096</v>
      </c>
      <c r="E1681">
        <v>1</v>
      </c>
      <c r="F1681" t="str">
        <f>"02-K02-01"</f>
        <v>02-K02-01</v>
      </c>
      <c r="G1681">
        <v>0.91700000000000004</v>
      </c>
      <c r="H1681" t="s">
        <v>11</v>
      </c>
      <c r="I1681" t="s">
        <v>10</v>
      </c>
    </row>
    <row r="1682" spans="1:9" x14ac:dyDescent="0.25">
      <c r="A1682" t="str">
        <f t="shared" si="28"/>
        <v>89301000</v>
      </c>
      <c r="B1682" t="str">
        <f>"1753290550"</f>
        <v>1753290550</v>
      </c>
      <c r="C1682" s="1">
        <v>44976</v>
      </c>
      <c r="D1682" s="1">
        <v>44978</v>
      </c>
      <c r="E1682">
        <v>1</v>
      </c>
      <c r="F1682" t="str">
        <f>"09-I13-04"</f>
        <v>09-I13-04</v>
      </c>
      <c r="G1682">
        <v>0.54139999999999999</v>
      </c>
      <c r="H1682" t="s">
        <v>11</v>
      </c>
      <c r="I1682" t="s">
        <v>10</v>
      </c>
    </row>
    <row r="1683" spans="1:9" x14ac:dyDescent="0.25">
      <c r="A1683" t="str">
        <f t="shared" si="28"/>
        <v>89301000</v>
      </c>
      <c r="B1683" t="str">
        <f>"1754020202"</f>
        <v>1754020202</v>
      </c>
      <c r="C1683" s="1">
        <v>45090</v>
      </c>
      <c r="D1683" s="1">
        <v>45093</v>
      </c>
      <c r="E1683">
        <v>1</v>
      </c>
      <c r="F1683" t="str">
        <f>"08-K07-00"</f>
        <v>08-K07-00</v>
      </c>
      <c r="G1683">
        <v>0.98470000000000002</v>
      </c>
      <c r="H1683" t="s">
        <v>11</v>
      </c>
      <c r="I1683" t="s">
        <v>10</v>
      </c>
    </row>
    <row r="1684" spans="1:9" x14ac:dyDescent="0.25">
      <c r="A1684" t="str">
        <f t="shared" si="28"/>
        <v>89301000</v>
      </c>
      <c r="B1684" t="str">
        <f>"1754110006"</f>
        <v>1754110006</v>
      </c>
      <c r="C1684" s="1">
        <v>45179</v>
      </c>
      <c r="D1684" s="1">
        <v>45181</v>
      </c>
      <c r="E1684">
        <v>1</v>
      </c>
      <c r="F1684" t="str">
        <f>"03-I21-00"</f>
        <v>03-I21-00</v>
      </c>
      <c r="G1684">
        <v>0.42449999999999999</v>
      </c>
      <c r="H1684" t="s">
        <v>11</v>
      </c>
      <c r="I1684" t="s">
        <v>10</v>
      </c>
    </row>
    <row r="1685" spans="1:9" x14ac:dyDescent="0.25">
      <c r="A1685" t="str">
        <f t="shared" si="28"/>
        <v>89301000</v>
      </c>
      <c r="B1685" t="str">
        <f>"1754110259"</f>
        <v>1754110259</v>
      </c>
      <c r="C1685" s="1">
        <v>45042</v>
      </c>
      <c r="D1685" s="1">
        <v>45044</v>
      </c>
      <c r="E1685">
        <v>1</v>
      </c>
      <c r="F1685" t="str">
        <f>"06-I17-05"</f>
        <v>06-I17-05</v>
      </c>
      <c r="G1685">
        <v>0.39529999999999998</v>
      </c>
      <c r="H1685" t="s">
        <v>12</v>
      </c>
      <c r="I1685" t="s">
        <v>10</v>
      </c>
    </row>
    <row r="1686" spans="1:9" x14ac:dyDescent="0.25">
      <c r="A1686" t="str">
        <f t="shared" si="28"/>
        <v>89301000</v>
      </c>
      <c r="B1686" t="str">
        <f>"1754131665"</f>
        <v>1754131665</v>
      </c>
      <c r="C1686" s="1">
        <v>45265</v>
      </c>
      <c r="D1686" s="1">
        <v>45267</v>
      </c>
      <c r="E1686">
        <v>1</v>
      </c>
      <c r="F1686" t="str">
        <f>"08-I31-04"</f>
        <v>08-I31-04</v>
      </c>
      <c r="G1686">
        <v>0.49170000000000003</v>
      </c>
      <c r="H1686" t="s">
        <v>11</v>
      </c>
      <c r="I1686" t="s">
        <v>10</v>
      </c>
    </row>
    <row r="1687" spans="1:9" x14ac:dyDescent="0.25">
      <c r="A1687" t="str">
        <f t="shared" si="28"/>
        <v>89301000</v>
      </c>
      <c r="B1687" t="str">
        <f>"1754131665"</f>
        <v>1754131665</v>
      </c>
      <c r="C1687" s="1">
        <v>45146</v>
      </c>
      <c r="D1687" s="1">
        <v>45149</v>
      </c>
      <c r="E1687">
        <v>1</v>
      </c>
      <c r="F1687" t="str">
        <f>"03-I16-02"</f>
        <v>03-I16-02</v>
      </c>
      <c r="G1687">
        <v>0.92979999999999996</v>
      </c>
      <c r="H1687" t="s">
        <v>9</v>
      </c>
      <c r="I1687" t="s">
        <v>10</v>
      </c>
    </row>
    <row r="1688" spans="1:9" x14ac:dyDescent="0.25">
      <c r="A1688" t="str">
        <f t="shared" si="28"/>
        <v>89301000</v>
      </c>
      <c r="B1688" t="str">
        <f>"1754220171"</f>
        <v>1754220171</v>
      </c>
      <c r="C1688" s="1">
        <v>45136</v>
      </c>
      <c r="D1688" s="1">
        <v>45137</v>
      </c>
      <c r="E1688">
        <v>1</v>
      </c>
      <c r="F1688" t="str">
        <f>"08-I20-03"</f>
        <v>08-I20-03</v>
      </c>
      <c r="G1688">
        <v>0.62639999999999996</v>
      </c>
      <c r="H1688" t="s">
        <v>12</v>
      </c>
      <c r="I1688" t="s">
        <v>10</v>
      </c>
    </row>
    <row r="1689" spans="1:9" x14ac:dyDescent="0.25">
      <c r="A1689" t="str">
        <f t="shared" si="28"/>
        <v>89301000</v>
      </c>
      <c r="B1689" t="str">
        <f>"1754271717"</f>
        <v>1754271717</v>
      </c>
      <c r="C1689" s="1">
        <v>45263</v>
      </c>
      <c r="D1689" s="1">
        <v>45265</v>
      </c>
      <c r="E1689">
        <v>1</v>
      </c>
      <c r="F1689" t="str">
        <f>"02-I11-01"</f>
        <v>02-I11-01</v>
      </c>
      <c r="G1689">
        <v>0.80620000000000003</v>
      </c>
      <c r="H1689" t="s">
        <v>12</v>
      </c>
      <c r="I1689" t="s">
        <v>10</v>
      </c>
    </row>
    <row r="1690" spans="1:9" x14ac:dyDescent="0.25">
      <c r="A1690" t="str">
        <f t="shared" si="28"/>
        <v>89301000</v>
      </c>
      <c r="B1690" t="str">
        <f>"1754281980"</f>
        <v>1754281980</v>
      </c>
      <c r="C1690" s="1">
        <v>45081</v>
      </c>
      <c r="D1690" s="1">
        <v>45083</v>
      </c>
      <c r="E1690">
        <v>1</v>
      </c>
      <c r="F1690" t="str">
        <f>"02-I11-01"</f>
        <v>02-I11-01</v>
      </c>
      <c r="G1690">
        <v>0.80620000000000003</v>
      </c>
      <c r="H1690" t="s">
        <v>12</v>
      </c>
      <c r="I1690" t="s">
        <v>10</v>
      </c>
    </row>
    <row r="1691" spans="1:9" x14ac:dyDescent="0.25">
      <c r="A1691" t="str">
        <f t="shared" si="28"/>
        <v>89301000</v>
      </c>
      <c r="B1691" t="str">
        <f>"1755050011"</f>
        <v>1755050011</v>
      </c>
      <c r="C1691" s="1">
        <v>45034</v>
      </c>
      <c r="D1691" s="1">
        <v>45036</v>
      </c>
      <c r="E1691">
        <v>1</v>
      </c>
      <c r="F1691" t="str">
        <f>"10-K14-05"</f>
        <v>10-K14-05</v>
      </c>
      <c r="G1691">
        <v>0.36199999999999999</v>
      </c>
      <c r="H1691" t="s">
        <v>11</v>
      </c>
      <c r="I1691" t="s">
        <v>10</v>
      </c>
    </row>
    <row r="1692" spans="1:9" x14ac:dyDescent="0.25">
      <c r="A1692" t="str">
        <f t="shared" si="28"/>
        <v>89301000</v>
      </c>
      <c r="B1692" t="str">
        <f>"1755050011"</f>
        <v>1755050011</v>
      </c>
      <c r="C1692" s="1">
        <v>44980</v>
      </c>
      <c r="D1692" s="1">
        <v>44982</v>
      </c>
      <c r="E1692">
        <v>1</v>
      </c>
      <c r="F1692" t="str">
        <f>"03-I21-00"</f>
        <v>03-I21-00</v>
      </c>
      <c r="G1692">
        <v>0.42449999999999999</v>
      </c>
      <c r="H1692" t="s">
        <v>11</v>
      </c>
      <c r="I1692" t="s">
        <v>10</v>
      </c>
    </row>
    <row r="1693" spans="1:9" x14ac:dyDescent="0.25">
      <c r="A1693" t="str">
        <f t="shared" si="28"/>
        <v>89301000</v>
      </c>
      <c r="B1693" t="str">
        <f>"1755050011"</f>
        <v>1755050011</v>
      </c>
      <c r="C1693" s="1">
        <v>45153</v>
      </c>
      <c r="D1693" s="1">
        <v>45156</v>
      </c>
      <c r="E1693">
        <v>1</v>
      </c>
      <c r="F1693" t="str">
        <f>"06-K02-02"</f>
        <v>06-K02-02</v>
      </c>
      <c r="G1693">
        <v>0.85289999999999999</v>
      </c>
      <c r="H1693" t="s">
        <v>11</v>
      </c>
      <c r="I1693" t="s">
        <v>10</v>
      </c>
    </row>
    <row r="1694" spans="1:9" x14ac:dyDescent="0.25">
      <c r="A1694" t="str">
        <f t="shared" si="28"/>
        <v>89301000</v>
      </c>
      <c r="B1694" t="str">
        <f>"1755080162"</f>
        <v>1755080162</v>
      </c>
      <c r="C1694" s="1">
        <v>45008</v>
      </c>
      <c r="D1694" s="1">
        <v>45010</v>
      </c>
      <c r="E1694">
        <v>1</v>
      </c>
      <c r="F1694" t="str">
        <f>"03-I21-00"</f>
        <v>03-I21-00</v>
      </c>
      <c r="G1694">
        <v>0.42449999999999999</v>
      </c>
      <c r="H1694" t="s">
        <v>11</v>
      </c>
      <c r="I1694" t="s">
        <v>10</v>
      </c>
    </row>
    <row r="1695" spans="1:9" x14ac:dyDescent="0.25">
      <c r="A1695" t="str">
        <f t="shared" si="28"/>
        <v>89301000</v>
      </c>
      <c r="B1695" t="str">
        <f>"1755160022"</f>
        <v>1755160022</v>
      </c>
      <c r="C1695" s="1">
        <v>44992</v>
      </c>
      <c r="D1695" s="1">
        <v>44994</v>
      </c>
      <c r="E1695">
        <v>1</v>
      </c>
      <c r="F1695" t="str">
        <f>"08-I26-03"</f>
        <v>08-I26-03</v>
      </c>
      <c r="G1695">
        <v>0.47610000000000002</v>
      </c>
      <c r="H1695" t="s">
        <v>11</v>
      </c>
      <c r="I1695" t="s">
        <v>10</v>
      </c>
    </row>
    <row r="1696" spans="1:9" x14ac:dyDescent="0.25">
      <c r="A1696" t="str">
        <f t="shared" si="28"/>
        <v>89301000</v>
      </c>
      <c r="B1696" t="str">
        <f>"1755180372"</f>
        <v>1755180372</v>
      </c>
      <c r="C1696" s="1">
        <v>45243</v>
      </c>
      <c r="D1696" s="1">
        <v>45244</v>
      </c>
      <c r="E1696">
        <v>1</v>
      </c>
      <c r="F1696" t="str">
        <f>"23-K01-00"</f>
        <v>23-K01-00</v>
      </c>
      <c r="G1696">
        <v>0.1401</v>
      </c>
      <c r="H1696" t="s">
        <v>11</v>
      </c>
      <c r="I1696" t="s">
        <v>10</v>
      </c>
    </row>
    <row r="1697" spans="1:9" x14ac:dyDescent="0.25">
      <c r="A1697" t="str">
        <f t="shared" si="28"/>
        <v>89301000</v>
      </c>
      <c r="B1697" t="str">
        <f>"1755250442"</f>
        <v>1755250442</v>
      </c>
      <c r="C1697" s="1">
        <v>45067</v>
      </c>
      <c r="D1697" s="1">
        <v>45069</v>
      </c>
      <c r="E1697">
        <v>1</v>
      </c>
      <c r="F1697" t="str">
        <f>"03-I21-00"</f>
        <v>03-I21-00</v>
      </c>
      <c r="G1697">
        <v>0.42449999999999999</v>
      </c>
      <c r="H1697" t="s">
        <v>11</v>
      </c>
      <c r="I1697" t="s">
        <v>10</v>
      </c>
    </row>
    <row r="1698" spans="1:9" x14ac:dyDescent="0.25">
      <c r="A1698" t="str">
        <f t="shared" si="28"/>
        <v>89301000</v>
      </c>
      <c r="B1698" t="str">
        <f>"1756030375"</f>
        <v>1756030375</v>
      </c>
      <c r="C1698" s="1">
        <v>45012</v>
      </c>
      <c r="D1698" s="1">
        <v>45013</v>
      </c>
      <c r="E1698">
        <v>1</v>
      </c>
      <c r="F1698" t="str">
        <f>"08-I20-03"</f>
        <v>08-I20-03</v>
      </c>
      <c r="G1698">
        <v>0.62639999999999996</v>
      </c>
      <c r="H1698" t="s">
        <v>12</v>
      </c>
      <c r="I1698" t="s">
        <v>10</v>
      </c>
    </row>
    <row r="1699" spans="1:9" x14ac:dyDescent="0.25">
      <c r="A1699" t="str">
        <f t="shared" si="28"/>
        <v>89301000</v>
      </c>
      <c r="B1699" t="str">
        <f>"1756150748"</f>
        <v>1756150748</v>
      </c>
      <c r="C1699" s="1">
        <v>45119</v>
      </c>
      <c r="D1699" s="1">
        <v>45121</v>
      </c>
      <c r="E1699">
        <v>1</v>
      </c>
      <c r="F1699" t="str">
        <f>"06-I16-05"</f>
        <v>06-I16-05</v>
      </c>
      <c r="G1699">
        <v>0.4622</v>
      </c>
      <c r="H1699" t="s">
        <v>9</v>
      </c>
      <c r="I1699" t="s">
        <v>10</v>
      </c>
    </row>
    <row r="1700" spans="1:9" x14ac:dyDescent="0.25">
      <c r="A1700" t="str">
        <f t="shared" si="28"/>
        <v>89301000</v>
      </c>
      <c r="B1700" t="str">
        <f>"1756260583"</f>
        <v>1756260583</v>
      </c>
      <c r="C1700" s="1">
        <v>45147</v>
      </c>
      <c r="D1700" s="1">
        <v>45150</v>
      </c>
      <c r="E1700">
        <v>1</v>
      </c>
      <c r="F1700" t="str">
        <f>"08-I22-02"</f>
        <v>08-I22-02</v>
      </c>
      <c r="G1700">
        <v>1.131</v>
      </c>
      <c r="H1700" t="s">
        <v>12</v>
      </c>
      <c r="I1700" t="s">
        <v>10</v>
      </c>
    </row>
    <row r="1701" spans="1:9" x14ac:dyDescent="0.25">
      <c r="A1701" t="str">
        <f t="shared" si="28"/>
        <v>89301000</v>
      </c>
      <c r="B1701" t="str">
        <f>"1756270153"</f>
        <v>1756270153</v>
      </c>
      <c r="C1701" s="1">
        <v>45160</v>
      </c>
      <c r="D1701" s="1">
        <v>45162</v>
      </c>
      <c r="E1701">
        <v>1</v>
      </c>
      <c r="F1701" t="str">
        <f>"03-I21-00"</f>
        <v>03-I21-00</v>
      </c>
      <c r="G1701">
        <v>0.42449999999999999</v>
      </c>
      <c r="H1701" t="s">
        <v>11</v>
      </c>
      <c r="I1701" t="s">
        <v>10</v>
      </c>
    </row>
    <row r="1702" spans="1:9" x14ac:dyDescent="0.25">
      <c r="A1702" t="str">
        <f t="shared" si="28"/>
        <v>89301000</v>
      </c>
      <c r="B1702" t="str">
        <f>"1757050295"</f>
        <v>1757050295</v>
      </c>
      <c r="C1702" s="1">
        <v>44937</v>
      </c>
      <c r="D1702" s="1">
        <v>44939</v>
      </c>
      <c r="E1702">
        <v>1</v>
      </c>
      <c r="F1702" t="str">
        <f>"06-I16-05"</f>
        <v>06-I16-05</v>
      </c>
      <c r="G1702">
        <v>0.4622</v>
      </c>
      <c r="H1702" t="s">
        <v>9</v>
      </c>
      <c r="I1702" t="s">
        <v>10</v>
      </c>
    </row>
    <row r="1703" spans="1:9" x14ac:dyDescent="0.25">
      <c r="A1703" t="str">
        <f t="shared" si="28"/>
        <v>89301000</v>
      </c>
      <c r="B1703" t="str">
        <f>"1757050405"</f>
        <v>1757050405</v>
      </c>
      <c r="C1703" s="1">
        <v>45288</v>
      </c>
      <c r="D1703" s="1">
        <v>45290</v>
      </c>
      <c r="E1703">
        <v>1</v>
      </c>
      <c r="F1703" t="str">
        <f>"18-K02-05"</f>
        <v>18-K02-05</v>
      </c>
      <c r="G1703">
        <v>0.47970000000000002</v>
      </c>
      <c r="H1703" t="s">
        <v>11</v>
      </c>
      <c r="I1703" t="s">
        <v>10</v>
      </c>
    </row>
    <row r="1704" spans="1:9" x14ac:dyDescent="0.25">
      <c r="A1704" t="str">
        <f t="shared" si="28"/>
        <v>89301000</v>
      </c>
      <c r="B1704" t="str">
        <f>"1757070238"</f>
        <v>1757070238</v>
      </c>
      <c r="C1704" s="1">
        <v>45041</v>
      </c>
      <c r="D1704" s="1">
        <v>45049</v>
      </c>
      <c r="E1704">
        <v>1</v>
      </c>
      <c r="F1704" t="str">
        <f>"10-K04-03"</f>
        <v>10-K04-03</v>
      </c>
      <c r="G1704">
        <v>0.86599999999999999</v>
      </c>
      <c r="H1704" t="s">
        <v>11</v>
      </c>
      <c r="I1704" t="s">
        <v>10</v>
      </c>
    </row>
    <row r="1705" spans="1:9" x14ac:dyDescent="0.25">
      <c r="A1705" t="str">
        <f t="shared" si="28"/>
        <v>89301000</v>
      </c>
      <c r="B1705" t="str">
        <f>"1757070722"</f>
        <v>1757070722</v>
      </c>
      <c r="C1705" s="1">
        <v>45277</v>
      </c>
      <c r="D1705" s="1">
        <v>45279</v>
      </c>
      <c r="E1705">
        <v>1</v>
      </c>
      <c r="F1705" t="str">
        <f>"03-I21-00"</f>
        <v>03-I21-00</v>
      </c>
      <c r="G1705">
        <v>0.42449999999999999</v>
      </c>
      <c r="H1705" t="s">
        <v>11</v>
      </c>
      <c r="I1705" t="s">
        <v>10</v>
      </c>
    </row>
    <row r="1706" spans="1:9" x14ac:dyDescent="0.25">
      <c r="A1706" t="str">
        <f t="shared" si="28"/>
        <v>89301000</v>
      </c>
      <c r="B1706" t="str">
        <f>"1757110421"</f>
        <v>1757110421</v>
      </c>
      <c r="C1706" s="1">
        <v>44942</v>
      </c>
      <c r="D1706" s="1">
        <v>44946</v>
      </c>
      <c r="E1706">
        <v>1</v>
      </c>
      <c r="F1706" t="str">
        <f>"06-I21-03"</f>
        <v>06-I21-03</v>
      </c>
      <c r="G1706">
        <v>0.4572</v>
      </c>
      <c r="H1706" t="s">
        <v>12</v>
      </c>
      <c r="I1706" t="s">
        <v>10</v>
      </c>
    </row>
    <row r="1707" spans="1:9" x14ac:dyDescent="0.25">
      <c r="A1707" t="str">
        <f t="shared" si="28"/>
        <v>89301000</v>
      </c>
      <c r="B1707" t="str">
        <f>"1757240276"</f>
        <v>1757240276</v>
      </c>
      <c r="C1707" s="1">
        <v>45126</v>
      </c>
      <c r="D1707" s="1">
        <v>45128</v>
      </c>
      <c r="E1707">
        <v>1</v>
      </c>
      <c r="F1707" t="str">
        <f>"06-K02-04"</f>
        <v>06-K02-04</v>
      </c>
      <c r="G1707">
        <v>0.37659999999999999</v>
      </c>
      <c r="H1707" t="s">
        <v>11</v>
      </c>
      <c r="I1707" t="s">
        <v>10</v>
      </c>
    </row>
    <row r="1708" spans="1:9" x14ac:dyDescent="0.25">
      <c r="A1708" t="str">
        <f t="shared" si="28"/>
        <v>89301000</v>
      </c>
      <c r="B1708" t="str">
        <f>"1757280129"</f>
        <v>1757280129</v>
      </c>
      <c r="C1708" s="1">
        <v>45104</v>
      </c>
      <c r="D1708" s="1">
        <v>45107</v>
      </c>
      <c r="E1708">
        <v>1</v>
      </c>
      <c r="F1708" t="str">
        <f>"08-I21-02"</f>
        <v>08-I21-02</v>
      </c>
      <c r="G1708">
        <v>1.2658</v>
      </c>
      <c r="H1708" t="s">
        <v>12</v>
      </c>
      <c r="I1708" t="s">
        <v>10</v>
      </c>
    </row>
    <row r="1709" spans="1:9" x14ac:dyDescent="0.25">
      <c r="A1709" t="str">
        <f t="shared" si="28"/>
        <v>89301000</v>
      </c>
      <c r="B1709" t="str">
        <f>"1757280129"</f>
        <v>1757280129</v>
      </c>
      <c r="C1709" s="1">
        <v>45053</v>
      </c>
      <c r="D1709" s="1">
        <v>45057</v>
      </c>
      <c r="E1709">
        <v>1</v>
      </c>
      <c r="F1709" t="str">
        <f>"08-K14-01"</f>
        <v>08-K14-01</v>
      </c>
      <c r="G1709">
        <v>0.6653</v>
      </c>
      <c r="H1709" t="s">
        <v>11</v>
      </c>
      <c r="I1709" t="s">
        <v>10</v>
      </c>
    </row>
    <row r="1710" spans="1:9" x14ac:dyDescent="0.25">
      <c r="A1710" t="str">
        <f t="shared" si="28"/>
        <v>89301000</v>
      </c>
      <c r="B1710" t="str">
        <f>"1758030241"</f>
        <v>1758030241</v>
      </c>
      <c r="C1710" s="1">
        <v>45054</v>
      </c>
      <c r="D1710" s="1">
        <v>45056</v>
      </c>
      <c r="E1710">
        <v>1</v>
      </c>
      <c r="F1710" t="str">
        <f>"06-I17-05"</f>
        <v>06-I17-05</v>
      </c>
      <c r="G1710">
        <v>0.39529999999999998</v>
      </c>
      <c r="H1710" t="s">
        <v>12</v>
      </c>
      <c r="I1710" t="s">
        <v>10</v>
      </c>
    </row>
    <row r="1711" spans="1:9" x14ac:dyDescent="0.25">
      <c r="A1711" t="str">
        <f t="shared" si="28"/>
        <v>89301000</v>
      </c>
      <c r="B1711" t="str">
        <f>"1758041868"</f>
        <v>1758041868</v>
      </c>
      <c r="C1711" s="1">
        <v>45068</v>
      </c>
      <c r="D1711" s="1">
        <v>45070</v>
      </c>
      <c r="E1711">
        <v>1</v>
      </c>
      <c r="F1711" t="str">
        <f>"06-K02-04"</f>
        <v>06-K02-04</v>
      </c>
      <c r="G1711">
        <v>0.37659999999999999</v>
      </c>
      <c r="H1711" t="s">
        <v>11</v>
      </c>
      <c r="I1711" t="s">
        <v>10</v>
      </c>
    </row>
    <row r="1712" spans="1:9" x14ac:dyDescent="0.25">
      <c r="A1712" t="str">
        <f t="shared" si="28"/>
        <v>89301000</v>
      </c>
      <c r="B1712" t="str">
        <f>"1758050063"</f>
        <v>1758050063</v>
      </c>
      <c r="C1712" s="1">
        <v>44978</v>
      </c>
      <c r="D1712" s="1">
        <v>44982</v>
      </c>
      <c r="E1712">
        <v>1</v>
      </c>
      <c r="F1712" t="str">
        <f>"08-I21-02"</f>
        <v>08-I21-02</v>
      </c>
      <c r="G1712">
        <v>1.2658</v>
      </c>
      <c r="H1712" t="s">
        <v>12</v>
      </c>
      <c r="I1712" t="s">
        <v>10</v>
      </c>
    </row>
    <row r="1713" spans="1:9" x14ac:dyDescent="0.25">
      <c r="A1713" t="str">
        <f t="shared" si="28"/>
        <v>89301000</v>
      </c>
      <c r="B1713" t="str">
        <f>"1758100168"</f>
        <v>1758100168</v>
      </c>
      <c r="C1713" s="1">
        <v>45253</v>
      </c>
      <c r="D1713" s="1">
        <v>45255</v>
      </c>
      <c r="E1713">
        <v>1</v>
      </c>
      <c r="F1713" t="str">
        <f>"03-I21-00"</f>
        <v>03-I21-00</v>
      </c>
      <c r="G1713">
        <v>0.42449999999999999</v>
      </c>
      <c r="H1713" t="s">
        <v>11</v>
      </c>
      <c r="I1713" t="s">
        <v>10</v>
      </c>
    </row>
    <row r="1714" spans="1:9" x14ac:dyDescent="0.25">
      <c r="A1714" t="str">
        <f t="shared" si="28"/>
        <v>89301000</v>
      </c>
      <c r="B1714" t="str">
        <f>"1758190071"</f>
        <v>1758190071</v>
      </c>
      <c r="C1714" s="1">
        <v>45164</v>
      </c>
      <c r="D1714" s="1">
        <v>45167</v>
      </c>
      <c r="E1714">
        <v>1</v>
      </c>
      <c r="F1714" t="str">
        <f>"09-K12-00"</f>
        <v>09-K12-00</v>
      </c>
      <c r="G1714">
        <v>0.26040000000000002</v>
      </c>
      <c r="H1714" t="s">
        <v>11</v>
      </c>
      <c r="I1714" t="s">
        <v>10</v>
      </c>
    </row>
    <row r="1715" spans="1:9" x14ac:dyDescent="0.25">
      <c r="A1715" t="str">
        <f t="shared" si="28"/>
        <v>89301000</v>
      </c>
      <c r="B1715" t="str">
        <f>"1758291689"</f>
        <v>1758291689</v>
      </c>
      <c r="C1715" s="1">
        <v>45079</v>
      </c>
      <c r="D1715" s="1">
        <v>45089</v>
      </c>
      <c r="E1715">
        <v>1</v>
      </c>
      <c r="F1715" t="str">
        <f>"04-I08-01"</f>
        <v>04-I08-01</v>
      </c>
      <c r="G1715">
        <v>3.0463</v>
      </c>
      <c r="H1715" t="s">
        <v>11</v>
      </c>
      <c r="I1715" t="s">
        <v>10</v>
      </c>
    </row>
    <row r="1716" spans="1:9" x14ac:dyDescent="0.25">
      <c r="A1716" t="str">
        <f t="shared" si="28"/>
        <v>89301000</v>
      </c>
      <c r="B1716" t="str">
        <f>"1759070940"</f>
        <v>1759070940</v>
      </c>
      <c r="C1716" s="1">
        <v>45215</v>
      </c>
      <c r="D1716" s="1">
        <v>45217</v>
      </c>
      <c r="E1716">
        <v>1</v>
      </c>
      <c r="F1716" t="str">
        <f>"03-I21-00"</f>
        <v>03-I21-00</v>
      </c>
      <c r="G1716">
        <v>0.42449999999999999</v>
      </c>
      <c r="H1716" t="s">
        <v>11</v>
      </c>
      <c r="I1716" t="s">
        <v>10</v>
      </c>
    </row>
    <row r="1717" spans="1:9" x14ac:dyDescent="0.25">
      <c r="A1717" t="str">
        <f t="shared" si="28"/>
        <v>89301000</v>
      </c>
      <c r="B1717" t="str">
        <f>"1759180335"</f>
        <v>1759180335</v>
      </c>
      <c r="C1717" s="1">
        <v>45013</v>
      </c>
      <c r="D1717" s="1">
        <v>45015</v>
      </c>
      <c r="E1717">
        <v>1</v>
      </c>
      <c r="F1717" t="str">
        <f>"08-I26-03"</f>
        <v>08-I26-03</v>
      </c>
      <c r="G1717">
        <v>0.47610000000000002</v>
      </c>
      <c r="H1717" t="s">
        <v>11</v>
      </c>
      <c r="I1717" t="s">
        <v>10</v>
      </c>
    </row>
    <row r="1718" spans="1:9" x14ac:dyDescent="0.25">
      <c r="A1718" t="str">
        <f t="shared" si="28"/>
        <v>89301000</v>
      </c>
      <c r="B1718" t="str">
        <f>"1759190213"</f>
        <v>1759190213</v>
      </c>
      <c r="C1718" s="1">
        <v>45174</v>
      </c>
      <c r="D1718" s="1">
        <v>45177</v>
      </c>
      <c r="E1718">
        <v>1</v>
      </c>
      <c r="F1718" t="str">
        <f>"06-K02-04"</f>
        <v>06-K02-04</v>
      </c>
      <c r="G1718">
        <v>0.37659999999999999</v>
      </c>
      <c r="H1718" t="s">
        <v>11</v>
      </c>
      <c r="I1718" t="s">
        <v>10</v>
      </c>
    </row>
    <row r="1719" spans="1:9" x14ac:dyDescent="0.25">
      <c r="A1719" t="str">
        <f t="shared" si="28"/>
        <v>89301000</v>
      </c>
      <c r="B1719" t="str">
        <f>"1759300367"</f>
        <v>1759300367</v>
      </c>
      <c r="C1719" s="1">
        <v>44993</v>
      </c>
      <c r="D1719" s="1">
        <v>44998</v>
      </c>
      <c r="E1719">
        <v>1</v>
      </c>
      <c r="F1719" t="str">
        <f>"03-I16-02"</f>
        <v>03-I16-02</v>
      </c>
      <c r="G1719">
        <v>0.92979999999999996</v>
      </c>
      <c r="H1719" t="s">
        <v>9</v>
      </c>
      <c r="I1719" t="s">
        <v>10</v>
      </c>
    </row>
    <row r="1720" spans="1:9" x14ac:dyDescent="0.25">
      <c r="A1720" t="str">
        <f t="shared" si="28"/>
        <v>89301000</v>
      </c>
      <c r="B1720" t="str">
        <f>"1760131956"</f>
        <v>1760131956</v>
      </c>
      <c r="C1720" s="1">
        <v>45111</v>
      </c>
      <c r="D1720" s="1">
        <v>45111</v>
      </c>
      <c r="E1720">
        <v>1</v>
      </c>
      <c r="F1720" t="str">
        <f>"09-K12-00"</f>
        <v>09-K12-00</v>
      </c>
      <c r="G1720">
        <v>0.13020000000000001</v>
      </c>
      <c r="H1720" t="s">
        <v>11</v>
      </c>
      <c r="I1720" t="s">
        <v>10</v>
      </c>
    </row>
    <row r="1721" spans="1:9" x14ac:dyDescent="0.25">
      <c r="A1721" t="str">
        <f t="shared" ref="A1721:A1783" si="29">"89301000"</f>
        <v>89301000</v>
      </c>
      <c r="B1721" t="str">
        <f>"1760190267"</f>
        <v>1760190267</v>
      </c>
      <c r="C1721" s="1">
        <v>45067</v>
      </c>
      <c r="D1721" s="1">
        <v>45069</v>
      </c>
      <c r="E1721">
        <v>1</v>
      </c>
      <c r="F1721" t="str">
        <f>"02-I11-01"</f>
        <v>02-I11-01</v>
      </c>
      <c r="G1721">
        <v>0.80620000000000003</v>
      </c>
      <c r="H1721" t="s">
        <v>12</v>
      </c>
      <c r="I1721" t="s">
        <v>10</v>
      </c>
    </row>
    <row r="1722" spans="1:9" x14ac:dyDescent="0.25">
      <c r="A1722" t="str">
        <f t="shared" si="29"/>
        <v>89301000</v>
      </c>
      <c r="B1722" t="str">
        <f>"1760200233"</f>
        <v>1760200233</v>
      </c>
      <c r="C1722" s="1">
        <v>45179</v>
      </c>
      <c r="D1722" s="1">
        <v>45181</v>
      </c>
      <c r="E1722">
        <v>1</v>
      </c>
      <c r="F1722" t="str">
        <f>"06-K02-04"</f>
        <v>06-K02-04</v>
      </c>
      <c r="G1722">
        <v>0.37659999999999999</v>
      </c>
      <c r="H1722" t="s">
        <v>11</v>
      </c>
      <c r="I1722" t="s">
        <v>10</v>
      </c>
    </row>
    <row r="1723" spans="1:9" x14ac:dyDescent="0.25">
      <c r="A1723" t="str">
        <f t="shared" si="29"/>
        <v>89301000</v>
      </c>
      <c r="B1723" t="str">
        <f>"1760210067"</f>
        <v>1760210067</v>
      </c>
      <c r="C1723" s="1">
        <v>45099</v>
      </c>
      <c r="D1723" s="1">
        <v>45101</v>
      </c>
      <c r="E1723">
        <v>1</v>
      </c>
      <c r="F1723" t="str">
        <f t="shared" ref="F1723:F1728" si="30">"03-I21-00"</f>
        <v>03-I21-00</v>
      </c>
      <c r="G1723">
        <v>0.42449999999999999</v>
      </c>
      <c r="H1723" t="s">
        <v>11</v>
      </c>
      <c r="I1723" t="s">
        <v>10</v>
      </c>
    </row>
    <row r="1724" spans="1:9" x14ac:dyDescent="0.25">
      <c r="A1724" t="str">
        <f t="shared" si="29"/>
        <v>89301000</v>
      </c>
      <c r="B1724" t="str">
        <f>"1760220055"</f>
        <v>1760220055</v>
      </c>
      <c r="C1724" s="1">
        <v>45047</v>
      </c>
      <c r="D1724" s="1">
        <v>45049</v>
      </c>
      <c r="E1724">
        <v>1</v>
      </c>
      <c r="F1724" t="str">
        <f t="shared" si="30"/>
        <v>03-I21-00</v>
      </c>
      <c r="G1724">
        <v>0.42449999999999999</v>
      </c>
      <c r="H1724" t="s">
        <v>11</v>
      </c>
      <c r="I1724" t="s">
        <v>10</v>
      </c>
    </row>
    <row r="1725" spans="1:9" x14ac:dyDescent="0.25">
      <c r="A1725" t="str">
        <f t="shared" si="29"/>
        <v>89301000</v>
      </c>
      <c r="B1725" t="str">
        <f>"1760240009"</f>
        <v>1760240009</v>
      </c>
      <c r="C1725" s="1">
        <v>45018</v>
      </c>
      <c r="D1725" s="1">
        <v>45020</v>
      </c>
      <c r="E1725">
        <v>1</v>
      </c>
      <c r="F1725" t="str">
        <f t="shared" si="30"/>
        <v>03-I21-00</v>
      </c>
      <c r="G1725">
        <v>0.42449999999999999</v>
      </c>
      <c r="H1725" t="s">
        <v>11</v>
      </c>
      <c r="I1725" t="s">
        <v>10</v>
      </c>
    </row>
    <row r="1726" spans="1:9" x14ac:dyDescent="0.25">
      <c r="A1726" t="str">
        <f t="shared" si="29"/>
        <v>89301000</v>
      </c>
      <c r="B1726" t="str">
        <f>"1760260271"</f>
        <v>1760260271</v>
      </c>
      <c r="C1726" s="1">
        <v>45061</v>
      </c>
      <c r="D1726" s="1">
        <v>45063</v>
      </c>
      <c r="E1726">
        <v>1</v>
      </c>
      <c r="F1726" t="str">
        <f t="shared" si="30"/>
        <v>03-I21-00</v>
      </c>
      <c r="G1726">
        <v>0.42449999999999999</v>
      </c>
      <c r="H1726" t="s">
        <v>11</v>
      </c>
      <c r="I1726" t="s">
        <v>10</v>
      </c>
    </row>
    <row r="1727" spans="1:9" x14ac:dyDescent="0.25">
      <c r="A1727" t="str">
        <f t="shared" si="29"/>
        <v>89301000</v>
      </c>
      <c r="B1727" t="str">
        <f>"1760280137"</f>
        <v>1760280137</v>
      </c>
      <c r="C1727" s="1">
        <v>45201</v>
      </c>
      <c r="D1727" s="1">
        <v>45203</v>
      </c>
      <c r="E1727">
        <v>1</v>
      </c>
      <c r="F1727" t="str">
        <f t="shared" si="30"/>
        <v>03-I21-00</v>
      </c>
      <c r="G1727">
        <v>0.42449999999999999</v>
      </c>
      <c r="H1727" t="s">
        <v>11</v>
      </c>
      <c r="I1727" t="s">
        <v>10</v>
      </c>
    </row>
    <row r="1728" spans="1:9" x14ac:dyDescent="0.25">
      <c r="A1728" t="str">
        <f t="shared" si="29"/>
        <v>89301000</v>
      </c>
      <c r="B1728" t="str">
        <f>"1760300773"</f>
        <v>1760300773</v>
      </c>
      <c r="C1728" s="1">
        <v>45239</v>
      </c>
      <c r="D1728" s="1">
        <v>45243</v>
      </c>
      <c r="E1728">
        <v>1</v>
      </c>
      <c r="F1728" t="str">
        <f t="shared" si="30"/>
        <v>03-I21-00</v>
      </c>
      <c r="G1728">
        <v>0.50900000000000001</v>
      </c>
      <c r="H1728" t="s">
        <v>11</v>
      </c>
      <c r="I1728" t="s">
        <v>10</v>
      </c>
    </row>
    <row r="1729" spans="1:9" x14ac:dyDescent="0.25">
      <c r="A1729" t="str">
        <f t="shared" si="29"/>
        <v>89301000</v>
      </c>
      <c r="B1729" t="str">
        <f>"1761040017"</f>
        <v>1761040017</v>
      </c>
      <c r="C1729" s="1">
        <v>44993</v>
      </c>
      <c r="D1729" s="1">
        <v>44995</v>
      </c>
      <c r="E1729">
        <v>1</v>
      </c>
      <c r="F1729" t="str">
        <f>"06-I16-05"</f>
        <v>06-I16-05</v>
      </c>
      <c r="G1729">
        <v>0.46229999999999999</v>
      </c>
      <c r="H1729" t="s">
        <v>9</v>
      </c>
      <c r="I1729" t="s">
        <v>10</v>
      </c>
    </row>
    <row r="1730" spans="1:9" x14ac:dyDescent="0.25">
      <c r="A1730" t="str">
        <f t="shared" si="29"/>
        <v>89301000</v>
      </c>
      <c r="B1730" t="str">
        <f>"1761090419"</f>
        <v>1761090419</v>
      </c>
      <c r="C1730" s="1">
        <v>45058</v>
      </c>
      <c r="D1730" s="1">
        <v>45059</v>
      </c>
      <c r="E1730">
        <v>1</v>
      </c>
      <c r="F1730" t="str">
        <f>"11-K01-03"</f>
        <v>11-K01-03</v>
      </c>
      <c r="G1730">
        <v>0.68389999999999995</v>
      </c>
      <c r="H1730" t="s">
        <v>11</v>
      </c>
      <c r="I1730" t="s">
        <v>10</v>
      </c>
    </row>
    <row r="1731" spans="1:9" x14ac:dyDescent="0.25">
      <c r="A1731" t="str">
        <f t="shared" si="29"/>
        <v>89301000</v>
      </c>
      <c r="B1731" t="str">
        <f>"1761090551"</f>
        <v>1761090551</v>
      </c>
      <c r="C1731" s="1">
        <v>44997</v>
      </c>
      <c r="D1731" s="1">
        <v>44999</v>
      </c>
      <c r="E1731">
        <v>1</v>
      </c>
      <c r="F1731" t="str">
        <f>"03-I21-00"</f>
        <v>03-I21-00</v>
      </c>
      <c r="G1731">
        <v>0.42759999999999998</v>
      </c>
      <c r="H1731" t="s">
        <v>11</v>
      </c>
      <c r="I1731" t="s">
        <v>10</v>
      </c>
    </row>
    <row r="1732" spans="1:9" x14ac:dyDescent="0.25">
      <c r="A1732" t="str">
        <f t="shared" si="29"/>
        <v>89301000</v>
      </c>
      <c r="B1732" t="str">
        <f>"1761100242"</f>
        <v>1761100242</v>
      </c>
      <c r="C1732" s="1">
        <v>45095</v>
      </c>
      <c r="D1732" s="1">
        <v>45097</v>
      </c>
      <c r="E1732">
        <v>1</v>
      </c>
      <c r="F1732" t="str">
        <f>"03-I21-00"</f>
        <v>03-I21-00</v>
      </c>
      <c r="G1732">
        <v>0.43319999999999997</v>
      </c>
      <c r="H1732" t="s">
        <v>11</v>
      </c>
      <c r="I1732" t="s">
        <v>10</v>
      </c>
    </row>
    <row r="1733" spans="1:9" x14ac:dyDescent="0.25">
      <c r="A1733" t="str">
        <f t="shared" si="29"/>
        <v>89301000</v>
      </c>
      <c r="B1733" t="str">
        <f>"1761130294"</f>
        <v>1761130294</v>
      </c>
      <c r="C1733" s="1">
        <v>45229</v>
      </c>
      <c r="D1733" s="1">
        <v>45232</v>
      </c>
      <c r="E1733">
        <v>1</v>
      </c>
      <c r="F1733" t="str">
        <f>"06-K02-03"</f>
        <v>06-K02-03</v>
      </c>
      <c r="G1733">
        <v>0.5081</v>
      </c>
      <c r="H1733" t="s">
        <v>11</v>
      </c>
      <c r="I1733" t="s">
        <v>10</v>
      </c>
    </row>
    <row r="1734" spans="1:9" x14ac:dyDescent="0.25">
      <c r="A1734" t="str">
        <f t="shared" si="29"/>
        <v>89301000</v>
      </c>
      <c r="B1734" t="str">
        <f>"1761250062"</f>
        <v>1761250062</v>
      </c>
      <c r="C1734" s="1">
        <v>45186</v>
      </c>
      <c r="D1734" s="1">
        <v>45188</v>
      </c>
      <c r="E1734">
        <v>1</v>
      </c>
      <c r="F1734" t="str">
        <f>"03-I21-00"</f>
        <v>03-I21-00</v>
      </c>
      <c r="G1734">
        <v>0.42759999999999998</v>
      </c>
      <c r="H1734" t="s">
        <v>11</v>
      </c>
      <c r="I1734" t="s">
        <v>10</v>
      </c>
    </row>
    <row r="1735" spans="1:9" x14ac:dyDescent="0.25">
      <c r="A1735" t="str">
        <f t="shared" si="29"/>
        <v>89301000</v>
      </c>
      <c r="B1735" t="str">
        <f>"1761300629"</f>
        <v>1761300629</v>
      </c>
      <c r="C1735" s="1">
        <v>45097</v>
      </c>
      <c r="D1735" s="1">
        <v>45099</v>
      </c>
      <c r="E1735">
        <v>1</v>
      </c>
      <c r="F1735" t="str">
        <f>"03-I19-03"</f>
        <v>03-I19-03</v>
      </c>
      <c r="G1735">
        <v>0.53420000000000001</v>
      </c>
      <c r="H1735" t="s">
        <v>11</v>
      </c>
      <c r="I1735" t="s">
        <v>10</v>
      </c>
    </row>
    <row r="1736" spans="1:9" x14ac:dyDescent="0.25">
      <c r="A1736" t="str">
        <f t="shared" si="29"/>
        <v>89301000</v>
      </c>
      <c r="B1736" t="str">
        <f>"1762011075"</f>
        <v>1762011075</v>
      </c>
      <c r="C1736" s="1">
        <v>45223</v>
      </c>
      <c r="D1736" s="1">
        <v>45225</v>
      </c>
      <c r="E1736">
        <v>1</v>
      </c>
      <c r="F1736" t="str">
        <f>"03-K06-01"</f>
        <v>03-K06-01</v>
      </c>
      <c r="G1736">
        <v>0.4713</v>
      </c>
      <c r="H1736" t="s">
        <v>11</v>
      </c>
      <c r="I1736" t="s">
        <v>10</v>
      </c>
    </row>
    <row r="1737" spans="1:9" x14ac:dyDescent="0.25">
      <c r="A1737" t="str">
        <f t="shared" si="29"/>
        <v>89301000</v>
      </c>
      <c r="B1737" t="str">
        <f>"1762020447"</f>
        <v>1762020447</v>
      </c>
      <c r="C1737" s="1">
        <v>45061</v>
      </c>
      <c r="D1737" s="1">
        <v>45063</v>
      </c>
      <c r="E1737">
        <v>1</v>
      </c>
      <c r="F1737" t="str">
        <f>"03-I21-00"</f>
        <v>03-I21-00</v>
      </c>
      <c r="G1737">
        <v>0.42449999999999999</v>
      </c>
      <c r="H1737" t="s">
        <v>11</v>
      </c>
      <c r="I1737" t="s">
        <v>10</v>
      </c>
    </row>
    <row r="1738" spans="1:9" x14ac:dyDescent="0.25">
      <c r="A1738" t="str">
        <f t="shared" si="29"/>
        <v>89301000</v>
      </c>
      <c r="B1738" t="str">
        <f>"1762110702"</f>
        <v>1762110702</v>
      </c>
      <c r="C1738" s="1">
        <v>45019</v>
      </c>
      <c r="D1738" s="1">
        <v>45024</v>
      </c>
      <c r="E1738">
        <v>1</v>
      </c>
      <c r="F1738" t="str">
        <f>"04-K02-03"</f>
        <v>04-K02-03</v>
      </c>
      <c r="G1738">
        <v>1.2464999999999999</v>
      </c>
      <c r="H1738" t="s">
        <v>11</v>
      </c>
      <c r="I1738" t="s">
        <v>10</v>
      </c>
    </row>
    <row r="1739" spans="1:9" x14ac:dyDescent="0.25">
      <c r="A1739" t="str">
        <f t="shared" si="29"/>
        <v>89301000</v>
      </c>
      <c r="B1739" t="str">
        <f>"1762170113"</f>
        <v>1762170113</v>
      </c>
      <c r="C1739" s="1">
        <v>45270</v>
      </c>
      <c r="D1739" s="1">
        <v>45272</v>
      </c>
      <c r="E1739">
        <v>1</v>
      </c>
      <c r="F1739" t="str">
        <f>"06-K02-04"</f>
        <v>06-K02-04</v>
      </c>
      <c r="G1739">
        <v>0.37659999999999999</v>
      </c>
      <c r="H1739" t="s">
        <v>11</v>
      </c>
      <c r="I1739" t="s">
        <v>10</v>
      </c>
    </row>
    <row r="1740" spans="1:9" x14ac:dyDescent="0.25">
      <c r="A1740" t="str">
        <f t="shared" si="29"/>
        <v>89301000</v>
      </c>
      <c r="B1740" t="str">
        <f>"1762211484"</f>
        <v>1762211484</v>
      </c>
      <c r="C1740" s="1">
        <v>45203</v>
      </c>
      <c r="D1740" s="1">
        <v>45205</v>
      </c>
      <c r="E1740">
        <v>1</v>
      </c>
      <c r="F1740" t="str">
        <f>"06-I17-05"</f>
        <v>06-I17-05</v>
      </c>
      <c r="G1740">
        <v>0.39529999999999998</v>
      </c>
      <c r="H1740" t="s">
        <v>12</v>
      </c>
      <c r="I1740" t="s">
        <v>10</v>
      </c>
    </row>
    <row r="1741" spans="1:9" x14ac:dyDescent="0.25">
      <c r="A1741" t="str">
        <f t="shared" si="29"/>
        <v>89301000</v>
      </c>
      <c r="B1741" t="str">
        <f>"1762220361"</f>
        <v>1762220361</v>
      </c>
      <c r="C1741" s="1">
        <v>45006</v>
      </c>
      <c r="D1741" s="1">
        <v>45007</v>
      </c>
      <c r="E1741">
        <v>6</v>
      </c>
      <c r="F1741" t="str">
        <f>"05-K05-05"</f>
        <v>05-K05-05</v>
      </c>
      <c r="G1741">
        <v>0.35659999999999997</v>
      </c>
      <c r="H1741" t="s">
        <v>11</v>
      </c>
      <c r="I1741" t="s">
        <v>10</v>
      </c>
    </row>
    <row r="1742" spans="1:9" x14ac:dyDescent="0.25">
      <c r="A1742" t="str">
        <f t="shared" si="29"/>
        <v>89301000</v>
      </c>
      <c r="B1742" t="str">
        <f>"1762221329"</f>
        <v>1762221329</v>
      </c>
      <c r="C1742" s="1">
        <v>45179</v>
      </c>
      <c r="D1742" s="1">
        <v>45184</v>
      </c>
      <c r="E1742">
        <v>1</v>
      </c>
      <c r="F1742" t="str">
        <f>"03-I19-03"</f>
        <v>03-I19-03</v>
      </c>
      <c r="G1742">
        <v>0.53420000000000001</v>
      </c>
      <c r="H1742" t="s">
        <v>11</v>
      </c>
      <c r="I1742" t="s">
        <v>10</v>
      </c>
    </row>
    <row r="1743" spans="1:9" x14ac:dyDescent="0.25">
      <c r="A1743" t="str">
        <f t="shared" si="29"/>
        <v>89301000</v>
      </c>
      <c r="B1743" t="str">
        <f>"1801020254"</f>
        <v>1801020254</v>
      </c>
      <c r="C1743" s="1">
        <v>45154</v>
      </c>
      <c r="D1743" s="1">
        <v>45156</v>
      </c>
      <c r="E1743">
        <v>1</v>
      </c>
      <c r="F1743" t="str">
        <f>"12-I14-00"</f>
        <v>12-I14-00</v>
      </c>
      <c r="G1743">
        <v>0.42920000000000003</v>
      </c>
      <c r="H1743" t="s">
        <v>11</v>
      </c>
      <c r="I1743" t="s">
        <v>10</v>
      </c>
    </row>
    <row r="1744" spans="1:9" x14ac:dyDescent="0.25">
      <c r="A1744" t="str">
        <f t="shared" si="29"/>
        <v>89301000</v>
      </c>
      <c r="B1744" t="str">
        <f>"1801060019"</f>
        <v>1801060019</v>
      </c>
      <c r="C1744" s="1">
        <v>45021</v>
      </c>
      <c r="D1744" s="1">
        <v>45022</v>
      </c>
      <c r="E1744">
        <v>1</v>
      </c>
      <c r="F1744" t="str">
        <f>"23-K01-00"</f>
        <v>23-K01-00</v>
      </c>
      <c r="G1744">
        <v>0.1401</v>
      </c>
      <c r="H1744" t="s">
        <v>11</v>
      </c>
      <c r="I1744" t="s">
        <v>10</v>
      </c>
    </row>
    <row r="1745" spans="1:9" x14ac:dyDescent="0.25">
      <c r="A1745" t="str">
        <f t="shared" si="29"/>
        <v>89301000</v>
      </c>
      <c r="B1745" t="str">
        <f>"1801110344"</f>
        <v>1801110344</v>
      </c>
      <c r="C1745" s="1">
        <v>44994</v>
      </c>
      <c r="D1745" s="1">
        <v>44996</v>
      </c>
      <c r="E1745">
        <v>1</v>
      </c>
      <c r="F1745" t="str">
        <f>"03-I21-00"</f>
        <v>03-I21-00</v>
      </c>
      <c r="G1745">
        <v>0.42449999999999999</v>
      </c>
      <c r="H1745" t="s">
        <v>11</v>
      </c>
      <c r="I1745" t="s">
        <v>10</v>
      </c>
    </row>
    <row r="1746" spans="1:9" x14ac:dyDescent="0.25">
      <c r="A1746" t="str">
        <f t="shared" si="29"/>
        <v>89301000</v>
      </c>
      <c r="B1746" t="str">
        <f>"1801120189"</f>
        <v>1801120189</v>
      </c>
      <c r="C1746" s="1">
        <v>45121</v>
      </c>
      <c r="D1746" s="1">
        <v>45122</v>
      </c>
      <c r="E1746">
        <v>1</v>
      </c>
      <c r="F1746" t="str">
        <f>"08-I20-03"</f>
        <v>08-I20-03</v>
      </c>
      <c r="G1746">
        <v>0.60470000000000002</v>
      </c>
      <c r="H1746" t="s">
        <v>12</v>
      </c>
      <c r="I1746" t="s">
        <v>10</v>
      </c>
    </row>
    <row r="1747" spans="1:9" x14ac:dyDescent="0.25">
      <c r="A1747" t="str">
        <f t="shared" si="29"/>
        <v>89301000</v>
      </c>
      <c r="B1747" t="str">
        <f>"1801150274"</f>
        <v>1801150274</v>
      </c>
      <c r="C1747" s="1">
        <v>44986</v>
      </c>
      <c r="D1747" s="1">
        <v>44991</v>
      </c>
      <c r="E1747">
        <v>1</v>
      </c>
      <c r="F1747" t="str">
        <f>"03-I08-02"</f>
        <v>03-I08-02</v>
      </c>
      <c r="G1747">
        <v>1.2250000000000001</v>
      </c>
      <c r="H1747" t="s">
        <v>12</v>
      </c>
      <c r="I1747" t="s">
        <v>10</v>
      </c>
    </row>
    <row r="1748" spans="1:9" x14ac:dyDescent="0.25">
      <c r="A1748" t="str">
        <f t="shared" si="29"/>
        <v>89301000</v>
      </c>
      <c r="B1748" t="str">
        <f>"1801190798"</f>
        <v>1801190798</v>
      </c>
      <c r="C1748" s="1">
        <v>45004</v>
      </c>
      <c r="D1748" s="1">
        <v>45005</v>
      </c>
      <c r="E1748">
        <v>1</v>
      </c>
      <c r="F1748" t="str">
        <f>"16-K03-03"</f>
        <v>16-K03-03</v>
      </c>
      <c r="G1748">
        <v>0.62470000000000003</v>
      </c>
      <c r="H1748" t="s">
        <v>11</v>
      </c>
      <c r="I1748" t="s">
        <v>10</v>
      </c>
    </row>
    <row r="1749" spans="1:9" x14ac:dyDescent="0.25">
      <c r="A1749" t="str">
        <f t="shared" si="29"/>
        <v>89301000</v>
      </c>
      <c r="B1749" t="str">
        <f>"1801190798"</f>
        <v>1801190798</v>
      </c>
      <c r="C1749" s="1">
        <v>44980</v>
      </c>
      <c r="D1749" s="1">
        <v>44982</v>
      </c>
      <c r="E1749">
        <v>1</v>
      </c>
      <c r="F1749" t="str">
        <f>"16-C04-05"</f>
        <v>16-C04-05</v>
      </c>
      <c r="G1749">
        <v>1.1753</v>
      </c>
      <c r="H1749" t="s">
        <v>11</v>
      </c>
      <c r="I1749" t="s">
        <v>10</v>
      </c>
    </row>
    <row r="1750" spans="1:9" x14ac:dyDescent="0.25">
      <c r="A1750" t="str">
        <f t="shared" si="29"/>
        <v>89301000</v>
      </c>
      <c r="B1750" t="str">
        <f>"1801190798"</f>
        <v>1801190798</v>
      </c>
      <c r="C1750" s="1">
        <v>44954</v>
      </c>
      <c r="D1750" s="1">
        <v>44958</v>
      </c>
      <c r="E1750">
        <v>1</v>
      </c>
      <c r="F1750" t="str">
        <f>"16-C04-05"</f>
        <v>16-C04-05</v>
      </c>
      <c r="G1750">
        <v>1.1753</v>
      </c>
      <c r="H1750" t="s">
        <v>11</v>
      </c>
      <c r="I1750" t="s">
        <v>10</v>
      </c>
    </row>
    <row r="1751" spans="1:9" x14ac:dyDescent="0.25">
      <c r="A1751" t="str">
        <f t="shared" si="29"/>
        <v>89301000</v>
      </c>
      <c r="B1751" t="str">
        <f>"1801230475"</f>
        <v>1801230475</v>
      </c>
      <c r="C1751" s="1">
        <v>44958</v>
      </c>
      <c r="D1751" s="1">
        <v>44959</v>
      </c>
      <c r="E1751">
        <v>1</v>
      </c>
      <c r="F1751" t="str">
        <f>"02-K11-01"</f>
        <v>02-K11-01</v>
      </c>
      <c r="G1751">
        <v>0.87490000000000001</v>
      </c>
      <c r="H1751" t="s">
        <v>11</v>
      </c>
      <c r="I1751" t="s">
        <v>10</v>
      </c>
    </row>
    <row r="1752" spans="1:9" x14ac:dyDescent="0.25">
      <c r="A1752" t="str">
        <f t="shared" si="29"/>
        <v>89301000</v>
      </c>
      <c r="B1752" t="str">
        <f>"1801241607"</f>
        <v>1801241607</v>
      </c>
      <c r="C1752" s="1">
        <v>44967</v>
      </c>
      <c r="D1752" s="1">
        <v>44970</v>
      </c>
      <c r="E1752">
        <v>1</v>
      </c>
      <c r="F1752" t="str">
        <f>"03-K06-01"</f>
        <v>03-K06-01</v>
      </c>
      <c r="G1752">
        <v>0.4713</v>
      </c>
      <c r="H1752" t="s">
        <v>11</v>
      </c>
      <c r="I1752" t="s">
        <v>10</v>
      </c>
    </row>
    <row r="1753" spans="1:9" x14ac:dyDescent="0.25">
      <c r="A1753" t="str">
        <f t="shared" si="29"/>
        <v>89301000</v>
      </c>
      <c r="B1753" t="str">
        <f>"1802010419"</f>
        <v>1802010419</v>
      </c>
      <c r="C1753" s="1">
        <v>45036</v>
      </c>
      <c r="D1753" s="1">
        <v>45038</v>
      </c>
      <c r="E1753">
        <v>1</v>
      </c>
      <c r="F1753" t="str">
        <f>"03-I21-00"</f>
        <v>03-I21-00</v>
      </c>
      <c r="G1753">
        <v>0.42449999999999999</v>
      </c>
      <c r="H1753" t="s">
        <v>11</v>
      </c>
      <c r="I1753" t="s">
        <v>10</v>
      </c>
    </row>
    <row r="1754" spans="1:9" x14ac:dyDescent="0.25">
      <c r="A1754" t="str">
        <f t="shared" si="29"/>
        <v>89301000</v>
      </c>
      <c r="B1754" t="str">
        <f>"1802030109"</f>
        <v>1802030109</v>
      </c>
      <c r="C1754" s="1">
        <v>44976</v>
      </c>
      <c r="D1754" s="1">
        <v>44981</v>
      </c>
      <c r="E1754">
        <v>1</v>
      </c>
      <c r="F1754" t="str">
        <f>"11-K01-03"</f>
        <v>11-K01-03</v>
      </c>
      <c r="G1754">
        <v>0.68789999999999996</v>
      </c>
      <c r="H1754" t="s">
        <v>11</v>
      </c>
      <c r="I1754" t="s">
        <v>10</v>
      </c>
    </row>
    <row r="1755" spans="1:9" x14ac:dyDescent="0.25">
      <c r="A1755" t="str">
        <f t="shared" si="29"/>
        <v>89301000</v>
      </c>
      <c r="B1755" t="str">
        <f>"1802030109"</f>
        <v>1802030109</v>
      </c>
      <c r="C1755" s="1">
        <v>44999</v>
      </c>
      <c r="D1755" s="1">
        <v>45002</v>
      </c>
      <c r="E1755">
        <v>1</v>
      </c>
      <c r="F1755" t="str">
        <f>"11-K01-03"</f>
        <v>11-K01-03</v>
      </c>
      <c r="G1755">
        <v>0.68789999999999996</v>
      </c>
      <c r="H1755" t="s">
        <v>11</v>
      </c>
      <c r="I1755" t="s">
        <v>10</v>
      </c>
    </row>
    <row r="1756" spans="1:9" x14ac:dyDescent="0.25">
      <c r="A1756" t="str">
        <f t="shared" si="29"/>
        <v>89301000</v>
      </c>
      <c r="B1756" t="str">
        <f>"1802030109"</f>
        <v>1802030109</v>
      </c>
      <c r="C1756" s="1">
        <v>45030</v>
      </c>
      <c r="D1756" s="1">
        <v>45037</v>
      </c>
      <c r="E1756">
        <v>1</v>
      </c>
      <c r="F1756" t="str">
        <f>"11-K01-03"</f>
        <v>11-K01-03</v>
      </c>
      <c r="G1756">
        <v>0.69299999999999995</v>
      </c>
      <c r="H1756" t="s">
        <v>11</v>
      </c>
      <c r="I1756" t="s">
        <v>10</v>
      </c>
    </row>
    <row r="1757" spans="1:9" x14ac:dyDescent="0.25">
      <c r="A1757" t="str">
        <f t="shared" si="29"/>
        <v>89301000</v>
      </c>
      <c r="B1757" t="str">
        <f>"1802040097"</f>
        <v>1802040097</v>
      </c>
      <c r="C1757" s="1">
        <v>44955</v>
      </c>
      <c r="D1757" s="1">
        <v>44957</v>
      </c>
      <c r="E1757">
        <v>1</v>
      </c>
      <c r="F1757" t="str">
        <f>"02-I11-01"</f>
        <v>02-I11-01</v>
      </c>
      <c r="G1757">
        <v>0.80620000000000003</v>
      </c>
      <c r="H1757" t="s">
        <v>12</v>
      </c>
      <c r="I1757" t="s">
        <v>10</v>
      </c>
    </row>
    <row r="1758" spans="1:9" x14ac:dyDescent="0.25">
      <c r="A1758" t="str">
        <f t="shared" si="29"/>
        <v>89301000</v>
      </c>
      <c r="B1758" t="str">
        <f>"1802050063"</f>
        <v>1802050063</v>
      </c>
      <c r="C1758" s="1">
        <v>44991</v>
      </c>
      <c r="D1758" s="1">
        <v>44993</v>
      </c>
      <c r="E1758">
        <v>1</v>
      </c>
      <c r="F1758" t="str">
        <f>"03-I21-00"</f>
        <v>03-I21-00</v>
      </c>
      <c r="G1758">
        <v>0.42449999999999999</v>
      </c>
      <c r="H1758" t="s">
        <v>11</v>
      </c>
      <c r="I1758" t="s">
        <v>10</v>
      </c>
    </row>
    <row r="1759" spans="1:9" x14ac:dyDescent="0.25">
      <c r="A1759" t="str">
        <f t="shared" si="29"/>
        <v>89301000</v>
      </c>
      <c r="B1759" t="str">
        <f>"1802060227"</f>
        <v>1802060227</v>
      </c>
      <c r="C1759" s="1">
        <v>44994</v>
      </c>
      <c r="D1759" s="1">
        <v>44998</v>
      </c>
      <c r="E1759">
        <v>1</v>
      </c>
      <c r="F1759" t="str">
        <f>"03-K03-02"</f>
        <v>03-K03-02</v>
      </c>
      <c r="G1759">
        <v>0.51060000000000005</v>
      </c>
      <c r="H1759" t="s">
        <v>11</v>
      </c>
      <c r="I1759" t="s">
        <v>10</v>
      </c>
    </row>
    <row r="1760" spans="1:9" x14ac:dyDescent="0.25">
      <c r="A1760" t="str">
        <f t="shared" si="29"/>
        <v>89301000</v>
      </c>
      <c r="B1760" t="str">
        <f>"1802060469"</f>
        <v>1802060469</v>
      </c>
      <c r="C1760" s="1">
        <v>45274</v>
      </c>
      <c r="D1760" s="1">
        <v>45276</v>
      </c>
      <c r="E1760">
        <v>1</v>
      </c>
      <c r="F1760" t="str">
        <f>"03-I21-00"</f>
        <v>03-I21-00</v>
      </c>
      <c r="G1760">
        <v>0.43319999999999997</v>
      </c>
      <c r="H1760" t="s">
        <v>11</v>
      </c>
      <c r="I1760" t="s">
        <v>10</v>
      </c>
    </row>
    <row r="1761" spans="1:9" x14ac:dyDescent="0.25">
      <c r="A1761" t="str">
        <f t="shared" si="29"/>
        <v>89301000</v>
      </c>
      <c r="B1761" t="str">
        <f>"1802100036"</f>
        <v>1802100036</v>
      </c>
      <c r="C1761" s="1">
        <v>44998</v>
      </c>
      <c r="D1761" s="1">
        <v>45000</v>
      </c>
      <c r="E1761">
        <v>1</v>
      </c>
      <c r="F1761" t="str">
        <f>"06-I17-05"</f>
        <v>06-I17-05</v>
      </c>
      <c r="G1761">
        <v>0.39529999999999998</v>
      </c>
      <c r="H1761" t="s">
        <v>12</v>
      </c>
      <c r="I1761" t="s">
        <v>10</v>
      </c>
    </row>
    <row r="1762" spans="1:9" x14ac:dyDescent="0.25">
      <c r="A1762" t="str">
        <f t="shared" si="29"/>
        <v>89301000</v>
      </c>
      <c r="B1762" t="str">
        <f>"1802110046"</f>
        <v>1802110046</v>
      </c>
      <c r="C1762" s="1">
        <v>44942</v>
      </c>
      <c r="D1762" s="1">
        <v>44944</v>
      </c>
      <c r="E1762">
        <v>1</v>
      </c>
      <c r="F1762" t="str">
        <f>"08-K04-01"</f>
        <v>08-K04-01</v>
      </c>
      <c r="G1762">
        <v>0.89059999999999995</v>
      </c>
      <c r="H1762" t="s">
        <v>11</v>
      </c>
      <c r="I1762" t="s">
        <v>10</v>
      </c>
    </row>
    <row r="1763" spans="1:9" x14ac:dyDescent="0.25">
      <c r="A1763" t="str">
        <f t="shared" si="29"/>
        <v>89301000</v>
      </c>
      <c r="B1763" t="str">
        <f>"1802161834"</f>
        <v>1802161834</v>
      </c>
      <c r="C1763" s="1">
        <v>44970</v>
      </c>
      <c r="D1763" s="1">
        <v>44974</v>
      </c>
      <c r="E1763">
        <v>1</v>
      </c>
      <c r="F1763" t="str">
        <f>"06-I21-03"</f>
        <v>06-I21-03</v>
      </c>
      <c r="G1763">
        <v>0.4572</v>
      </c>
      <c r="H1763" t="s">
        <v>12</v>
      </c>
      <c r="I1763" t="s">
        <v>10</v>
      </c>
    </row>
    <row r="1764" spans="1:9" x14ac:dyDescent="0.25">
      <c r="A1764" t="str">
        <f t="shared" si="29"/>
        <v>89301000</v>
      </c>
      <c r="B1764" t="str">
        <f>"1803050249"</f>
        <v>1803050249</v>
      </c>
      <c r="C1764" s="1">
        <v>45000</v>
      </c>
      <c r="D1764" s="1">
        <v>45002</v>
      </c>
      <c r="E1764">
        <v>1</v>
      </c>
      <c r="F1764" t="str">
        <f>"06-I17-05"</f>
        <v>06-I17-05</v>
      </c>
      <c r="G1764">
        <v>0.39529999999999998</v>
      </c>
      <c r="H1764" t="s">
        <v>12</v>
      </c>
      <c r="I1764" t="s">
        <v>10</v>
      </c>
    </row>
    <row r="1765" spans="1:9" x14ac:dyDescent="0.25">
      <c r="A1765" t="str">
        <f t="shared" si="29"/>
        <v>89301000</v>
      </c>
      <c r="B1765" t="str">
        <f>"1803080169"</f>
        <v>1803080169</v>
      </c>
      <c r="C1765" s="1">
        <v>45110</v>
      </c>
      <c r="D1765" s="1">
        <v>45112</v>
      </c>
      <c r="E1765">
        <v>1</v>
      </c>
      <c r="F1765" t="str">
        <f>"03-I21-00"</f>
        <v>03-I21-00</v>
      </c>
      <c r="G1765">
        <v>0.42449999999999999</v>
      </c>
      <c r="H1765" t="s">
        <v>11</v>
      </c>
      <c r="I1765" t="s">
        <v>10</v>
      </c>
    </row>
    <row r="1766" spans="1:9" x14ac:dyDescent="0.25">
      <c r="A1766" t="str">
        <f t="shared" si="29"/>
        <v>89301000</v>
      </c>
      <c r="B1766" t="str">
        <f>"1804050193"</f>
        <v>1804050193</v>
      </c>
      <c r="C1766" s="1">
        <v>45250</v>
      </c>
      <c r="D1766" s="1">
        <v>45252</v>
      </c>
      <c r="E1766">
        <v>1</v>
      </c>
      <c r="F1766" t="str">
        <f>"12-I13-02"</f>
        <v>12-I13-02</v>
      </c>
      <c r="G1766">
        <v>0.53879999999999995</v>
      </c>
      <c r="H1766" t="s">
        <v>9</v>
      </c>
      <c r="I1766" t="s">
        <v>10</v>
      </c>
    </row>
    <row r="1767" spans="1:9" x14ac:dyDescent="0.25">
      <c r="A1767" t="str">
        <f t="shared" si="29"/>
        <v>89301000</v>
      </c>
      <c r="B1767" t="str">
        <f>"1804060830"</f>
        <v>1804060830</v>
      </c>
      <c r="C1767" s="1">
        <v>45122</v>
      </c>
      <c r="D1767" s="1">
        <v>45124</v>
      </c>
      <c r="E1767">
        <v>1</v>
      </c>
      <c r="F1767" t="str">
        <f>"09-K12-00"</f>
        <v>09-K12-00</v>
      </c>
      <c r="G1767">
        <v>0.26040000000000002</v>
      </c>
      <c r="H1767" t="s">
        <v>11</v>
      </c>
      <c r="I1767" t="s">
        <v>10</v>
      </c>
    </row>
    <row r="1768" spans="1:9" x14ac:dyDescent="0.25">
      <c r="A1768" t="str">
        <f t="shared" si="29"/>
        <v>89301000</v>
      </c>
      <c r="B1768" t="str">
        <f>"1804080080"</f>
        <v>1804080080</v>
      </c>
      <c r="C1768" s="1">
        <v>44968</v>
      </c>
      <c r="D1768" s="1">
        <v>44971</v>
      </c>
      <c r="E1768">
        <v>1</v>
      </c>
      <c r="F1768" t="str">
        <f>"01-K03-07"</f>
        <v>01-K03-07</v>
      </c>
      <c r="G1768">
        <v>0.5988</v>
      </c>
      <c r="H1768" t="s">
        <v>11</v>
      </c>
      <c r="I1768" t="s">
        <v>10</v>
      </c>
    </row>
    <row r="1769" spans="1:9" x14ac:dyDescent="0.25">
      <c r="A1769" t="str">
        <f t="shared" si="29"/>
        <v>89301000</v>
      </c>
      <c r="B1769" t="str">
        <f>"1804100199"</f>
        <v>1804100199</v>
      </c>
      <c r="C1769" s="1">
        <v>45242</v>
      </c>
      <c r="D1769" s="1">
        <v>45244</v>
      </c>
      <c r="E1769">
        <v>1</v>
      </c>
      <c r="F1769" t="str">
        <f>"03-I21-00"</f>
        <v>03-I21-00</v>
      </c>
      <c r="G1769">
        <v>0.42449999999999999</v>
      </c>
      <c r="H1769" t="s">
        <v>11</v>
      </c>
      <c r="I1769" t="s">
        <v>10</v>
      </c>
    </row>
    <row r="1770" spans="1:9" x14ac:dyDescent="0.25">
      <c r="A1770" t="str">
        <f t="shared" si="29"/>
        <v>89301000</v>
      </c>
      <c r="B1770" t="str">
        <f>"1804110253"</f>
        <v>1804110253</v>
      </c>
      <c r="C1770" s="1">
        <v>44935</v>
      </c>
      <c r="D1770" s="1">
        <v>44938</v>
      </c>
      <c r="E1770">
        <v>1</v>
      </c>
      <c r="F1770" t="str">
        <f>"03-I16-02"</f>
        <v>03-I16-02</v>
      </c>
      <c r="G1770">
        <v>0.93700000000000006</v>
      </c>
      <c r="H1770" t="s">
        <v>9</v>
      </c>
      <c r="I1770" t="s">
        <v>10</v>
      </c>
    </row>
    <row r="1771" spans="1:9" x14ac:dyDescent="0.25">
      <c r="A1771" t="str">
        <f t="shared" si="29"/>
        <v>89301000</v>
      </c>
      <c r="B1771" t="str">
        <f>"1804170148"</f>
        <v>1804170148</v>
      </c>
      <c r="C1771" s="1">
        <v>45101</v>
      </c>
      <c r="D1771" s="1">
        <v>45106</v>
      </c>
      <c r="E1771">
        <v>1</v>
      </c>
      <c r="F1771" t="str">
        <f>"04-K02-04"</f>
        <v>04-K02-04</v>
      </c>
      <c r="G1771">
        <v>0.82099999999999995</v>
      </c>
      <c r="H1771" t="s">
        <v>11</v>
      </c>
      <c r="I1771" t="s">
        <v>10</v>
      </c>
    </row>
    <row r="1772" spans="1:9" x14ac:dyDescent="0.25">
      <c r="A1772" t="str">
        <f t="shared" si="29"/>
        <v>89301000</v>
      </c>
      <c r="B1772" t="str">
        <f>"1804240141"</f>
        <v>1804240141</v>
      </c>
      <c r="C1772" s="1">
        <v>45015</v>
      </c>
      <c r="D1772" s="1">
        <v>45017</v>
      </c>
      <c r="E1772">
        <v>1</v>
      </c>
      <c r="F1772" t="str">
        <f>"03-I21-00"</f>
        <v>03-I21-00</v>
      </c>
      <c r="G1772">
        <v>0.42449999999999999</v>
      </c>
      <c r="H1772" t="s">
        <v>11</v>
      </c>
      <c r="I1772" t="s">
        <v>10</v>
      </c>
    </row>
    <row r="1773" spans="1:9" x14ac:dyDescent="0.25">
      <c r="A1773" t="str">
        <f t="shared" si="29"/>
        <v>89301000</v>
      </c>
      <c r="B1773" t="str">
        <f>"1804280379"</f>
        <v>1804280379</v>
      </c>
      <c r="C1773" s="1">
        <v>45060</v>
      </c>
      <c r="D1773" s="1">
        <v>45062</v>
      </c>
      <c r="E1773">
        <v>1</v>
      </c>
      <c r="F1773" t="str">
        <f>"03-I21-00"</f>
        <v>03-I21-00</v>
      </c>
      <c r="G1773">
        <v>0.42449999999999999</v>
      </c>
      <c r="H1773" t="s">
        <v>11</v>
      </c>
      <c r="I1773" t="s">
        <v>10</v>
      </c>
    </row>
    <row r="1774" spans="1:9" x14ac:dyDescent="0.25">
      <c r="A1774" t="str">
        <f t="shared" si="29"/>
        <v>89301000</v>
      </c>
      <c r="B1774" t="str">
        <f>"1805010042"</f>
        <v>1805010042</v>
      </c>
      <c r="C1774" s="1">
        <v>44934</v>
      </c>
      <c r="D1774" s="1">
        <v>44935</v>
      </c>
      <c r="E1774">
        <v>1</v>
      </c>
      <c r="F1774" t="str">
        <f>"21-K02-00"</f>
        <v>21-K02-00</v>
      </c>
      <c r="G1774">
        <v>0.39829999999999999</v>
      </c>
      <c r="H1774" t="s">
        <v>11</v>
      </c>
      <c r="I1774" t="s">
        <v>10</v>
      </c>
    </row>
    <row r="1775" spans="1:9" x14ac:dyDescent="0.25">
      <c r="A1775" t="str">
        <f t="shared" si="29"/>
        <v>89301000</v>
      </c>
      <c r="B1775" t="str">
        <f>"1805030425"</f>
        <v>1805030425</v>
      </c>
      <c r="C1775" s="1">
        <v>45210</v>
      </c>
      <c r="D1775" s="1">
        <v>45212</v>
      </c>
      <c r="E1775">
        <v>1</v>
      </c>
      <c r="F1775" t="str">
        <f>"06-I21-03"</f>
        <v>06-I21-03</v>
      </c>
      <c r="G1775">
        <v>0.4572</v>
      </c>
      <c r="H1775" t="s">
        <v>12</v>
      </c>
      <c r="I1775" t="s">
        <v>10</v>
      </c>
    </row>
    <row r="1776" spans="1:9" x14ac:dyDescent="0.25">
      <c r="A1776" t="str">
        <f t="shared" si="29"/>
        <v>89301000</v>
      </c>
      <c r="B1776" t="str">
        <f>"1805031129"</f>
        <v>1805031129</v>
      </c>
      <c r="C1776" s="1">
        <v>45053</v>
      </c>
      <c r="D1776" s="1">
        <v>45053</v>
      </c>
      <c r="E1776">
        <v>1</v>
      </c>
      <c r="F1776" t="str">
        <f>"09-K12-00"</f>
        <v>09-K12-00</v>
      </c>
      <c r="G1776">
        <v>0.13020000000000001</v>
      </c>
      <c r="H1776" t="s">
        <v>11</v>
      </c>
      <c r="I1776" t="s">
        <v>10</v>
      </c>
    </row>
    <row r="1777" spans="1:9" x14ac:dyDescent="0.25">
      <c r="A1777" t="str">
        <f t="shared" si="29"/>
        <v>89301000</v>
      </c>
      <c r="B1777" t="str">
        <f>"1805090232"</f>
        <v>1805090232</v>
      </c>
      <c r="C1777" s="1">
        <v>45085</v>
      </c>
      <c r="D1777" s="1">
        <v>45087</v>
      </c>
      <c r="E1777">
        <v>1</v>
      </c>
      <c r="F1777" t="str">
        <f>"03-I21-00"</f>
        <v>03-I21-00</v>
      </c>
      <c r="G1777">
        <v>0.42449999999999999</v>
      </c>
      <c r="H1777" t="s">
        <v>11</v>
      </c>
      <c r="I1777" t="s">
        <v>10</v>
      </c>
    </row>
    <row r="1778" spans="1:9" x14ac:dyDescent="0.25">
      <c r="A1778" t="str">
        <f t="shared" si="29"/>
        <v>89301000</v>
      </c>
      <c r="B1778" t="str">
        <f>"1805110318"</f>
        <v>1805110318</v>
      </c>
      <c r="C1778" s="1">
        <v>45229</v>
      </c>
      <c r="D1778" s="1">
        <v>45232</v>
      </c>
      <c r="E1778">
        <v>1</v>
      </c>
      <c r="F1778" t="str">
        <f>"03-I16-02"</f>
        <v>03-I16-02</v>
      </c>
      <c r="G1778">
        <v>0.92979999999999996</v>
      </c>
      <c r="H1778" t="s">
        <v>9</v>
      </c>
      <c r="I1778" t="s">
        <v>10</v>
      </c>
    </row>
    <row r="1779" spans="1:9" x14ac:dyDescent="0.25">
      <c r="A1779" t="str">
        <f t="shared" si="29"/>
        <v>89301000</v>
      </c>
      <c r="B1779" t="str">
        <f>"1805230328"</f>
        <v>1805230328</v>
      </c>
      <c r="C1779" s="1">
        <v>45057</v>
      </c>
      <c r="D1779" s="1">
        <v>45059</v>
      </c>
      <c r="E1779">
        <v>1</v>
      </c>
      <c r="F1779" t="str">
        <f>"03-I21-00"</f>
        <v>03-I21-00</v>
      </c>
      <c r="G1779">
        <v>0.42449999999999999</v>
      </c>
      <c r="H1779" t="s">
        <v>11</v>
      </c>
      <c r="I1779" t="s">
        <v>10</v>
      </c>
    </row>
    <row r="1780" spans="1:9" x14ac:dyDescent="0.25">
      <c r="A1780" t="str">
        <f t="shared" si="29"/>
        <v>89301000</v>
      </c>
      <c r="B1780" t="str">
        <f>"1805250832"</f>
        <v>1805250832</v>
      </c>
      <c r="C1780" s="1">
        <v>45173</v>
      </c>
      <c r="D1780" s="1">
        <v>45174</v>
      </c>
      <c r="E1780">
        <v>1</v>
      </c>
      <c r="F1780" t="str">
        <f>"09-I13-04"</f>
        <v>09-I13-04</v>
      </c>
      <c r="G1780">
        <v>0.54139999999999999</v>
      </c>
      <c r="H1780" t="s">
        <v>11</v>
      </c>
      <c r="I1780" t="s">
        <v>10</v>
      </c>
    </row>
    <row r="1781" spans="1:9" x14ac:dyDescent="0.25">
      <c r="A1781" t="str">
        <f t="shared" si="29"/>
        <v>89301000</v>
      </c>
      <c r="B1781" t="str">
        <f>"1806040478"</f>
        <v>1806040478</v>
      </c>
      <c r="C1781" s="1">
        <v>45085</v>
      </c>
      <c r="D1781" s="1">
        <v>45088</v>
      </c>
      <c r="E1781">
        <v>1</v>
      </c>
      <c r="F1781" t="str">
        <f>"03-I16-02"</f>
        <v>03-I16-02</v>
      </c>
      <c r="G1781">
        <v>0.92979999999999996</v>
      </c>
      <c r="H1781" t="s">
        <v>9</v>
      </c>
      <c r="I1781" t="s">
        <v>10</v>
      </c>
    </row>
    <row r="1782" spans="1:9" x14ac:dyDescent="0.25">
      <c r="A1782" t="str">
        <f t="shared" si="29"/>
        <v>89301000</v>
      </c>
      <c r="B1782" t="str">
        <f>"1806050015"</f>
        <v>1806050015</v>
      </c>
      <c r="C1782" s="1">
        <v>45235</v>
      </c>
      <c r="D1782" s="1">
        <v>45237</v>
      </c>
      <c r="E1782">
        <v>1</v>
      </c>
      <c r="F1782" t="str">
        <f>"02-I11-01"</f>
        <v>02-I11-01</v>
      </c>
      <c r="G1782">
        <v>0.80620000000000003</v>
      </c>
      <c r="H1782" t="s">
        <v>12</v>
      </c>
      <c r="I1782" t="s">
        <v>10</v>
      </c>
    </row>
    <row r="1783" spans="1:9" x14ac:dyDescent="0.25">
      <c r="A1783" t="str">
        <f t="shared" si="29"/>
        <v>89301000</v>
      </c>
      <c r="B1783" t="str">
        <f>"1806070310"</f>
        <v>1806070310</v>
      </c>
      <c r="C1783" s="1">
        <v>45047</v>
      </c>
      <c r="D1783" s="1">
        <v>45049</v>
      </c>
      <c r="E1783">
        <v>1</v>
      </c>
      <c r="F1783" t="str">
        <f>"03-I21-00"</f>
        <v>03-I21-00</v>
      </c>
      <c r="G1783">
        <v>0.43319999999999997</v>
      </c>
      <c r="H1783" t="s">
        <v>11</v>
      </c>
      <c r="I1783" t="s">
        <v>10</v>
      </c>
    </row>
    <row r="1784" spans="1:9" x14ac:dyDescent="0.25">
      <c r="A1784" t="str">
        <f t="shared" ref="A1784:A1847" si="31">"89301000"</f>
        <v>89301000</v>
      </c>
      <c r="B1784" t="str">
        <f>"1806111406"</f>
        <v>1806111406</v>
      </c>
      <c r="C1784" s="1">
        <v>45211</v>
      </c>
      <c r="D1784" s="1">
        <v>45213</v>
      </c>
      <c r="E1784">
        <v>1</v>
      </c>
      <c r="F1784" t="str">
        <f>"03-I21-00"</f>
        <v>03-I21-00</v>
      </c>
      <c r="G1784">
        <v>0.42449999999999999</v>
      </c>
      <c r="H1784" t="s">
        <v>11</v>
      </c>
      <c r="I1784" t="s">
        <v>10</v>
      </c>
    </row>
    <row r="1785" spans="1:9" x14ac:dyDescent="0.25">
      <c r="A1785" t="str">
        <f t="shared" si="31"/>
        <v>89301000</v>
      </c>
      <c r="B1785" t="str">
        <f>"1806111406"</f>
        <v>1806111406</v>
      </c>
      <c r="C1785" s="1">
        <v>45142</v>
      </c>
      <c r="D1785" s="1">
        <v>45144</v>
      </c>
      <c r="E1785">
        <v>1</v>
      </c>
      <c r="F1785" t="str">
        <f>"06-K10-03"</f>
        <v>06-K10-03</v>
      </c>
      <c r="G1785">
        <v>0.4415</v>
      </c>
      <c r="H1785" t="s">
        <v>11</v>
      </c>
      <c r="I1785" t="s">
        <v>10</v>
      </c>
    </row>
    <row r="1786" spans="1:9" x14ac:dyDescent="0.25">
      <c r="A1786" t="str">
        <f t="shared" si="31"/>
        <v>89301000</v>
      </c>
      <c r="B1786" t="str">
        <f>"1806151908"</f>
        <v>1806151908</v>
      </c>
      <c r="C1786" s="1">
        <v>45104</v>
      </c>
      <c r="D1786" s="1">
        <v>45105</v>
      </c>
      <c r="E1786">
        <v>1</v>
      </c>
      <c r="F1786" t="str">
        <f>"06-K15-02"</f>
        <v>06-K15-02</v>
      </c>
      <c r="G1786">
        <v>0.26319999999999999</v>
      </c>
      <c r="H1786" t="s">
        <v>11</v>
      </c>
      <c r="I1786" t="s">
        <v>10</v>
      </c>
    </row>
    <row r="1787" spans="1:9" x14ac:dyDescent="0.25">
      <c r="A1787" t="str">
        <f t="shared" si="31"/>
        <v>89301000</v>
      </c>
      <c r="B1787" t="str">
        <f>"1806200044"</f>
        <v>1806200044</v>
      </c>
      <c r="C1787" s="1">
        <v>45091</v>
      </c>
      <c r="D1787" s="1">
        <v>45103</v>
      </c>
      <c r="E1787">
        <v>1</v>
      </c>
      <c r="F1787" t="str">
        <f>"11-I10-03"</f>
        <v>11-I10-03</v>
      </c>
      <c r="G1787">
        <v>2.2928999999999999</v>
      </c>
      <c r="H1787" t="s">
        <v>12</v>
      </c>
      <c r="I1787" t="s">
        <v>10</v>
      </c>
    </row>
    <row r="1788" spans="1:9" x14ac:dyDescent="0.25">
      <c r="A1788" t="str">
        <f t="shared" si="31"/>
        <v>89301000</v>
      </c>
      <c r="B1788" t="str">
        <f>"1806212463"</f>
        <v>1806212463</v>
      </c>
      <c r="C1788" s="1">
        <v>45277</v>
      </c>
      <c r="D1788" s="1">
        <v>45279</v>
      </c>
      <c r="E1788">
        <v>1</v>
      </c>
      <c r="F1788" t="str">
        <f>"03-I21-00"</f>
        <v>03-I21-00</v>
      </c>
      <c r="G1788">
        <v>0.42449999999999999</v>
      </c>
      <c r="H1788" t="s">
        <v>11</v>
      </c>
      <c r="I1788" t="s">
        <v>10</v>
      </c>
    </row>
    <row r="1789" spans="1:9" x14ac:dyDescent="0.25">
      <c r="A1789" t="str">
        <f t="shared" si="31"/>
        <v>89301000</v>
      </c>
      <c r="B1789" t="str">
        <f>"1806271863"</f>
        <v>1806271863</v>
      </c>
      <c r="C1789" s="1">
        <v>45176</v>
      </c>
      <c r="D1789" s="1">
        <v>45178</v>
      </c>
      <c r="E1789">
        <v>1</v>
      </c>
      <c r="F1789" t="str">
        <f>"09-K12-00"</f>
        <v>09-K12-00</v>
      </c>
      <c r="G1789">
        <v>0.26040000000000002</v>
      </c>
      <c r="H1789" t="s">
        <v>11</v>
      </c>
      <c r="I1789" t="s">
        <v>10</v>
      </c>
    </row>
    <row r="1790" spans="1:9" x14ac:dyDescent="0.25">
      <c r="A1790" t="str">
        <f t="shared" si="31"/>
        <v>89301000</v>
      </c>
      <c r="B1790" t="str">
        <f>"1806281191"</f>
        <v>1806281191</v>
      </c>
      <c r="C1790" s="1">
        <v>45257</v>
      </c>
      <c r="D1790" s="1">
        <v>45259</v>
      </c>
      <c r="E1790">
        <v>1</v>
      </c>
      <c r="F1790" t="str">
        <f>"03-I21-00"</f>
        <v>03-I21-00</v>
      </c>
      <c r="G1790">
        <v>0.43319999999999997</v>
      </c>
      <c r="H1790" t="s">
        <v>11</v>
      </c>
      <c r="I1790" t="s">
        <v>10</v>
      </c>
    </row>
    <row r="1791" spans="1:9" x14ac:dyDescent="0.25">
      <c r="A1791" t="str">
        <f t="shared" si="31"/>
        <v>89301000</v>
      </c>
      <c r="B1791" t="str">
        <f>"1806281191"</f>
        <v>1806281191</v>
      </c>
      <c r="C1791" s="1">
        <v>45211</v>
      </c>
      <c r="D1791" s="1">
        <v>45212</v>
      </c>
      <c r="E1791">
        <v>1</v>
      </c>
      <c r="F1791" t="str">
        <f>"23-K01-00"</f>
        <v>23-K01-00</v>
      </c>
      <c r="G1791">
        <v>0.1401</v>
      </c>
      <c r="H1791" t="s">
        <v>11</v>
      </c>
      <c r="I1791" t="s">
        <v>10</v>
      </c>
    </row>
    <row r="1792" spans="1:9" x14ac:dyDescent="0.25">
      <c r="A1792" t="str">
        <f t="shared" si="31"/>
        <v>89301000</v>
      </c>
      <c r="B1792" t="str">
        <f>"1806300177"</f>
        <v>1806300177</v>
      </c>
      <c r="C1792" s="1">
        <v>45118</v>
      </c>
      <c r="D1792" s="1">
        <v>45119</v>
      </c>
      <c r="E1792">
        <v>1</v>
      </c>
      <c r="F1792" t="str">
        <f>"08-I20-03"</f>
        <v>08-I20-03</v>
      </c>
      <c r="G1792">
        <v>0.62639999999999996</v>
      </c>
      <c r="H1792" t="s">
        <v>12</v>
      </c>
      <c r="I1792" t="s">
        <v>10</v>
      </c>
    </row>
    <row r="1793" spans="1:9" x14ac:dyDescent="0.25">
      <c r="A1793" t="str">
        <f t="shared" si="31"/>
        <v>89301000</v>
      </c>
      <c r="B1793" t="str">
        <f>"1807081265"</f>
        <v>1807081265</v>
      </c>
      <c r="C1793" s="1">
        <v>45169</v>
      </c>
      <c r="D1793" s="1">
        <v>45171</v>
      </c>
      <c r="E1793">
        <v>1</v>
      </c>
      <c r="F1793" t="str">
        <f>"03-I21-00"</f>
        <v>03-I21-00</v>
      </c>
      <c r="G1793">
        <v>0.42449999999999999</v>
      </c>
      <c r="H1793" t="s">
        <v>11</v>
      </c>
      <c r="I1793" t="s">
        <v>10</v>
      </c>
    </row>
    <row r="1794" spans="1:9" x14ac:dyDescent="0.25">
      <c r="A1794" t="str">
        <f t="shared" si="31"/>
        <v>89301000</v>
      </c>
      <c r="B1794" t="str">
        <f>"1807121745"</f>
        <v>1807121745</v>
      </c>
      <c r="C1794" s="1">
        <v>45091</v>
      </c>
      <c r="D1794" s="1">
        <v>45093</v>
      </c>
      <c r="E1794">
        <v>1</v>
      </c>
      <c r="F1794" t="str">
        <f>"12-I13-02"</f>
        <v>12-I13-02</v>
      </c>
      <c r="G1794">
        <v>0.53879999999999995</v>
      </c>
      <c r="H1794" t="s">
        <v>9</v>
      </c>
      <c r="I1794" t="s">
        <v>10</v>
      </c>
    </row>
    <row r="1795" spans="1:9" x14ac:dyDescent="0.25">
      <c r="A1795" t="str">
        <f t="shared" si="31"/>
        <v>89301000</v>
      </c>
      <c r="B1795" t="str">
        <f>"1807170277"</f>
        <v>1807170277</v>
      </c>
      <c r="C1795" s="1">
        <v>45015</v>
      </c>
      <c r="D1795" s="1">
        <v>45018</v>
      </c>
      <c r="E1795">
        <v>1</v>
      </c>
      <c r="F1795" t="str">
        <f>"12-I14-00"</f>
        <v>12-I14-00</v>
      </c>
      <c r="G1795">
        <v>0.42920000000000003</v>
      </c>
      <c r="H1795" t="s">
        <v>11</v>
      </c>
      <c r="I1795" t="s">
        <v>10</v>
      </c>
    </row>
    <row r="1796" spans="1:9" x14ac:dyDescent="0.25">
      <c r="A1796" t="str">
        <f t="shared" si="31"/>
        <v>89301000</v>
      </c>
      <c r="B1796" t="str">
        <f>"1807172114"</f>
        <v>1807172114</v>
      </c>
      <c r="C1796" s="1">
        <v>45155</v>
      </c>
      <c r="D1796" s="1">
        <v>45157</v>
      </c>
      <c r="E1796">
        <v>1</v>
      </c>
      <c r="F1796" t="str">
        <f>"11-I17-03"</f>
        <v>11-I17-03</v>
      </c>
      <c r="G1796">
        <v>0.45600000000000002</v>
      </c>
      <c r="H1796" t="s">
        <v>11</v>
      </c>
      <c r="I1796" t="s">
        <v>10</v>
      </c>
    </row>
    <row r="1797" spans="1:9" x14ac:dyDescent="0.25">
      <c r="A1797" t="str">
        <f t="shared" si="31"/>
        <v>89301000</v>
      </c>
      <c r="B1797" t="str">
        <f>"1807261423"</f>
        <v>1807261423</v>
      </c>
      <c r="C1797" s="1">
        <v>45184</v>
      </c>
      <c r="D1797" s="1">
        <v>45186</v>
      </c>
      <c r="E1797">
        <v>1</v>
      </c>
      <c r="F1797" t="str">
        <f>"06-K17-02"</f>
        <v>06-K17-02</v>
      </c>
      <c r="G1797">
        <v>0.2999</v>
      </c>
      <c r="H1797" t="s">
        <v>11</v>
      </c>
      <c r="I1797" t="s">
        <v>10</v>
      </c>
    </row>
    <row r="1798" spans="1:9" x14ac:dyDescent="0.25">
      <c r="A1798" t="str">
        <f t="shared" si="31"/>
        <v>89301000</v>
      </c>
      <c r="B1798" t="str">
        <f>"1807280134"</f>
        <v>1807280134</v>
      </c>
      <c r="C1798" s="1">
        <v>44938</v>
      </c>
      <c r="D1798" s="1">
        <v>44941</v>
      </c>
      <c r="E1798">
        <v>1</v>
      </c>
      <c r="F1798" t="str">
        <f>"03-I16-02"</f>
        <v>03-I16-02</v>
      </c>
      <c r="G1798">
        <v>0.92979999999999996</v>
      </c>
      <c r="H1798" t="s">
        <v>9</v>
      </c>
      <c r="I1798" t="s">
        <v>10</v>
      </c>
    </row>
    <row r="1799" spans="1:9" x14ac:dyDescent="0.25">
      <c r="A1799" t="str">
        <f t="shared" si="31"/>
        <v>89301000</v>
      </c>
      <c r="B1799" t="str">
        <f>"1808010556"</f>
        <v>1808010556</v>
      </c>
      <c r="C1799" s="1">
        <v>45267</v>
      </c>
      <c r="D1799" s="1">
        <v>45269</v>
      </c>
      <c r="E1799">
        <v>1</v>
      </c>
      <c r="F1799" t="str">
        <f>"03-I21-00"</f>
        <v>03-I21-00</v>
      </c>
      <c r="G1799">
        <v>0.43319999999999997</v>
      </c>
      <c r="H1799" t="s">
        <v>11</v>
      </c>
      <c r="I1799" t="s">
        <v>10</v>
      </c>
    </row>
    <row r="1800" spans="1:9" x14ac:dyDescent="0.25">
      <c r="A1800" t="str">
        <f t="shared" si="31"/>
        <v>89301000</v>
      </c>
      <c r="B1800" t="str">
        <f>"1808061750"</f>
        <v>1808061750</v>
      </c>
      <c r="C1800" s="1">
        <v>45050</v>
      </c>
      <c r="D1800" s="1">
        <v>45052</v>
      </c>
      <c r="E1800">
        <v>1</v>
      </c>
      <c r="F1800" t="str">
        <f>"03-I21-00"</f>
        <v>03-I21-00</v>
      </c>
      <c r="G1800">
        <v>0.42449999999999999</v>
      </c>
      <c r="H1800" t="s">
        <v>11</v>
      </c>
      <c r="I1800" t="s">
        <v>10</v>
      </c>
    </row>
    <row r="1801" spans="1:9" x14ac:dyDescent="0.25">
      <c r="A1801" t="str">
        <f t="shared" si="31"/>
        <v>89301000</v>
      </c>
      <c r="B1801" t="str">
        <f>"1808070341"</f>
        <v>1808070341</v>
      </c>
      <c r="C1801" s="1">
        <v>45200</v>
      </c>
      <c r="D1801" s="1">
        <v>45203</v>
      </c>
      <c r="E1801">
        <v>1</v>
      </c>
      <c r="F1801" t="str">
        <f>"06-K02-04"</f>
        <v>06-K02-04</v>
      </c>
      <c r="G1801">
        <v>0.37659999999999999</v>
      </c>
      <c r="H1801" t="s">
        <v>11</v>
      </c>
      <c r="I1801" t="s">
        <v>10</v>
      </c>
    </row>
    <row r="1802" spans="1:9" x14ac:dyDescent="0.25">
      <c r="A1802" t="str">
        <f t="shared" si="31"/>
        <v>89301000</v>
      </c>
      <c r="B1802" t="str">
        <f>"1808070429"</f>
        <v>1808070429</v>
      </c>
      <c r="C1802" s="1">
        <v>45055</v>
      </c>
      <c r="D1802" s="1">
        <v>45057</v>
      </c>
      <c r="E1802">
        <v>1</v>
      </c>
      <c r="F1802" t="str">
        <f>"08-I26-02"</f>
        <v>08-I26-02</v>
      </c>
      <c r="G1802">
        <v>0.83779999999999999</v>
      </c>
      <c r="H1802" t="s">
        <v>11</v>
      </c>
      <c r="I1802" t="s">
        <v>10</v>
      </c>
    </row>
    <row r="1803" spans="1:9" x14ac:dyDescent="0.25">
      <c r="A1803" t="str">
        <f t="shared" si="31"/>
        <v>89301000</v>
      </c>
      <c r="B1803" t="str">
        <f>"1808110436"</f>
        <v>1808110436</v>
      </c>
      <c r="C1803" s="1">
        <v>45175</v>
      </c>
      <c r="D1803" s="1">
        <v>45176</v>
      </c>
      <c r="E1803">
        <v>1</v>
      </c>
      <c r="F1803" t="str">
        <f>"08-I20-03"</f>
        <v>08-I20-03</v>
      </c>
      <c r="G1803">
        <v>0.62639999999999996</v>
      </c>
      <c r="H1803" t="s">
        <v>12</v>
      </c>
      <c r="I1803" t="s">
        <v>10</v>
      </c>
    </row>
    <row r="1804" spans="1:9" x14ac:dyDescent="0.25">
      <c r="A1804" t="str">
        <f t="shared" si="31"/>
        <v>89301000</v>
      </c>
      <c r="B1804" t="str">
        <f>"1808110436"</f>
        <v>1808110436</v>
      </c>
      <c r="C1804" s="1">
        <v>45272</v>
      </c>
      <c r="D1804" s="1">
        <v>45273</v>
      </c>
      <c r="E1804">
        <v>1</v>
      </c>
      <c r="F1804" t="str">
        <f>"08-I32-00"</f>
        <v>08-I32-00</v>
      </c>
      <c r="G1804">
        <v>0.4093</v>
      </c>
      <c r="H1804" t="s">
        <v>11</v>
      </c>
      <c r="I1804" t="s">
        <v>10</v>
      </c>
    </row>
    <row r="1805" spans="1:9" x14ac:dyDescent="0.25">
      <c r="A1805" t="str">
        <f t="shared" si="31"/>
        <v>89301000</v>
      </c>
      <c r="B1805" t="str">
        <f>"1808111437"</f>
        <v>1808111437</v>
      </c>
      <c r="C1805" s="1">
        <v>45020</v>
      </c>
      <c r="D1805" s="1">
        <v>45022</v>
      </c>
      <c r="E1805">
        <v>1</v>
      </c>
      <c r="F1805" t="str">
        <f>"03-I14-02"</f>
        <v>03-I14-02</v>
      </c>
      <c r="G1805">
        <v>1.0793999999999999</v>
      </c>
      <c r="H1805" t="s">
        <v>11</v>
      </c>
      <c r="I1805" t="s">
        <v>10</v>
      </c>
    </row>
    <row r="1806" spans="1:9" x14ac:dyDescent="0.25">
      <c r="A1806" t="str">
        <f t="shared" si="31"/>
        <v>89301000</v>
      </c>
      <c r="B1806" t="str">
        <f>"1808111437"</f>
        <v>1808111437</v>
      </c>
      <c r="C1806" s="1">
        <v>45117</v>
      </c>
      <c r="D1806" s="1">
        <v>45119</v>
      </c>
      <c r="E1806">
        <v>1</v>
      </c>
      <c r="F1806" t="str">
        <f>"03-I14-02"</f>
        <v>03-I14-02</v>
      </c>
      <c r="G1806">
        <v>1.0793999999999999</v>
      </c>
      <c r="H1806" t="s">
        <v>11</v>
      </c>
      <c r="I1806" t="s">
        <v>10</v>
      </c>
    </row>
    <row r="1807" spans="1:9" x14ac:dyDescent="0.25">
      <c r="A1807" t="str">
        <f t="shared" si="31"/>
        <v>89301000</v>
      </c>
      <c r="B1807" t="str">
        <f>"1808120270"</f>
        <v>1808120270</v>
      </c>
      <c r="C1807" s="1">
        <v>45161</v>
      </c>
      <c r="D1807" s="1">
        <v>45163</v>
      </c>
      <c r="E1807">
        <v>1</v>
      </c>
      <c r="F1807" t="str">
        <f>"06-I16-05"</f>
        <v>06-I16-05</v>
      </c>
      <c r="G1807">
        <v>0.4622</v>
      </c>
      <c r="H1807" t="s">
        <v>9</v>
      </c>
      <c r="I1807" t="s">
        <v>10</v>
      </c>
    </row>
    <row r="1808" spans="1:9" x14ac:dyDescent="0.25">
      <c r="A1808" t="str">
        <f t="shared" si="31"/>
        <v>89301000</v>
      </c>
      <c r="B1808" t="str">
        <f>"1808130016"</f>
        <v>1808130016</v>
      </c>
      <c r="C1808" s="1">
        <v>45038</v>
      </c>
      <c r="D1808" s="1">
        <v>45039</v>
      </c>
      <c r="E1808">
        <v>1</v>
      </c>
      <c r="F1808" t="str">
        <f>"08-I20-03"</f>
        <v>08-I20-03</v>
      </c>
      <c r="G1808">
        <v>0.62639999999999996</v>
      </c>
      <c r="H1808" t="s">
        <v>12</v>
      </c>
      <c r="I1808" t="s">
        <v>10</v>
      </c>
    </row>
    <row r="1809" spans="1:9" x14ac:dyDescent="0.25">
      <c r="A1809" t="str">
        <f t="shared" si="31"/>
        <v>89301000</v>
      </c>
      <c r="B1809" t="str">
        <f>"1808150553"</f>
        <v>1808150553</v>
      </c>
      <c r="C1809" s="1">
        <v>45186</v>
      </c>
      <c r="D1809" s="1">
        <v>45188</v>
      </c>
      <c r="E1809">
        <v>1</v>
      </c>
      <c r="F1809" t="str">
        <f>"03-I21-00"</f>
        <v>03-I21-00</v>
      </c>
      <c r="G1809">
        <v>0.42759999999999998</v>
      </c>
      <c r="H1809" t="s">
        <v>11</v>
      </c>
      <c r="I1809" t="s">
        <v>10</v>
      </c>
    </row>
    <row r="1810" spans="1:9" x14ac:dyDescent="0.25">
      <c r="A1810" t="str">
        <f t="shared" si="31"/>
        <v>89301000</v>
      </c>
      <c r="B1810" t="str">
        <f>"1808160420"</f>
        <v>1808160420</v>
      </c>
      <c r="C1810" s="1">
        <v>45128</v>
      </c>
      <c r="D1810" s="1">
        <v>45129</v>
      </c>
      <c r="E1810">
        <v>1</v>
      </c>
      <c r="F1810" t="str">
        <f>"21-K02-00"</f>
        <v>21-K02-00</v>
      </c>
      <c r="G1810">
        <v>0.39829999999999999</v>
      </c>
      <c r="H1810" t="s">
        <v>11</v>
      </c>
      <c r="I1810" t="s">
        <v>10</v>
      </c>
    </row>
    <row r="1811" spans="1:9" x14ac:dyDescent="0.25">
      <c r="A1811" t="str">
        <f t="shared" si="31"/>
        <v>89301000</v>
      </c>
      <c r="B1811" t="str">
        <f>"1808200196"</f>
        <v>1808200196</v>
      </c>
      <c r="C1811" s="1">
        <v>45183</v>
      </c>
      <c r="D1811" s="1">
        <v>45186</v>
      </c>
      <c r="E1811">
        <v>1</v>
      </c>
      <c r="F1811" t="str">
        <f>"03-I16-02"</f>
        <v>03-I16-02</v>
      </c>
      <c r="G1811">
        <v>0.92579999999999996</v>
      </c>
      <c r="H1811" t="s">
        <v>9</v>
      </c>
      <c r="I1811" t="s">
        <v>10</v>
      </c>
    </row>
    <row r="1812" spans="1:9" x14ac:dyDescent="0.25">
      <c r="A1812" t="str">
        <f t="shared" si="31"/>
        <v>89301000</v>
      </c>
      <c r="B1812" t="str">
        <f>"1808220623"</f>
        <v>1808220623</v>
      </c>
      <c r="C1812" s="1">
        <v>45039</v>
      </c>
      <c r="D1812" s="1">
        <v>45041</v>
      </c>
      <c r="E1812">
        <v>1</v>
      </c>
      <c r="F1812" t="str">
        <f>"03-I21-00"</f>
        <v>03-I21-00</v>
      </c>
      <c r="G1812">
        <v>0.42449999999999999</v>
      </c>
      <c r="H1812" t="s">
        <v>11</v>
      </c>
      <c r="I1812" t="s">
        <v>10</v>
      </c>
    </row>
    <row r="1813" spans="1:9" x14ac:dyDescent="0.25">
      <c r="A1813" t="str">
        <f t="shared" si="31"/>
        <v>89301000</v>
      </c>
      <c r="B1813" t="str">
        <f>"1808220623"</f>
        <v>1808220623</v>
      </c>
      <c r="C1813" s="1">
        <v>45261</v>
      </c>
      <c r="D1813" s="1">
        <v>45266</v>
      </c>
      <c r="E1813">
        <v>1</v>
      </c>
      <c r="F1813" t="str">
        <f>"03-I16-02"</f>
        <v>03-I16-02</v>
      </c>
      <c r="G1813">
        <v>0.92979999999999996</v>
      </c>
      <c r="H1813" t="s">
        <v>9</v>
      </c>
      <c r="I1813" t="s">
        <v>10</v>
      </c>
    </row>
    <row r="1814" spans="1:9" x14ac:dyDescent="0.25">
      <c r="A1814" t="str">
        <f t="shared" si="31"/>
        <v>89301000</v>
      </c>
      <c r="B1814" t="str">
        <f>"1808630516"</f>
        <v>1808630516</v>
      </c>
      <c r="C1814" s="1">
        <v>45104</v>
      </c>
      <c r="D1814" s="1">
        <v>45107</v>
      </c>
      <c r="E1814">
        <v>1</v>
      </c>
      <c r="F1814" t="str">
        <f>"03-K02-03"</f>
        <v>03-K02-03</v>
      </c>
      <c r="G1814">
        <v>0.33960000000000001</v>
      </c>
      <c r="H1814" t="s">
        <v>11</v>
      </c>
      <c r="I1814" t="s">
        <v>10</v>
      </c>
    </row>
    <row r="1815" spans="1:9" x14ac:dyDescent="0.25">
      <c r="A1815" t="str">
        <f t="shared" si="31"/>
        <v>89301000</v>
      </c>
      <c r="B1815" t="str">
        <f>"1808630516"</f>
        <v>1808630516</v>
      </c>
      <c r="C1815" s="1">
        <v>45252</v>
      </c>
      <c r="D1815" s="1">
        <v>45254</v>
      </c>
      <c r="E1815">
        <v>1</v>
      </c>
      <c r="F1815" t="str">
        <f>"12-I13-02"</f>
        <v>12-I13-02</v>
      </c>
      <c r="G1815">
        <v>0.53879999999999995</v>
      </c>
      <c r="H1815" t="s">
        <v>9</v>
      </c>
      <c r="I1815" t="s">
        <v>10</v>
      </c>
    </row>
    <row r="1816" spans="1:9" x14ac:dyDescent="0.25">
      <c r="A1816" t="str">
        <f t="shared" si="31"/>
        <v>89301000</v>
      </c>
      <c r="B1816" t="str">
        <f>"1809160562"</f>
        <v>1809160562</v>
      </c>
      <c r="C1816" s="1">
        <v>45235</v>
      </c>
      <c r="D1816" s="1">
        <v>45237</v>
      </c>
      <c r="E1816">
        <v>1</v>
      </c>
      <c r="F1816" t="str">
        <f>"03-I21-00"</f>
        <v>03-I21-00</v>
      </c>
      <c r="G1816">
        <v>0.42449999999999999</v>
      </c>
      <c r="H1816" t="s">
        <v>11</v>
      </c>
      <c r="I1816" t="s">
        <v>10</v>
      </c>
    </row>
    <row r="1817" spans="1:9" x14ac:dyDescent="0.25">
      <c r="A1817" t="str">
        <f t="shared" si="31"/>
        <v>89301000</v>
      </c>
      <c r="B1817" t="str">
        <f>"1809180296"</f>
        <v>1809180296</v>
      </c>
      <c r="C1817" s="1">
        <v>45025</v>
      </c>
      <c r="D1817" s="1">
        <v>45026</v>
      </c>
      <c r="E1817">
        <v>5</v>
      </c>
      <c r="F1817" t="str">
        <f>"04-K02-04"</f>
        <v>04-K02-04</v>
      </c>
      <c r="G1817">
        <v>0.55389999999999995</v>
      </c>
      <c r="H1817" t="s">
        <v>11</v>
      </c>
      <c r="I1817" t="s">
        <v>10</v>
      </c>
    </row>
    <row r="1818" spans="1:9" x14ac:dyDescent="0.25">
      <c r="A1818" t="str">
        <f t="shared" si="31"/>
        <v>89301000</v>
      </c>
      <c r="B1818" t="str">
        <f>"1809250289"</f>
        <v>1809250289</v>
      </c>
      <c r="C1818" s="1">
        <v>45119</v>
      </c>
      <c r="D1818" s="1">
        <v>45121</v>
      </c>
      <c r="E1818">
        <v>1</v>
      </c>
      <c r="F1818" t="str">
        <f>"23-K05-02"</f>
        <v>23-K05-02</v>
      </c>
      <c r="G1818">
        <v>0.4274</v>
      </c>
      <c r="H1818" t="s">
        <v>11</v>
      </c>
      <c r="I1818" t="s">
        <v>10</v>
      </c>
    </row>
    <row r="1819" spans="1:9" x14ac:dyDescent="0.25">
      <c r="A1819" t="str">
        <f t="shared" si="31"/>
        <v>89301000</v>
      </c>
      <c r="B1819" t="str">
        <f>"1809250289"</f>
        <v>1809250289</v>
      </c>
      <c r="C1819" s="1">
        <v>45026</v>
      </c>
      <c r="D1819" s="1">
        <v>45028</v>
      </c>
      <c r="E1819">
        <v>1</v>
      </c>
      <c r="F1819" t="str">
        <f>"11-K13-01"</f>
        <v>11-K13-01</v>
      </c>
      <c r="G1819">
        <v>0.65600000000000003</v>
      </c>
      <c r="H1819" t="s">
        <v>11</v>
      </c>
      <c r="I1819" t="s">
        <v>10</v>
      </c>
    </row>
    <row r="1820" spans="1:9" x14ac:dyDescent="0.25">
      <c r="A1820" t="str">
        <f t="shared" si="31"/>
        <v>89301000</v>
      </c>
      <c r="B1820" t="str">
        <f>"1809250289"</f>
        <v>1809250289</v>
      </c>
      <c r="C1820" s="1">
        <v>44986</v>
      </c>
      <c r="D1820" s="1">
        <v>44988</v>
      </c>
      <c r="E1820">
        <v>1</v>
      </c>
      <c r="F1820" t="str">
        <f>"11-K05-00"</f>
        <v>11-K05-00</v>
      </c>
      <c r="G1820">
        <v>0.36609999999999998</v>
      </c>
      <c r="H1820" t="s">
        <v>11</v>
      </c>
      <c r="I1820" t="s">
        <v>10</v>
      </c>
    </row>
    <row r="1821" spans="1:9" x14ac:dyDescent="0.25">
      <c r="A1821" t="str">
        <f t="shared" si="31"/>
        <v>89301000</v>
      </c>
      <c r="B1821" t="str">
        <f>"1809250289"</f>
        <v>1809250289</v>
      </c>
      <c r="C1821" s="1">
        <v>45268</v>
      </c>
      <c r="D1821" s="1">
        <v>45273</v>
      </c>
      <c r="E1821">
        <v>1</v>
      </c>
      <c r="F1821" t="str">
        <f>"11-K01-03"</f>
        <v>11-K01-03</v>
      </c>
      <c r="G1821">
        <v>0.69950000000000001</v>
      </c>
      <c r="H1821" t="s">
        <v>11</v>
      </c>
      <c r="I1821" t="s">
        <v>10</v>
      </c>
    </row>
    <row r="1822" spans="1:9" x14ac:dyDescent="0.25">
      <c r="A1822" t="str">
        <f t="shared" si="31"/>
        <v>89301000</v>
      </c>
      <c r="B1822" t="str">
        <f>"1809260255"</f>
        <v>1809260255</v>
      </c>
      <c r="C1822" s="1">
        <v>45193</v>
      </c>
      <c r="D1822" s="1">
        <v>45202</v>
      </c>
      <c r="E1822">
        <v>1</v>
      </c>
      <c r="F1822" t="str">
        <f>"04-M01-06"</f>
        <v>04-M01-06</v>
      </c>
      <c r="G1822">
        <v>3.6739000000000002</v>
      </c>
      <c r="H1822" t="s">
        <v>11</v>
      </c>
      <c r="I1822" t="s">
        <v>10</v>
      </c>
    </row>
    <row r="1823" spans="1:9" x14ac:dyDescent="0.25">
      <c r="A1823" t="str">
        <f t="shared" si="31"/>
        <v>89301000</v>
      </c>
      <c r="B1823" t="str">
        <f>"1809270199"</f>
        <v>1809270199</v>
      </c>
      <c r="C1823" s="1">
        <v>45063</v>
      </c>
      <c r="D1823" s="1">
        <v>45066</v>
      </c>
      <c r="E1823">
        <v>1</v>
      </c>
      <c r="F1823" t="str">
        <f>"16-I04-01"</f>
        <v>16-I04-01</v>
      </c>
      <c r="G1823">
        <v>0.93820000000000003</v>
      </c>
      <c r="H1823" t="s">
        <v>12</v>
      </c>
      <c r="I1823" t="s">
        <v>10</v>
      </c>
    </row>
    <row r="1824" spans="1:9" x14ac:dyDescent="0.25">
      <c r="A1824" t="str">
        <f t="shared" si="31"/>
        <v>89301000</v>
      </c>
      <c r="B1824" t="str">
        <f>"1809290395"</f>
        <v>1809290395</v>
      </c>
      <c r="C1824" s="1">
        <v>45277</v>
      </c>
      <c r="D1824" s="1">
        <v>45279</v>
      </c>
      <c r="E1824">
        <v>1</v>
      </c>
      <c r="F1824" t="str">
        <f>"03-I21-00"</f>
        <v>03-I21-00</v>
      </c>
      <c r="G1824">
        <v>0.42449999999999999</v>
      </c>
      <c r="H1824" t="s">
        <v>11</v>
      </c>
      <c r="I1824" t="s">
        <v>10</v>
      </c>
    </row>
    <row r="1825" spans="1:9" x14ac:dyDescent="0.25">
      <c r="A1825" t="str">
        <f t="shared" si="31"/>
        <v>89301000</v>
      </c>
      <c r="B1825" t="str">
        <f>"1810050374"</f>
        <v>1810050374</v>
      </c>
      <c r="C1825" s="1">
        <v>45042</v>
      </c>
      <c r="D1825" s="1">
        <v>45049</v>
      </c>
      <c r="E1825">
        <v>1</v>
      </c>
      <c r="F1825" t="str">
        <f>"18-K01-02"</f>
        <v>18-K01-02</v>
      </c>
      <c r="G1825">
        <v>2.8258999999999999</v>
      </c>
      <c r="H1825" t="s">
        <v>11</v>
      </c>
      <c r="I1825" t="s">
        <v>10</v>
      </c>
    </row>
    <row r="1826" spans="1:9" x14ac:dyDescent="0.25">
      <c r="A1826" t="str">
        <f t="shared" si="31"/>
        <v>89301000</v>
      </c>
      <c r="B1826" t="str">
        <f>"1810060065"</f>
        <v>1810060065</v>
      </c>
      <c r="C1826" s="1">
        <v>45238</v>
      </c>
      <c r="D1826" s="1">
        <v>45241</v>
      </c>
      <c r="E1826">
        <v>1</v>
      </c>
      <c r="F1826" t="str">
        <f>"12-K09-00"</f>
        <v>12-K09-00</v>
      </c>
      <c r="G1826">
        <v>0.48170000000000002</v>
      </c>
      <c r="H1826" t="s">
        <v>11</v>
      </c>
      <c r="I1826" t="s">
        <v>10</v>
      </c>
    </row>
    <row r="1827" spans="1:9" x14ac:dyDescent="0.25">
      <c r="A1827" t="str">
        <f t="shared" si="31"/>
        <v>89301000</v>
      </c>
      <c r="B1827" t="str">
        <f>"1810060065"</f>
        <v>1810060065</v>
      </c>
      <c r="C1827" s="1">
        <v>45203</v>
      </c>
      <c r="D1827" s="1">
        <v>45204</v>
      </c>
      <c r="E1827">
        <v>1</v>
      </c>
      <c r="F1827" t="str">
        <f>"23-K01-00"</f>
        <v>23-K01-00</v>
      </c>
      <c r="G1827">
        <v>0.1401</v>
      </c>
      <c r="H1827" t="s">
        <v>11</v>
      </c>
      <c r="I1827" t="s">
        <v>10</v>
      </c>
    </row>
    <row r="1828" spans="1:9" x14ac:dyDescent="0.25">
      <c r="A1828" t="str">
        <f t="shared" si="31"/>
        <v>89301000</v>
      </c>
      <c r="B1828" t="str">
        <f>"1810161892"</f>
        <v>1810161892</v>
      </c>
      <c r="C1828" s="1">
        <v>45074</v>
      </c>
      <c r="D1828" s="1">
        <v>45075</v>
      </c>
      <c r="E1828">
        <v>1</v>
      </c>
      <c r="F1828" t="str">
        <f>"10-K10-00"</f>
        <v>10-K10-00</v>
      </c>
      <c r="G1828">
        <v>0.54949999999999999</v>
      </c>
      <c r="H1828" t="s">
        <v>11</v>
      </c>
      <c r="I1828" t="s">
        <v>10</v>
      </c>
    </row>
    <row r="1829" spans="1:9" x14ac:dyDescent="0.25">
      <c r="A1829" t="str">
        <f t="shared" si="31"/>
        <v>89301000</v>
      </c>
      <c r="B1829" t="str">
        <f>"1810190261"</f>
        <v>1810190261</v>
      </c>
      <c r="C1829" s="1">
        <v>45096</v>
      </c>
      <c r="D1829" s="1">
        <v>45099</v>
      </c>
      <c r="E1829">
        <v>1</v>
      </c>
      <c r="F1829" t="str">
        <f>"10-M01-00"</f>
        <v>10-M01-00</v>
      </c>
      <c r="G1829">
        <v>0.43469999999999998</v>
      </c>
      <c r="H1829" t="s">
        <v>11</v>
      </c>
      <c r="I1829" t="s">
        <v>10</v>
      </c>
    </row>
    <row r="1830" spans="1:9" x14ac:dyDescent="0.25">
      <c r="A1830" t="str">
        <f t="shared" si="31"/>
        <v>89301000</v>
      </c>
      <c r="B1830" t="str">
        <f>"1810250948"</f>
        <v>1810250948</v>
      </c>
      <c r="C1830" s="1">
        <v>44945</v>
      </c>
      <c r="D1830" s="1">
        <v>44947</v>
      </c>
      <c r="E1830">
        <v>1</v>
      </c>
      <c r="F1830" t="str">
        <f>"03-I21-00"</f>
        <v>03-I21-00</v>
      </c>
      <c r="G1830">
        <v>0.42449999999999999</v>
      </c>
      <c r="H1830" t="s">
        <v>11</v>
      </c>
      <c r="I1830" t="s">
        <v>10</v>
      </c>
    </row>
    <row r="1831" spans="1:9" x14ac:dyDescent="0.25">
      <c r="A1831" t="str">
        <f t="shared" si="31"/>
        <v>89301000</v>
      </c>
      <c r="B1831" t="str">
        <f>"1810310205"</f>
        <v>1810310205</v>
      </c>
      <c r="C1831" s="1">
        <v>45190</v>
      </c>
      <c r="D1831" s="1">
        <v>45192</v>
      </c>
      <c r="E1831">
        <v>1</v>
      </c>
      <c r="F1831" t="str">
        <f>"03-I21-00"</f>
        <v>03-I21-00</v>
      </c>
      <c r="G1831">
        <v>0.43319999999999997</v>
      </c>
      <c r="H1831" t="s">
        <v>11</v>
      </c>
      <c r="I1831" t="s">
        <v>10</v>
      </c>
    </row>
    <row r="1832" spans="1:9" x14ac:dyDescent="0.25">
      <c r="A1832" t="str">
        <f t="shared" si="31"/>
        <v>89301000</v>
      </c>
      <c r="B1832" t="str">
        <f>"1811020409"</f>
        <v>1811020409</v>
      </c>
      <c r="C1832" s="1">
        <v>45173</v>
      </c>
      <c r="D1832" s="1">
        <v>45184</v>
      </c>
      <c r="E1832">
        <v>1</v>
      </c>
      <c r="F1832" t="str">
        <f>"12-K09-00"</f>
        <v>12-K09-00</v>
      </c>
      <c r="G1832">
        <v>1.0381</v>
      </c>
      <c r="H1832" t="s">
        <v>11</v>
      </c>
      <c r="I1832" t="s">
        <v>10</v>
      </c>
    </row>
    <row r="1833" spans="1:9" x14ac:dyDescent="0.25">
      <c r="A1833" t="str">
        <f t="shared" si="31"/>
        <v>89301000</v>
      </c>
      <c r="B1833" t="str">
        <f>"1811200226"</f>
        <v>1811200226</v>
      </c>
      <c r="C1833" s="1">
        <v>45002</v>
      </c>
      <c r="D1833" s="1">
        <v>45006</v>
      </c>
      <c r="E1833">
        <v>1</v>
      </c>
      <c r="F1833" t="str">
        <f>"04-K02-04"</f>
        <v>04-K02-04</v>
      </c>
      <c r="G1833">
        <v>0.82099999999999995</v>
      </c>
      <c r="H1833" t="s">
        <v>11</v>
      </c>
      <c r="I1833" t="s">
        <v>10</v>
      </c>
    </row>
    <row r="1834" spans="1:9" x14ac:dyDescent="0.25">
      <c r="A1834" t="str">
        <f t="shared" si="31"/>
        <v>89301000</v>
      </c>
      <c r="B1834" t="str">
        <f>"1811300337"</f>
        <v>1811300337</v>
      </c>
      <c r="C1834" s="1">
        <v>44973</v>
      </c>
      <c r="D1834" s="1">
        <v>44975</v>
      </c>
      <c r="E1834">
        <v>1</v>
      </c>
      <c r="F1834" t="str">
        <f>"03-I21-00"</f>
        <v>03-I21-00</v>
      </c>
      <c r="G1834">
        <v>0.42449999999999999</v>
      </c>
      <c r="H1834" t="s">
        <v>11</v>
      </c>
      <c r="I1834" t="s">
        <v>10</v>
      </c>
    </row>
    <row r="1835" spans="1:9" x14ac:dyDescent="0.25">
      <c r="A1835" t="str">
        <f t="shared" si="31"/>
        <v>89301000</v>
      </c>
      <c r="B1835" t="str">
        <f>"1812170217"</f>
        <v>1812170217</v>
      </c>
      <c r="C1835" s="1">
        <v>45229</v>
      </c>
      <c r="D1835" s="1">
        <v>45231</v>
      </c>
      <c r="E1835">
        <v>1</v>
      </c>
      <c r="F1835" t="str">
        <f>"12-I13-02"</f>
        <v>12-I13-02</v>
      </c>
      <c r="G1835">
        <v>0.53879999999999995</v>
      </c>
      <c r="H1835" t="s">
        <v>9</v>
      </c>
      <c r="I1835" t="s">
        <v>10</v>
      </c>
    </row>
    <row r="1836" spans="1:9" x14ac:dyDescent="0.25">
      <c r="A1836" t="str">
        <f t="shared" si="31"/>
        <v>89301000</v>
      </c>
      <c r="B1836" t="str">
        <f>"1812170877"</f>
        <v>1812170877</v>
      </c>
      <c r="C1836" s="1">
        <v>44959</v>
      </c>
      <c r="D1836" s="1">
        <v>44967</v>
      </c>
      <c r="E1836">
        <v>1</v>
      </c>
      <c r="F1836" t="str">
        <f>"04-M01-06"</f>
        <v>04-M01-06</v>
      </c>
      <c r="G1836">
        <v>3.6739000000000002</v>
      </c>
      <c r="H1836" t="s">
        <v>11</v>
      </c>
      <c r="I1836" t="s">
        <v>10</v>
      </c>
    </row>
    <row r="1837" spans="1:9" x14ac:dyDescent="0.25">
      <c r="A1837" t="str">
        <f t="shared" si="31"/>
        <v>89301000</v>
      </c>
      <c r="B1837" t="str">
        <f>"1812200379"</f>
        <v>1812200379</v>
      </c>
      <c r="C1837" s="1">
        <v>44931</v>
      </c>
      <c r="D1837" s="1">
        <v>44933</v>
      </c>
      <c r="E1837">
        <v>1</v>
      </c>
      <c r="F1837" t="str">
        <f>"03-I21-00"</f>
        <v>03-I21-00</v>
      </c>
      <c r="G1837">
        <v>0.42449999999999999</v>
      </c>
      <c r="H1837" t="s">
        <v>11</v>
      </c>
      <c r="I1837" t="s">
        <v>10</v>
      </c>
    </row>
    <row r="1838" spans="1:9" x14ac:dyDescent="0.25">
      <c r="A1838" t="str">
        <f t="shared" si="31"/>
        <v>89301000</v>
      </c>
      <c r="B1838" t="str">
        <f>"1812281207"</f>
        <v>1812281207</v>
      </c>
      <c r="C1838" s="1">
        <v>45018</v>
      </c>
      <c r="D1838" s="1">
        <v>45020</v>
      </c>
      <c r="E1838">
        <v>1</v>
      </c>
      <c r="F1838" t="str">
        <f>"08-I25-01"</f>
        <v>08-I25-01</v>
      </c>
      <c r="G1838">
        <v>0.95720000000000005</v>
      </c>
      <c r="H1838" t="s">
        <v>11</v>
      </c>
      <c r="I1838" t="s">
        <v>10</v>
      </c>
    </row>
    <row r="1839" spans="1:9" x14ac:dyDescent="0.25">
      <c r="A1839" t="str">
        <f t="shared" si="31"/>
        <v>89301000</v>
      </c>
      <c r="B1839" t="str">
        <f>"1812310126"</f>
        <v>1812310126</v>
      </c>
      <c r="C1839" s="1">
        <v>45260</v>
      </c>
      <c r="D1839" s="1">
        <v>45262</v>
      </c>
      <c r="E1839">
        <v>1</v>
      </c>
      <c r="F1839" t="str">
        <f>"12-I10-02"</f>
        <v>12-I10-02</v>
      </c>
      <c r="G1839">
        <v>0.51690000000000003</v>
      </c>
      <c r="H1839" t="s">
        <v>9</v>
      </c>
      <c r="I1839" t="s">
        <v>10</v>
      </c>
    </row>
    <row r="1840" spans="1:9" x14ac:dyDescent="0.25">
      <c r="A1840" t="str">
        <f t="shared" si="31"/>
        <v>89301000</v>
      </c>
      <c r="B1840" t="str">
        <f>"1812310643"</f>
        <v>1812310643</v>
      </c>
      <c r="C1840" s="1">
        <v>45176</v>
      </c>
      <c r="D1840" s="1">
        <v>45180</v>
      </c>
      <c r="E1840">
        <v>1</v>
      </c>
      <c r="F1840" t="str">
        <f>"03-I16-02"</f>
        <v>03-I16-02</v>
      </c>
      <c r="G1840">
        <v>0.92979999999999996</v>
      </c>
      <c r="H1840" t="s">
        <v>9</v>
      </c>
      <c r="I1840" t="s">
        <v>10</v>
      </c>
    </row>
    <row r="1841" spans="1:9" x14ac:dyDescent="0.25">
      <c r="A1841" t="str">
        <f t="shared" si="31"/>
        <v>89301000</v>
      </c>
      <c r="B1841" t="str">
        <f>"1851120458"</f>
        <v>1851120458</v>
      </c>
      <c r="C1841" s="1">
        <v>44973</v>
      </c>
      <c r="D1841" s="1">
        <v>44975</v>
      </c>
      <c r="E1841">
        <v>1</v>
      </c>
      <c r="F1841" t="str">
        <f>"03-I21-00"</f>
        <v>03-I21-00</v>
      </c>
      <c r="G1841">
        <v>0.42449999999999999</v>
      </c>
      <c r="H1841" t="s">
        <v>11</v>
      </c>
      <c r="I1841" t="s">
        <v>10</v>
      </c>
    </row>
    <row r="1842" spans="1:9" x14ac:dyDescent="0.25">
      <c r="A1842" t="str">
        <f t="shared" si="31"/>
        <v>89301000</v>
      </c>
      <c r="B1842" t="str">
        <f>"1851120777"</f>
        <v>1851120777</v>
      </c>
      <c r="C1842" s="1">
        <v>44958</v>
      </c>
      <c r="D1842" s="1">
        <v>44960</v>
      </c>
      <c r="E1842">
        <v>1</v>
      </c>
      <c r="F1842" t="str">
        <f>"06-I16-05"</f>
        <v>06-I16-05</v>
      </c>
      <c r="G1842">
        <v>0.4622</v>
      </c>
      <c r="H1842" t="s">
        <v>9</v>
      </c>
      <c r="I1842" t="s">
        <v>10</v>
      </c>
    </row>
    <row r="1843" spans="1:9" x14ac:dyDescent="0.25">
      <c r="A1843" t="str">
        <f t="shared" si="31"/>
        <v>89301000</v>
      </c>
      <c r="B1843" t="str">
        <f>"1851130567"</f>
        <v>1851130567</v>
      </c>
      <c r="C1843" s="1">
        <v>44994</v>
      </c>
      <c r="D1843" s="1">
        <v>44996</v>
      </c>
      <c r="E1843">
        <v>1</v>
      </c>
      <c r="F1843" t="str">
        <f>"03-I21-00"</f>
        <v>03-I21-00</v>
      </c>
      <c r="G1843">
        <v>0.42449999999999999</v>
      </c>
      <c r="H1843" t="s">
        <v>11</v>
      </c>
      <c r="I1843" t="s">
        <v>10</v>
      </c>
    </row>
    <row r="1844" spans="1:9" x14ac:dyDescent="0.25">
      <c r="A1844" t="str">
        <f t="shared" si="31"/>
        <v>89301000</v>
      </c>
      <c r="B1844" t="str">
        <f>"1851150433"</f>
        <v>1851150433</v>
      </c>
      <c r="C1844" s="1">
        <v>45168</v>
      </c>
      <c r="D1844" s="1">
        <v>45170</v>
      </c>
      <c r="E1844">
        <v>1</v>
      </c>
      <c r="F1844" t="str">
        <f>"06-I17-05"</f>
        <v>06-I17-05</v>
      </c>
      <c r="G1844">
        <v>0.39529999999999998</v>
      </c>
      <c r="H1844" t="s">
        <v>12</v>
      </c>
      <c r="I1844" t="s">
        <v>10</v>
      </c>
    </row>
    <row r="1845" spans="1:9" x14ac:dyDescent="0.25">
      <c r="A1845" t="str">
        <f t="shared" si="31"/>
        <v>89301000</v>
      </c>
      <c r="B1845" t="str">
        <f>"1851160190"</f>
        <v>1851160190</v>
      </c>
      <c r="C1845" s="1">
        <v>44972</v>
      </c>
      <c r="D1845" s="1">
        <v>44974</v>
      </c>
      <c r="E1845">
        <v>1</v>
      </c>
      <c r="F1845" t="str">
        <f>"06-I17-05"</f>
        <v>06-I17-05</v>
      </c>
      <c r="G1845">
        <v>0.39529999999999998</v>
      </c>
      <c r="H1845" t="s">
        <v>12</v>
      </c>
      <c r="I1845" t="s">
        <v>10</v>
      </c>
    </row>
    <row r="1846" spans="1:9" x14ac:dyDescent="0.25">
      <c r="A1846" t="str">
        <f t="shared" si="31"/>
        <v>89301000</v>
      </c>
      <c r="B1846" t="str">
        <f>"1851240204"</f>
        <v>1851240204</v>
      </c>
      <c r="C1846" s="1">
        <v>44944</v>
      </c>
      <c r="D1846" s="1">
        <v>44945</v>
      </c>
      <c r="E1846">
        <v>1</v>
      </c>
      <c r="F1846" t="str">
        <f>"01-K18-04"</f>
        <v>01-K18-04</v>
      </c>
      <c r="G1846">
        <v>0.54610000000000003</v>
      </c>
      <c r="H1846" t="s">
        <v>11</v>
      </c>
      <c r="I1846" t="s">
        <v>10</v>
      </c>
    </row>
    <row r="1847" spans="1:9" x14ac:dyDescent="0.25">
      <c r="A1847" t="str">
        <f t="shared" si="31"/>
        <v>89301000</v>
      </c>
      <c r="B1847" t="str">
        <f>"1851240204"</f>
        <v>1851240204</v>
      </c>
      <c r="C1847" s="1">
        <v>44932</v>
      </c>
      <c r="D1847" s="1">
        <v>44935</v>
      </c>
      <c r="E1847">
        <v>1</v>
      </c>
      <c r="F1847" t="str">
        <f>"01-K18-02"</f>
        <v>01-K18-02</v>
      </c>
      <c r="G1847">
        <v>1.7750999999999999</v>
      </c>
      <c r="H1847" t="s">
        <v>11</v>
      </c>
      <c r="I1847" t="s">
        <v>10</v>
      </c>
    </row>
    <row r="1848" spans="1:9" x14ac:dyDescent="0.25">
      <c r="A1848" t="str">
        <f t="shared" ref="A1848:A1911" si="32">"89301000"</f>
        <v>89301000</v>
      </c>
      <c r="B1848" t="str">
        <f>"1851240567"</f>
        <v>1851240567</v>
      </c>
      <c r="C1848" s="1">
        <v>45235</v>
      </c>
      <c r="D1848" s="1">
        <v>45237</v>
      </c>
      <c r="E1848">
        <v>1</v>
      </c>
      <c r="F1848" t="str">
        <f>"03-I21-00"</f>
        <v>03-I21-00</v>
      </c>
      <c r="G1848">
        <v>0.42449999999999999</v>
      </c>
      <c r="H1848" t="s">
        <v>11</v>
      </c>
      <c r="I1848" t="s">
        <v>10</v>
      </c>
    </row>
    <row r="1849" spans="1:9" x14ac:dyDescent="0.25">
      <c r="A1849" t="str">
        <f t="shared" si="32"/>
        <v>89301000</v>
      </c>
      <c r="B1849" t="str">
        <f>"1851300264"</f>
        <v>1851300264</v>
      </c>
      <c r="C1849" s="1">
        <v>45026</v>
      </c>
      <c r="D1849" s="1">
        <v>45028</v>
      </c>
      <c r="E1849">
        <v>1</v>
      </c>
      <c r="F1849" t="str">
        <f>"06-I16-05"</f>
        <v>06-I16-05</v>
      </c>
      <c r="G1849">
        <v>0.4622</v>
      </c>
      <c r="H1849" t="s">
        <v>9</v>
      </c>
      <c r="I1849" t="s">
        <v>10</v>
      </c>
    </row>
    <row r="1850" spans="1:9" x14ac:dyDescent="0.25">
      <c r="A1850" t="str">
        <f t="shared" si="32"/>
        <v>89301000</v>
      </c>
      <c r="B1850" t="str">
        <f>"1852081638"</f>
        <v>1852081638</v>
      </c>
      <c r="C1850" s="1">
        <v>45253</v>
      </c>
      <c r="D1850" s="1">
        <v>45255</v>
      </c>
      <c r="E1850">
        <v>1</v>
      </c>
      <c r="F1850" t="str">
        <f>"03-I21-00"</f>
        <v>03-I21-00</v>
      </c>
      <c r="G1850">
        <v>0.42449999999999999</v>
      </c>
      <c r="H1850" t="s">
        <v>11</v>
      </c>
      <c r="I1850" t="s">
        <v>10</v>
      </c>
    </row>
    <row r="1851" spans="1:9" x14ac:dyDescent="0.25">
      <c r="A1851" t="str">
        <f t="shared" si="32"/>
        <v>89301000</v>
      </c>
      <c r="B1851" t="str">
        <f>"1852220601"</f>
        <v>1852220601</v>
      </c>
      <c r="C1851" s="1">
        <v>45204</v>
      </c>
      <c r="D1851" s="1">
        <v>45207</v>
      </c>
      <c r="E1851">
        <v>1</v>
      </c>
      <c r="F1851" t="str">
        <f>"03-I16-02"</f>
        <v>03-I16-02</v>
      </c>
      <c r="G1851">
        <v>0.92979999999999996</v>
      </c>
      <c r="H1851" t="s">
        <v>9</v>
      </c>
      <c r="I1851" t="s">
        <v>10</v>
      </c>
    </row>
    <row r="1852" spans="1:9" x14ac:dyDescent="0.25">
      <c r="A1852" t="str">
        <f t="shared" si="32"/>
        <v>89301000</v>
      </c>
      <c r="B1852" t="str">
        <f>"1852260366"</f>
        <v>1852260366</v>
      </c>
      <c r="C1852" s="1">
        <v>45221</v>
      </c>
      <c r="D1852" s="1">
        <v>45223</v>
      </c>
      <c r="E1852">
        <v>1</v>
      </c>
      <c r="F1852" t="str">
        <f>"03-I21-00"</f>
        <v>03-I21-00</v>
      </c>
      <c r="G1852">
        <v>0.42449999999999999</v>
      </c>
      <c r="H1852" t="s">
        <v>11</v>
      </c>
      <c r="I1852" t="s">
        <v>10</v>
      </c>
    </row>
    <row r="1853" spans="1:9" x14ac:dyDescent="0.25">
      <c r="A1853" t="str">
        <f t="shared" si="32"/>
        <v>89301000</v>
      </c>
      <c r="B1853" t="str">
        <f>"1852270233"</f>
        <v>1852270233</v>
      </c>
      <c r="C1853" s="1">
        <v>45007</v>
      </c>
      <c r="D1853" s="1">
        <v>45009</v>
      </c>
      <c r="E1853">
        <v>1</v>
      </c>
      <c r="F1853" t="str">
        <f>"06-I16-05"</f>
        <v>06-I16-05</v>
      </c>
      <c r="G1853">
        <v>0.4622</v>
      </c>
      <c r="H1853" t="s">
        <v>9</v>
      </c>
      <c r="I1853" t="s">
        <v>10</v>
      </c>
    </row>
    <row r="1854" spans="1:9" x14ac:dyDescent="0.25">
      <c r="A1854" t="str">
        <f t="shared" si="32"/>
        <v>89301000</v>
      </c>
      <c r="B1854" t="str">
        <f>"1853080218"</f>
        <v>1853080218</v>
      </c>
      <c r="C1854" s="1">
        <v>45139</v>
      </c>
      <c r="D1854" s="1">
        <v>45142</v>
      </c>
      <c r="E1854">
        <v>1</v>
      </c>
      <c r="F1854" t="str">
        <f>"06-K02-04"</f>
        <v>06-K02-04</v>
      </c>
      <c r="G1854">
        <v>0.37659999999999999</v>
      </c>
      <c r="H1854" t="s">
        <v>11</v>
      </c>
      <c r="I1854" t="s">
        <v>10</v>
      </c>
    </row>
    <row r="1855" spans="1:9" x14ac:dyDescent="0.25">
      <c r="A1855" t="str">
        <f t="shared" si="32"/>
        <v>89301000</v>
      </c>
      <c r="B1855" t="str">
        <f>"1853190317"</f>
        <v>1853190317</v>
      </c>
      <c r="C1855" s="1">
        <v>45024</v>
      </c>
      <c r="D1855" s="1">
        <v>45026</v>
      </c>
      <c r="E1855">
        <v>1</v>
      </c>
      <c r="F1855" t="str">
        <f>"03-K06-01"</f>
        <v>03-K06-01</v>
      </c>
      <c r="G1855">
        <v>0.4713</v>
      </c>
      <c r="H1855" t="s">
        <v>11</v>
      </c>
      <c r="I1855" t="s">
        <v>10</v>
      </c>
    </row>
    <row r="1856" spans="1:9" x14ac:dyDescent="0.25">
      <c r="A1856" t="str">
        <f t="shared" si="32"/>
        <v>89301000</v>
      </c>
      <c r="B1856" t="str">
        <f>"1853200184"</f>
        <v>1853200184</v>
      </c>
      <c r="C1856" s="1">
        <v>44964</v>
      </c>
      <c r="D1856" s="1">
        <v>44966</v>
      </c>
      <c r="E1856">
        <v>1</v>
      </c>
      <c r="F1856" t="str">
        <f>"03-K02-03"</f>
        <v>03-K02-03</v>
      </c>
      <c r="G1856">
        <v>0.34050000000000002</v>
      </c>
      <c r="H1856" t="s">
        <v>11</v>
      </c>
      <c r="I1856" t="s">
        <v>10</v>
      </c>
    </row>
    <row r="1857" spans="1:9" x14ac:dyDescent="0.25">
      <c r="A1857" t="str">
        <f t="shared" si="32"/>
        <v>89301000</v>
      </c>
      <c r="B1857" t="str">
        <f>"1853241346"</f>
        <v>1853241346</v>
      </c>
      <c r="C1857" s="1">
        <v>44971</v>
      </c>
      <c r="D1857" s="1">
        <v>44972</v>
      </c>
      <c r="E1857">
        <v>1</v>
      </c>
      <c r="F1857" t="str">
        <f>"06-K12-02"</f>
        <v>06-K12-02</v>
      </c>
      <c r="G1857">
        <v>0.4108</v>
      </c>
      <c r="H1857" t="s">
        <v>11</v>
      </c>
      <c r="I1857" t="s">
        <v>10</v>
      </c>
    </row>
    <row r="1858" spans="1:9" x14ac:dyDescent="0.25">
      <c r="A1858" t="str">
        <f t="shared" si="32"/>
        <v>89301000</v>
      </c>
      <c r="B1858" t="str">
        <f>"1853241346"</f>
        <v>1853241346</v>
      </c>
      <c r="C1858" s="1">
        <v>44936</v>
      </c>
      <c r="D1858" s="1">
        <v>44938</v>
      </c>
      <c r="E1858">
        <v>1</v>
      </c>
      <c r="F1858" t="str">
        <f>"03-K08-00"</f>
        <v>03-K08-00</v>
      </c>
      <c r="G1858">
        <v>0.45639999999999997</v>
      </c>
      <c r="H1858" t="s">
        <v>11</v>
      </c>
      <c r="I1858" t="s">
        <v>10</v>
      </c>
    </row>
    <row r="1859" spans="1:9" x14ac:dyDescent="0.25">
      <c r="A1859" t="str">
        <f t="shared" si="32"/>
        <v>89301000</v>
      </c>
      <c r="B1859" t="str">
        <f>"1854070086"</f>
        <v>1854070086</v>
      </c>
      <c r="C1859" s="1">
        <v>45275</v>
      </c>
      <c r="D1859" s="1">
        <v>45280</v>
      </c>
      <c r="E1859">
        <v>1</v>
      </c>
      <c r="F1859" t="str">
        <f>"04-K03-03"</f>
        <v>04-K03-03</v>
      </c>
      <c r="G1859">
        <v>0.56510000000000005</v>
      </c>
      <c r="H1859" t="s">
        <v>11</v>
      </c>
      <c r="I1859" t="s">
        <v>10</v>
      </c>
    </row>
    <row r="1860" spans="1:9" x14ac:dyDescent="0.25">
      <c r="A1860" t="str">
        <f t="shared" si="32"/>
        <v>89301000</v>
      </c>
      <c r="B1860" t="str">
        <f>"1854070086"</f>
        <v>1854070086</v>
      </c>
      <c r="C1860" s="1">
        <v>45018</v>
      </c>
      <c r="D1860" s="1">
        <v>45022</v>
      </c>
      <c r="E1860">
        <v>1</v>
      </c>
      <c r="F1860" t="str">
        <f>"10-K14-05"</f>
        <v>10-K14-05</v>
      </c>
      <c r="G1860">
        <v>0.36199999999999999</v>
      </c>
      <c r="H1860" t="s">
        <v>11</v>
      </c>
      <c r="I1860" t="s">
        <v>10</v>
      </c>
    </row>
    <row r="1861" spans="1:9" x14ac:dyDescent="0.25">
      <c r="A1861" t="str">
        <f t="shared" si="32"/>
        <v>89301000</v>
      </c>
      <c r="B1861" t="str">
        <f>"1854150056"</f>
        <v>1854150056</v>
      </c>
      <c r="C1861" s="1">
        <v>45142</v>
      </c>
      <c r="D1861" s="1">
        <v>45144</v>
      </c>
      <c r="E1861">
        <v>1</v>
      </c>
      <c r="F1861" t="str">
        <f>"03-K03-02"</f>
        <v>03-K03-02</v>
      </c>
      <c r="G1861">
        <v>0.51949999999999996</v>
      </c>
      <c r="H1861" t="s">
        <v>11</v>
      </c>
      <c r="I1861" t="s">
        <v>10</v>
      </c>
    </row>
    <row r="1862" spans="1:9" x14ac:dyDescent="0.25">
      <c r="A1862" t="str">
        <f t="shared" si="32"/>
        <v>89301000</v>
      </c>
      <c r="B1862" t="str">
        <f>"1854180009"</f>
        <v>1854180009</v>
      </c>
      <c r="C1862" s="1">
        <v>45249</v>
      </c>
      <c r="D1862" s="1">
        <v>45252</v>
      </c>
      <c r="E1862">
        <v>1</v>
      </c>
      <c r="F1862" t="str">
        <f>"06-K02-04"</f>
        <v>06-K02-04</v>
      </c>
      <c r="G1862">
        <v>0.37659999999999999</v>
      </c>
      <c r="H1862" t="s">
        <v>11</v>
      </c>
      <c r="I1862" t="s">
        <v>10</v>
      </c>
    </row>
    <row r="1863" spans="1:9" x14ac:dyDescent="0.25">
      <c r="A1863" t="str">
        <f t="shared" si="32"/>
        <v>89301000</v>
      </c>
      <c r="B1863" t="str">
        <f>"1854180251"</f>
        <v>1854180251</v>
      </c>
      <c r="C1863" s="1">
        <v>45274</v>
      </c>
      <c r="D1863" s="1">
        <v>45276</v>
      </c>
      <c r="E1863">
        <v>1</v>
      </c>
      <c r="F1863" t="str">
        <f>"03-I21-00"</f>
        <v>03-I21-00</v>
      </c>
      <c r="G1863">
        <v>0.42449999999999999</v>
      </c>
      <c r="H1863" t="s">
        <v>11</v>
      </c>
      <c r="I1863" t="s">
        <v>10</v>
      </c>
    </row>
    <row r="1864" spans="1:9" x14ac:dyDescent="0.25">
      <c r="A1864" t="str">
        <f t="shared" si="32"/>
        <v>89301000</v>
      </c>
      <c r="B1864" t="str">
        <f>"1854261475"</f>
        <v>1854261475</v>
      </c>
      <c r="C1864" s="1">
        <v>45033</v>
      </c>
      <c r="D1864" s="1">
        <v>45035</v>
      </c>
      <c r="E1864">
        <v>1</v>
      </c>
      <c r="F1864" t="str">
        <f>"03-I21-00"</f>
        <v>03-I21-00</v>
      </c>
      <c r="G1864">
        <v>0.42449999999999999</v>
      </c>
      <c r="H1864" t="s">
        <v>11</v>
      </c>
      <c r="I1864" t="s">
        <v>10</v>
      </c>
    </row>
    <row r="1865" spans="1:9" x14ac:dyDescent="0.25">
      <c r="A1865" t="str">
        <f t="shared" si="32"/>
        <v>89301000</v>
      </c>
      <c r="B1865" t="str">
        <f>"1854290020"</f>
        <v>1854290020</v>
      </c>
      <c r="C1865" s="1">
        <v>45102</v>
      </c>
      <c r="D1865" s="1">
        <v>45104</v>
      </c>
      <c r="E1865">
        <v>1</v>
      </c>
      <c r="F1865" t="str">
        <f>"03-I21-00"</f>
        <v>03-I21-00</v>
      </c>
      <c r="G1865">
        <v>0.42449999999999999</v>
      </c>
      <c r="H1865" t="s">
        <v>11</v>
      </c>
      <c r="I1865" t="s">
        <v>10</v>
      </c>
    </row>
    <row r="1866" spans="1:9" x14ac:dyDescent="0.25">
      <c r="A1866" t="str">
        <f t="shared" si="32"/>
        <v>89301000</v>
      </c>
      <c r="B1866" t="str">
        <f>"1855110554"</f>
        <v>1855110554</v>
      </c>
      <c r="C1866" s="1">
        <v>45193</v>
      </c>
      <c r="D1866" s="1">
        <v>45195</v>
      </c>
      <c r="E1866">
        <v>1</v>
      </c>
      <c r="F1866" t="str">
        <f>"03-I21-00"</f>
        <v>03-I21-00</v>
      </c>
      <c r="G1866">
        <v>0.42449999999999999</v>
      </c>
      <c r="H1866" t="s">
        <v>11</v>
      </c>
      <c r="I1866" t="s">
        <v>10</v>
      </c>
    </row>
    <row r="1867" spans="1:9" x14ac:dyDescent="0.25">
      <c r="A1867" t="str">
        <f t="shared" si="32"/>
        <v>89301000</v>
      </c>
      <c r="B1867" t="str">
        <f>"1855171197"</f>
        <v>1855171197</v>
      </c>
      <c r="C1867" s="1">
        <v>45179</v>
      </c>
      <c r="D1867" s="1">
        <v>45181</v>
      </c>
      <c r="E1867">
        <v>1</v>
      </c>
      <c r="F1867" t="str">
        <f>"06-K02-04"</f>
        <v>06-K02-04</v>
      </c>
      <c r="G1867">
        <v>0.37659999999999999</v>
      </c>
      <c r="H1867" t="s">
        <v>11</v>
      </c>
      <c r="I1867" t="s">
        <v>10</v>
      </c>
    </row>
    <row r="1868" spans="1:9" x14ac:dyDescent="0.25">
      <c r="A1868" t="str">
        <f t="shared" si="32"/>
        <v>89301000</v>
      </c>
      <c r="B1868" t="str">
        <f>"1855180283"</f>
        <v>1855180283</v>
      </c>
      <c r="C1868" s="1">
        <v>45197</v>
      </c>
      <c r="D1868" s="1">
        <v>45199</v>
      </c>
      <c r="E1868">
        <v>1</v>
      </c>
      <c r="F1868" t="str">
        <f>"03-I21-00"</f>
        <v>03-I21-00</v>
      </c>
      <c r="G1868">
        <v>0.42449999999999999</v>
      </c>
      <c r="H1868" t="s">
        <v>11</v>
      </c>
      <c r="I1868" t="s">
        <v>10</v>
      </c>
    </row>
    <row r="1869" spans="1:9" x14ac:dyDescent="0.25">
      <c r="A1869" t="str">
        <f t="shared" si="32"/>
        <v>89301000</v>
      </c>
      <c r="B1869" t="str">
        <f>"1855230355"</f>
        <v>1855230355</v>
      </c>
      <c r="C1869" s="1">
        <v>45026</v>
      </c>
      <c r="D1869" s="1">
        <v>45028</v>
      </c>
      <c r="E1869">
        <v>1</v>
      </c>
      <c r="F1869" t="str">
        <f>"06-I16-05"</f>
        <v>06-I16-05</v>
      </c>
      <c r="G1869">
        <v>0.4622</v>
      </c>
      <c r="H1869" t="s">
        <v>9</v>
      </c>
      <c r="I1869" t="s">
        <v>10</v>
      </c>
    </row>
    <row r="1870" spans="1:9" x14ac:dyDescent="0.25">
      <c r="A1870" t="str">
        <f t="shared" si="32"/>
        <v>89301000</v>
      </c>
      <c r="B1870" t="str">
        <f>"1855231631"</f>
        <v>1855231631</v>
      </c>
      <c r="C1870" s="1">
        <v>44969</v>
      </c>
      <c r="D1870" s="1">
        <v>44972</v>
      </c>
      <c r="E1870">
        <v>1</v>
      </c>
      <c r="F1870" t="str">
        <f>"03-I16-02"</f>
        <v>03-I16-02</v>
      </c>
      <c r="G1870">
        <v>0.92979999999999996</v>
      </c>
      <c r="H1870" t="s">
        <v>9</v>
      </c>
      <c r="I1870" t="s">
        <v>10</v>
      </c>
    </row>
    <row r="1871" spans="1:9" x14ac:dyDescent="0.25">
      <c r="A1871" t="str">
        <f t="shared" si="32"/>
        <v>89301000</v>
      </c>
      <c r="B1871" t="str">
        <f>"1856150274"</f>
        <v>1856150274</v>
      </c>
      <c r="C1871" s="1">
        <v>45278</v>
      </c>
      <c r="D1871" s="1">
        <v>45280</v>
      </c>
      <c r="E1871">
        <v>1</v>
      </c>
      <c r="F1871" t="str">
        <f>"04-K02-04"</f>
        <v>04-K02-04</v>
      </c>
      <c r="G1871">
        <v>0.82099999999999995</v>
      </c>
      <c r="H1871" t="s">
        <v>11</v>
      </c>
      <c r="I1871" t="s">
        <v>10</v>
      </c>
    </row>
    <row r="1872" spans="1:9" x14ac:dyDescent="0.25">
      <c r="A1872" t="str">
        <f t="shared" si="32"/>
        <v>89301000</v>
      </c>
      <c r="B1872" t="str">
        <f>"1856281229"</f>
        <v>1856281229</v>
      </c>
      <c r="C1872" s="1">
        <v>45089</v>
      </c>
      <c r="D1872" s="1">
        <v>45092</v>
      </c>
      <c r="E1872">
        <v>1</v>
      </c>
      <c r="F1872" t="str">
        <f>"03-K06-01"</f>
        <v>03-K06-01</v>
      </c>
      <c r="G1872">
        <v>0.4713</v>
      </c>
      <c r="H1872" t="s">
        <v>11</v>
      </c>
      <c r="I1872" t="s">
        <v>10</v>
      </c>
    </row>
    <row r="1873" spans="1:9" x14ac:dyDescent="0.25">
      <c r="A1873" t="str">
        <f t="shared" si="32"/>
        <v>89301000</v>
      </c>
      <c r="B1873" t="str">
        <f>"1857080203"</f>
        <v>1857080203</v>
      </c>
      <c r="C1873" s="1">
        <v>45047</v>
      </c>
      <c r="D1873" s="1">
        <v>45047</v>
      </c>
      <c r="E1873">
        <v>1</v>
      </c>
      <c r="F1873" t="str">
        <f>"03-K12-01"</f>
        <v>03-K12-01</v>
      </c>
      <c r="G1873">
        <v>0.185</v>
      </c>
      <c r="H1873" t="s">
        <v>11</v>
      </c>
      <c r="I1873" t="s">
        <v>10</v>
      </c>
    </row>
    <row r="1874" spans="1:9" x14ac:dyDescent="0.25">
      <c r="A1874" t="str">
        <f t="shared" si="32"/>
        <v>89301000</v>
      </c>
      <c r="B1874" t="str">
        <f>"1857080269"</f>
        <v>1857080269</v>
      </c>
      <c r="C1874" s="1">
        <v>45285</v>
      </c>
      <c r="D1874" s="1">
        <v>45288</v>
      </c>
      <c r="E1874">
        <v>1</v>
      </c>
      <c r="F1874" t="str">
        <f>"04-K02-04"</f>
        <v>04-K02-04</v>
      </c>
      <c r="G1874">
        <v>0.82099999999999995</v>
      </c>
      <c r="H1874" t="s">
        <v>11</v>
      </c>
      <c r="I1874" t="s">
        <v>10</v>
      </c>
    </row>
    <row r="1875" spans="1:9" x14ac:dyDescent="0.25">
      <c r="A1875" t="str">
        <f t="shared" si="32"/>
        <v>89301000</v>
      </c>
      <c r="B1875" t="str">
        <f>"1857100443"</f>
        <v>1857100443</v>
      </c>
      <c r="C1875" s="1">
        <v>45173</v>
      </c>
      <c r="D1875" s="1">
        <v>45176</v>
      </c>
      <c r="E1875">
        <v>1</v>
      </c>
      <c r="F1875" t="str">
        <f>"03-I16-02"</f>
        <v>03-I16-02</v>
      </c>
      <c r="G1875">
        <v>0.92979999999999996</v>
      </c>
      <c r="H1875" t="s">
        <v>9</v>
      </c>
      <c r="I1875" t="s">
        <v>10</v>
      </c>
    </row>
    <row r="1876" spans="1:9" x14ac:dyDescent="0.25">
      <c r="A1876" t="str">
        <f t="shared" si="32"/>
        <v>89301000</v>
      </c>
      <c r="B1876" t="str">
        <f>"1857160030"</f>
        <v>1857160030</v>
      </c>
      <c r="C1876" s="1">
        <v>45215</v>
      </c>
      <c r="D1876" s="1">
        <v>45217</v>
      </c>
      <c r="E1876">
        <v>1</v>
      </c>
      <c r="F1876" t="str">
        <f>"03-I21-00"</f>
        <v>03-I21-00</v>
      </c>
      <c r="G1876">
        <v>0.42449999999999999</v>
      </c>
      <c r="H1876" t="s">
        <v>11</v>
      </c>
      <c r="I1876" t="s">
        <v>10</v>
      </c>
    </row>
    <row r="1877" spans="1:9" x14ac:dyDescent="0.25">
      <c r="A1877" t="str">
        <f t="shared" si="32"/>
        <v>89301000</v>
      </c>
      <c r="B1877" t="str">
        <f>"1857230342"</f>
        <v>1857230342</v>
      </c>
      <c r="C1877" s="1">
        <v>45050</v>
      </c>
      <c r="D1877" s="1">
        <v>45052</v>
      </c>
      <c r="E1877">
        <v>1</v>
      </c>
      <c r="F1877" t="str">
        <f>"03-I21-00"</f>
        <v>03-I21-00</v>
      </c>
      <c r="G1877">
        <v>0.43319999999999997</v>
      </c>
      <c r="H1877" t="s">
        <v>11</v>
      </c>
      <c r="I1877" t="s">
        <v>10</v>
      </c>
    </row>
    <row r="1878" spans="1:9" x14ac:dyDescent="0.25">
      <c r="A1878" t="str">
        <f t="shared" si="32"/>
        <v>89301000</v>
      </c>
      <c r="B1878" t="str">
        <f>"1857250043"</f>
        <v>1857250043</v>
      </c>
      <c r="C1878" s="1">
        <v>45001</v>
      </c>
      <c r="D1878" s="1">
        <v>45003</v>
      </c>
      <c r="E1878">
        <v>1</v>
      </c>
      <c r="F1878" t="str">
        <f>"03-I21-00"</f>
        <v>03-I21-00</v>
      </c>
      <c r="G1878">
        <v>0.42449999999999999</v>
      </c>
      <c r="H1878" t="s">
        <v>11</v>
      </c>
      <c r="I1878" t="s">
        <v>10</v>
      </c>
    </row>
    <row r="1879" spans="1:9" x14ac:dyDescent="0.25">
      <c r="A1879" t="str">
        <f t="shared" si="32"/>
        <v>89301000</v>
      </c>
      <c r="B1879" t="str">
        <f>"1857250274"</f>
        <v>1857250274</v>
      </c>
      <c r="C1879" s="1">
        <v>45118</v>
      </c>
      <c r="D1879" s="1">
        <v>45120</v>
      </c>
      <c r="E1879">
        <v>1</v>
      </c>
      <c r="F1879" t="str">
        <f>"08-I32-00"</f>
        <v>08-I32-00</v>
      </c>
      <c r="G1879">
        <v>0.40870000000000001</v>
      </c>
      <c r="H1879" t="s">
        <v>11</v>
      </c>
      <c r="I1879" t="s">
        <v>10</v>
      </c>
    </row>
    <row r="1880" spans="1:9" x14ac:dyDescent="0.25">
      <c r="A1880" t="str">
        <f t="shared" si="32"/>
        <v>89301000</v>
      </c>
      <c r="B1880" t="str">
        <f>"1857250274"</f>
        <v>1857250274</v>
      </c>
      <c r="C1880" s="1">
        <v>45076</v>
      </c>
      <c r="D1880" s="1">
        <v>45077</v>
      </c>
      <c r="E1880">
        <v>1</v>
      </c>
      <c r="F1880" t="str">
        <f>"08-K14-03"</f>
        <v>08-K14-03</v>
      </c>
      <c r="G1880">
        <v>0.2611</v>
      </c>
      <c r="H1880" t="s">
        <v>11</v>
      </c>
      <c r="I1880" t="s">
        <v>10</v>
      </c>
    </row>
    <row r="1881" spans="1:9" x14ac:dyDescent="0.25">
      <c r="A1881" t="str">
        <f t="shared" si="32"/>
        <v>89301000</v>
      </c>
      <c r="B1881" t="str">
        <f>"1858130450"</f>
        <v>1858130450</v>
      </c>
      <c r="C1881" s="1">
        <v>45057</v>
      </c>
      <c r="D1881" s="1">
        <v>45059</v>
      </c>
      <c r="E1881">
        <v>1</v>
      </c>
      <c r="F1881" t="str">
        <f>"03-I21-00"</f>
        <v>03-I21-00</v>
      </c>
      <c r="G1881">
        <v>0.42449999999999999</v>
      </c>
      <c r="H1881" t="s">
        <v>11</v>
      </c>
      <c r="I1881" t="s">
        <v>10</v>
      </c>
    </row>
    <row r="1882" spans="1:9" x14ac:dyDescent="0.25">
      <c r="A1882" t="str">
        <f t="shared" si="32"/>
        <v>89301000</v>
      </c>
      <c r="B1882" t="str">
        <f>"1858140823"</f>
        <v>1858140823</v>
      </c>
      <c r="C1882" s="1">
        <v>44969</v>
      </c>
      <c r="D1882" s="1">
        <v>44971</v>
      </c>
      <c r="E1882">
        <v>1</v>
      </c>
      <c r="F1882" t="str">
        <f>"08-I20-03"</f>
        <v>08-I20-03</v>
      </c>
      <c r="G1882">
        <v>0.62639999999999996</v>
      </c>
      <c r="H1882" t="s">
        <v>12</v>
      </c>
      <c r="I1882" t="s">
        <v>10</v>
      </c>
    </row>
    <row r="1883" spans="1:9" x14ac:dyDescent="0.25">
      <c r="A1883" t="str">
        <f t="shared" si="32"/>
        <v>89301000</v>
      </c>
      <c r="B1883" t="str">
        <f>"1858170710"</f>
        <v>1858170710</v>
      </c>
      <c r="C1883" s="1">
        <v>45138</v>
      </c>
      <c r="D1883" s="1">
        <v>45139</v>
      </c>
      <c r="E1883">
        <v>1</v>
      </c>
      <c r="F1883" t="str">
        <f>"08-K14-03"</f>
        <v>08-K14-03</v>
      </c>
      <c r="G1883">
        <v>0.26040000000000002</v>
      </c>
      <c r="H1883" t="s">
        <v>11</v>
      </c>
      <c r="I1883" t="s">
        <v>10</v>
      </c>
    </row>
    <row r="1884" spans="1:9" x14ac:dyDescent="0.25">
      <c r="A1884" t="str">
        <f t="shared" si="32"/>
        <v>89301000</v>
      </c>
      <c r="B1884" t="str">
        <f>"1858181523"</f>
        <v>1858181523</v>
      </c>
      <c r="C1884" s="1">
        <v>45235</v>
      </c>
      <c r="D1884" s="1">
        <v>45237</v>
      </c>
      <c r="E1884">
        <v>1</v>
      </c>
      <c r="F1884" t="str">
        <f>"02-I11-01"</f>
        <v>02-I11-01</v>
      </c>
      <c r="G1884">
        <v>0.80620000000000003</v>
      </c>
      <c r="H1884" t="s">
        <v>12</v>
      </c>
      <c r="I1884" t="s">
        <v>10</v>
      </c>
    </row>
    <row r="1885" spans="1:9" x14ac:dyDescent="0.25">
      <c r="A1885" t="str">
        <f t="shared" si="32"/>
        <v>89301000</v>
      </c>
      <c r="B1885" t="str">
        <f>"1858230748"</f>
        <v>1858230748</v>
      </c>
      <c r="C1885" s="1">
        <v>45165</v>
      </c>
      <c r="D1885" s="1">
        <v>45170</v>
      </c>
      <c r="E1885">
        <v>1</v>
      </c>
      <c r="F1885" t="str">
        <f>"04-K03-01"</f>
        <v>04-K03-01</v>
      </c>
      <c r="G1885">
        <v>1.3408</v>
      </c>
      <c r="H1885" t="s">
        <v>11</v>
      </c>
      <c r="I1885" t="s">
        <v>10</v>
      </c>
    </row>
    <row r="1886" spans="1:9" x14ac:dyDescent="0.25">
      <c r="A1886" t="str">
        <f t="shared" si="32"/>
        <v>89301000</v>
      </c>
      <c r="B1886" t="str">
        <f>"1858230759"</f>
        <v>1858230759</v>
      </c>
      <c r="C1886" s="1">
        <v>45185</v>
      </c>
      <c r="D1886" s="1">
        <v>45191</v>
      </c>
      <c r="E1886">
        <v>1</v>
      </c>
      <c r="F1886" t="str">
        <f>"04-K08-04"</f>
        <v>04-K08-04</v>
      </c>
      <c r="G1886">
        <v>0.88160000000000005</v>
      </c>
      <c r="H1886" t="s">
        <v>11</v>
      </c>
      <c r="I1886" t="s">
        <v>10</v>
      </c>
    </row>
    <row r="1887" spans="1:9" x14ac:dyDescent="0.25">
      <c r="A1887" t="str">
        <f t="shared" si="32"/>
        <v>89301000</v>
      </c>
      <c r="B1887" t="str">
        <f>"1858230759"</f>
        <v>1858230759</v>
      </c>
      <c r="C1887" s="1">
        <v>45165</v>
      </c>
      <c r="D1887" s="1">
        <v>45170</v>
      </c>
      <c r="E1887">
        <v>1</v>
      </c>
      <c r="F1887" t="str">
        <f>"04-K03-01"</f>
        <v>04-K03-01</v>
      </c>
      <c r="G1887">
        <v>1.3408</v>
      </c>
      <c r="H1887" t="s">
        <v>11</v>
      </c>
      <c r="I1887" t="s">
        <v>10</v>
      </c>
    </row>
    <row r="1888" spans="1:9" x14ac:dyDescent="0.25">
      <c r="A1888" t="str">
        <f t="shared" si="32"/>
        <v>89301000</v>
      </c>
      <c r="B1888" t="str">
        <f>"1858310300"</f>
        <v>1858310300</v>
      </c>
      <c r="C1888" s="1">
        <v>45249</v>
      </c>
      <c r="D1888" s="1">
        <v>45251</v>
      </c>
      <c r="E1888">
        <v>1</v>
      </c>
      <c r="F1888" t="str">
        <f>"03-I21-00"</f>
        <v>03-I21-00</v>
      </c>
      <c r="G1888">
        <v>0.42449999999999999</v>
      </c>
      <c r="H1888" t="s">
        <v>11</v>
      </c>
      <c r="I1888" t="s">
        <v>10</v>
      </c>
    </row>
    <row r="1889" spans="1:9" x14ac:dyDescent="0.25">
      <c r="A1889" t="str">
        <f t="shared" si="32"/>
        <v>89301000</v>
      </c>
      <c r="B1889" t="str">
        <f>"1859050457"</f>
        <v>1859050457</v>
      </c>
      <c r="C1889" s="1">
        <v>45136</v>
      </c>
      <c r="D1889" s="1">
        <v>45138</v>
      </c>
      <c r="E1889">
        <v>1</v>
      </c>
      <c r="F1889" t="str">
        <f>"20-K01-05"</f>
        <v>20-K01-05</v>
      </c>
      <c r="G1889">
        <v>0.3952</v>
      </c>
      <c r="H1889" t="s">
        <v>11</v>
      </c>
      <c r="I1889" t="s">
        <v>10</v>
      </c>
    </row>
    <row r="1890" spans="1:9" x14ac:dyDescent="0.25">
      <c r="A1890" t="str">
        <f t="shared" si="32"/>
        <v>89301000</v>
      </c>
      <c r="B1890" t="str">
        <f>"1859060313"</f>
        <v>1859060313</v>
      </c>
      <c r="C1890" s="1">
        <v>45034</v>
      </c>
      <c r="D1890" s="1">
        <v>45036</v>
      </c>
      <c r="E1890">
        <v>1</v>
      </c>
      <c r="F1890" t="str">
        <f>"01-K16-06"</f>
        <v>01-K16-06</v>
      </c>
      <c r="G1890">
        <v>0.27150000000000002</v>
      </c>
      <c r="H1890" t="s">
        <v>11</v>
      </c>
      <c r="I1890" t="s">
        <v>10</v>
      </c>
    </row>
    <row r="1891" spans="1:9" x14ac:dyDescent="0.25">
      <c r="A1891" t="str">
        <f t="shared" si="32"/>
        <v>89301000</v>
      </c>
      <c r="B1891" t="str">
        <f>"1859101112"</f>
        <v>1859101112</v>
      </c>
      <c r="C1891" s="1">
        <v>45060</v>
      </c>
      <c r="D1891" s="1">
        <v>45065</v>
      </c>
      <c r="E1891">
        <v>1</v>
      </c>
      <c r="F1891" t="str">
        <f>"11-K01-03"</f>
        <v>11-K01-03</v>
      </c>
      <c r="G1891">
        <v>0.68789999999999996</v>
      </c>
      <c r="H1891" t="s">
        <v>11</v>
      </c>
      <c r="I1891" t="s">
        <v>10</v>
      </c>
    </row>
    <row r="1892" spans="1:9" x14ac:dyDescent="0.25">
      <c r="A1892" t="str">
        <f t="shared" si="32"/>
        <v>89301000</v>
      </c>
      <c r="B1892" t="str">
        <f>"1859220473"</f>
        <v>1859220473</v>
      </c>
      <c r="C1892" s="1">
        <v>45193</v>
      </c>
      <c r="D1892" s="1">
        <v>45195</v>
      </c>
      <c r="E1892">
        <v>1</v>
      </c>
      <c r="F1892" t="str">
        <f>"03-I21-00"</f>
        <v>03-I21-00</v>
      </c>
      <c r="G1892">
        <v>0.42449999999999999</v>
      </c>
      <c r="H1892" t="s">
        <v>11</v>
      </c>
      <c r="I1892" t="s">
        <v>10</v>
      </c>
    </row>
    <row r="1893" spans="1:9" x14ac:dyDescent="0.25">
      <c r="A1893" t="str">
        <f t="shared" si="32"/>
        <v>89301000</v>
      </c>
      <c r="B1893" t="str">
        <f>"1859250404"</f>
        <v>1859250404</v>
      </c>
      <c r="C1893" s="1">
        <v>45016</v>
      </c>
      <c r="D1893" s="1">
        <v>45040</v>
      </c>
      <c r="E1893">
        <v>1</v>
      </c>
      <c r="F1893" t="str">
        <f>"18-I01-02"</f>
        <v>18-I01-02</v>
      </c>
      <c r="G1893">
        <v>3.2707000000000002</v>
      </c>
      <c r="H1893" t="s">
        <v>11</v>
      </c>
      <c r="I1893" t="s">
        <v>10</v>
      </c>
    </row>
    <row r="1894" spans="1:9" x14ac:dyDescent="0.25">
      <c r="A1894" t="str">
        <f t="shared" si="32"/>
        <v>89301000</v>
      </c>
      <c r="B1894" t="str">
        <f>"1860241581"</f>
        <v>1860241581</v>
      </c>
      <c r="C1894" s="1">
        <v>45047</v>
      </c>
      <c r="D1894" s="1">
        <v>45067</v>
      </c>
      <c r="E1894">
        <v>1</v>
      </c>
      <c r="F1894" t="str">
        <f>"04-K02-03"</f>
        <v>04-K02-03</v>
      </c>
      <c r="G1894">
        <v>1.298</v>
      </c>
      <c r="H1894" t="s">
        <v>11</v>
      </c>
      <c r="I1894" t="s">
        <v>10</v>
      </c>
    </row>
    <row r="1895" spans="1:9" x14ac:dyDescent="0.25">
      <c r="A1895" t="str">
        <f t="shared" si="32"/>
        <v>89301000</v>
      </c>
      <c r="B1895" t="str">
        <f>"1860270071"</f>
        <v>1860270071</v>
      </c>
      <c r="C1895" s="1">
        <v>44957</v>
      </c>
      <c r="D1895" s="1">
        <v>44964</v>
      </c>
      <c r="E1895">
        <v>1</v>
      </c>
      <c r="F1895" t="str">
        <f>"13-K14-00"</f>
        <v>13-K14-00</v>
      </c>
      <c r="G1895">
        <v>0.53100000000000003</v>
      </c>
      <c r="H1895" t="s">
        <v>11</v>
      </c>
      <c r="I1895" t="s">
        <v>10</v>
      </c>
    </row>
    <row r="1896" spans="1:9" x14ac:dyDescent="0.25">
      <c r="A1896" t="str">
        <f t="shared" si="32"/>
        <v>89301000</v>
      </c>
      <c r="B1896" t="str">
        <f>"1861040236"</f>
        <v>1861040236</v>
      </c>
      <c r="C1896" s="1">
        <v>45028</v>
      </c>
      <c r="D1896" s="1">
        <v>45037</v>
      </c>
      <c r="E1896">
        <v>1</v>
      </c>
      <c r="F1896" t="str">
        <f>"11-K03-01"</f>
        <v>11-K03-01</v>
      </c>
      <c r="G1896">
        <v>1.2496</v>
      </c>
      <c r="H1896" t="s">
        <v>11</v>
      </c>
      <c r="I1896" t="s">
        <v>10</v>
      </c>
    </row>
    <row r="1897" spans="1:9" x14ac:dyDescent="0.25">
      <c r="A1897" t="str">
        <f t="shared" si="32"/>
        <v>89301000</v>
      </c>
      <c r="B1897" t="str">
        <f>"1861051533"</f>
        <v>1861051533</v>
      </c>
      <c r="C1897" s="1">
        <v>45032</v>
      </c>
      <c r="D1897" s="1">
        <v>45033</v>
      </c>
      <c r="E1897">
        <v>1</v>
      </c>
      <c r="F1897" t="str">
        <f>"06-K02-04"</f>
        <v>06-K02-04</v>
      </c>
      <c r="G1897">
        <v>0.37809999999999999</v>
      </c>
      <c r="H1897" t="s">
        <v>11</v>
      </c>
      <c r="I1897" t="s">
        <v>10</v>
      </c>
    </row>
    <row r="1898" spans="1:9" x14ac:dyDescent="0.25">
      <c r="A1898" t="str">
        <f t="shared" si="32"/>
        <v>89301000</v>
      </c>
      <c r="B1898" t="str">
        <f>"1861070178"</f>
        <v>1861070178</v>
      </c>
      <c r="C1898" s="1">
        <v>45204</v>
      </c>
      <c r="D1898" s="1">
        <v>45206</v>
      </c>
      <c r="E1898">
        <v>1</v>
      </c>
      <c r="F1898" t="str">
        <f>"03-I21-00"</f>
        <v>03-I21-00</v>
      </c>
      <c r="G1898">
        <v>0.42449999999999999</v>
      </c>
      <c r="H1898" t="s">
        <v>11</v>
      </c>
      <c r="I1898" t="s">
        <v>10</v>
      </c>
    </row>
    <row r="1899" spans="1:9" x14ac:dyDescent="0.25">
      <c r="A1899" t="str">
        <f t="shared" si="32"/>
        <v>89301000</v>
      </c>
      <c r="B1899" t="str">
        <f>"1861130260"</f>
        <v>1861130260</v>
      </c>
      <c r="C1899" s="1">
        <v>44952</v>
      </c>
      <c r="D1899" s="1">
        <v>44954</v>
      </c>
      <c r="E1899">
        <v>1</v>
      </c>
      <c r="F1899" t="str">
        <f>"02-I10-02"</f>
        <v>02-I10-02</v>
      </c>
      <c r="G1899">
        <v>0.54069999999999996</v>
      </c>
      <c r="H1899" t="s">
        <v>9</v>
      </c>
      <c r="I1899" t="s">
        <v>10</v>
      </c>
    </row>
    <row r="1900" spans="1:9" x14ac:dyDescent="0.25">
      <c r="A1900" t="str">
        <f t="shared" si="32"/>
        <v>89301000</v>
      </c>
      <c r="B1900" t="str">
        <f>"1861220009"</f>
        <v>1861220009</v>
      </c>
      <c r="C1900" s="1">
        <v>45094</v>
      </c>
      <c r="D1900" s="1">
        <v>45095</v>
      </c>
      <c r="E1900">
        <v>1</v>
      </c>
      <c r="F1900" t="str">
        <f>"04-K13-01"</f>
        <v>04-K13-01</v>
      </c>
      <c r="G1900">
        <v>0.69920000000000004</v>
      </c>
      <c r="H1900" t="s">
        <v>11</v>
      </c>
      <c r="I1900" t="s">
        <v>10</v>
      </c>
    </row>
    <row r="1901" spans="1:9" x14ac:dyDescent="0.25">
      <c r="A1901" t="str">
        <f t="shared" si="32"/>
        <v>89301000</v>
      </c>
      <c r="B1901" t="str">
        <f>"1861220152"</f>
        <v>1861220152</v>
      </c>
      <c r="C1901" s="1">
        <v>45018</v>
      </c>
      <c r="D1901" s="1">
        <v>45020</v>
      </c>
      <c r="E1901">
        <v>1</v>
      </c>
      <c r="F1901" t="str">
        <f>"03-I21-00"</f>
        <v>03-I21-00</v>
      </c>
      <c r="G1901">
        <v>0.42449999999999999</v>
      </c>
      <c r="H1901" t="s">
        <v>11</v>
      </c>
      <c r="I1901" t="s">
        <v>10</v>
      </c>
    </row>
    <row r="1902" spans="1:9" x14ac:dyDescent="0.25">
      <c r="A1902" t="str">
        <f t="shared" si="32"/>
        <v>89301000</v>
      </c>
      <c r="B1902" t="str">
        <f>"1862140236"</f>
        <v>1862140236</v>
      </c>
      <c r="C1902" s="1">
        <v>44998</v>
      </c>
      <c r="D1902" s="1">
        <v>45000</v>
      </c>
      <c r="E1902">
        <v>1</v>
      </c>
      <c r="F1902" t="str">
        <f>"06-K02-04"</f>
        <v>06-K02-04</v>
      </c>
      <c r="G1902">
        <v>0.37659999999999999</v>
      </c>
      <c r="H1902" t="s">
        <v>11</v>
      </c>
      <c r="I1902" t="s">
        <v>10</v>
      </c>
    </row>
    <row r="1903" spans="1:9" x14ac:dyDescent="0.25">
      <c r="A1903" t="str">
        <f t="shared" si="32"/>
        <v>89301000</v>
      </c>
      <c r="B1903" t="str">
        <f>"1862160058"</f>
        <v>1862160058</v>
      </c>
      <c r="C1903" s="1">
        <v>44962</v>
      </c>
      <c r="D1903" s="1">
        <v>44963</v>
      </c>
      <c r="E1903">
        <v>1</v>
      </c>
      <c r="F1903" t="str">
        <f>"01-K16-06"</f>
        <v>01-K16-06</v>
      </c>
      <c r="G1903">
        <v>0.27150000000000002</v>
      </c>
      <c r="H1903" t="s">
        <v>11</v>
      </c>
      <c r="I1903" t="s">
        <v>10</v>
      </c>
    </row>
    <row r="1904" spans="1:9" x14ac:dyDescent="0.25">
      <c r="A1904" t="str">
        <f t="shared" si="32"/>
        <v>89301000</v>
      </c>
      <c r="B1904" t="str">
        <f>"1862160432"</f>
        <v>1862160432</v>
      </c>
      <c r="C1904" s="1">
        <v>45215</v>
      </c>
      <c r="D1904" s="1">
        <v>45217</v>
      </c>
      <c r="E1904">
        <v>1</v>
      </c>
      <c r="F1904" t="str">
        <f>"03-I21-00"</f>
        <v>03-I21-00</v>
      </c>
      <c r="G1904">
        <v>0.42759999999999998</v>
      </c>
      <c r="H1904" t="s">
        <v>11</v>
      </c>
      <c r="I1904" t="s">
        <v>10</v>
      </c>
    </row>
    <row r="1905" spans="1:9" x14ac:dyDescent="0.25">
      <c r="A1905" t="str">
        <f t="shared" si="32"/>
        <v>89301000</v>
      </c>
      <c r="B1905" t="str">
        <f>"1862190011"</f>
        <v>1862190011</v>
      </c>
      <c r="C1905" s="1">
        <v>45194</v>
      </c>
      <c r="D1905" s="1">
        <v>45196</v>
      </c>
      <c r="E1905">
        <v>1</v>
      </c>
      <c r="F1905" t="str">
        <f>"06-I17-05"</f>
        <v>06-I17-05</v>
      </c>
      <c r="G1905">
        <v>0.39529999999999998</v>
      </c>
      <c r="H1905" t="s">
        <v>12</v>
      </c>
      <c r="I1905" t="s">
        <v>10</v>
      </c>
    </row>
    <row r="1906" spans="1:9" x14ac:dyDescent="0.25">
      <c r="A1906" t="str">
        <f t="shared" si="32"/>
        <v>89301000</v>
      </c>
      <c r="B1906" t="str">
        <f>"1862271774"</f>
        <v>1862271774</v>
      </c>
      <c r="C1906" s="1">
        <v>45051</v>
      </c>
      <c r="D1906" s="1">
        <v>45068</v>
      </c>
      <c r="E1906">
        <v>1</v>
      </c>
      <c r="F1906" t="str">
        <f>"05-K16-00"</f>
        <v>05-K16-00</v>
      </c>
      <c r="G1906">
        <v>1.7613000000000001</v>
      </c>
      <c r="H1906" t="s">
        <v>11</v>
      </c>
      <c r="I1906" t="s">
        <v>10</v>
      </c>
    </row>
    <row r="1907" spans="1:9" x14ac:dyDescent="0.25">
      <c r="A1907" t="str">
        <f t="shared" si="32"/>
        <v>89301000</v>
      </c>
      <c r="B1907" t="str">
        <f>"1862280970"</f>
        <v>1862280970</v>
      </c>
      <c r="C1907" s="1">
        <v>45074</v>
      </c>
      <c r="D1907" s="1">
        <v>45076</v>
      </c>
      <c r="E1907">
        <v>1</v>
      </c>
      <c r="F1907" t="str">
        <f>"03-I21-00"</f>
        <v>03-I21-00</v>
      </c>
      <c r="G1907">
        <v>0.42449999999999999</v>
      </c>
      <c r="H1907" t="s">
        <v>11</v>
      </c>
      <c r="I1907" t="s">
        <v>10</v>
      </c>
    </row>
    <row r="1908" spans="1:9" x14ac:dyDescent="0.25">
      <c r="A1908" t="str">
        <f t="shared" si="32"/>
        <v>89301000</v>
      </c>
      <c r="B1908" t="str">
        <f>"1901030692"</f>
        <v>1901030692</v>
      </c>
      <c r="C1908" s="1">
        <v>44998</v>
      </c>
      <c r="D1908" s="1">
        <v>45000</v>
      </c>
      <c r="E1908">
        <v>1</v>
      </c>
      <c r="F1908" t="str">
        <f>"06-I16-05"</f>
        <v>06-I16-05</v>
      </c>
      <c r="G1908">
        <v>0.4622</v>
      </c>
      <c r="H1908" t="s">
        <v>9</v>
      </c>
      <c r="I1908" t="s">
        <v>10</v>
      </c>
    </row>
    <row r="1909" spans="1:9" x14ac:dyDescent="0.25">
      <c r="A1909" t="str">
        <f t="shared" si="32"/>
        <v>89301000</v>
      </c>
      <c r="B1909" t="str">
        <f>"1901040262"</f>
        <v>1901040262</v>
      </c>
      <c r="C1909" s="1">
        <v>45027</v>
      </c>
      <c r="D1909" s="1">
        <v>45028</v>
      </c>
      <c r="E1909">
        <v>1</v>
      </c>
      <c r="F1909" t="str">
        <f>"06-K03-03"</f>
        <v>06-K03-03</v>
      </c>
      <c r="G1909">
        <v>0.42649999999999999</v>
      </c>
      <c r="H1909" t="s">
        <v>11</v>
      </c>
      <c r="I1909" t="s">
        <v>10</v>
      </c>
    </row>
    <row r="1910" spans="1:9" x14ac:dyDescent="0.25">
      <c r="A1910" t="str">
        <f t="shared" si="32"/>
        <v>89301000</v>
      </c>
      <c r="B1910" t="str">
        <f>"1901040262"</f>
        <v>1901040262</v>
      </c>
      <c r="C1910" s="1">
        <v>45090</v>
      </c>
      <c r="D1910" s="1">
        <v>45092</v>
      </c>
      <c r="E1910">
        <v>1</v>
      </c>
      <c r="F1910" t="str">
        <f>"06-K02-04"</f>
        <v>06-K02-04</v>
      </c>
      <c r="G1910">
        <v>0.37659999999999999</v>
      </c>
      <c r="H1910" t="s">
        <v>11</v>
      </c>
      <c r="I1910" t="s">
        <v>10</v>
      </c>
    </row>
    <row r="1911" spans="1:9" x14ac:dyDescent="0.25">
      <c r="A1911" t="str">
        <f t="shared" si="32"/>
        <v>89301000</v>
      </c>
      <c r="B1911" t="str">
        <f>"1901071887"</f>
        <v>1901071887</v>
      </c>
      <c r="C1911" s="1">
        <v>45011</v>
      </c>
      <c r="D1911" s="1">
        <v>45013</v>
      </c>
      <c r="E1911">
        <v>1</v>
      </c>
      <c r="F1911" t="str">
        <f>"03-I21-00"</f>
        <v>03-I21-00</v>
      </c>
      <c r="G1911">
        <v>0.42449999999999999</v>
      </c>
      <c r="H1911" t="s">
        <v>11</v>
      </c>
      <c r="I1911" t="s">
        <v>10</v>
      </c>
    </row>
    <row r="1912" spans="1:9" x14ac:dyDescent="0.25">
      <c r="A1912" t="str">
        <f t="shared" ref="A1912:A1975" si="33">"89301000"</f>
        <v>89301000</v>
      </c>
      <c r="B1912" t="str">
        <f>"1901120045"</f>
        <v>1901120045</v>
      </c>
      <c r="C1912" s="1">
        <v>45221</v>
      </c>
      <c r="D1912" s="1">
        <v>45223</v>
      </c>
      <c r="E1912">
        <v>1</v>
      </c>
      <c r="F1912" t="str">
        <f>"03-I21-00"</f>
        <v>03-I21-00</v>
      </c>
      <c r="G1912">
        <v>0.42449999999999999</v>
      </c>
      <c r="H1912" t="s">
        <v>11</v>
      </c>
      <c r="I1912" t="s">
        <v>10</v>
      </c>
    </row>
    <row r="1913" spans="1:9" x14ac:dyDescent="0.25">
      <c r="A1913" t="str">
        <f t="shared" si="33"/>
        <v>89301000</v>
      </c>
      <c r="B1913" t="str">
        <f>"1901200301"</f>
        <v>1901200301</v>
      </c>
      <c r="C1913" s="1">
        <v>45113</v>
      </c>
      <c r="D1913" s="1">
        <v>45115</v>
      </c>
      <c r="E1913">
        <v>1</v>
      </c>
      <c r="F1913" t="str">
        <f>"03-K03-02"</f>
        <v>03-K03-02</v>
      </c>
      <c r="G1913">
        <v>0.51949999999999996</v>
      </c>
      <c r="H1913" t="s">
        <v>11</v>
      </c>
      <c r="I1913" t="s">
        <v>10</v>
      </c>
    </row>
    <row r="1914" spans="1:9" x14ac:dyDescent="0.25">
      <c r="A1914" t="str">
        <f t="shared" si="33"/>
        <v>89301000</v>
      </c>
      <c r="B1914" t="str">
        <f>"1901211983"</f>
        <v>1901211983</v>
      </c>
      <c r="C1914" s="1">
        <v>45044</v>
      </c>
      <c r="D1914" s="1">
        <v>45050</v>
      </c>
      <c r="E1914">
        <v>1</v>
      </c>
      <c r="F1914" t="str">
        <f>"08-K04-02"</f>
        <v>08-K04-02</v>
      </c>
      <c r="G1914">
        <v>0.54300000000000004</v>
      </c>
      <c r="H1914" t="s">
        <v>11</v>
      </c>
      <c r="I1914" t="s">
        <v>10</v>
      </c>
    </row>
    <row r="1915" spans="1:9" x14ac:dyDescent="0.25">
      <c r="A1915" t="str">
        <f t="shared" si="33"/>
        <v>89301000</v>
      </c>
      <c r="B1915" t="str">
        <f>"1901220068"</f>
        <v>1901220068</v>
      </c>
      <c r="C1915" s="1">
        <v>45037</v>
      </c>
      <c r="D1915" s="1">
        <v>45037</v>
      </c>
      <c r="E1915">
        <v>1</v>
      </c>
      <c r="F1915" t="str">
        <f>"03-K02-03"</f>
        <v>03-K02-03</v>
      </c>
      <c r="G1915">
        <v>0.16980000000000001</v>
      </c>
      <c r="H1915" t="s">
        <v>11</v>
      </c>
      <c r="I1915" t="s">
        <v>10</v>
      </c>
    </row>
    <row r="1916" spans="1:9" x14ac:dyDescent="0.25">
      <c r="A1916" t="str">
        <f t="shared" si="33"/>
        <v>89301000</v>
      </c>
      <c r="B1916" t="str">
        <f>"1902010275"</f>
        <v>1902010275</v>
      </c>
      <c r="C1916" s="1">
        <v>44952</v>
      </c>
      <c r="D1916" s="1">
        <v>44955</v>
      </c>
      <c r="E1916">
        <v>1</v>
      </c>
      <c r="F1916" t="str">
        <f>"06-K02-04"</f>
        <v>06-K02-04</v>
      </c>
      <c r="G1916">
        <v>0.37659999999999999</v>
      </c>
      <c r="H1916" t="s">
        <v>11</v>
      </c>
      <c r="I1916" t="s">
        <v>10</v>
      </c>
    </row>
    <row r="1917" spans="1:9" x14ac:dyDescent="0.25">
      <c r="A1917" t="str">
        <f t="shared" si="33"/>
        <v>89301000</v>
      </c>
      <c r="B1917" t="str">
        <f>"1902030141"</f>
        <v>1902030141</v>
      </c>
      <c r="C1917" s="1">
        <v>45069</v>
      </c>
      <c r="D1917" s="1">
        <v>45071</v>
      </c>
      <c r="E1917">
        <v>1</v>
      </c>
      <c r="F1917" t="str">
        <f>"08-I32-00"</f>
        <v>08-I32-00</v>
      </c>
      <c r="G1917">
        <v>0.40870000000000001</v>
      </c>
      <c r="H1917" t="s">
        <v>11</v>
      </c>
      <c r="I1917" t="s">
        <v>10</v>
      </c>
    </row>
    <row r="1918" spans="1:9" x14ac:dyDescent="0.25">
      <c r="A1918" t="str">
        <f t="shared" si="33"/>
        <v>89301000</v>
      </c>
      <c r="B1918" t="str">
        <f>"1902030141"</f>
        <v>1902030141</v>
      </c>
      <c r="C1918" s="1">
        <v>44933</v>
      </c>
      <c r="D1918" s="1">
        <v>44934</v>
      </c>
      <c r="E1918">
        <v>1</v>
      </c>
      <c r="F1918" t="str">
        <f>"08-I20-03"</f>
        <v>08-I20-03</v>
      </c>
      <c r="G1918">
        <v>0.62639999999999996</v>
      </c>
      <c r="H1918" t="s">
        <v>12</v>
      </c>
      <c r="I1918" t="s">
        <v>10</v>
      </c>
    </row>
    <row r="1919" spans="1:9" x14ac:dyDescent="0.25">
      <c r="A1919" t="str">
        <f t="shared" si="33"/>
        <v>89301000</v>
      </c>
      <c r="B1919" t="str">
        <f>"1902060237"</f>
        <v>1902060237</v>
      </c>
      <c r="C1919" s="1">
        <v>45172</v>
      </c>
      <c r="D1919" s="1">
        <v>45174</v>
      </c>
      <c r="E1919">
        <v>1</v>
      </c>
      <c r="F1919" t="str">
        <f>"06-K02-04"</f>
        <v>06-K02-04</v>
      </c>
      <c r="G1919">
        <v>0.37659999999999999</v>
      </c>
      <c r="H1919" t="s">
        <v>11</v>
      </c>
      <c r="I1919" t="s">
        <v>10</v>
      </c>
    </row>
    <row r="1920" spans="1:9" x14ac:dyDescent="0.25">
      <c r="A1920" t="str">
        <f t="shared" si="33"/>
        <v>89301000</v>
      </c>
      <c r="B1920" t="str">
        <f>"1902140471"</f>
        <v>1902140471</v>
      </c>
      <c r="C1920" s="1">
        <v>45172</v>
      </c>
      <c r="D1920" s="1">
        <v>45174</v>
      </c>
      <c r="E1920">
        <v>1</v>
      </c>
      <c r="F1920" t="str">
        <f>"03-I21-00"</f>
        <v>03-I21-00</v>
      </c>
      <c r="G1920">
        <v>0.42759999999999998</v>
      </c>
      <c r="H1920" t="s">
        <v>11</v>
      </c>
      <c r="I1920" t="s">
        <v>10</v>
      </c>
    </row>
    <row r="1921" spans="1:9" x14ac:dyDescent="0.25">
      <c r="A1921" t="str">
        <f t="shared" si="33"/>
        <v>89301000</v>
      </c>
      <c r="B1921" t="str">
        <f>"1902152164"</f>
        <v>1902152164</v>
      </c>
      <c r="C1921" s="1">
        <v>45225</v>
      </c>
      <c r="D1921" s="1">
        <v>45227</v>
      </c>
      <c r="E1921">
        <v>1</v>
      </c>
      <c r="F1921" t="str">
        <f>"03-I21-00"</f>
        <v>03-I21-00</v>
      </c>
      <c r="G1921">
        <v>0.42449999999999999</v>
      </c>
      <c r="H1921" t="s">
        <v>11</v>
      </c>
      <c r="I1921" t="s">
        <v>10</v>
      </c>
    </row>
    <row r="1922" spans="1:9" x14ac:dyDescent="0.25">
      <c r="A1922" t="str">
        <f t="shared" si="33"/>
        <v>89301000</v>
      </c>
      <c r="B1922" t="str">
        <f>"1902200289"</f>
        <v>1902200289</v>
      </c>
      <c r="C1922" s="1">
        <v>44938</v>
      </c>
      <c r="D1922" s="1">
        <v>44940</v>
      </c>
      <c r="E1922">
        <v>1</v>
      </c>
      <c r="F1922" t="str">
        <f>"03-I21-00"</f>
        <v>03-I21-00</v>
      </c>
      <c r="G1922">
        <v>0.42449999999999999</v>
      </c>
      <c r="H1922" t="s">
        <v>11</v>
      </c>
      <c r="I1922" t="s">
        <v>10</v>
      </c>
    </row>
    <row r="1923" spans="1:9" x14ac:dyDescent="0.25">
      <c r="A1923" t="str">
        <f t="shared" si="33"/>
        <v>89301000</v>
      </c>
      <c r="B1923" t="str">
        <f>"1903060643"</f>
        <v>1903060643</v>
      </c>
      <c r="C1923" s="1">
        <v>45197</v>
      </c>
      <c r="D1923" s="1">
        <v>45199</v>
      </c>
      <c r="E1923">
        <v>1</v>
      </c>
      <c r="F1923" t="str">
        <f>"12-I13-02"</f>
        <v>12-I13-02</v>
      </c>
      <c r="G1923">
        <v>0.53879999999999995</v>
      </c>
      <c r="H1923" t="s">
        <v>9</v>
      </c>
      <c r="I1923" t="s">
        <v>10</v>
      </c>
    </row>
    <row r="1924" spans="1:9" x14ac:dyDescent="0.25">
      <c r="A1924" t="str">
        <f t="shared" si="33"/>
        <v>89301000</v>
      </c>
      <c r="B1924" t="str">
        <f>"1903120263"</f>
        <v>1903120263</v>
      </c>
      <c r="C1924" s="1">
        <v>45174</v>
      </c>
      <c r="D1924" s="1">
        <v>45176</v>
      </c>
      <c r="E1924">
        <v>1</v>
      </c>
      <c r="F1924" t="str">
        <f>"02-K02-01"</f>
        <v>02-K02-01</v>
      </c>
      <c r="G1924">
        <v>0.91700000000000004</v>
      </c>
      <c r="H1924" t="s">
        <v>11</v>
      </c>
      <c r="I1924" t="s">
        <v>10</v>
      </c>
    </row>
    <row r="1925" spans="1:9" x14ac:dyDescent="0.25">
      <c r="A1925" t="str">
        <f t="shared" si="33"/>
        <v>89301000</v>
      </c>
      <c r="B1925" t="str">
        <f>"1903190146"</f>
        <v>1903190146</v>
      </c>
      <c r="C1925" s="1">
        <v>45232</v>
      </c>
      <c r="D1925" s="1">
        <v>45237</v>
      </c>
      <c r="E1925">
        <v>1</v>
      </c>
      <c r="F1925" t="str">
        <f>"03-I16-02"</f>
        <v>03-I16-02</v>
      </c>
      <c r="G1925">
        <v>0.92579999999999996</v>
      </c>
      <c r="H1925" t="s">
        <v>9</v>
      </c>
      <c r="I1925" t="s">
        <v>10</v>
      </c>
    </row>
    <row r="1926" spans="1:9" x14ac:dyDescent="0.25">
      <c r="A1926" t="str">
        <f t="shared" si="33"/>
        <v>89301000</v>
      </c>
      <c r="B1926" t="str">
        <f>"1903200178"</f>
        <v>1903200178</v>
      </c>
      <c r="C1926" s="1">
        <v>44969</v>
      </c>
      <c r="D1926" s="1">
        <v>44972</v>
      </c>
      <c r="E1926">
        <v>1</v>
      </c>
      <c r="F1926" t="str">
        <f>"03-I21-00"</f>
        <v>03-I21-00</v>
      </c>
      <c r="G1926">
        <v>0.42449999999999999</v>
      </c>
      <c r="H1926" t="s">
        <v>11</v>
      </c>
      <c r="I1926" t="s">
        <v>10</v>
      </c>
    </row>
    <row r="1927" spans="1:9" x14ac:dyDescent="0.25">
      <c r="A1927" t="str">
        <f t="shared" si="33"/>
        <v>89301000</v>
      </c>
      <c r="B1927" t="str">
        <f>"1903260194"</f>
        <v>1903260194</v>
      </c>
      <c r="C1927" s="1">
        <v>45090</v>
      </c>
      <c r="D1927" s="1">
        <v>45091</v>
      </c>
      <c r="E1927">
        <v>1</v>
      </c>
      <c r="F1927" t="str">
        <f>"01-K03-07"</f>
        <v>01-K03-07</v>
      </c>
      <c r="G1927">
        <v>0.5988</v>
      </c>
      <c r="H1927" t="s">
        <v>11</v>
      </c>
      <c r="I1927" t="s">
        <v>10</v>
      </c>
    </row>
    <row r="1928" spans="1:9" x14ac:dyDescent="0.25">
      <c r="A1928" t="str">
        <f t="shared" si="33"/>
        <v>89301000</v>
      </c>
      <c r="B1928" t="str">
        <f>"1904021911"</f>
        <v>1904021911</v>
      </c>
      <c r="C1928" s="1">
        <v>44974</v>
      </c>
      <c r="D1928" s="1">
        <v>44977</v>
      </c>
      <c r="E1928">
        <v>1</v>
      </c>
      <c r="F1928" t="str">
        <f>"06-I18-04"</f>
        <v>06-I18-04</v>
      </c>
      <c r="G1928">
        <v>1.1088</v>
      </c>
      <c r="H1928" t="s">
        <v>9</v>
      </c>
      <c r="I1928" t="s">
        <v>10</v>
      </c>
    </row>
    <row r="1929" spans="1:9" x14ac:dyDescent="0.25">
      <c r="A1929" t="str">
        <f t="shared" si="33"/>
        <v>89301000</v>
      </c>
      <c r="B1929" t="str">
        <f>"1904050302"</f>
        <v>1904050302</v>
      </c>
      <c r="C1929" s="1">
        <v>45146</v>
      </c>
      <c r="D1929" s="1">
        <v>45147</v>
      </c>
      <c r="E1929">
        <v>1</v>
      </c>
      <c r="F1929" t="str">
        <f>"21-K05-04"</f>
        <v>21-K05-04</v>
      </c>
      <c r="G1929">
        <v>0.24859999999999999</v>
      </c>
      <c r="H1929" t="s">
        <v>11</v>
      </c>
      <c r="I1929" t="s">
        <v>10</v>
      </c>
    </row>
    <row r="1930" spans="1:9" x14ac:dyDescent="0.25">
      <c r="A1930" t="str">
        <f t="shared" si="33"/>
        <v>89301000</v>
      </c>
      <c r="B1930" t="str">
        <f>"1904090309"</f>
        <v>1904090309</v>
      </c>
      <c r="C1930" s="1">
        <v>45204</v>
      </c>
      <c r="D1930" s="1">
        <v>45206</v>
      </c>
      <c r="E1930">
        <v>1</v>
      </c>
      <c r="F1930" t="str">
        <f>"03-I21-00"</f>
        <v>03-I21-00</v>
      </c>
      <c r="G1930">
        <v>0.42449999999999999</v>
      </c>
      <c r="H1930" t="s">
        <v>11</v>
      </c>
      <c r="I1930" t="s">
        <v>10</v>
      </c>
    </row>
    <row r="1931" spans="1:9" x14ac:dyDescent="0.25">
      <c r="A1931" t="str">
        <f t="shared" si="33"/>
        <v>89301000</v>
      </c>
      <c r="B1931" t="str">
        <f>"1904110868"</f>
        <v>1904110868</v>
      </c>
      <c r="C1931" s="1">
        <v>45263</v>
      </c>
      <c r="D1931" s="1">
        <v>45265</v>
      </c>
      <c r="E1931">
        <v>1</v>
      </c>
      <c r="F1931" t="str">
        <f>"03-I21-00"</f>
        <v>03-I21-00</v>
      </c>
      <c r="G1931">
        <v>0.42449999999999999</v>
      </c>
      <c r="H1931" t="s">
        <v>11</v>
      </c>
      <c r="I1931" t="s">
        <v>10</v>
      </c>
    </row>
    <row r="1932" spans="1:9" x14ac:dyDescent="0.25">
      <c r="A1932" t="str">
        <f t="shared" si="33"/>
        <v>89301000</v>
      </c>
      <c r="B1932" t="str">
        <f>"1904200034"</f>
        <v>1904200034</v>
      </c>
      <c r="C1932" s="1">
        <v>45263</v>
      </c>
      <c r="D1932" s="1">
        <v>45265</v>
      </c>
      <c r="E1932">
        <v>1</v>
      </c>
      <c r="F1932" t="str">
        <f>"03-I21-00"</f>
        <v>03-I21-00</v>
      </c>
      <c r="G1932">
        <v>0.42449999999999999</v>
      </c>
      <c r="H1932" t="s">
        <v>11</v>
      </c>
      <c r="I1932" t="s">
        <v>10</v>
      </c>
    </row>
    <row r="1933" spans="1:9" x14ac:dyDescent="0.25">
      <c r="A1933" t="str">
        <f t="shared" si="33"/>
        <v>89301000</v>
      </c>
      <c r="B1933" t="str">
        <f>"1904270104"</f>
        <v>1904270104</v>
      </c>
      <c r="C1933" s="1">
        <v>45264</v>
      </c>
      <c r="D1933" s="1">
        <v>45268</v>
      </c>
      <c r="E1933">
        <v>1</v>
      </c>
      <c r="F1933" t="str">
        <f>"06-I21-03"</f>
        <v>06-I21-03</v>
      </c>
      <c r="G1933">
        <v>0.4572</v>
      </c>
      <c r="H1933" t="s">
        <v>12</v>
      </c>
      <c r="I1933" t="s">
        <v>10</v>
      </c>
    </row>
    <row r="1934" spans="1:9" x14ac:dyDescent="0.25">
      <c r="A1934" t="str">
        <f t="shared" si="33"/>
        <v>89301000</v>
      </c>
      <c r="B1934" t="str">
        <f>"1904270126"</f>
        <v>1904270126</v>
      </c>
      <c r="C1934" s="1">
        <v>45088</v>
      </c>
      <c r="D1934" s="1">
        <v>45093</v>
      </c>
      <c r="E1934">
        <v>1</v>
      </c>
      <c r="F1934" t="str">
        <f>"06-K02-04"</f>
        <v>06-K02-04</v>
      </c>
      <c r="G1934">
        <v>0.37659999999999999</v>
      </c>
      <c r="H1934" t="s">
        <v>11</v>
      </c>
      <c r="I1934" t="s">
        <v>10</v>
      </c>
    </row>
    <row r="1935" spans="1:9" x14ac:dyDescent="0.25">
      <c r="A1935" t="str">
        <f t="shared" si="33"/>
        <v>89301000</v>
      </c>
      <c r="B1935" t="str">
        <f>"1904301366"</f>
        <v>1904301366</v>
      </c>
      <c r="C1935" s="1">
        <v>45244</v>
      </c>
      <c r="D1935" s="1">
        <v>45267</v>
      </c>
      <c r="E1935">
        <v>1</v>
      </c>
      <c r="F1935" t="str">
        <f>"08-K10-00"</f>
        <v>08-K10-00</v>
      </c>
      <c r="G1935">
        <v>1.843</v>
      </c>
      <c r="H1935" t="s">
        <v>11</v>
      </c>
      <c r="I1935" t="s">
        <v>10</v>
      </c>
    </row>
    <row r="1936" spans="1:9" x14ac:dyDescent="0.25">
      <c r="A1936" t="str">
        <f t="shared" si="33"/>
        <v>89301000</v>
      </c>
      <c r="B1936" t="str">
        <f>"1905040027"</f>
        <v>1905040027</v>
      </c>
      <c r="C1936" s="1">
        <v>45015</v>
      </c>
      <c r="D1936" s="1">
        <v>45019</v>
      </c>
      <c r="E1936">
        <v>1</v>
      </c>
      <c r="F1936" t="str">
        <f>"02-K09-00"</f>
        <v>02-K09-00</v>
      </c>
      <c r="G1936">
        <v>0.49259999999999998</v>
      </c>
      <c r="H1936" t="s">
        <v>11</v>
      </c>
      <c r="I1936" t="s">
        <v>10</v>
      </c>
    </row>
    <row r="1937" spans="1:9" x14ac:dyDescent="0.25">
      <c r="A1937" t="str">
        <f t="shared" si="33"/>
        <v>89301000</v>
      </c>
      <c r="B1937" t="str">
        <f>"1905080320"</f>
        <v>1905080320</v>
      </c>
      <c r="C1937" s="1">
        <v>44973</v>
      </c>
      <c r="D1937" s="1">
        <v>44975</v>
      </c>
      <c r="E1937">
        <v>1</v>
      </c>
      <c r="F1937" t="str">
        <f>"03-I21-00"</f>
        <v>03-I21-00</v>
      </c>
      <c r="G1937">
        <v>0.42449999999999999</v>
      </c>
      <c r="H1937" t="s">
        <v>11</v>
      </c>
      <c r="I1937" t="s">
        <v>10</v>
      </c>
    </row>
    <row r="1938" spans="1:9" x14ac:dyDescent="0.25">
      <c r="A1938" t="str">
        <f t="shared" si="33"/>
        <v>89301000</v>
      </c>
      <c r="B1938" t="str">
        <f>"1905100241"</f>
        <v>1905100241</v>
      </c>
      <c r="C1938" s="1">
        <v>44932</v>
      </c>
      <c r="D1938" s="1">
        <v>44937</v>
      </c>
      <c r="E1938">
        <v>1</v>
      </c>
      <c r="F1938" t="str">
        <f>"06-K02-02"</f>
        <v>06-K02-02</v>
      </c>
      <c r="G1938">
        <v>0.86660000000000004</v>
      </c>
      <c r="H1938" t="s">
        <v>11</v>
      </c>
      <c r="I1938" t="s">
        <v>10</v>
      </c>
    </row>
    <row r="1939" spans="1:9" x14ac:dyDescent="0.25">
      <c r="A1939" t="str">
        <f t="shared" si="33"/>
        <v>89301000</v>
      </c>
      <c r="B1939" t="str">
        <f>"1905160202"</f>
        <v>1905160202</v>
      </c>
      <c r="C1939" s="1">
        <v>45228</v>
      </c>
      <c r="D1939" s="1">
        <v>45230</v>
      </c>
      <c r="E1939">
        <v>1</v>
      </c>
      <c r="F1939" t="str">
        <f>"03-I21-00"</f>
        <v>03-I21-00</v>
      </c>
      <c r="G1939">
        <v>0.42449999999999999</v>
      </c>
      <c r="H1939" t="s">
        <v>11</v>
      </c>
      <c r="I1939" t="s">
        <v>10</v>
      </c>
    </row>
    <row r="1940" spans="1:9" x14ac:dyDescent="0.25">
      <c r="A1940" t="str">
        <f t="shared" si="33"/>
        <v>89301000</v>
      </c>
      <c r="B1940" t="str">
        <f>"1905180079"</f>
        <v>1905180079</v>
      </c>
      <c r="C1940" s="1">
        <v>45250</v>
      </c>
      <c r="D1940" s="1">
        <v>45252</v>
      </c>
      <c r="E1940">
        <v>1</v>
      </c>
      <c r="F1940" t="str">
        <f>"01-K16-06"</f>
        <v>01-K16-06</v>
      </c>
      <c r="G1940">
        <v>0.27150000000000002</v>
      </c>
      <c r="H1940" t="s">
        <v>11</v>
      </c>
      <c r="I1940" t="s">
        <v>10</v>
      </c>
    </row>
    <row r="1941" spans="1:9" x14ac:dyDescent="0.25">
      <c r="A1941" t="str">
        <f t="shared" si="33"/>
        <v>89301000</v>
      </c>
      <c r="B1941" t="str">
        <f>"1905200374"</f>
        <v>1905200374</v>
      </c>
      <c r="C1941" s="1">
        <v>45172</v>
      </c>
      <c r="D1941" s="1">
        <v>45174</v>
      </c>
      <c r="E1941">
        <v>1</v>
      </c>
      <c r="F1941" t="str">
        <f>"03-I21-00"</f>
        <v>03-I21-00</v>
      </c>
      <c r="G1941">
        <v>0.42449999999999999</v>
      </c>
      <c r="H1941" t="s">
        <v>11</v>
      </c>
      <c r="I1941" t="s">
        <v>10</v>
      </c>
    </row>
    <row r="1942" spans="1:9" x14ac:dyDescent="0.25">
      <c r="A1942" t="str">
        <f t="shared" si="33"/>
        <v>89301000</v>
      </c>
      <c r="B1942" t="str">
        <f>"1905301123"</f>
        <v>1905301123</v>
      </c>
      <c r="C1942" s="1">
        <v>45009</v>
      </c>
      <c r="D1942" s="1">
        <v>45019</v>
      </c>
      <c r="E1942">
        <v>1</v>
      </c>
      <c r="F1942" t="str">
        <f>"10-K03-02"</f>
        <v>10-K03-02</v>
      </c>
      <c r="G1942">
        <v>1.6890000000000001</v>
      </c>
      <c r="H1942" t="s">
        <v>11</v>
      </c>
      <c r="I1942" t="s">
        <v>10</v>
      </c>
    </row>
    <row r="1943" spans="1:9" x14ac:dyDescent="0.25">
      <c r="A1943" t="str">
        <f t="shared" si="33"/>
        <v>89301000</v>
      </c>
      <c r="B1943" t="str">
        <f>"1906051994"</f>
        <v>1906051994</v>
      </c>
      <c r="C1943" s="1">
        <v>45054</v>
      </c>
      <c r="D1943" s="1">
        <v>45056</v>
      </c>
      <c r="E1943">
        <v>1</v>
      </c>
      <c r="F1943" t="str">
        <f>"06-I16-05"</f>
        <v>06-I16-05</v>
      </c>
      <c r="G1943">
        <v>0.4622</v>
      </c>
      <c r="H1943" t="s">
        <v>9</v>
      </c>
      <c r="I1943" t="s">
        <v>10</v>
      </c>
    </row>
    <row r="1944" spans="1:9" x14ac:dyDescent="0.25">
      <c r="A1944" t="str">
        <f t="shared" si="33"/>
        <v>89301000</v>
      </c>
      <c r="B1944" t="str">
        <f>"1906060365"</f>
        <v>1906060365</v>
      </c>
      <c r="C1944" s="1">
        <v>44966</v>
      </c>
      <c r="D1944" s="1">
        <v>44968</v>
      </c>
      <c r="E1944">
        <v>1</v>
      </c>
      <c r="F1944" t="str">
        <f>"08-I20-03"</f>
        <v>08-I20-03</v>
      </c>
      <c r="G1944">
        <v>0.62639999999999996</v>
      </c>
      <c r="H1944" t="s">
        <v>12</v>
      </c>
      <c r="I1944" t="s">
        <v>10</v>
      </c>
    </row>
    <row r="1945" spans="1:9" x14ac:dyDescent="0.25">
      <c r="A1945" t="str">
        <f t="shared" si="33"/>
        <v>89301000</v>
      </c>
      <c r="B1945" t="str">
        <f>"1906110316"</f>
        <v>1906110316</v>
      </c>
      <c r="C1945" s="1">
        <v>45189</v>
      </c>
      <c r="D1945" s="1">
        <v>45191</v>
      </c>
      <c r="E1945">
        <v>1</v>
      </c>
      <c r="F1945" t="str">
        <f>"06-I16-05"</f>
        <v>06-I16-05</v>
      </c>
      <c r="G1945">
        <v>0.4622</v>
      </c>
      <c r="H1945" t="s">
        <v>9</v>
      </c>
      <c r="I1945" t="s">
        <v>10</v>
      </c>
    </row>
    <row r="1946" spans="1:9" x14ac:dyDescent="0.25">
      <c r="A1946" t="str">
        <f t="shared" si="33"/>
        <v>89301000</v>
      </c>
      <c r="B1946" t="str">
        <f>"1906120568"</f>
        <v>1906120568</v>
      </c>
      <c r="C1946" s="1">
        <v>45042</v>
      </c>
      <c r="D1946" s="1">
        <v>45044</v>
      </c>
      <c r="E1946">
        <v>1</v>
      </c>
      <c r="F1946" t="str">
        <f>"12-I13-02"</f>
        <v>12-I13-02</v>
      </c>
      <c r="G1946">
        <v>0.53879999999999995</v>
      </c>
      <c r="H1946" t="s">
        <v>9</v>
      </c>
      <c r="I1946" t="s">
        <v>10</v>
      </c>
    </row>
    <row r="1947" spans="1:9" x14ac:dyDescent="0.25">
      <c r="A1947" t="str">
        <f t="shared" si="33"/>
        <v>89301000</v>
      </c>
      <c r="B1947" t="str">
        <f>"1906212418"</f>
        <v>1906212418</v>
      </c>
      <c r="C1947" s="1">
        <v>45106</v>
      </c>
      <c r="D1947" s="1">
        <v>45108</v>
      </c>
      <c r="E1947">
        <v>1</v>
      </c>
      <c r="F1947" t="str">
        <f>"03-I21-00"</f>
        <v>03-I21-00</v>
      </c>
      <c r="G1947">
        <v>0.42449999999999999</v>
      </c>
      <c r="H1947" t="s">
        <v>11</v>
      </c>
      <c r="I1947" t="s">
        <v>10</v>
      </c>
    </row>
    <row r="1948" spans="1:9" x14ac:dyDescent="0.25">
      <c r="A1948" t="str">
        <f t="shared" si="33"/>
        <v>89301000</v>
      </c>
      <c r="B1948" t="str">
        <f>"1906220140"</f>
        <v>1906220140</v>
      </c>
      <c r="C1948" s="1">
        <v>44960</v>
      </c>
      <c r="D1948" s="1">
        <v>44965</v>
      </c>
      <c r="E1948">
        <v>1</v>
      </c>
      <c r="F1948" t="str">
        <f>"06-I18-04"</f>
        <v>06-I18-04</v>
      </c>
      <c r="G1948">
        <v>1.1088</v>
      </c>
      <c r="H1948" t="s">
        <v>9</v>
      </c>
      <c r="I1948" t="s">
        <v>10</v>
      </c>
    </row>
    <row r="1949" spans="1:9" x14ac:dyDescent="0.25">
      <c r="A1949" t="str">
        <f t="shared" si="33"/>
        <v>89301000</v>
      </c>
      <c r="B1949" t="str">
        <f>"1906270322"</f>
        <v>1906270322</v>
      </c>
      <c r="C1949" s="1">
        <v>44971</v>
      </c>
      <c r="D1949" s="1">
        <v>44972</v>
      </c>
      <c r="E1949">
        <v>1</v>
      </c>
      <c r="F1949" t="str">
        <f>"02-K09-00"</f>
        <v>02-K09-00</v>
      </c>
      <c r="G1949">
        <v>0.49259999999999998</v>
      </c>
      <c r="H1949" t="s">
        <v>11</v>
      </c>
      <c r="I1949" t="s">
        <v>10</v>
      </c>
    </row>
    <row r="1950" spans="1:9" x14ac:dyDescent="0.25">
      <c r="A1950" t="str">
        <f t="shared" si="33"/>
        <v>89301000</v>
      </c>
      <c r="B1950" t="str">
        <f>"1906270685"</f>
        <v>1906270685</v>
      </c>
      <c r="C1950" s="1">
        <v>44980</v>
      </c>
      <c r="D1950" s="1">
        <v>44982</v>
      </c>
      <c r="E1950">
        <v>1</v>
      </c>
      <c r="F1950" t="str">
        <f>"03-I21-00"</f>
        <v>03-I21-00</v>
      </c>
      <c r="G1950">
        <v>0.42230000000000001</v>
      </c>
      <c r="H1950" t="s">
        <v>11</v>
      </c>
      <c r="I1950" t="s">
        <v>10</v>
      </c>
    </row>
    <row r="1951" spans="1:9" x14ac:dyDescent="0.25">
      <c r="A1951" t="str">
        <f t="shared" si="33"/>
        <v>89301000</v>
      </c>
      <c r="B1951" t="str">
        <f>"1907140356"</f>
        <v>1907140356</v>
      </c>
      <c r="C1951" s="1">
        <v>45218</v>
      </c>
      <c r="D1951" s="1">
        <v>45220</v>
      </c>
      <c r="E1951">
        <v>1</v>
      </c>
      <c r="F1951" t="str">
        <f>"03-I21-00"</f>
        <v>03-I21-00</v>
      </c>
      <c r="G1951">
        <v>0.42449999999999999</v>
      </c>
      <c r="H1951" t="s">
        <v>11</v>
      </c>
      <c r="I1951" t="s">
        <v>10</v>
      </c>
    </row>
    <row r="1952" spans="1:9" x14ac:dyDescent="0.25">
      <c r="A1952" t="str">
        <f t="shared" si="33"/>
        <v>89301000</v>
      </c>
      <c r="B1952" t="str">
        <f>"1907180429"</f>
        <v>1907180429</v>
      </c>
      <c r="C1952" s="1">
        <v>45096</v>
      </c>
      <c r="D1952" s="1">
        <v>45097</v>
      </c>
      <c r="E1952">
        <v>1</v>
      </c>
      <c r="F1952" t="str">
        <f>"23-K01-00"</f>
        <v>23-K01-00</v>
      </c>
      <c r="G1952">
        <v>0.1401</v>
      </c>
      <c r="H1952" t="s">
        <v>11</v>
      </c>
      <c r="I1952" t="s">
        <v>10</v>
      </c>
    </row>
    <row r="1953" spans="1:9" x14ac:dyDescent="0.25">
      <c r="A1953" t="str">
        <f t="shared" si="33"/>
        <v>89301000</v>
      </c>
      <c r="B1953" t="str">
        <f>"1907180429"</f>
        <v>1907180429</v>
      </c>
      <c r="C1953" s="1">
        <v>45197</v>
      </c>
      <c r="D1953" s="1">
        <v>45198</v>
      </c>
      <c r="E1953">
        <v>1</v>
      </c>
      <c r="F1953" t="str">
        <f>"23-K01-00"</f>
        <v>23-K01-00</v>
      </c>
      <c r="G1953">
        <v>0.1401</v>
      </c>
      <c r="H1953" t="s">
        <v>11</v>
      </c>
      <c r="I1953" t="s">
        <v>10</v>
      </c>
    </row>
    <row r="1954" spans="1:9" x14ac:dyDescent="0.25">
      <c r="A1954" t="str">
        <f t="shared" si="33"/>
        <v>89301000</v>
      </c>
      <c r="B1954" t="str">
        <f>"1907192199"</f>
        <v>1907192199</v>
      </c>
      <c r="C1954" s="1">
        <v>44979</v>
      </c>
      <c r="D1954" s="1">
        <v>44981</v>
      </c>
      <c r="E1954">
        <v>1</v>
      </c>
      <c r="F1954" t="str">
        <f>"12-I13-02"</f>
        <v>12-I13-02</v>
      </c>
      <c r="G1954">
        <v>0.53879999999999995</v>
      </c>
      <c r="H1954" t="s">
        <v>9</v>
      </c>
      <c r="I1954" t="s">
        <v>10</v>
      </c>
    </row>
    <row r="1955" spans="1:9" x14ac:dyDescent="0.25">
      <c r="A1955" t="str">
        <f t="shared" si="33"/>
        <v>89301000</v>
      </c>
      <c r="B1955" t="str">
        <f>"1907200372"</f>
        <v>1907200372</v>
      </c>
      <c r="C1955" s="1">
        <v>45173</v>
      </c>
      <c r="D1955" s="1">
        <v>45175</v>
      </c>
      <c r="E1955">
        <v>1</v>
      </c>
      <c r="F1955" t="str">
        <f>"03-I21-00"</f>
        <v>03-I21-00</v>
      </c>
      <c r="G1955">
        <v>0.42449999999999999</v>
      </c>
      <c r="H1955" t="s">
        <v>11</v>
      </c>
      <c r="I1955" t="s">
        <v>10</v>
      </c>
    </row>
    <row r="1956" spans="1:9" x14ac:dyDescent="0.25">
      <c r="A1956" t="str">
        <f t="shared" si="33"/>
        <v>89301000</v>
      </c>
      <c r="B1956" t="str">
        <f>"1907220029"</f>
        <v>1907220029</v>
      </c>
      <c r="C1956" s="1">
        <v>45002</v>
      </c>
      <c r="D1956" s="1">
        <v>45004</v>
      </c>
      <c r="E1956">
        <v>1</v>
      </c>
      <c r="F1956" t="str">
        <f>"01-K18-04"</f>
        <v>01-K18-04</v>
      </c>
      <c r="G1956">
        <v>0.54610000000000003</v>
      </c>
      <c r="H1956" t="s">
        <v>11</v>
      </c>
      <c r="I1956" t="s">
        <v>10</v>
      </c>
    </row>
    <row r="1957" spans="1:9" x14ac:dyDescent="0.25">
      <c r="A1957" t="str">
        <f t="shared" si="33"/>
        <v>89301000</v>
      </c>
      <c r="B1957" t="str">
        <f>"1907240335"</f>
        <v>1907240335</v>
      </c>
      <c r="C1957" s="1">
        <v>44970</v>
      </c>
      <c r="D1957" s="1">
        <v>44972</v>
      </c>
      <c r="E1957">
        <v>1</v>
      </c>
      <c r="F1957" t="str">
        <f>"06-K10-01"</f>
        <v>06-K10-01</v>
      </c>
      <c r="G1957">
        <v>1.4034</v>
      </c>
      <c r="H1957" t="s">
        <v>11</v>
      </c>
      <c r="I1957" t="s">
        <v>10</v>
      </c>
    </row>
    <row r="1958" spans="1:9" x14ac:dyDescent="0.25">
      <c r="A1958" t="str">
        <f t="shared" si="33"/>
        <v>89301000</v>
      </c>
      <c r="B1958" t="str">
        <f>"1908091570"</f>
        <v>1908091570</v>
      </c>
      <c r="C1958" s="1">
        <v>45021</v>
      </c>
      <c r="D1958" s="1">
        <v>45023</v>
      </c>
      <c r="E1958">
        <v>1</v>
      </c>
      <c r="F1958" t="str">
        <f>"06-I16-05"</f>
        <v>06-I16-05</v>
      </c>
      <c r="G1958">
        <v>0.4622</v>
      </c>
      <c r="H1958" t="s">
        <v>9</v>
      </c>
      <c r="I1958" t="s">
        <v>10</v>
      </c>
    </row>
    <row r="1959" spans="1:9" x14ac:dyDescent="0.25">
      <c r="A1959" t="str">
        <f t="shared" si="33"/>
        <v>89301000</v>
      </c>
      <c r="B1959" t="str">
        <f>"1908121908"</f>
        <v>1908121908</v>
      </c>
      <c r="C1959" s="1">
        <v>44981</v>
      </c>
      <c r="D1959" s="1">
        <v>44993</v>
      </c>
      <c r="E1959">
        <v>1</v>
      </c>
      <c r="F1959" t="str">
        <f>"03-I16-01"</f>
        <v>03-I16-01</v>
      </c>
      <c r="G1959">
        <v>1.7911999999999999</v>
      </c>
      <c r="H1959" t="s">
        <v>9</v>
      </c>
      <c r="I1959" t="s">
        <v>10</v>
      </c>
    </row>
    <row r="1960" spans="1:9" x14ac:dyDescent="0.25">
      <c r="A1960" t="str">
        <f t="shared" si="33"/>
        <v>89301000</v>
      </c>
      <c r="B1960" t="str">
        <f>"1908132006"</f>
        <v>1908132006</v>
      </c>
      <c r="C1960" s="1">
        <v>45253</v>
      </c>
      <c r="D1960" s="1">
        <v>45255</v>
      </c>
      <c r="E1960">
        <v>1</v>
      </c>
      <c r="F1960" t="str">
        <f>"11-I17-03"</f>
        <v>11-I17-03</v>
      </c>
      <c r="G1960">
        <v>0.45600000000000002</v>
      </c>
      <c r="H1960" t="s">
        <v>11</v>
      </c>
      <c r="I1960" t="s">
        <v>10</v>
      </c>
    </row>
    <row r="1961" spans="1:9" x14ac:dyDescent="0.25">
      <c r="A1961" t="str">
        <f t="shared" si="33"/>
        <v>89301000</v>
      </c>
      <c r="B1961" t="str">
        <f>"1908132006"</f>
        <v>1908132006</v>
      </c>
      <c r="C1961" s="1">
        <v>45054</v>
      </c>
      <c r="D1961" s="1">
        <v>45068</v>
      </c>
      <c r="E1961">
        <v>1</v>
      </c>
      <c r="F1961" t="str">
        <f>"12-I07-02"</f>
        <v>12-I07-02</v>
      </c>
      <c r="G1961">
        <v>1.5267999999999999</v>
      </c>
      <c r="H1961" t="s">
        <v>12</v>
      </c>
      <c r="I1961" t="s">
        <v>10</v>
      </c>
    </row>
    <row r="1962" spans="1:9" x14ac:dyDescent="0.25">
      <c r="A1962" t="str">
        <f t="shared" si="33"/>
        <v>89301000</v>
      </c>
      <c r="B1962" t="str">
        <f>"1908150112"</f>
        <v>1908150112</v>
      </c>
      <c r="C1962" s="1">
        <v>44927</v>
      </c>
      <c r="D1962" s="1">
        <v>44929</v>
      </c>
      <c r="E1962">
        <v>1</v>
      </c>
      <c r="F1962" t="str">
        <f>"03-I21-00"</f>
        <v>03-I21-00</v>
      </c>
      <c r="G1962">
        <v>0.43319999999999997</v>
      </c>
      <c r="H1962" t="s">
        <v>11</v>
      </c>
      <c r="I1962" t="s">
        <v>10</v>
      </c>
    </row>
    <row r="1963" spans="1:9" x14ac:dyDescent="0.25">
      <c r="A1963" t="str">
        <f t="shared" si="33"/>
        <v>89301000</v>
      </c>
      <c r="B1963" t="str">
        <f>"1908160364"</f>
        <v>1908160364</v>
      </c>
      <c r="C1963" s="1">
        <v>45176</v>
      </c>
      <c r="D1963" s="1">
        <v>45178</v>
      </c>
      <c r="E1963">
        <v>1</v>
      </c>
      <c r="F1963" t="str">
        <f>"12-I10-02"</f>
        <v>12-I10-02</v>
      </c>
      <c r="G1963">
        <v>0.51690000000000003</v>
      </c>
      <c r="H1963" t="s">
        <v>9</v>
      </c>
      <c r="I1963" t="s">
        <v>10</v>
      </c>
    </row>
    <row r="1964" spans="1:9" x14ac:dyDescent="0.25">
      <c r="A1964" t="str">
        <f t="shared" si="33"/>
        <v>89301000</v>
      </c>
      <c r="B1964" t="str">
        <f>"1908160375"</f>
        <v>1908160375</v>
      </c>
      <c r="C1964" s="1">
        <v>45207</v>
      </c>
      <c r="D1964" s="1">
        <v>45209</v>
      </c>
      <c r="E1964">
        <v>1</v>
      </c>
      <c r="F1964" t="str">
        <f>"03-I21-00"</f>
        <v>03-I21-00</v>
      </c>
      <c r="G1964">
        <v>0.42449999999999999</v>
      </c>
      <c r="H1964" t="s">
        <v>11</v>
      </c>
      <c r="I1964" t="s">
        <v>10</v>
      </c>
    </row>
    <row r="1965" spans="1:9" x14ac:dyDescent="0.25">
      <c r="A1965" t="str">
        <f t="shared" si="33"/>
        <v>89301000</v>
      </c>
      <c r="B1965" t="str">
        <f>"1908271827"</f>
        <v>1908271827</v>
      </c>
      <c r="C1965" s="1">
        <v>44939</v>
      </c>
      <c r="D1965" s="1">
        <v>44942</v>
      </c>
      <c r="E1965">
        <v>1</v>
      </c>
      <c r="F1965" t="str">
        <f>"06-K10-03"</f>
        <v>06-K10-03</v>
      </c>
      <c r="G1965">
        <v>0.42630000000000001</v>
      </c>
      <c r="H1965" t="s">
        <v>11</v>
      </c>
      <c r="I1965" t="s">
        <v>10</v>
      </c>
    </row>
    <row r="1966" spans="1:9" x14ac:dyDescent="0.25">
      <c r="A1966" t="str">
        <f t="shared" si="33"/>
        <v>89301000</v>
      </c>
      <c r="B1966" t="str">
        <f>"1909020619"</f>
        <v>1909020619</v>
      </c>
      <c r="C1966" s="1">
        <v>45214</v>
      </c>
      <c r="D1966" s="1">
        <v>45217</v>
      </c>
      <c r="E1966">
        <v>1</v>
      </c>
      <c r="F1966" t="str">
        <f>"03-I16-02"</f>
        <v>03-I16-02</v>
      </c>
      <c r="G1966">
        <v>0.93149999999999999</v>
      </c>
      <c r="H1966" t="s">
        <v>9</v>
      </c>
      <c r="I1966" t="s">
        <v>10</v>
      </c>
    </row>
    <row r="1967" spans="1:9" x14ac:dyDescent="0.25">
      <c r="A1967" t="str">
        <f t="shared" si="33"/>
        <v>89301000</v>
      </c>
      <c r="B1967" t="str">
        <f>"1909020619"</f>
        <v>1909020619</v>
      </c>
      <c r="C1967" s="1">
        <v>45040</v>
      </c>
      <c r="D1967" s="1">
        <v>45042</v>
      </c>
      <c r="E1967">
        <v>1</v>
      </c>
      <c r="F1967" t="str">
        <f>"06-I16-05"</f>
        <v>06-I16-05</v>
      </c>
      <c r="G1967">
        <v>0.4622</v>
      </c>
      <c r="H1967" t="s">
        <v>9</v>
      </c>
      <c r="I1967" t="s">
        <v>10</v>
      </c>
    </row>
    <row r="1968" spans="1:9" x14ac:dyDescent="0.25">
      <c r="A1968" t="str">
        <f t="shared" si="33"/>
        <v>89301000</v>
      </c>
      <c r="B1968" t="str">
        <f>"1909040661"</f>
        <v>1909040661</v>
      </c>
      <c r="C1968" s="1">
        <v>45190</v>
      </c>
      <c r="D1968" s="1">
        <v>45192</v>
      </c>
      <c r="E1968">
        <v>1</v>
      </c>
      <c r="F1968" t="str">
        <f t="shared" ref="F1968:F1974" si="34">"03-I21-00"</f>
        <v>03-I21-00</v>
      </c>
      <c r="G1968">
        <v>0.42449999999999999</v>
      </c>
      <c r="H1968" t="s">
        <v>11</v>
      </c>
      <c r="I1968" t="s">
        <v>10</v>
      </c>
    </row>
    <row r="1969" spans="1:9" x14ac:dyDescent="0.25">
      <c r="A1969" t="str">
        <f t="shared" si="33"/>
        <v>89301000</v>
      </c>
      <c r="B1969" t="str">
        <f>"1909081031"</f>
        <v>1909081031</v>
      </c>
      <c r="C1969" s="1">
        <v>44955</v>
      </c>
      <c r="D1969" s="1">
        <v>44957</v>
      </c>
      <c r="E1969">
        <v>1</v>
      </c>
      <c r="F1969" t="str">
        <f t="shared" si="34"/>
        <v>03-I21-00</v>
      </c>
      <c r="G1969">
        <v>0.42449999999999999</v>
      </c>
      <c r="H1969" t="s">
        <v>11</v>
      </c>
      <c r="I1969" t="s">
        <v>10</v>
      </c>
    </row>
    <row r="1970" spans="1:9" x14ac:dyDescent="0.25">
      <c r="A1970" t="str">
        <f t="shared" si="33"/>
        <v>89301000</v>
      </c>
      <c r="B1970" t="str">
        <f>"1909190844"</f>
        <v>1909190844</v>
      </c>
      <c r="C1970" s="1">
        <v>45207</v>
      </c>
      <c r="D1970" s="1">
        <v>45209</v>
      </c>
      <c r="E1970">
        <v>1</v>
      </c>
      <c r="F1970" t="str">
        <f t="shared" si="34"/>
        <v>03-I21-00</v>
      </c>
      <c r="G1970">
        <v>0.42759999999999998</v>
      </c>
      <c r="H1970" t="s">
        <v>11</v>
      </c>
      <c r="I1970" t="s">
        <v>10</v>
      </c>
    </row>
    <row r="1971" spans="1:9" x14ac:dyDescent="0.25">
      <c r="A1971" t="str">
        <f t="shared" si="33"/>
        <v>89301000</v>
      </c>
      <c r="B1971" t="str">
        <f>"1909250750"</f>
        <v>1909250750</v>
      </c>
      <c r="C1971" s="1">
        <v>44966</v>
      </c>
      <c r="D1971" s="1">
        <v>44968</v>
      </c>
      <c r="E1971">
        <v>1</v>
      </c>
      <c r="F1971" t="str">
        <f t="shared" si="34"/>
        <v>03-I21-00</v>
      </c>
      <c r="G1971">
        <v>0.42449999999999999</v>
      </c>
      <c r="H1971" t="s">
        <v>11</v>
      </c>
      <c r="I1971" t="s">
        <v>10</v>
      </c>
    </row>
    <row r="1972" spans="1:9" x14ac:dyDescent="0.25">
      <c r="A1972" t="str">
        <f t="shared" si="33"/>
        <v>89301000</v>
      </c>
      <c r="B1972" t="str">
        <f>"1910100764"</f>
        <v>1910100764</v>
      </c>
      <c r="C1972" s="1">
        <v>45019</v>
      </c>
      <c r="D1972" s="1">
        <v>45021</v>
      </c>
      <c r="E1972">
        <v>1</v>
      </c>
      <c r="F1972" t="str">
        <f t="shared" si="34"/>
        <v>03-I21-00</v>
      </c>
      <c r="G1972">
        <v>0.43319999999999997</v>
      </c>
      <c r="H1972" t="s">
        <v>11</v>
      </c>
      <c r="I1972" t="s">
        <v>10</v>
      </c>
    </row>
    <row r="1973" spans="1:9" x14ac:dyDescent="0.25">
      <c r="A1973" t="str">
        <f t="shared" si="33"/>
        <v>89301000</v>
      </c>
      <c r="B1973" t="str">
        <f>"1910120355"</f>
        <v>1910120355</v>
      </c>
      <c r="C1973" s="1">
        <v>45263</v>
      </c>
      <c r="D1973" s="1">
        <v>45265</v>
      </c>
      <c r="E1973">
        <v>1</v>
      </c>
      <c r="F1973" t="str">
        <f t="shared" si="34"/>
        <v>03-I21-00</v>
      </c>
      <c r="G1973">
        <v>0.42449999999999999</v>
      </c>
      <c r="H1973" t="s">
        <v>11</v>
      </c>
      <c r="I1973" t="s">
        <v>10</v>
      </c>
    </row>
    <row r="1974" spans="1:9" x14ac:dyDescent="0.25">
      <c r="A1974" t="str">
        <f t="shared" si="33"/>
        <v>89301000</v>
      </c>
      <c r="B1974" t="str">
        <f>"1910160087"</f>
        <v>1910160087</v>
      </c>
      <c r="C1974" s="1">
        <v>45085</v>
      </c>
      <c r="D1974" s="1">
        <v>45087</v>
      </c>
      <c r="E1974">
        <v>1</v>
      </c>
      <c r="F1974" t="str">
        <f t="shared" si="34"/>
        <v>03-I21-00</v>
      </c>
      <c r="G1974">
        <v>0.42449999999999999</v>
      </c>
      <c r="H1974" t="s">
        <v>11</v>
      </c>
      <c r="I1974" t="s">
        <v>10</v>
      </c>
    </row>
    <row r="1975" spans="1:9" x14ac:dyDescent="0.25">
      <c r="A1975" t="str">
        <f t="shared" si="33"/>
        <v>89301000</v>
      </c>
      <c r="B1975" t="str">
        <f>"1910221852"</f>
        <v>1910221852</v>
      </c>
      <c r="C1975" s="1">
        <v>45051</v>
      </c>
      <c r="D1975" s="1">
        <v>45063</v>
      </c>
      <c r="E1975">
        <v>1</v>
      </c>
      <c r="F1975" t="str">
        <f>"00-M01-03"</f>
        <v>00-M01-03</v>
      </c>
      <c r="G1975">
        <v>9.1844000000000001</v>
      </c>
      <c r="H1975" t="s">
        <v>11</v>
      </c>
      <c r="I1975" t="s">
        <v>10</v>
      </c>
    </row>
    <row r="1976" spans="1:9" x14ac:dyDescent="0.25">
      <c r="A1976" t="str">
        <f t="shared" ref="A1976:A2039" si="35">"89301000"</f>
        <v>89301000</v>
      </c>
      <c r="B1976" t="str">
        <f>"1910230652"</f>
        <v>1910230652</v>
      </c>
      <c r="C1976" s="1">
        <v>44933</v>
      </c>
      <c r="D1976" s="1">
        <v>44938</v>
      </c>
      <c r="E1976">
        <v>1</v>
      </c>
      <c r="F1976" t="str">
        <f>"06-K02-03"</f>
        <v>06-K02-03</v>
      </c>
      <c r="G1976">
        <v>0.50470000000000004</v>
      </c>
      <c r="H1976" t="s">
        <v>11</v>
      </c>
      <c r="I1976" t="s">
        <v>10</v>
      </c>
    </row>
    <row r="1977" spans="1:9" x14ac:dyDescent="0.25">
      <c r="A1977" t="str">
        <f t="shared" si="35"/>
        <v>89301000</v>
      </c>
      <c r="B1977" t="str">
        <f>"1911180634"</f>
        <v>1911180634</v>
      </c>
      <c r="C1977" s="1">
        <v>45001</v>
      </c>
      <c r="D1977" s="1">
        <v>45003</v>
      </c>
      <c r="E1977">
        <v>1</v>
      </c>
      <c r="F1977" t="str">
        <f>"06-K10-03"</f>
        <v>06-K10-03</v>
      </c>
      <c r="G1977">
        <v>0.42630000000000001</v>
      </c>
      <c r="H1977" t="s">
        <v>11</v>
      </c>
      <c r="I1977" t="s">
        <v>10</v>
      </c>
    </row>
    <row r="1978" spans="1:9" x14ac:dyDescent="0.25">
      <c r="A1978" t="str">
        <f t="shared" si="35"/>
        <v>89301000</v>
      </c>
      <c r="B1978" t="str">
        <f>"1911180634"</f>
        <v>1911180634</v>
      </c>
      <c r="C1978" s="1">
        <v>44977</v>
      </c>
      <c r="D1978" s="1">
        <v>44979</v>
      </c>
      <c r="E1978">
        <v>1</v>
      </c>
      <c r="F1978" t="str">
        <f>"06-K10-03"</f>
        <v>06-K10-03</v>
      </c>
      <c r="G1978">
        <v>0.42630000000000001</v>
      </c>
      <c r="H1978" t="s">
        <v>11</v>
      </c>
      <c r="I1978" t="s">
        <v>10</v>
      </c>
    </row>
    <row r="1979" spans="1:9" x14ac:dyDescent="0.25">
      <c r="A1979" t="str">
        <f t="shared" si="35"/>
        <v>89301000</v>
      </c>
      <c r="B1979" t="str">
        <f>"1911181107"</f>
        <v>1911181107</v>
      </c>
      <c r="C1979" s="1">
        <v>45203</v>
      </c>
      <c r="D1979" s="1">
        <v>45205</v>
      </c>
      <c r="E1979">
        <v>1</v>
      </c>
      <c r="F1979" t="str">
        <f>"12-I13-02"</f>
        <v>12-I13-02</v>
      </c>
      <c r="G1979">
        <v>0.53879999999999995</v>
      </c>
      <c r="H1979" t="s">
        <v>9</v>
      </c>
      <c r="I1979" t="s">
        <v>10</v>
      </c>
    </row>
    <row r="1980" spans="1:9" x14ac:dyDescent="0.25">
      <c r="A1980" t="str">
        <f t="shared" si="35"/>
        <v>89301000</v>
      </c>
      <c r="B1980" t="str">
        <f>"1911200654"</f>
        <v>1911200654</v>
      </c>
      <c r="C1980" s="1">
        <v>45183</v>
      </c>
      <c r="D1980" s="1">
        <v>45185</v>
      </c>
      <c r="E1980">
        <v>1</v>
      </c>
      <c r="F1980" t="str">
        <f>"03-I21-00"</f>
        <v>03-I21-00</v>
      </c>
      <c r="G1980">
        <v>0.43319999999999997</v>
      </c>
      <c r="H1980" t="s">
        <v>11</v>
      </c>
      <c r="I1980" t="s">
        <v>10</v>
      </c>
    </row>
    <row r="1981" spans="1:9" x14ac:dyDescent="0.25">
      <c r="A1981" t="str">
        <f t="shared" si="35"/>
        <v>89301000</v>
      </c>
      <c r="B1981" t="str">
        <f>"1911201710"</f>
        <v>1911201710</v>
      </c>
      <c r="C1981" s="1">
        <v>45046</v>
      </c>
      <c r="D1981" s="1">
        <v>45049</v>
      </c>
      <c r="E1981">
        <v>1</v>
      </c>
      <c r="F1981" t="str">
        <f>"09-K01-04"</f>
        <v>09-K01-04</v>
      </c>
      <c r="G1981">
        <v>0.60570000000000002</v>
      </c>
      <c r="H1981" t="s">
        <v>11</v>
      </c>
      <c r="I1981" t="s">
        <v>10</v>
      </c>
    </row>
    <row r="1982" spans="1:9" x14ac:dyDescent="0.25">
      <c r="A1982" t="str">
        <f t="shared" si="35"/>
        <v>89301000</v>
      </c>
      <c r="B1982" t="str">
        <f>"1912101675"</f>
        <v>1912101675</v>
      </c>
      <c r="C1982" s="1">
        <v>45186</v>
      </c>
      <c r="D1982" s="1">
        <v>45188</v>
      </c>
      <c r="E1982">
        <v>1</v>
      </c>
      <c r="F1982" t="str">
        <f>"03-I21-00"</f>
        <v>03-I21-00</v>
      </c>
      <c r="G1982">
        <v>0.42449999999999999</v>
      </c>
      <c r="H1982" t="s">
        <v>11</v>
      </c>
      <c r="I1982" t="s">
        <v>10</v>
      </c>
    </row>
    <row r="1983" spans="1:9" x14ac:dyDescent="0.25">
      <c r="A1983" t="str">
        <f t="shared" si="35"/>
        <v>89301000</v>
      </c>
      <c r="B1983" t="str">
        <f>"1912190291"</f>
        <v>1912190291</v>
      </c>
      <c r="C1983" s="1">
        <v>45274</v>
      </c>
      <c r="D1983" s="1">
        <v>45276</v>
      </c>
      <c r="E1983">
        <v>1</v>
      </c>
      <c r="F1983" t="str">
        <f>"03-I21-00"</f>
        <v>03-I21-00</v>
      </c>
      <c r="G1983">
        <v>0.43319999999999997</v>
      </c>
      <c r="H1983" t="s">
        <v>11</v>
      </c>
      <c r="I1983" t="s">
        <v>10</v>
      </c>
    </row>
    <row r="1984" spans="1:9" x14ac:dyDescent="0.25">
      <c r="A1984" t="str">
        <f t="shared" si="35"/>
        <v>89301000</v>
      </c>
      <c r="B1984" t="str">
        <f>"1951090163"</f>
        <v>1951090163</v>
      </c>
      <c r="C1984" s="1">
        <v>44938</v>
      </c>
      <c r="D1984" s="1">
        <v>44940</v>
      </c>
      <c r="E1984">
        <v>1</v>
      </c>
      <c r="F1984" t="str">
        <f>"03-I21-00"</f>
        <v>03-I21-00</v>
      </c>
      <c r="G1984">
        <v>0.42449999999999999</v>
      </c>
      <c r="H1984" t="s">
        <v>11</v>
      </c>
      <c r="I1984" t="s">
        <v>10</v>
      </c>
    </row>
    <row r="1985" spans="1:9" x14ac:dyDescent="0.25">
      <c r="A1985" t="str">
        <f t="shared" si="35"/>
        <v>89301000</v>
      </c>
      <c r="B1985" t="str">
        <f>"1951130071"</f>
        <v>1951130071</v>
      </c>
      <c r="C1985" s="1">
        <v>45071</v>
      </c>
      <c r="D1985" s="1">
        <v>45076</v>
      </c>
      <c r="E1985">
        <v>1</v>
      </c>
      <c r="F1985" t="str">
        <f>"01-K03-06"</f>
        <v>01-K03-06</v>
      </c>
      <c r="G1985">
        <v>0.84740000000000004</v>
      </c>
      <c r="H1985" t="s">
        <v>11</v>
      </c>
      <c r="I1985" t="s">
        <v>10</v>
      </c>
    </row>
    <row r="1986" spans="1:9" x14ac:dyDescent="0.25">
      <c r="A1986" t="str">
        <f t="shared" si="35"/>
        <v>89301000</v>
      </c>
      <c r="B1986" t="str">
        <f>"1951200152"</f>
        <v>1951200152</v>
      </c>
      <c r="C1986" s="1">
        <v>45081</v>
      </c>
      <c r="D1986" s="1">
        <v>45090</v>
      </c>
      <c r="E1986">
        <v>1</v>
      </c>
      <c r="F1986" t="str">
        <f>"01-K01-02"</f>
        <v>01-K01-02</v>
      </c>
      <c r="G1986">
        <v>0.5847</v>
      </c>
      <c r="H1986" t="s">
        <v>11</v>
      </c>
      <c r="I1986" t="s">
        <v>10</v>
      </c>
    </row>
    <row r="1987" spans="1:9" x14ac:dyDescent="0.25">
      <c r="A1987" t="str">
        <f t="shared" si="35"/>
        <v>89301000</v>
      </c>
      <c r="B1987" t="str">
        <f>"1951241204"</f>
        <v>1951241204</v>
      </c>
      <c r="C1987" s="1">
        <v>45081</v>
      </c>
      <c r="D1987" s="1">
        <v>45083</v>
      </c>
      <c r="E1987">
        <v>1</v>
      </c>
      <c r="F1987" t="str">
        <f>"03-I21-00"</f>
        <v>03-I21-00</v>
      </c>
      <c r="G1987">
        <v>0.42449999999999999</v>
      </c>
      <c r="H1987" t="s">
        <v>11</v>
      </c>
      <c r="I1987" t="s">
        <v>10</v>
      </c>
    </row>
    <row r="1988" spans="1:9" x14ac:dyDescent="0.25">
      <c r="A1988" t="str">
        <f t="shared" si="35"/>
        <v>89301000</v>
      </c>
      <c r="B1988" t="str">
        <f>"1951260278"</f>
        <v>1951260278</v>
      </c>
      <c r="C1988" s="1">
        <v>45043</v>
      </c>
      <c r="D1988" s="1">
        <v>45045</v>
      </c>
      <c r="E1988">
        <v>1</v>
      </c>
      <c r="F1988" t="str">
        <f>"03-I21-00"</f>
        <v>03-I21-00</v>
      </c>
      <c r="G1988">
        <v>0.42449999999999999</v>
      </c>
      <c r="H1988" t="s">
        <v>11</v>
      </c>
      <c r="I1988" t="s">
        <v>10</v>
      </c>
    </row>
    <row r="1989" spans="1:9" x14ac:dyDescent="0.25">
      <c r="A1989" t="str">
        <f t="shared" si="35"/>
        <v>89301000</v>
      </c>
      <c r="B1989" t="str">
        <f>"1952010170"</f>
        <v>1952010170</v>
      </c>
      <c r="C1989" s="1">
        <v>45030</v>
      </c>
      <c r="D1989" s="1">
        <v>45032</v>
      </c>
      <c r="E1989">
        <v>1</v>
      </c>
      <c r="F1989" t="str">
        <f>"06-K02-04"</f>
        <v>06-K02-04</v>
      </c>
      <c r="G1989">
        <v>0.37659999999999999</v>
      </c>
      <c r="H1989" t="s">
        <v>11</v>
      </c>
      <c r="I1989" t="s">
        <v>10</v>
      </c>
    </row>
    <row r="1990" spans="1:9" x14ac:dyDescent="0.25">
      <c r="A1990" t="str">
        <f t="shared" si="35"/>
        <v>89301000</v>
      </c>
      <c r="B1990" t="str">
        <f>"1952040343"</f>
        <v>1952040343</v>
      </c>
      <c r="C1990" s="1">
        <v>44931</v>
      </c>
      <c r="D1990" s="1">
        <v>44934</v>
      </c>
      <c r="E1990">
        <v>1</v>
      </c>
      <c r="F1990" t="str">
        <f>"11-K11-00"</f>
        <v>11-K11-00</v>
      </c>
      <c r="G1990">
        <v>0.48220000000000002</v>
      </c>
      <c r="H1990" t="s">
        <v>11</v>
      </c>
      <c r="I1990" t="s">
        <v>10</v>
      </c>
    </row>
    <row r="1991" spans="1:9" x14ac:dyDescent="0.25">
      <c r="A1991" t="str">
        <f t="shared" si="35"/>
        <v>89301000</v>
      </c>
      <c r="B1991" t="str">
        <f>"1953190525"</f>
        <v>1953190525</v>
      </c>
      <c r="C1991" s="1">
        <v>45098</v>
      </c>
      <c r="D1991" s="1">
        <v>45100</v>
      </c>
      <c r="E1991">
        <v>1</v>
      </c>
      <c r="F1991" t="str">
        <f>"06-I16-05"</f>
        <v>06-I16-05</v>
      </c>
      <c r="G1991">
        <v>0.4622</v>
      </c>
      <c r="H1991" t="s">
        <v>9</v>
      </c>
      <c r="I1991" t="s">
        <v>10</v>
      </c>
    </row>
    <row r="1992" spans="1:9" x14ac:dyDescent="0.25">
      <c r="A1992" t="str">
        <f t="shared" si="35"/>
        <v>89301000</v>
      </c>
      <c r="B1992" t="str">
        <f>"1953290174"</f>
        <v>1953290174</v>
      </c>
      <c r="C1992" s="1">
        <v>45165</v>
      </c>
      <c r="D1992" s="1">
        <v>45167</v>
      </c>
      <c r="E1992">
        <v>1</v>
      </c>
      <c r="F1992" t="str">
        <f>"09-I13-05"</f>
        <v>09-I13-05</v>
      </c>
      <c r="G1992">
        <v>0.42509999999999998</v>
      </c>
      <c r="H1992" t="s">
        <v>11</v>
      </c>
      <c r="I1992" t="s">
        <v>10</v>
      </c>
    </row>
    <row r="1993" spans="1:9" x14ac:dyDescent="0.25">
      <c r="A1993" t="str">
        <f t="shared" si="35"/>
        <v>89301000</v>
      </c>
      <c r="B1993" t="str">
        <f>"1953291593"</f>
        <v>1953291593</v>
      </c>
      <c r="C1993" s="1">
        <v>44969</v>
      </c>
      <c r="D1993" s="1">
        <v>44971</v>
      </c>
      <c r="E1993">
        <v>1</v>
      </c>
      <c r="F1993" t="str">
        <f>"03-I21-00"</f>
        <v>03-I21-00</v>
      </c>
      <c r="G1993">
        <v>0.43319999999999997</v>
      </c>
      <c r="H1993" t="s">
        <v>11</v>
      </c>
      <c r="I1993" t="s">
        <v>10</v>
      </c>
    </row>
    <row r="1994" spans="1:9" x14ac:dyDescent="0.25">
      <c r="A1994" t="str">
        <f t="shared" si="35"/>
        <v>89301000</v>
      </c>
      <c r="B1994" t="str">
        <f>"1953300063"</f>
        <v>1953300063</v>
      </c>
      <c r="C1994" s="1">
        <v>45193</v>
      </c>
      <c r="D1994" s="1">
        <v>45195</v>
      </c>
      <c r="E1994">
        <v>1</v>
      </c>
      <c r="F1994" t="str">
        <f>"03-I21-00"</f>
        <v>03-I21-00</v>
      </c>
      <c r="G1994">
        <v>0.42449999999999999</v>
      </c>
      <c r="H1994" t="s">
        <v>11</v>
      </c>
      <c r="I1994" t="s">
        <v>10</v>
      </c>
    </row>
    <row r="1995" spans="1:9" x14ac:dyDescent="0.25">
      <c r="A1995" t="str">
        <f t="shared" si="35"/>
        <v>89301000</v>
      </c>
      <c r="B1995" t="str">
        <f>"1954021113"</f>
        <v>1954021113</v>
      </c>
      <c r="C1995" s="1">
        <v>44980</v>
      </c>
      <c r="D1995" s="1">
        <v>44987</v>
      </c>
      <c r="E1995">
        <v>1</v>
      </c>
      <c r="F1995" t="str">
        <f>"04-M01-07"</f>
        <v>04-M01-07</v>
      </c>
      <c r="G1995">
        <v>3.2717000000000001</v>
      </c>
      <c r="H1995" t="s">
        <v>11</v>
      </c>
      <c r="I1995" t="s">
        <v>10</v>
      </c>
    </row>
    <row r="1996" spans="1:9" x14ac:dyDescent="0.25">
      <c r="A1996" t="str">
        <f t="shared" si="35"/>
        <v>89301000</v>
      </c>
      <c r="B1996" t="str">
        <f>"1954031442"</f>
        <v>1954031442</v>
      </c>
      <c r="C1996" s="1">
        <v>45039</v>
      </c>
      <c r="D1996" s="1">
        <v>45043</v>
      </c>
      <c r="E1996">
        <v>1</v>
      </c>
      <c r="F1996" t="str">
        <f>"01-K03-07"</f>
        <v>01-K03-07</v>
      </c>
      <c r="G1996">
        <v>0.6</v>
      </c>
      <c r="H1996" t="s">
        <v>11</v>
      </c>
      <c r="I1996" t="s">
        <v>10</v>
      </c>
    </row>
    <row r="1997" spans="1:9" x14ac:dyDescent="0.25">
      <c r="A1997" t="str">
        <f t="shared" si="35"/>
        <v>89301000</v>
      </c>
      <c r="B1997" t="str">
        <f>"1954031442"</f>
        <v>1954031442</v>
      </c>
      <c r="C1997" s="1">
        <v>45152</v>
      </c>
      <c r="D1997" s="1">
        <v>45154</v>
      </c>
      <c r="E1997">
        <v>1</v>
      </c>
      <c r="F1997" t="str">
        <f>"03-K06-01"</f>
        <v>03-K06-01</v>
      </c>
      <c r="G1997">
        <v>0.4713</v>
      </c>
      <c r="H1997" t="s">
        <v>11</v>
      </c>
      <c r="I1997" t="s">
        <v>10</v>
      </c>
    </row>
    <row r="1998" spans="1:9" x14ac:dyDescent="0.25">
      <c r="A1998" t="str">
        <f t="shared" si="35"/>
        <v>89301000</v>
      </c>
      <c r="B1998" t="str">
        <f>"1954040055"</f>
        <v>1954040055</v>
      </c>
      <c r="C1998" s="1">
        <v>45243</v>
      </c>
      <c r="D1998" s="1">
        <v>45245</v>
      </c>
      <c r="E1998">
        <v>1</v>
      </c>
      <c r="F1998" t="str">
        <f>"03-I21-00"</f>
        <v>03-I21-00</v>
      </c>
      <c r="G1998">
        <v>0.42449999999999999</v>
      </c>
      <c r="H1998" t="s">
        <v>11</v>
      </c>
      <c r="I1998" t="s">
        <v>10</v>
      </c>
    </row>
    <row r="1999" spans="1:9" x14ac:dyDescent="0.25">
      <c r="A1999" t="str">
        <f t="shared" si="35"/>
        <v>89301000</v>
      </c>
      <c r="B1999" t="str">
        <f>"1954161869"</f>
        <v>1954161869</v>
      </c>
      <c r="C1999" s="1">
        <v>44937</v>
      </c>
      <c r="D1999" s="1">
        <v>44949</v>
      </c>
      <c r="E1999">
        <v>1</v>
      </c>
      <c r="F1999" t="str">
        <f>"11-I10-03"</f>
        <v>11-I10-03</v>
      </c>
      <c r="G1999">
        <v>2.3294000000000001</v>
      </c>
      <c r="H1999" t="s">
        <v>12</v>
      </c>
      <c r="I1999" t="s">
        <v>10</v>
      </c>
    </row>
    <row r="2000" spans="1:9" x14ac:dyDescent="0.25">
      <c r="A2000" t="str">
        <f t="shared" si="35"/>
        <v>89301000</v>
      </c>
      <c r="B2000" t="str">
        <f>"1954220059"</f>
        <v>1954220059</v>
      </c>
      <c r="C2000" s="1">
        <v>45100</v>
      </c>
      <c r="D2000" s="1">
        <v>45102</v>
      </c>
      <c r="E2000">
        <v>1</v>
      </c>
      <c r="F2000" t="str">
        <f>"06-K10-03"</f>
        <v>06-K10-03</v>
      </c>
      <c r="G2000">
        <v>0.42630000000000001</v>
      </c>
      <c r="H2000" t="s">
        <v>11</v>
      </c>
      <c r="I2000" t="s">
        <v>10</v>
      </c>
    </row>
    <row r="2001" spans="1:9" x14ac:dyDescent="0.25">
      <c r="A2001" t="str">
        <f t="shared" si="35"/>
        <v>89301000</v>
      </c>
      <c r="B2001" t="str">
        <f>"1954240497"</f>
        <v>1954240497</v>
      </c>
      <c r="C2001" s="1">
        <v>45079</v>
      </c>
      <c r="D2001" s="1">
        <v>45080</v>
      </c>
      <c r="E2001">
        <v>1</v>
      </c>
      <c r="F2001" t="str">
        <f>"09-K12-00"</f>
        <v>09-K12-00</v>
      </c>
      <c r="G2001">
        <v>0.26040000000000002</v>
      </c>
      <c r="H2001" t="s">
        <v>11</v>
      </c>
      <c r="I2001" t="s">
        <v>10</v>
      </c>
    </row>
    <row r="2002" spans="1:9" x14ac:dyDescent="0.25">
      <c r="A2002" t="str">
        <f t="shared" si="35"/>
        <v>89301000</v>
      </c>
      <c r="B2002" t="str">
        <f>"1955080072"</f>
        <v>1955080072</v>
      </c>
      <c r="C2002" s="1">
        <v>45249</v>
      </c>
      <c r="D2002" s="1">
        <v>45251</v>
      </c>
      <c r="E2002">
        <v>1</v>
      </c>
      <c r="F2002" t="str">
        <f>"03-I21-00"</f>
        <v>03-I21-00</v>
      </c>
      <c r="G2002">
        <v>0.42759999999999998</v>
      </c>
      <c r="H2002" t="s">
        <v>11</v>
      </c>
      <c r="I2002" t="s">
        <v>10</v>
      </c>
    </row>
    <row r="2003" spans="1:9" x14ac:dyDescent="0.25">
      <c r="A2003" t="str">
        <f t="shared" si="35"/>
        <v>89301000</v>
      </c>
      <c r="B2003" t="str">
        <f>"1955110025"</f>
        <v>1955110025</v>
      </c>
      <c r="C2003" s="1">
        <v>45158</v>
      </c>
      <c r="D2003" s="1">
        <v>45163</v>
      </c>
      <c r="E2003">
        <v>1</v>
      </c>
      <c r="F2003" t="str">
        <f>"06-K02-04"</f>
        <v>06-K02-04</v>
      </c>
      <c r="G2003">
        <v>0.37659999999999999</v>
      </c>
      <c r="H2003" t="s">
        <v>11</v>
      </c>
      <c r="I2003" t="s">
        <v>10</v>
      </c>
    </row>
    <row r="2004" spans="1:9" x14ac:dyDescent="0.25">
      <c r="A2004" t="str">
        <f t="shared" si="35"/>
        <v>89301000</v>
      </c>
      <c r="B2004" t="str">
        <f>"1955140132"</f>
        <v>1955140132</v>
      </c>
      <c r="C2004" s="1">
        <v>45004</v>
      </c>
      <c r="D2004" s="1">
        <v>45010</v>
      </c>
      <c r="E2004">
        <v>1</v>
      </c>
      <c r="F2004" t="str">
        <f>"03-K01-01"</f>
        <v>03-K01-01</v>
      </c>
      <c r="G2004">
        <v>0.60770000000000002</v>
      </c>
      <c r="H2004" t="s">
        <v>11</v>
      </c>
      <c r="I2004" t="s">
        <v>10</v>
      </c>
    </row>
    <row r="2005" spans="1:9" x14ac:dyDescent="0.25">
      <c r="A2005" t="str">
        <f t="shared" si="35"/>
        <v>89301000</v>
      </c>
      <c r="B2005" t="str">
        <f>"1955300006"</f>
        <v>1955300006</v>
      </c>
      <c r="C2005" s="1">
        <v>45264</v>
      </c>
      <c r="D2005" s="1">
        <v>45266</v>
      </c>
      <c r="E2005">
        <v>1</v>
      </c>
      <c r="F2005" t="str">
        <f>"03-K12-01"</f>
        <v>03-K12-01</v>
      </c>
      <c r="G2005">
        <v>0.37140000000000001</v>
      </c>
      <c r="H2005" t="s">
        <v>11</v>
      </c>
      <c r="I2005" t="s">
        <v>10</v>
      </c>
    </row>
    <row r="2006" spans="1:9" x14ac:dyDescent="0.25">
      <c r="A2006" t="str">
        <f t="shared" si="35"/>
        <v>89301000</v>
      </c>
      <c r="B2006" t="str">
        <f>"1956200048"</f>
        <v>1956200048</v>
      </c>
      <c r="C2006" s="1">
        <v>45093</v>
      </c>
      <c r="D2006" s="1">
        <v>45096</v>
      </c>
      <c r="E2006">
        <v>1</v>
      </c>
      <c r="F2006" t="str">
        <f>"06-K02-04"</f>
        <v>06-K02-04</v>
      </c>
      <c r="G2006">
        <v>0.37659999999999999</v>
      </c>
      <c r="H2006" t="s">
        <v>11</v>
      </c>
      <c r="I2006" t="s">
        <v>10</v>
      </c>
    </row>
    <row r="2007" spans="1:9" x14ac:dyDescent="0.25">
      <c r="A2007" t="str">
        <f t="shared" si="35"/>
        <v>89301000</v>
      </c>
      <c r="B2007" t="str">
        <f>"1956270041"</f>
        <v>1956270041</v>
      </c>
      <c r="C2007" s="1">
        <v>44983</v>
      </c>
      <c r="D2007" s="1">
        <v>44984</v>
      </c>
      <c r="E2007">
        <v>1</v>
      </c>
      <c r="F2007" t="str">
        <f>"01-K16-06"</f>
        <v>01-K16-06</v>
      </c>
      <c r="G2007">
        <v>0.27150000000000002</v>
      </c>
      <c r="H2007" t="s">
        <v>11</v>
      </c>
      <c r="I2007" t="s">
        <v>10</v>
      </c>
    </row>
    <row r="2008" spans="1:9" x14ac:dyDescent="0.25">
      <c r="A2008" t="str">
        <f t="shared" si="35"/>
        <v>89301000</v>
      </c>
      <c r="B2008" t="str">
        <f>"1956290083"</f>
        <v>1956290083</v>
      </c>
      <c r="C2008" s="1">
        <v>45187</v>
      </c>
      <c r="D2008" s="1">
        <v>45189</v>
      </c>
      <c r="E2008">
        <v>1</v>
      </c>
      <c r="F2008" t="str">
        <f>"03-K02-03"</f>
        <v>03-K02-03</v>
      </c>
      <c r="G2008">
        <v>0.34050000000000002</v>
      </c>
      <c r="H2008" t="s">
        <v>11</v>
      </c>
      <c r="I2008" t="s">
        <v>10</v>
      </c>
    </row>
    <row r="2009" spans="1:9" x14ac:dyDescent="0.25">
      <c r="A2009" t="str">
        <f t="shared" si="35"/>
        <v>89301000</v>
      </c>
      <c r="B2009" t="str">
        <f>"1957090817"</f>
        <v>1957090817</v>
      </c>
      <c r="C2009" s="1">
        <v>45092</v>
      </c>
      <c r="D2009" s="1">
        <v>45094</v>
      </c>
      <c r="E2009">
        <v>1</v>
      </c>
      <c r="F2009" t="str">
        <f>"03-I21-00"</f>
        <v>03-I21-00</v>
      </c>
      <c r="G2009">
        <v>0.42759999999999998</v>
      </c>
      <c r="H2009" t="s">
        <v>11</v>
      </c>
      <c r="I2009" t="s">
        <v>10</v>
      </c>
    </row>
    <row r="2010" spans="1:9" x14ac:dyDescent="0.25">
      <c r="A2010" t="str">
        <f t="shared" si="35"/>
        <v>89301000</v>
      </c>
      <c r="B2010" t="str">
        <f>"1957150206"</f>
        <v>1957150206</v>
      </c>
      <c r="C2010" s="1">
        <v>45049</v>
      </c>
      <c r="D2010" s="1">
        <v>45054</v>
      </c>
      <c r="E2010">
        <v>1</v>
      </c>
      <c r="F2010" t="str">
        <f>"06-I18-04"</f>
        <v>06-I18-04</v>
      </c>
      <c r="G2010">
        <v>1.1088</v>
      </c>
      <c r="H2010" t="s">
        <v>9</v>
      </c>
      <c r="I2010" t="s">
        <v>10</v>
      </c>
    </row>
    <row r="2011" spans="1:9" x14ac:dyDescent="0.25">
      <c r="A2011" t="str">
        <f t="shared" si="35"/>
        <v>89301000</v>
      </c>
      <c r="B2011" t="str">
        <f>"1957150250"</f>
        <v>1957150250</v>
      </c>
      <c r="C2011" s="1">
        <v>45256</v>
      </c>
      <c r="D2011" s="1">
        <v>45258</v>
      </c>
      <c r="E2011">
        <v>1</v>
      </c>
      <c r="F2011" t="str">
        <f>"03-I21-00"</f>
        <v>03-I21-00</v>
      </c>
      <c r="G2011">
        <v>0.43319999999999997</v>
      </c>
      <c r="H2011" t="s">
        <v>11</v>
      </c>
      <c r="I2011" t="s">
        <v>10</v>
      </c>
    </row>
    <row r="2012" spans="1:9" x14ac:dyDescent="0.25">
      <c r="A2012" t="str">
        <f t="shared" si="35"/>
        <v>89301000</v>
      </c>
      <c r="B2012" t="str">
        <f>"1957240824"</f>
        <v>1957240824</v>
      </c>
      <c r="C2012" s="1">
        <v>45222</v>
      </c>
      <c r="D2012" s="1">
        <v>45224</v>
      </c>
      <c r="E2012">
        <v>1</v>
      </c>
      <c r="F2012" t="str">
        <f>"10-M01-00"</f>
        <v>10-M01-00</v>
      </c>
      <c r="G2012">
        <v>0.43469999999999998</v>
      </c>
      <c r="H2012" t="s">
        <v>11</v>
      </c>
      <c r="I2012" t="s">
        <v>10</v>
      </c>
    </row>
    <row r="2013" spans="1:9" x14ac:dyDescent="0.25">
      <c r="A2013" t="str">
        <f t="shared" si="35"/>
        <v>89301000</v>
      </c>
      <c r="B2013" t="str">
        <f>"1958090420"</f>
        <v>1958090420</v>
      </c>
      <c r="C2013" s="1">
        <v>45207</v>
      </c>
      <c r="D2013" s="1">
        <v>45209</v>
      </c>
      <c r="E2013">
        <v>1</v>
      </c>
      <c r="F2013" t="str">
        <f>"03-I21-00"</f>
        <v>03-I21-00</v>
      </c>
      <c r="G2013">
        <v>0.42449999999999999</v>
      </c>
      <c r="H2013" t="s">
        <v>11</v>
      </c>
      <c r="I2013" t="s">
        <v>10</v>
      </c>
    </row>
    <row r="2014" spans="1:9" x14ac:dyDescent="0.25">
      <c r="A2014" t="str">
        <f t="shared" si="35"/>
        <v>89301000</v>
      </c>
      <c r="B2014" t="str">
        <f>"1958090420"</f>
        <v>1958090420</v>
      </c>
      <c r="C2014" s="1">
        <v>45212</v>
      </c>
      <c r="D2014" s="1">
        <v>45215</v>
      </c>
      <c r="E2014">
        <v>1</v>
      </c>
      <c r="F2014" t="str">
        <f>"03-K02-03"</f>
        <v>03-K02-03</v>
      </c>
      <c r="G2014">
        <v>0.34050000000000002</v>
      </c>
      <c r="H2014" t="s">
        <v>11</v>
      </c>
      <c r="I2014" t="s">
        <v>10</v>
      </c>
    </row>
    <row r="2015" spans="1:9" x14ac:dyDescent="0.25">
      <c r="A2015" t="str">
        <f t="shared" si="35"/>
        <v>89301000</v>
      </c>
      <c r="B2015" t="str">
        <f>"1958110143"</f>
        <v>1958110143</v>
      </c>
      <c r="C2015" s="1">
        <v>45242</v>
      </c>
      <c r="D2015" s="1">
        <v>45244</v>
      </c>
      <c r="E2015">
        <v>1</v>
      </c>
      <c r="F2015" t="str">
        <f>"03-I21-00"</f>
        <v>03-I21-00</v>
      </c>
      <c r="G2015">
        <v>0.42449999999999999</v>
      </c>
      <c r="H2015" t="s">
        <v>11</v>
      </c>
      <c r="I2015" t="s">
        <v>10</v>
      </c>
    </row>
    <row r="2016" spans="1:9" x14ac:dyDescent="0.25">
      <c r="A2016" t="str">
        <f t="shared" si="35"/>
        <v>89301000</v>
      </c>
      <c r="B2016" t="str">
        <f>"1958190201"</f>
        <v>1958190201</v>
      </c>
      <c r="C2016" s="1">
        <v>45015</v>
      </c>
      <c r="D2016" s="1">
        <v>45018</v>
      </c>
      <c r="E2016">
        <v>1</v>
      </c>
      <c r="F2016" t="str">
        <f>"03-I16-02"</f>
        <v>03-I16-02</v>
      </c>
      <c r="G2016">
        <v>0.92979999999999996</v>
      </c>
      <c r="H2016" t="s">
        <v>9</v>
      </c>
      <c r="I2016" t="s">
        <v>10</v>
      </c>
    </row>
    <row r="2017" spans="1:9" x14ac:dyDescent="0.25">
      <c r="A2017" t="str">
        <f t="shared" si="35"/>
        <v>89301000</v>
      </c>
      <c r="B2017" t="str">
        <f>"1959080288"</f>
        <v>1959080288</v>
      </c>
      <c r="C2017" s="1">
        <v>45228</v>
      </c>
      <c r="D2017" s="1">
        <v>45230</v>
      </c>
      <c r="E2017">
        <v>1</v>
      </c>
      <c r="F2017" t="str">
        <f>"03-I21-00"</f>
        <v>03-I21-00</v>
      </c>
      <c r="G2017">
        <v>0.42449999999999999</v>
      </c>
      <c r="H2017" t="s">
        <v>11</v>
      </c>
      <c r="I2017" t="s">
        <v>10</v>
      </c>
    </row>
    <row r="2018" spans="1:9" x14ac:dyDescent="0.25">
      <c r="A2018" t="str">
        <f t="shared" si="35"/>
        <v>89301000</v>
      </c>
      <c r="B2018" t="str">
        <f>"1959110362"</f>
        <v>1959110362</v>
      </c>
      <c r="C2018" s="1">
        <v>45173</v>
      </c>
      <c r="D2018" s="1">
        <v>45174</v>
      </c>
      <c r="E2018">
        <v>1</v>
      </c>
      <c r="F2018" t="str">
        <f>"23-K01-00"</f>
        <v>23-K01-00</v>
      </c>
      <c r="G2018">
        <v>0.1401</v>
      </c>
      <c r="H2018" t="s">
        <v>11</v>
      </c>
      <c r="I2018" t="s">
        <v>10</v>
      </c>
    </row>
    <row r="2019" spans="1:9" x14ac:dyDescent="0.25">
      <c r="A2019" t="str">
        <f t="shared" si="35"/>
        <v>89301000</v>
      </c>
      <c r="B2019" t="str">
        <f>"1959110362"</f>
        <v>1959110362</v>
      </c>
      <c r="C2019" s="1">
        <v>45214</v>
      </c>
      <c r="D2019" s="1">
        <v>45216</v>
      </c>
      <c r="E2019">
        <v>1</v>
      </c>
      <c r="F2019" t="str">
        <f>"03-I21-00"</f>
        <v>03-I21-00</v>
      </c>
      <c r="G2019">
        <v>0.42449999999999999</v>
      </c>
      <c r="H2019" t="s">
        <v>11</v>
      </c>
      <c r="I2019" t="s">
        <v>10</v>
      </c>
    </row>
    <row r="2020" spans="1:9" x14ac:dyDescent="0.25">
      <c r="A2020" t="str">
        <f t="shared" si="35"/>
        <v>89301000</v>
      </c>
      <c r="B2020" t="str">
        <f>"1959200529"</f>
        <v>1959200529</v>
      </c>
      <c r="C2020" s="1">
        <v>45071</v>
      </c>
      <c r="D2020" s="1">
        <v>45075</v>
      </c>
      <c r="E2020">
        <v>1</v>
      </c>
      <c r="F2020" t="str">
        <f>"03-I21-00"</f>
        <v>03-I21-00</v>
      </c>
      <c r="G2020">
        <v>0.51970000000000005</v>
      </c>
      <c r="H2020" t="s">
        <v>11</v>
      </c>
      <c r="I2020" t="s">
        <v>10</v>
      </c>
    </row>
    <row r="2021" spans="1:9" x14ac:dyDescent="0.25">
      <c r="A2021" t="str">
        <f t="shared" si="35"/>
        <v>89301000</v>
      </c>
      <c r="B2021" t="str">
        <f>"1960040335"</f>
        <v>1960040335</v>
      </c>
      <c r="C2021" s="1">
        <v>44944</v>
      </c>
      <c r="D2021" s="1">
        <v>44946</v>
      </c>
      <c r="E2021">
        <v>1</v>
      </c>
      <c r="F2021" t="str">
        <f>"01-K18-04"</f>
        <v>01-K18-04</v>
      </c>
      <c r="G2021">
        <v>0.54610000000000003</v>
      </c>
      <c r="H2021" t="s">
        <v>11</v>
      </c>
      <c r="I2021" t="s">
        <v>10</v>
      </c>
    </row>
    <row r="2022" spans="1:9" x14ac:dyDescent="0.25">
      <c r="A2022" t="str">
        <f t="shared" si="35"/>
        <v>89301000</v>
      </c>
      <c r="B2022" t="str">
        <f>"1960080353"</f>
        <v>1960080353</v>
      </c>
      <c r="C2022" s="1">
        <v>44928</v>
      </c>
      <c r="D2022" s="1">
        <v>44966</v>
      </c>
      <c r="E2022">
        <v>1</v>
      </c>
      <c r="F2022" t="str">
        <f>"00-M02-03"</f>
        <v>00-M02-03</v>
      </c>
      <c r="G2022">
        <v>15.019600000000001</v>
      </c>
      <c r="H2022" t="s">
        <v>11</v>
      </c>
      <c r="I2022" t="s">
        <v>10</v>
      </c>
    </row>
    <row r="2023" spans="1:9" x14ac:dyDescent="0.25">
      <c r="A2023" t="str">
        <f t="shared" si="35"/>
        <v>89301000</v>
      </c>
      <c r="B2023" t="str">
        <f>"1960080353"</f>
        <v>1960080353</v>
      </c>
      <c r="C2023" s="1">
        <v>45076</v>
      </c>
      <c r="D2023" s="1">
        <v>45077</v>
      </c>
      <c r="E2023">
        <v>1</v>
      </c>
      <c r="F2023" t="str">
        <f>"04-K15-03"</f>
        <v>04-K15-03</v>
      </c>
      <c r="G2023">
        <v>0.48670000000000002</v>
      </c>
      <c r="H2023" t="s">
        <v>11</v>
      </c>
      <c r="I2023" t="s">
        <v>10</v>
      </c>
    </row>
    <row r="2024" spans="1:9" x14ac:dyDescent="0.25">
      <c r="A2024" t="str">
        <f t="shared" si="35"/>
        <v>89301000</v>
      </c>
      <c r="B2024" t="str">
        <f>"1960170465"</f>
        <v>1960170465</v>
      </c>
      <c r="C2024" s="1">
        <v>45082</v>
      </c>
      <c r="D2024" s="1">
        <v>45093</v>
      </c>
      <c r="E2024">
        <v>1</v>
      </c>
      <c r="F2024" t="str">
        <f>"03-K06-01"</f>
        <v>03-K06-01</v>
      </c>
      <c r="G2024">
        <v>0.82130000000000003</v>
      </c>
      <c r="H2024" t="s">
        <v>11</v>
      </c>
      <c r="I2024" t="s">
        <v>10</v>
      </c>
    </row>
    <row r="2025" spans="1:9" x14ac:dyDescent="0.25">
      <c r="A2025" t="str">
        <f t="shared" si="35"/>
        <v>89301000</v>
      </c>
      <c r="B2025" t="str">
        <f>"1960181157"</f>
        <v>1960181157</v>
      </c>
      <c r="C2025" s="1">
        <v>45165</v>
      </c>
      <c r="D2025" s="1">
        <v>45167</v>
      </c>
      <c r="E2025">
        <v>1</v>
      </c>
      <c r="F2025" t="str">
        <f>"02-I12-01"</f>
        <v>02-I12-01</v>
      </c>
      <c r="G2025">
        <v>1.4329000000000001</v>
      </c>
      <c r="H2025" t="s">
        <v>11</v>
      </c>
      <c r="I2025" t="s">
        <v>10</v>
      </c>
    </row>
    <row r="2026" spans="1:9" x14ac:dyDescent="0.25">
      <c r="A2026" t="str">
        <f t="shared" si="35"/>
        <v>89301000</v>
      </c>
      <c r="B2026" t="str">
        <f>"1960260368"</f>
        <v>1960260368</v>
      </c>
      <c r="C2026" s="1">
        <v>44989</v>
      </c>
      <c r="D2026" s="1">
        <v>44991</v>
      </c>
      <c r="E2026">
        <v>1</v>
      </c>
      <c r="F2026" t="str">
        <f>"01-K18-04"</f>
        <v>01-K18-04</v>
      </c>
      <c r="G2026">
        <v>0.54610000000000003</v>
      </c>
      <c r="H2026" t="s">
        <v>11</v>
      </c>
      <c r="I2026" t="s">
        <v>10</v>
      </c>
    </row>
    <row r="2027" spans="1:9" x14ac:dyDescent="0.25">
      <c r="A2027" t="str">
        <f t="shared" si="35"/>
        <v>89301000</v>
      </c>
      <c r="B2027" t="str">
        <f>"1960270939"</f>
        <v>1960270939</v>
      </c>
      <c r="C2027" s="1">
        <v>44941</v>
      </c>
      <c r="D2027" s="1">
        <v>44944</v>
      </c>
      <c r="E2027">
        <v>1</v>
      </c>
      <c r="F2027" t="str">
        <f>"03-I16-02"</f>
        <v>03-I16-02</v>
      </c>
      <c r="G2027">
        <v>0.92979999999999996</v>
      </c>
      <c r="H2027" t="s">
        <v>9</v>
      </c>
      <c r="I2027" t="s">
        <v>10</v>
      </c>
    </row>
    <row r="2028" spans="1:9" x14ac:dyDescent="0.25">
      <c r="A2028" t="str">
        <f t="shared" si="35"/>
        <v>89301000</v>
      </c>
      <c r="B2028" t="str">
        <f>"1960290442"</f>
        <v>1960290442</v>
      </c>
      <c r="C2028" s="1">
        <v>45187</v>
      </c>
      <c r="D2028" s="1">
        <v>45188</v>
      </c>
      <c r="E2028">
        <v>6</v>
      </c>
      <c r="F2028" t="str">
        <f>"21-K03-00"</f>
        <v>21-K03-00</v>
      </c>
      <c r="G2028">
        <v>0.1835</v>
      </c>
      <c r="H2028" t="s">
        <v>11</v>
      </c>
      <c r="I2028" t="s">
        <v>10</v>
      </c>
    </row>
    <row r="2029" spans="1:9" x14ac:dyDescent="0.25">
      <c r="A2029" t="str">
        <f t="shared" si="35"/>
        <v>89301000</v>
      </c>
      <c r="B2029" t="str">
        <f>"1960290607"</f>
        <v>1960290607</v>
      </c>
      <c r="C2029" s="1">
        <v>45191</v>
      </c>
      <c r="D2029" s="1">
        <v>45195</v>
      </c>
      <c r="E2029">
        <v>1</v>
      </c>
      <c r="F2029" t="str">
        <f>"03-K01-01"</f>
        <v>03-K01-01</v>
      </c>
      <c r="G2029">
        <v>0.60770000000000002</v>
      </c>
      <c r="H2029" t="s">
        <v>11</v>
      </c>
      <c r="I2029" t="s">
        <v>10</v>
      </c>
    </row>
    <row r="2030" spans="1:9" x14ac:dyDescent="0.25">
      <c r="A2030" t="str">
        <f t="shared" si="35"/>
        <v>89301000</v>
      </c>
      <c r="B2030" t="str">
        <f>"1961020391"</f>
        <v>1961020391</v>
      </c>
      <c r="C2030" s="1">
        <v>45000</v>
      </c>
      <c r="D2030" s="1">
        <v>45007</v>
      </c>
      <c r="E2030">
        <v>1</v>
      </c>
      <c r="F2030" t="str">
        <f>"11-K01-03"</f>
        <v>11-K01-03</v>
      </c>
      <c r="G2030">
        <v>0.70020000000000004</v>
      </c>
      <c r="H2030" t="s">
        <v>11</v>
      </c>
      <c r="I2030" t="s">
        <v>10</v>
      </c>
    </row>
    <row r="2031" spans="1:9" x14ac:dyDescent="0.25">
      <c r="A2031" t="str">
        <f t="shared" si="35"/>
        <v>89301000</v>
      </c>
      <c r="B2031" t="str">
        <f>"1961031237"</f>
        <v>1961031237</v>
      </c>
      <c r="C2031" s="1">
        <v>45095</v>
      </c>
      <c r="D2031" s="1">
        <v>45097</v>
      </c>
      <c r="E2031">
        <v>1</v>
      </c>
      <c r="F2031" t="str">
        <f>"16-K01-02"</f>
        <v>16-K01-02</v>
      </c>
      <c r="G2031">
        <v>0.48060000000000003</v>
      </c>
      <c r="H2031" t="s">
        <v>11</v>
      </c>
      <c r="I2031" t="s">
        <v>10</v>
      </c>
    </row>
    <row r="2032" spans="1:9" x14ac:dyDescent="0.25">
      <c r="A2032" t="str">
        <f t="shared" si="35"/>
        <v>89301000</v>
      </c>
      <c r="B2032" t="str">
        <f>"1961040246"</f>
        <v>1961040246</v>
      </c>
      <c r="C2032" s="1">
        <v>45250</v>
      </c>
      <c r="D2032" s="1">
        <v>45252</v>
      </c>
      <c r="E2032">
        <v>1</v>
      </c>
      <c r="F2032" t="str">
        <f>"06-I17-05"</f>
        <v>06-I17-05</v>
      </c>
      <c r="G2032">
        <v>0.39529999999999998</v>
      </c>
      <c r="H2032" t="s">
        <v>12</v>
      </c>
      <c r="I2032" t="s">
        <v>10</v>
      </c>
    </row>
    <row r="2033" spans="1:9" x14ac:dyDescent="0.25">
      <c r="A2033" t="str">
        <f t="shared" si="35"/>
        <v>89301000</v>
      </c>
      <c r="B2033" t="str">
        <f>"1961180595"</f>
        <v>1961180595</v>
      </c>
      <c r="C2033" s="1">
        <v>45260</v>
      </c>
      <c r="D2033" s="1">
        <v>45262</v>
      </c>
      <c r="E2033">
        <v>1</v>
      </c>
      <c r="F2033" t="str">
        <f>"03-I21-00"</f>
        <v>03-I21-00</v>
      </c>
      <c r="G2033">
        <v>0.42449999999999999</v>
      </c>
      <c r="H2033" t="s">
        <v>11</v>
      </c>
      <c r="I2033" t="s">
        <v>10</v>
      </c>
    </row>
    <row r="2034" spans="1:9" x14ac:dyDescent="0.25">
      <c r="A2034" t="str">
        <f t="shared" si="35"/>
        <v>89301000</v>
      </c>
      <c r="B2034" t="str">
        <f>"1962060804"</f>
        <v>1962060804</v>
      </c>
      <c r="C2034" s="1">
        <v>45168</v>
      </c>
      <c r="D2034" s="1">
        <v>45189</v>
      </c>
      <c r="E2034">
        <v>1</v>
      </c>
      <c r="F2034" t="str">
        <f>"01-K02-01"</f>
        <v>01-K02-01</v>
      </c>
      <c r="G2034">
        <v>2.7972000000000001</v>
      </c>
      <c r="H2034" t="s">
        <v>11</v>
      </c>
      <c r="I2034" t="s">
        <v>10</v>
      </c>
    </row>
    <row r="2035" spans="1:9" x14ac:dyDescent="0.25">
      <c r="A2035" t="str">
        <f t="shared" si="35"/>
        <v>89301000</v>
      </c>
      <c r="B2035" t="str">
        <f>"1962160266"</f>
        <v>1962160266</v>
      </c>
      <c r="C2035" s="1">
        <v>45224</v>
      </c>
      <c r="D2035" s="1">
        <v>45229</v>
      </c>
      <c r="E2035">
        <v>1</v>
      </c>
      <c r="F2035" t="str">
        <f>"06-I21-03"</f>
        <v>06-I21-03</v>
      </c>
      <c r="G2035">
        <v>0.4572</v>
      </c>
      <c r="H2035" t="s">
        <v>12</v>
      </c>
      <c r="I2035" t="s">
        <v>10</v>
      </c>
    </row>
    <row r="2036" spans="1:9" x14ac:dyDescent="0.25">
      <c r="A2036" t="str">
        <f t="shared" si="35"/>
        <v>89301000</v>
      </c>
      <c r="B2036" t="str">
        <f>"1962240379"</f>
        <v>1962240379</v>
      </c>
      <c r="C2036" s="1">
        <v>45263</v>
      </c>
      <c r="D2036" s="1">
        <v>45266</v>
      </c>
      <c r="E2036">
        <v>1</v>
      </c>
      <c r="F2036" t="str">
        <f>"03-I16-02"</f>
        <v>03-I16-02</v>
      </c>
      <c r="G2036">
        <v>0.92979999999999996</v>
      </c>
      <c r="H2036" t="s">
        <v>9</v>
      </c>
      <c r="I2036" t="s">
        <v>10</v>
      </c>
    </row>
    <row r="2037" spans="1:9" x14ac:dyDescent="0.25">
      <c r="A2037" t="str">
        <f t="shared" si="35"/>
        <v>89301000</v>
      </c>
      <c r="B2037" t="str">
        <f>"2001041251"</f>
        <v>2001041251</v>
      </c>
      <c r="C2037" s="1">
        <v>45180</v>
      </c>
      <c r="D2037" s="1">
        <v>45182</v>
      </c>
      <c r="E2037">
        <v>1</v>
      </c>
      <c r="F2037" t="str">
        <f>"03-I21-00"</f>
        <v>03-I21-00</v>
      </c>
      <c r="G2037">
        <v>0.42449999999999999</v>
      </c>
      <c r="H2037" t="s">
        <v>11</v>
      </c>
      <c r="I2037" t="s">
        <v>10</v>
      </c>
    </row>
    <row r="2038" spans="1:9" x14ac:dyDescent="0.25">
      <c r="A2038" t="str">
        <f t="shared" si="35"/>
        <v>89301000</v>
      </c>
      <c r="B2038" t="str">
        <f>"2001100277"</f>
        <v>2001100277</v>
      </c>
      <c r="C2038" s="1">
        <v>45064</v>
      </c>
      <c r="D2038" s="1">
        <v>45066</v>
      </c>
      <c r="E2038">
        <v>1</v>
      </c>
      <c r="F2038" t="str">
        <f>"03-I21-00"</f>
        <v>03-I21-00</v>
      </c>
      <c r="G2038">
        <v>0.42449999999999999</v>
      </c>
      <c r="H2038" t="s">
        <v>11</v>
      </c>
      <c r="I2038" t="s">
        <v>10</v>
      </c>
    </row>
    <row r="2039" spans="1:9" x14ac:dyDescent="0.25">
      <c r="A2039" t="str">
        <f t="shared" si="35"/>
        <v>89301000</v>
      </c>
      <c r="B2039" t="str">
        <f>"2001131330"</f>
        <v>2001131330</v>
      </c>
      <c r="C2039" s="1">
        <v>45277</v>
      </c>
      <c r="D2039" s="1">
        <v>45279</v>
      </c>
      <c r="E2039">
        <v>1</v>
      </c>
      <c r="F2039" t="str">
        <f>"03-I21-00"</f>
        <v>03-I21-00</v>
      </c>
      <c r="G2039">
        <v>0.42449999999999999</v>
      </c>
      <c r="H2039" t="s">
        <v>11</v>
      </c>
      <c r="I2039" t="s">
        <v>10</v>
      </c>
    </row>
    <row r="2040" spans="1:9" x14ac:dyDescent="0.25">
      <c r="A2040" t="str">
        <f t="shared" ref="A2040:A2103" si="36">"89301000"</f>
        <v>89301000</v>
      </c>
      <c r="B2040" t="str">
        <f>"2001151383"</f>
        <v>2001151383</v>
      </c>
      <c r="C2040" s="1">
        <v>45186</v>
      </c>
      <c r="D2040" s="1">
        <v>45189</v>
      </c>
      <c r="E2040">
        <v>1</v>
      </c>
      <c r="F2040" t="str">
        <f>"03-I18-03"</f>
        <v>03-I18-03</v>
      </c>
      <c r="G2040">
        <v>0.83940000000000003</v>
      </c>
      <c r="H2040" t="s">
        <v>9</v>
      </c>
      <c r="I2040" t="s">
        <v>10</v>
      </c>
    </row>
    <row r="2041" spans="1:9" x14ac:dyDescent="0.25">
      <c r="A2041" t="str">
        <f t="shared" si="36"/>
        <v>89301000</v>
      </c>
      <c r="B2041" t="str">
        <f t="shared" ref="B2041:B2050" si="37">"2001160744"</f>
        <v>2001160744</v>
      </c>
      <c r="C2041" s="1">
        <v>44956</v>
      </c>
      <c r="D2041" s="1">
        <v>44960</v>
      </c>
      <c r="E2041">
        <v>1</v>
      </c>
      <c r="F2041" t="str">
        <f>"17-C03-02"</f>
        <v>17-C03-02</v>
      </c>
      <c r="G2041">
        <v>1.1890000000000001</v>
      </c>
      <c r="H2041" t="s">
        <v>11</v>
      </c>
      <c r="I2041" t="s">
        <v>10</v>
      </c>
    </row>
    <row r="2042" spans="1:9" x14ac:dyDescent="0.25">
      <c r="A2042" t="str">
        <f t="shared" si="36"/>
        <v>89301000</v>
      </c>
      <c r="B2042" t="str">
        <f t="shared" si="37"/>
        <v>2001160744</v>
      </c>
      <c r="C2042" s="1">
        <v>44942</v>
      </c>
      <c r="D2042" s="1">
        <v>44950</v>
      </c>
      <c r="E2042">
        <v>1</v>
      </c>
      <c r="F2042" t="str">
        <f>"07-K03-01"</f>
        <v>07-K03-01</v>
      </c>
      <c r="G2042">
        <v>2.3277999999999999</v>
      </c>
      <c r="H2042" t="s">
        <v>11</v>
      </c>
      <c r="I2042" t="s">
        <v>10</v>
      </c>
    </row>
    <row r="2043" spans="1:9" x14ac:dyDescent="0.25">
      <c r="A2043" t="str">
        <f t="shared" si="36"/>
        <v>89301000</v>
      </c>
      <c r="B2043" t="str">
        <f t="shared" si="37"/>
        <v>2001160744</v>
      </c>
      <c r="C2043" s="1">
        <v>44835</v>
      </c>
      <c r="D2043" s="1">
        <v>44939</v>
      </c>
      <c r="E2043">
        <v>1</v>
      </c>
      <c r="F2043" t="str">
        <f>"17-C03-02"</f>
        <v>17-C03-02</v>
      </c>
      <c r="G2043">
        <v>13.865600000000001</v>
      </c>
      <c r="H2043" t="s">
        <v>11</v>
      </c>
      <c r="I2043" t="s">
        <v>10</v>
      </c>
    </row>
    <row r="2044" spans="1:9" x14ac:dyDescent="0.25">
      <c r="A2044" t="str">
        <f t="shared" si="36"/>
        <v>89301000</v>
      </c>
      <c r="B2044" t="str">
        <f t="shared" si="37"/>
        <v>2001160744</v>
      </c>
      <c r="C2044" s="1">
        <v>45082</v>
      </c>
      <c r="D2044" s="1">
        <v>45087</v>
      </c>
      <c r="E2044">
        <v>1</v>
      </c>
      <c r="F2044" t="str">
        <f>"17-C03-02"</f>
        <v>17-C03-02</v>
      </c>
      <c r="G2044">
        <v>1.1890000000000001</v>
      </c>
      <c r="H2044" t="s">
        <v>11</v>
      </c>
      <c r="I2044" t="s">
        <v>10</v>
      </c>
    </row>
    <row r="2045" spans="1:9" x14ac:dyDescent="0.25">
      <c r="A2045" t="str">
        <f t="shared" si="36"/>
        <v>89301000</v>
      </c>
      <c r="B2045" t="str">
        <f t="shared" si="37"/>
        <v>2001160744</v>
      </c>
      <c r="C2045" s="1">
        <v>45110</v>
      </c>
      <c r="D2045" s="1">
        <v>45120</v>
      </c>
      <c r="E2045">
        <v>1</v>
      </c>
      <c r="F2045" t="str">
        <f>"17-K01-01"</f>
        <v>17-K01-01</v>
      </c>
      <c r="G2045">
        <v>4.0377999999999998</v>
      </c>
      <c r="H2045" t="s">
        <v>11</v>
      </c>
      <c r="I2045" t="s">
        <v>10</v>
      </c>
    </row>
    <row r="2046" spans="1:9" x14ac:dyDescent="0.25">
      <c r="A2046" t="str">
        <f t="shared" si="36"/>
        <v>89301000</v>
      </c>
      <c r="B2046" t="str">
        <f t="shared" si="37"/>
        <v>2001160744</v>
      </c>
      <c r="C2046" s="1">
        <v>44970</v>
      </c>
      <c r="D2046" s="1">
        <v>44974</v>
      </c>
      <c r="E2046">
        <v>1</v>
      </c>
      <c r="F2046" t="str">
        <f>"17-C03-02"</f>
        <v>17-C03-02</v>
      </c>
      <c r="G2046">
        <v>1.1890000000000001</v>
      </c>
      <c r="H2046" t="s">
        <v>11</v>
      </c>
      <c r="I2046" t="s">
        <v>10</v>
      </c>
    </row>
    <row r="2047" spans="1:9" x14ac:dyDescent="0.25">
      <c r="A2047" t="str">
        <f t="shared" si="36"/>
        <v>89301000</v>
      </c>
      <c r="B2047" t="str">
        <f t="shared" si="37"/>
        <v>2001160744</v>
      </c>
      <c r="C2047" s="1">
        <v>44977</v>
      </c>
      <c r="D2047" s="1">
        <v>45002</v>
      </c>
      <c r="E2047">
        <v>1</v>
      </c>
      <c r="F2047" t="str">
        <f>"17-K01-01"</f>
        <v>17-K01-01</v>
      </c>
      <c r="G2047">
        <v>4.5839999999999996</v>
      </c>
      <c r="H2047" t="s">
        <v>11</v>
      </c>
      <c r="I2047" t="s">
        <v>10</v>
      </c>
    </row>
    <row r="2048" spans="1:9" x14ac:dyDescent="0.25">
      <c r="A2048" t="str">
        <f t="shared" si="36"/>
        <v>89301000</v>
      </c>
      <c r="B2048" t="str">
        <f t="shared" si="37"/>
        <v>2001160744</v>
      </c>
      <c r="C2048" s="1">
        <v>45012</v>
      </c>
      <c r="D2048" s="1">
        <v>45016</v>
      </c>
      <c r="E2048">
        <v>1</v>
      </c>
      <c r="F2048" t="str">
        <f>"17-C03-02"</f>
        <v>17-C03-02</v>
      </c>
      <c r="G2048">
        <v>1.1890000000000001</v>
      </c>
      <c r="H2048" t="s">
        <v>11</v>
      </c>
      <c r="I2048" t="s">
        <v>10</v>
      </c>
    </row>
    <row r="2049" spans="1:9" x14ac:dyDescent="0.25">
      <c r="A2049" t="str">
        <f t="shared" si="36"/>
        <v>89301000</v>
      </c>
      <c r="B2049" t="str">
        <f t="shared" si="37"/>
        <v>2001160744</v>
      </c>
      <c r="C2049" s="1">
        <v>45066</v>
      </c>
      <c r="D2049" s="1">
        <v>45075</v>
      </c>
      <c r="E2049">
        <v>1</v>
      </c>
      <c r="F2049" t="str">
        <f>"17-C03-01"</f>
        <v>17-C03-01</v>
      </c>
      <c r="G2049">
        <v>4.2354000000000003</v>
      </c>
      <c r="H2049" t="s">
        <v>11</v>
      </c>
      <c r="I2049" t="s">
        <v>10</v>
      </c>
    </row>
    <row r="2050" spans="1:9" x14ac:dyDescent="0.25">
      <c r="A2050" t="str">
        <f t="shared" si="36"/>
        <v>89301000</v>
      </c>
      <c r="B2050" t="str">
        <f t="shared" si="37"/>
        <v>2001160744</v>
      </c>
      <c r="C2050" s="1">
        <v>45019</v>
      </c>
      <c r="D2050" s="1">
        <v>45022</v>
      </c>
      <c r="E2050">
        <v>1</v>
      </c>
      <c r="F2050" t="str">
        <f>"07-M02-04"</f>
        <v>07-M02-04</v>
      </c>
      <c r="G2050">
        <v>0.77339999999999998</v>
      </c>
      <c r="H2050" t="s">
        <v>12</v>
      </c>
      <c r="I2050" t="s">
        <v>10</v>
      </c>
    </row>
    <row r="2051" spans="1:9" x14ac:dyDescent="0.25">
      <c r="A2051" t="str">
        <f t="shared" si="36"/>
        <v>89301000</v>
      </c>
      <c r="B2051" t="str">
        <f>"2001210574"</f>
        <v>2001210574</v>
      </c>
      <c r="C2051" s="1">
        <v>45082</v>
      </c>
      <c r="D2051" s="1">
        <v>45084</v>
      </c>
      <c r="E2051">
        <v>1</v>
      </c>
      <c r="F2051" t="str">
        <f>"12-I13-02"</f>
        <v>12-I13-02</v>
      </c>
      <c r="G2051">
        <v>0.53879999999999995</v>
      </c>
      <c r="H2051" t="s">
        <v>9</v>
      </c>
      <c r="I2051" t="s">
        <v>10</v>
      </c>
    </row>
    <row r="2052" spans="1:9" x14ac:dyDescent="0.25">
      <c r="A2052" t="str">
        <f t="shared" si="36"/>
        <v>89301000</v>
      </c>
      <c r="B2052" t="str">
        <f>"2001230583"</f>
        <v>2001230583</v>
      </c>
      <c r="C2052" s="1">
        <v>45067</v>
      </c>
      <c r="D2052" s="1">
        <v>45068</v>
      </c>
      <c r="E2052">
        <v>6</v>
      </c>
      <c r="F2052" t="str">
        <f>"06-K02-04"</f>
        <v>06-K02-04</v>
      </c>
      <c r="G2052">
        <v>0.37659999999999999</v>
      </c>
      <c r="H2052" t="s">
        <v>11</v>
      </c>
      <c r="I2052" t="s">
        <v>10</v>
      </c>
    </row>
    <row r="2053" spans="1:9" x14ac:dyDescent="0.25">
      <c r="A2053" t="str">
        <f t="shared" si="36"/>
        <v>89301000</v>
      </c>
      <c r="B2053" t="str">
        <f>"2001240395"</f>
        <v>2001240395</v>
      </c>
      <c r="C2053" s="1">
        <v>45267</v>
      </c>
      <c r="D2053" s="1">
        <v>45269</v>
      </c>
      <c r="E2053">
        <v>1</v>
      </c>
      <c r="F2053" t="str">
        <f>"03-I21-00"</f>
        <v>03-I21-00</v>
      </c>
      <c r="G2053">
        <v>0.42449999999999999</v>
      </c>
      <c r="H2053" t="s">
        <v>11</v>
      </c>
      <c r="I2053" t="s">
        <v>10</v>
      </c>
    </row>
    <row r="2054" spans="1:9" x14ac:dyDescent="0.25">
      <c r="A2054" t="str">
        <f t="shared" si="36"/>
        <v>89301000</v>
      </c>
      <c r="B2054" t="str">
        <f>"2001270722"</f>
        <v>2001270722</v>
      </c>
      <c r="C2054" s="1">
        <v>45242</v>
      </c>
      <c r="D2054" s="1">
        <v>45244</v>
      </c>
      <c r="E2054">
        <v>1</v>
      </c>
      <c r="F2054" t="str">
        <f>"03-I21-00"</f>
        <v>03-I21-00</v>
      </c>
      <c r="G2054">
        <v>0.42449999999999999</v>
      </c>
      <c r="H2054" t="s">
        <v>11</v>
      </c>
      <c r="I2054" t="s">
        <v>10</v>
      </c>
    </row>
    <row r="2055" spans="1:9" x14ac:dyDescent="0.25">
      <c r="A2055" t="str">
        <f t="shared" si="36"/>
        <v>89301000</v>
      </c>
      <c r="B2055" t="str">
        <f>"2002080069"</f>
        <v>2002080069</v>
      </c>
      <c r="C2055" s="1">
        <v>45248</v>
      </c>
      <c r="D2055" s="1">
        <v>45260</v>
      </c>
      <c r="E2055">
        <v>1</v>
      </c>
      <c r="F2055" t="str">
        <f>"09-K13-02"</f>
        <v>09-K13-02</v>
      </c>
      <c r="G2055">
        <v>1.1891</v>
      </c>
      <c r="H2055" t="s">
        <v>11</v>
      </c>
      <c r="I2055" t="s">
        <v>10</v>
      </c>
    </row>
    <row r="2056" spans="1:9" x14ac:dyDescent="0.25">
      <c r="A2056" t="str">
        <f t="shared" si="36"/>
        <v>89301000</v>
      </c>
      <c r="B2056" t="str">
        <f>"2002080069"</f>
        <v>2002080069</v>
      </c>
      <c r="C2056" s="1">
        <v>45265</v>
      </c>
      <c r="D2056" s="1">
        <v>45272</v>
      </c>
      <c r="E2056">
        <v>1</v>
      </c>
      <c r="F2056" t="str">
        <f>"08-I29-02"</f>
        <v>08-I29-02</v>
      </c>
      <c r="G2056">
        <v>1.5629999999999999</v>
      </c>
      <c r="H2056" t="s">
        <v>11</v>
      </c>
      <c r="I2056" t="s">
        <v>10</v>
      </c>
    </row>
    <row r="2057" spans="1:9" x14ac:dyDescent="0.25">
      <c r="A2057" t="str">
        <f t="shared" si="36"/>
        <v>89301000</v>
      </c>
      <c r="B2057" t="str">
        <f>"2002080289"</f>
        <v>2002080289</v>
      </c>
      <c r="C2057" s="1">
        <v>45068</v>
      </c>
      <c r="D2057" s="1">
        <v>45072</v>
      </c>
      <c r="E2057">
        <v>1</v>
      </c>
      <c r="F2057" t="str">
        <f>"04-K02-04"</f>
        <v>04-K02-04</v>
      </c>
      <c r="G2057">
        <v>0.82099999999999995</v>
      </c>
      <c r="H2057" t="s">
        <v>11</v>
      </c>
      <c r="I2057" t="s">
        <v>10</v>
      </c>
    </row>
    <row r="2058" spans="1:9" x14ac:dyDescent="0.25">
      <c r="A2058" t="str">
        <f t="shared" si="36"/>
        <v>89301000</v>
      </c>
      <c r="B2058" t="str">
        <f>"2002160446"</f>
        <v>2002160446</v>
      </c>
      <c r="C2058" s="1">
        <v>45096</v>
      </c>
      <c r="D2058" s="1">
        <v>45098</v>
      </c>
      <c r="E2058">
        <v>1</v>
      </c>
      <c r="F2058" t="str">
        <f>"08-I20-01"</f>
        <v>08-I20-01</v>
      </c>
      <c r="G2058">
        <v>1.5294000000000001</v>
      </c>
      <c r="H2058" t="s">
        <v>12</v>
      </c>
      <c r="I2058" t="s">
        <v>10</v>
      </c>
    </row>
    <row r="2059" spans="1:9" x14ac:dyDescent="0.25">
      <c r="A2059" t="str">
        <f t="shared" si="36"/>
        <v>89301000</v>
      </c>
      <c r="B2059" t="str">
        <f>"2002160446"</f>
        <v>2002160446</v>
      </c>
      <c r="C2059" s="1">
        <v>45134</v>
      </c>
      <c r="D2059" s="1">
        <v>45137</v>
      </c>
      <c r="E2059">
        <v>1</v>
      </c>
      <c r="F2059" t="str">
        <f>"08-I32-00"</f>
        <v>08-I32-00</v>
      </c>
      <c r="G2059">
        <v>0.40870000000000001</v>
      </c>
      <c r="H2059" t="s">
        <v>11</v>
      </c>
      <c r="I2059" t="s">
        <v>10</v>
      </c>
    </row>
    <row r="2060" spans="1:9" x14ac:dyDescent="0.25">
      <c r="A2060" t="str">
        <f t="shared" si="36"/>
        <v>89301000</v>
      </c>
      <c r="B2060" t="str">
        <f>"2002260139"</f>
        <v>2002260139</v>
      </c>
      <c r="C2060" s="1">
        <v>44957</v>
      </c>
      <c r="D2060" s="1">
        <v>44961</v>
      </c>
      <c r="E2060">
        <v>1</v>
      </c>
      <c r="F2060" t="str">
        <f>"06-I18-04"</f>
        <v>06-I18-04</v>
      </c>
      <c r="G2060">
        <v>1.1088</v>
      </c>
      <c r="H2060" t="s">
        <v>9</v>
      </c>
      <c r="I2060" t="s">
        <v>10</v>
      </c>
    </row>
    <row r="2061" spans="1:9" x14ac:dyDescent="0.25">
      <c r="A2061" t="str">
        <f t="shared" si="36"/>
        <v>89301000</v>
      </c>
      <c r="B2061" t="str">
        <f>"2002260612"</f>
        <v>2002260612</v>
      </c>
      <c r="C2061" s="1">
        <v>45166</v>
      </c>
      <c r="D2061" s="1">
        <v>45167</v>
      </c>
      <c r="E2061">
        <v>1</v>
      </c>
      <c r="F2061" t="str">
        <f>"06-K17-02"</f>
        <v>06-K17-02</v>
      </c>
      <c r="G2061">
        <v>0.2999</v>
      </c>
      <c r="H2061" t="s">
        <v>11</v>
      </c>
      <c r="I2061" t="s">
        <v>10</v>
      </c>
    </row>
    <row r="2062" spans="1:9" x14ac:dyDescent="0.25">
      <c r="A2062" t="str">
        <f t="shared" si="36"/>
        <v>89301000</v>
      </c>
      <c r="B2062" t="str">
        <f>"2002270875"</f>
        <v>2002270875</v>
      </c>
      <c r="C2062" s="1">
        <v>45035</v>
      </c>
      <c r="D2062" s="1">
        <v>45036</v>
      </c>
      <c r="E2062">
        <v>1</v>
      </c>
      <c r="F2062" t="str">
        <f>"23-K01-00"</f>
        <v>23-K01-00</v>
      </c>
      <c r="G2062">
        <v>0.1401</v>
      </c>
      <c r="H2062" t="s">
        <v>11</v>
      </c>
      <c r="I2062" t="s">
        <v>10</v>
      </c>
    </row>
    <row r="2063" spans="1:9" x14ac:dyDescent="0.25">
      <c r="A2063" t="str">
        <f t="shared" si="36"/>
        <v>89301000</v>
      </c>
      <c r="B2063" t="str">
        <f>"2002270875"</f>
        <v>2002270875</v>
      </c>
      <c r="C2063" s="1">
        <v>45089</v>
      </c>
      <c r="D2063" s="1">
        <v>45091</v>
      </c>
      <c r="E2063">
        <v>1</v>
      </c>
      <c r="F2063" t="str">
        <f>"12-I08-03"</f>
        <v>12-I08-03</v>
      </c>
      <c r="G2063">
        <v>0.71730000000000005</v>
      </c>
      <c r="H2063" t="s">
        <v>11</v>
      </c>
      <c r="I2063" t="s">
        <v>10</v>
      </c>
    </row>
    <row r="2064" spans="1:9" x14ac:dyDescent="0.25">
      <c r="A2064" t="str">
        <f t="shared" si="36"/>
        <v>89301000</v>
      </c>
      <c r="B2064" t="str">
        <f>"2003110769"</f>
        <v>2003110769</v>
      </c>
      <c r="C2064" s="1">
        <v>44946</v>
      </c>
      <c r="D2064" s="1">
        <v>44950</v>
      </c>
      <c r="E2064">
        <v>1</v>
      </c>
      <c r="F2064" t="str">
        <f>"04-K03-03"</f>
        <v>04-K03-03</v>
      </c>
      <c r="G2064">
        <v>0.56110000000000004</v>
      </c>
      <c r="H2064" t="s">
        <v>11</v>
      </c>
      <c r="I2064" t="s">
        <v>10</v>
      </c>
    </row>
    <row r="2065" spans="1:9" x14ac:dyDescent="0.25">
      <c r="A2065" t="str">
        <f t="shared" si="36"/>
        <v>89301000</v>
      </c>
      <c r="B2065" t="str">
        <f>"2003280994"</f>
        <v>2003280994</v>
      </c>
      <c r="C2065" s="1">
        <v>45119</v>
      </c>
      <c r="D2065" s="1">
        <v>45121</v>
      </c>
      <c r="E2065">
        <v>1</v>
      </c>
      <c r="F2065" t="str">
        <f>"06-I16-05"</f>
        <v>06-I16-05</v>
      </c>
      <c r="G2065">
        <v>0.4622</v>
      </c>
      <c r="H2065" t="s">
        <v>9</v>
      </c>
      <c r="I2065" t="s">
        <v>10</v>
      </c>
    </row>
    <row r="2066" spans="1:9" x14ac:dyDescent="0.25">
      <c r="A2066" t="str">
        <f t="shared" si="36"/>
        <v>89301000</v>
      </c>
      <c r="B2066" t="str">
        <f>"2003290300"</f>
        <v>2003290300</v>
      </c>
      <c r="C2066" s="1">
        <v>45021</v>
      </c>
      <c r="D2066" s="1">
        <v>45023</v>
      </c>
      <c r="E2066">
        <v>1</v>
      </c>
      <c r="F2066" t="str">
        <f>"12-I10-02"</f>
        <v>12-I10-02</v>
      </c>
      <c r="G2066">
        <v>0.51690000000000003</v>
      </c>
      <c r="H2066" t="s">
        <v>9</v>
      </c>
      <c r="I2066" t="s">
        <v>10</v>
      </c>
    </row>
    <row r="2067" spans="1:9" x14ac:dyDescent="0.25">
      <c r="A2067" t="str">
        <f t="shared" si="36"/>
        <v>89301000</v>
      </c>
      <c r="B2067" t="str">
        <f>"2004050961"</f>
        <v>2004050961</v>
      </c>
      <c r="C2067" s="1">
        <v>45244</v>
      </c>
      <c r="D2067" s="1">
        <v>45248</v>
      </c>
      <c r="E2067">
        <v>1</v>
      </c>
      <c r="F2067" t="str">
        <f>"08-I21-02"</f>
        <v>08-I21-02</v>
      </c>
      <c r="G2067">
        <v>1.2658</v>
      </c>
      <c r="H2067" t="s">
        <v>12</v>
      </c>
      <c r="I2067" t="s">
        <v>10</v>
      </c>
    </row>
    <row r="2068" spans="1:9" x14ac:dyDescent="0.25">
      <c r="A2068" t="str">
        <f t="shared" si="36"/>
        <v>89301000</v>
      </c>
      <c r="B2068" t="str">
        <f>"2004210109"</f>
        <v>2004210109</v>
      </c>
      <c r="C2068" s="1">
        <v>45235</v>
      </c>
      <c r="D2068" s="1">
        <v>45237</v>
      </c>
      <c r="E2068">
        <v>1</v>
      </c>
      <c r="F2068" t="str">
        <f>"03-I21-00"</f>
        <v>03-I21-00</v>
      </c>
      <c r="G2068">
        <v>0.42449999999999999</v>
      </c>
      <c r="H2068" t="s">
        <v>11</v>
      </c>
      <c r="I2068" t="s">
        <v>10</v>
      </c>
    </row>
    <row r="2069" spans="1:9" x14ac:dyDescent="0.25">
      <c r="A2069" t="str">
        <f t="shared" si="36"/>
        <v>89301000</v>
      </c>
      <c r="B2069" t="str">
        <f>"2004230745"</f>
        <v>2004230745</v>
      </c>
      <c r="C2069" s="1">
        <v>44964</v>
      </c>
      <c r="D2069" s="1">
        <v>44967</v>
      </c>
      <c r="E2069">
        <v>1</v>
      </c>
      <c r="F2069" t="str">
        <f>"16-K02-03"</f>
        <v>16-K02-03</v>
      </c>
      <c r="G2069">
        <v>0.58299999999999996</v>
      </c>
      <c r="H2069" t="s">
        <v>11</v>
      </c>
      <c r="I2069" t="s">
        <v>10</v>
      </c>
    </row>
    <row r="2070" spans="1:9" x14ac:dyDescent="0.25">
      <c r="A2070" t="str">
        <f t="shared" si="36"/>
        <v>89301000</v>
      </c>
      <c r="B2070" t="str">
        <f>"2004230745"</f>
        <v>2004230745</v>
      </c>
      <c r="C2070" s="1">
        <v>45013</v>
      </c>
      <c r="D2070" s="1">
        <v>45014</v>
      </c>
      <c r="E2070">
        <v>1</v>
      </c>
      <c r="F2070" t="str">
        <f>"06-K06-02"</f>
        <v>06-K06-02</v>
      </c>
      <c r="G2070">
        <v>0.64170000000000005</v>
      </c>
      <c r="H2070" t="s">
        <v>11</v>
      </c>
      <c r="I2070" t="s">
        <v>10</v>
      </c>
    </row>
    <row r="2071" spans="1:9" x14ac:dyDescent="0.25">
      <c r="A2071" t="str">
        <f t="shared" si="36"/>
        <v>89301000</v>
      </c>
      <c r="B2071" t="str">
        <f>"2004230745"</f>
        <v>2004230745</v>
      </c>
      <c r="C2071" s="1">
        <v>45061</v>
      </c>
      <c r="D2071" s="1">
        <v>45068</v>
      </c>
      <c r="E2071">
        <v>1</v>
      </c>
      <c r="F2071" t="str">
        <f>"07-K02-02"</f>
        <v>07-K02-02</v>
      </c>
      <c r="G2071">
        <v>1.4144000000000001</v>
      </c>
      <c r="H2071" t="s">
        <v>11</v>
      </c>
      <c r="I2071" t="s">
        <v>10</v>
      </c>
    </row>
    <row r="2072" spans="1:9" x14ac:dyDescent="0.25">
      <c r="A2072" t="str">
        <f t="shared" si="36"/>
        <v>89301000</v>
      </c>
      <c r="B2072" t="str">
        <f>"2004230745"</f>
        <v>2004230745</v>
      </c>
      <c r="C2072" s="1">
        <v>45109</v>
      </c>
      <c r="D2072" s="1">
        <v>45111</v>
      </c>
      <c r="E2072">
        <v>1</v>
      </c>
      <c r="F2072" t="str">
        <f>"06-K06-02"</f>
        <v>06-K06-02</v>
      </c>
      <c r="G2072">
        <v>0.64170000000000005</v>
      </c>
      <c r="H2072" t="s">
        <v>11</v>
      </c>
      <c r="I2072" t="s">
        <v>10</v>
      </c>
    </row>
    <row r="2073" spans="1:9" x14ac:dyDescent="0.25">
      <c r="A2073" t="str">
        <f t="shared" si="36"/>
        <v>89301000</v>
      </c>
      <c r="B2073" t="str">
        <f>"2005070001"</f>
        <v>2005070001</v>
      </c>
      <c r="C2073" s="1">
        <v>45228</v>
      </c>
      <c r="D2073" s="1">
        <v>45230</v>
      </c>
      <c r="E2073">
        <v>1</v>
      </c>
      <c r="F2073" t="str">
        <f>"03-I21-00"</f>
        <v>03-I21-00</v>
      </c>
      <c r="G2073">
        <v>0.42449999999999999</v>
      </c>
      <c r="H2073" t="s">
        <v>11</v>
      </c>
      <c r="I2073" t="s">
        <v>10</v>
      </c>
    </row>
    <row r="2074" spans="1:9" x14ac:dyDescent="0.25">
      <c r="A2074" t="str">
        <f t="shared" si="36"/>
        <v>89301000</v>
      </c>
      <c r="B2074" t="str">
        <f>"2006010611"</f>
        <v>2006010611</v>
      </c>
      <c r="C2074" s="1">
        <v>45100</v>
      </c>
      <c r="D2074" s="1">
        <v>45104</v>
      </c>
      <c r="E2074">
        <v>1</v>
      </c>
      <c r="F2074" t="str">
        <f>"08-K14-01"</f>
        <v>08-K14-01</v>
      </c>
      <c r="G2074">
        <v>0.6653</v>
      </c>
      <c r="H2074" t="s">
        <v>11</v>
      </c>
      <c r="I2074" t="s">
        <v>10</v>
      </c>
    </row>
    <row r="2075" spans="1:9" x14ac:dyDescent="0.25">
      <c r="A2075" t="str">
        <f t="shared" si="36"/>
        <v>89301000</v>
      </c>
      <c r="B2075" t="str">
        <f>"2006011799"</f>
        <v>2006011799</v>
      </c>
      <c r="C2075" s="1">
        <v>45202</v>
      </c>
      <c r="D2075" s="1">
        <v>45211</v>
      </c>
      <c r="E2075">
        <v>1</v>
      </c>
      <c r="F2075" t="str">
        <f>"04-M01-07"</f>
        <v>04-M01-07</v>
      </c>
      <c r="G2075">
        <v>3.2717000000000001</v>
      </c>
      <c r="H2075" t="s">
        <v>11</v>
      </c>
      <c r="I2075" t="s">
        <v>10</v>
      </c>
    </row>
    <row r="2076" spans="1:9" x14ac:dyDescent="0.25">
      <c r="A2076" t="str">
        <f t="shared" si="36"/>
        <v>89301000</v>
      </c>
      <c r="B2076" t="str">
        <f>"2006080098"</f>
        <v>2006080098</v>
      </c>
      <c r="C2076" s="1">
        <v>45113</v>
      </c>
      <c r="D2076" s="1">
        <v>45114</v>
      </c>
      <c r="E2076">
        <v>5</v>
      </c>
      <c r="F2076" t="str">
        <f>"11-K02-01"</f>
        <v>11-K02-01</v>
      </c>
      <c r="G2076">
        <v>1.3169</v>
      </c>
      <c r="H2076" t="s">
        <v>11</v>
      </c>
      <c r="I2076" t="s">
        <v>10</v>
      </c>
    </row>
    <row r="2077" spans="1:9" x14ac:dyDescent="0.25">
      <c r="A2077" t="str">
        <f t="shared" si="36"/>
        <v>89301000</v>
      </c>
      <c r="B2077" t="str">
        <f>"2006080109"</f>
        <v>2006080109</v>
      </c>
      <c r="C2077" s="1">
        <v>45252</v>
      </c>
      <c r="D2077" s="1">
        <v>45254</v>
      </c>
      <c r="E2077">
        <v>1</v>
      </c>
      <c r="F2077" t="str">
        <f>"06-I16-05"</f>
        <v>06-I16-05</v>
      </c>
      <c r="G2077">
        <v>0.4622</v>
      </c>
      <c r="H2077" t="s">
        <v>9</v>
      </c>
      <c r="I2077" t="s">
        <v>10</v>
      </c>
    </row>
    <row r="2078" spans="1:9" x14ac:dyDescent="0.25">
      <c r="A2078" t="str">
        <f t="shared" si="36"/>
        <v>89301000</v>
      </c>
      <c r="B2078" t="str">
        <f>"2006171563"</f>
        <v>2006171563</v>
      </c>
      <c r="C2078" s="1">
        <v>45119</v>
      </c>
      <c r="D2078" s="1">
        <v>45120</v>
      </c>
      <c r="E2078">
        <v>1</v>
      </c>
      <c r="F2078" t="str">
        <f>"03-I20-03"</f>
        <v>03-I20-03</v>
      </c>
      <c r="G2078">
        <v>0.71</v>
      </c>
      <c r="H2078" t="s">
        <v>12</v>
      </c>
      <c r="I2078" t="s">
        <v>10</v>
      </c>
    </row>
    <row r="2079" spans="1:9" x14ac:dyDescent="0.25">
      <c r="A2079" t="str">
        <f t="shared" si="36"/>
        <v>89301000</v>
      </c>
      <c r="B2079" t="str">
        <f>"2006260663"</f>
        <v>2006260663</v>
      </c>
      <c r="C2079" s="1">
        <v>45054</v>
      </c>
      <c r="D2079" s="1">
        <v>45056</v>
      </c>
      <c r="E2079">
        <v>1</v>
      </c>
      <c r="F2079" t="str">
        <f>"09-K12-00"</f>
        <v>09-K12-00</v>
      </c>
      <c r="G2079">
        <v>0.26040000000000002</v>
      </c>
      <c r="H2079" t="s">
        <v>11</v>
      </c>
      <c r="I2079" t="s">
        <v>10</v>
      </c>
    </row>
    <row r="2080" spans="1:9" x14ac:dyDescent="0.25">
      <c r="A2080" t="str">
        <f t="shared" si="36"/>
        <v>89301000</v>
      </c>
      <c r="B2080" t="str">
        <f>"2007041366"</f>
        <v>2007041366</v>
      </c>
      <c r="C2080" s="1">
        <v>45282</v>
      </c>
      <c r="D2080" s="1">
        <v>45284</v>
      </c>
      <c r="E2080">
        <v>1</v>
      </c>
      <c r="F2080" t="str">
        <f>"03-K02-03"</f>
        <v>03-K02-03</v>
      </c>
      <c r="G2080">
        <v>0.33960000000000001</v>
      </c>
      <c r="H2080" t="s">
        <v>11</v>
      </c>
      <c r="I2080" t="s">
        <v>10</v>
      </c>
    </row>
    <row r="2081" spans="1:9" x14ac:dyDescent="0.25">
      <c r="A2081" t="str">
        <f t="shared" si="36"/>
        <v>89301000</v>
      </c>
      <c r="B2081" t="str">
        <f>"2007130664"</f>
        <v>2007130664</v>
      </c>
      <c r="C2081" s="1">
        <v>44946</v>
      </c>
      <c r="D2081" s="1">
        <v>44952</v>
      </c>
      <c r="E2081">
        <v>1</v>
      </c>
      <c r="F2081" t="str">
        <f>"16-K01-02"</f>
        <v>16-K01-02</v>
      </c>
      <c r="G2081">
        <v>0.48060000000000003</v>
      </c>
      <c r="H2081" t="s">
        <v>11</v>
      </c>
      <c r="I2081" t="s">
        <v>10</v>
      </c>
    </row>
    <row r="2082" spans="1:9" x14ac:dyDescent="0.25">
      <c r="A2082" t="str">
        <f t="shared" si="36"/>
        <v>89301000</v>
      </c>
      <c r="B2082" t="str">
        <f>"2007270287"</f>
        <v>2007270287</v>
      </c>
      <c r="C2082" s="1">
        <v>45099</v>
      </c>
      <c r="D2082" s="1">
        <v>45101</v>
      </c>
      <c r="E2082">
        <v>1</v>
      </c>
      <c r="F2082" t="str">
        <f>"09-I13-04"</f>
        <v>09-I13-04</v>
      </c>
      <c r="G2082">
        <v>0.54139999999999999</v>
      </c>
      <c r="H2082" t="s">
        <v>11</v>
      </c>
      <c r="I2082" t="s">
        <v>10</v>
      </c>
    </row>
    <row r="2083" spans="1:9" x14ac:dyDescent="0.25">
      <c r="A2083" t="str">
        <f t="shared" si="36"/>
        <v>89301000</v>
      </c>
      <c r="B2083" t="str">
        <f>"2007292166"</f>
        <v>2007292166</v>
      </c>
      <c r="C2083" s="1">
        <v>45068</v>
      </c>
      <c r="D2083" s="1">
        <v>45070</v>
      </c>
      <c r="E2083">
        <v>1</v>
      </c>
      <c r="F2083" t="str">
        <f>"12-I13-02"</f>
        <v>12-I13-02</v>
      </c>
      <c r="G2083">
        <v>0.53879999999999995</v>
      </c>
      <c r="H2083" t="s">
        <v>9</v>
      </c>
      <c r="I2083" t="s">
        <v>10</v>
      </c>
    </row>
    <row r="2084" spans="1:9" x14ac:dyDescent="0.25">
      <c r="A2084" t="str">
        <f t="shared" si="36"/>
        <v>89301000</v>
      </c>
      <c r="B2084" t="str">
        <f>"2007300966"</f>
        <v>2007300966</v>
      </c>
      <c r="C2084" s="1">
        <v>44943</v>
      </c>
      <c r="D2084" s="1">
        <v>44944</v>
      </c>
      <c r="E2084">
        <v>1</v>
      </c>
      <c r="F2084" t="str">
        <f>"03-K12-01"</f>
        <v>03-K12-01</v>
      </c>
      <c r="G2084">
        <v>0.37140000000000001</v>
      </c>
      <c r="H2084" t="s">
        <v>11</v>
      </c>
      <c r="I2084" t="s">
        <v>10</v>
      </c>
    </row>
    <row r="2085" spans="1:9" x14ac:dyDescent="0.25">
      <c r="A2085" t="str">
        <f t="shared" si="36"/>
        <v>89301000</v>
      </c>
      <c r="B2085" t="str">
        <f>"2007311625"</f>
        <v>2007311625</v>
      </c>
      <c r="C2085" s="1">
        <v>44928</v>
      </c>
      <c r="D2085" s="1">
        <v>44930</v>
      </c>
      <c r="E2085">
        <v>1</v>
      </c>
      <c r="F2085" t="str">
        <f>"06-K02-04"</f>
        <v>06-K02-04</v>
      </c>
      <c r="G2085">
        <v>0.37659999999999999</v>
      </c>
      <c r="H2085" t="s">
        <v>11</v>
      </c>
      <c r="I2085" t="s">
        <v>10</v>
      </c>
    </row>
    <row r="2086" spans="1:9" x14ac:dyDescent="0.25">
      <c r="A2086" t="str">
        <f t="shared" si="36"/>
        <v>89301000</v>
      </c>
      <c r="B2086" t="str">
        <f>"2008100721"</f>
        <v>2008100721</v>
      </c>
      <c r="C2086" s="1">
        <v>45213</v>
      </c>
      <c r="D2086" s="1">
        <v>45214</v>
      </c>
      <c r="E2086">
        <v>1</v>
      </c>
      <c r="F2086" t="str">
        <f>"09-K12-00"</f>
        <v>09-K12-00</v>
      </c>
      <c r="G2086">
        <v>0.26040000000000002</v>
      </c>
      <c r="H2086" t="s">
        <v>11</v>
      </c>
      <c r="I2086" t="s">
        <v>10</v>
      </c>
    </row>
    <row r="2087" spans="1:9" x14ac:dyDescent="0.25">
      <c r="A2087" t="str">
        <f t="shared" si="36"/>
        <v>89301000</v>
      </c>
      <c r="B2087" t="str">
        <f>"2008111853"</f>
        <v>2008111853</v>
      </c>
      <c r="C2087" s="1">
        <v>44998</v>
      </c>
      <c r="D2087" s="1">
        <v>45005</v>
      </c>
      <c r="E2087">
        <v>1</v>
      </c>
      <c r="F2087" t="str">
        <f>"04-K02-03"</f>
        <v>04-K02-03</v>
      </c>
      <c r="G2087">
        <v>1.298</v>
      </c>
      <c r="H2087" t="s">
        <v>11</v>
      </c>
      <c r="I2087" t="s">
        <v>10</v>
      </c>
    </row>
    <row r="2088" spans="1:9" x14ac:dyDescent="0.25">
      <c r="A2088" t="str">
        <f t="shared" si="36"/>
        <v>89301000</v>
      </c>
      <c r="B2088" t="str">
        <f>"2008180735"</f>
        <v>2008180735</v>
      </c>
      <c r="C2088" s="1">
        <v>45185</v>
      </c>
      <c r="D2088" s="1">
        <v>45186</v>
      </c>
      <c r="E2088">
        <v>1</v>
      </c>
      <c r="F2088" t="str">
        <f>"06-M01-05"</f>
        <v>06-M01-05</v>
      </c>
      <c r="G2088">
        <v>0.4481</v>
      </c>
      <c r="H2088" t="s">
        <v>11</v>
      </c>
      <c r="I2088" t="s">
        <v>10</v>
      </c>
    </row>
    <row r="2089" spans="1:9" x14ac:dyDescent="0.25">
      <c r="A2089" t="str">
        <f t="shared" si="36"/>
        <v>89301000</v>
      </c>
      <c r="B2089" t="str">
        <f>"2010021948"</f>
        <v>2010021948</v>
      </c>
      <c r="C2089" s="1">
        <v>45052</v>
      </c>
      <c r="D2089" s="1">
        <v>45061</v>
      </c>
      <c r="E2089">
        <v>1</v>
      </c>
      <c r="F2089" t="str">
        <f>"11-K03-01"</f>
        <v>11-K03-01</v>
      </c>
      <c r="G2089">
        <v>1.2875000000000001</v>
      </c>
      <c r="H2089" t="s">
        <v>11</v>
      </c>
      <c r="I2089" t="s">
        <v>10</v>
      </c>
    </row>
    <row r="2090" spans="1:9" x14ac:dyDescent="0.25">
      <c r="A2090" t="str">
        <f t="shared" si="36"/>
        <v>89301000</v>
      </c>
      <c r="B2090" t="str">
        <f>"2010140077"</f>
        <v>2010140077</v>
      </c>
      <c r="C2090" s="1">
        <v>44942</v>
      </c>
      <c r="D2090" s="1">
        <v>44944</v>
      </c>
      <c r="E2090">
        <v>1</v>
      </c>
      <c r="F2090" t="str">
        <f>"12-I14-00"</f>
        <v>12-I14-00</v>
      </c>
      <c r="G2090">
        <v>0.42920000000000003</v>
      </c>
      <c r="H2090" t="s">
        <v>11</v>
      </c>
      <c r="I2090" t="s">
        <v>10</v>
      </c>
    </row>
    <row r="2091" spans="1:9" x14ac:dyDescent="0.25">
      <c r="A2091" t="str">
        <f t="shared" si="36"/>
        <v>89301000</v>
      </c>
      <c r="B2091" t="str">
        <f>"2010140242"</f>
        <v>2010140242</v>
      </c>
      <c r="C2091" s="1">
        <v>45021</v>
      </c>
      <c r="D2091" s="1">
        <v>45024</v>
      </c>
      <c r="E2091">
        <v>1</v>
      </c>
      <c r="F2091" t="str">
        <f>"06-K09-02"</f>
        <v>06-K09-02</v>
      </c>
      <c r="G2091">
        <v>0.31809999999999999</v>
      </c>
      <c r="H2091" t="s">
        <v>11</v>
      </c>
      <c r="I2091" t="s">
        <v>10</v>
      </c>
    </row>
    <row r="2092" spans="1:9" x14ac:dyDescent="0.25">
      <c r="A2092" t="str">
        <f t="shared" si="36"/>
        <v>89301000</v>
      </c>
      <c r="B2092" t="str">
        <f>"2010220410"</f>
        <v>2010220410</v>
      </c>
      <c r="C2092" s="1">
        <v>44970</v>
      </c>
      <c r="D2092" s="1">
        <v>44971</v>
      </c>
      <c r="E2092">
        <v>1</v>
      </c>
      <c r="F2092" t="str">
        <f>"23-K01-00"</f>
        <v>23-K01-00</v>
      </c>
      <c r="G2092">
        <v>0.1401</v>
      </c>
      <c r="H2092" t="s">
        <v>11</v>
      </c>
      <c r="I2092" t="s">
        <v>10</v>
      </c>
    </row>
    <row r="2093" spans="1:9" x14ac:dyDescent="0.25">
      <c r="A2093" t="str">
        <f t="shared" si="36"/>
        <v>89301000</v>
      </c>
      <c r="B2093" t="str">
        <f>"2010220410"</f>
        <v>2010220410</v>
      </c>
      <c r="C2093" s="1">
        <v>45007</v>
      </c>
      <c r="D2093" s="1">
        <v>45009</v>
      </c>
      <c r="E2093">
        <v>1</v>
      </c>
      <c r="F2093" t="str">
        <f>"06-I16-05"</f>
        <v>06-I16-05</v>
      </c>
      <c r="G2093">
        <v>0.4622</v>
      </c>
      <c r="H2093" t="s">
        <v>9</v>
      </c>
      <c r="I2093" t="s">
        <v>10</v>
      </c>
    </row>
    <row r="2094" spans="1:9" x14ac:dyDescent="0.25">
      <c r="A2094" t="str">
        <f t="shared" si="36"/>
        <v>89301000</v>
      </c>
      <c r="B2094" t="str">
        <f>"2010220410"</f>
        <v>2010220410</v>
      </c>
      <c r="C2094" s="1">
        <v>45128</v>
      </c>
      <c r="D2094" s="1">
        <v>45132</v>
      </c>
      <c r="E2094">
        <v>1</v>
      </c>
      <c r="F2094" t="str">
        <f>"16-I04-01"</f>
        <v>16-I04-01</v>
      </c>
      <c r="G2094">
        <v>0.94530000000000003</v>
      </c>
      <c r="H2094" t="s">
        <v>12</v>
      </c>
      <c r="I2094" t="s">
        <v>10</v>
      </c>
    </row>
    <row r="2095" spans="1:9" x14ac:dyDescent="0.25">
      <c r="A2095" t="str">
        <f t="shared" si="36"/>
        <v>89301000</v>
      </c>
      <c r="B2095" t="str">
        <f>"2010270130"</f>
        <v>2010270130</v>
      </c>
      <c r="C2095" s="1">
        <v>45183</v>
      </c>
      <c r="D2095" s="1">
        <v>45185</v>
      </c>
      <c r="E2095">
        <v>1</v>
      </c>
      <c r="F2095" t="str">
        <f>"01-K16-06"</f>
        <v>01-K16-06</v>
      </c>
      <c r="G2095">
        <v>0.27150000000000002</v>
      </c>
      <c r="H2095" t="s">
        <v>11</v>
      </c>
      <c r="I2095" t="s">
        <v>10</v>
      </c>
    </row>
    <row r="2096" spans="1:9" x14ac:dyDescent="0.25">
      <c r="A2096" t="str">
        <f t="shared" si="36"/>
        <v>89301000</v>
      </c>
      <c r="B2096" t="str">
        <f>"2011040460"</f>
        <v>2011040460</v>
      </c>
      <c r="C2096" s="1">
        <v>45031</v>
      </c>
      <c r="D2096" s="1">
        <v>45034</v>
      </c>
      <c r="E2096">
        <v>1</v>
      </c>
      <c r="F2096" t="str">
        <f>"04-K08-03"</f>
        <v>04-K08-03</v>
      </c>
      <c r="G2096">
        <v>1.8479000000000001</v>
      </c>
      <c r="H2096" t="s">
        <v>11</v>
      </c>
      <c r="I2096" t="s">
        <v>10</v>
      </c>
    </row>
    <row r="2097" spans="1:9" x14ac:dyDescent="0.25">
      <c r="A2097" t="str">
        <f t="shared" si="36"/>
        <v>89301000</v>
      </c>
      <c r="B2097" t="str">
        <f>"2011100795"</f>
        <v>2011100795</v>
      </c>
      <c r="C2097" s="1">
        <v>45092</v>
      </c>
      <c r="D2097" s="1">
        <v>45097</v>
      </c>
      <c r="E2097">
        <v>1</v>
      </c>
      <c r="F2097" t="str">
        <f>"11-K01-03"</f>
        <v>11-K01-03</v>
      </c>
      <c r="G2097">
        <v>0.68789999999999996</v>
      </c>
      <c r="H2097" t="s">
        <v>11</v>
      </c>
      <c r="I2097" t="s">
        <v>10</v>
      </c>
    </row>
    <row r="2098" spans="1:9" x14ac:dyDescent="0.25">
      <c r="A2098" t="str">
        <f t="shared" si="36"/>
        <v>89301000</v>
      </c>
      <c r="B2098" t="str">
        <f>"2011101433"</f>
        <v>2011101433</v>
      </c>
      <c r="C2098" s="1">
        <v>45071</v>
      </c>
      <c r="D2098" s="1">
        <v>45075</v>
      </c>
      <c r="E2098">
        <v>1</v>
      </c>
      <c r="F2098" t="str">
        <f>"03-K06-01"</f>
        <v>03-K06-01</v>
      </c>
      <c r="G2098">
        <v>0.4713</v>
      </c>
      <c r="H2098" t="s">
        <v>11</v>
      </c>
      <c r="I2098" t="s">
        <v>10</v>
      </c>
    </row>
    <row r="2099" spans="1:9" x14ac:dyDescent="0.25">
      <c r="A2099" t="str">
        <f t="shared" si="36"/>
        <v>89301000</v>
      </c>
      <c r="B2099" t="str">
        <f>"2011101433"</f>
        <v>2011101433</v>
      </c>
      <c r="C2099" s="1">
        <v>45244</v>
      </c>
      <c r="D2099" s="1">
        <v>45247</v>
      </c>
      <c r="E2099">
        <v>1</v>
      </c>
      <c r="F2099" t="str">
        <f>"18-K02-05"</f>
        <v>18-K02-05</v>
      </c>
      <c r="G2099">
        <v>0.48089999999999999</v>
      </c>
      <c r="H2099" t="s">
        <v>11</v>
      </c>
      <c r="I2099" t="s">
        <v>10</v>
      </c>
    </row>
    <row r="2100" spans="1:9" x14ac:dyDescent="0.25">
      <c r="A2100" t="str">
        <f t="shared" si="36"/>
        <v>89301000</v>
      </c>
      <c r="B2100" t="str">
        <f>"2012010528"</f>
        <v>2012010528</v>
      </c>
      <c r="C2100" s="1">
        <v>45119</v>
      </c>
      <c r="D2100" s="1">
        <v>45121</v>
      </c>
      <c r="E2100">
        <v>1</v>
      </c>
      <c r="F2100" t="str">
        <f>"11-K14-02"</f>
        <v>11-K14-02</v>
      </c>
      <c r="G2100">
        <v>0.48649999999999999</v>
      </c>
      <c r="H2100" t="s">
        <v>11</v>
      </c>
      <c r="I2100" t="s">
        <v>10</v>
      </c>
    </row>
    <row r="2101" spans="1:9" x14ac:dyDescent="0.25">
      <c r="A2101" t="str">
        <f t="shared" si="36"/>
        <v>89301000</v>
      </c>
      <c r="B2101" t="str">
        <f>"2012151537"</f>
        <v>2012151537</v>
      </c>
      <c r="C2101" s="1">
        <v>45079</v>
      </c>
      <c r="D2101" s="1">
        <v>45083</v>
      </c>
      <c r="E2101">
        <v>1</v>
      </c>
      <c r="F2101" t="str">
        <f>"03-K01-01"</f>
        <v>03-K01-01</v>
      </c>
      <c r="G2101">
        <v>0.60770000000000002</v>
      </c>
      <c r="H2101" t="s">
        <v>11</v>
      </c>
      <c r="I2101" t="s">
        <v>10</v>
      </c>
    </row>
    <row r="2102" spans="1:9" x14ac:dyDescent="0.25">
      <c r="A2102" t="str">
        <f t="shared" si="36"/>
        <v>89301000</v>
      </c>
      <c r="B2102" t="str">
        <f>"2051050364"</f>
        <v>2051050364</v>
      </c>
      <c r="C2102" s="1">
        <v>45016</v>
      </c>
      <c r="D2102" s="1">
        <v>45018</v>
      </c>
      <c r="E2102">
        <v>1</v>
      </c>
      <c r="F2102" t="str">
        <f>"01-K18-04"</f>
        <v>01-K18-04</v>
      </c>
      <c r="G2102">
        <v>0.54610000000000003</v>
      </c>
      <c r="H2102" t="s">
        <v>11</v>
      </c>
      <c r="I2102" t="s">
        <v>10</v>
      </c>
    </row>
    <row r="2103" spans="1:9" x14ac:dyDescent="0.25">
      <c r="A2103" t="str">
        <f t="shared" si="36"/>
        <v>89301000</v>
      </c>
      <c r="B2103" t="str">
        <f>"2051060297"</f>
        <v>2051060297</v>
      </c>
      <c r="C2103" s="1">
        <v>45193</v>
      </c>
      <c r="D2103" s="1">
        <v>45195</v>
      </c>
      <c r="E2103">
        <v>1</v>
      </c>
      <c r="F2103" t="str">
        <f>"21-K05-04"</f>
        <v>21-K05-04</v>
      </c>
      <c r="G2103">
        <v>0.24859999999999999</v>
      </c>
      <c r="H2103" t="s">
        <v>11</v>
      </c>
      <c r="I2103" t="s">
        <v>10</v>
      </c>
    </row>
    <row r="2104" spans="1:9" x14ac:dyDescent="0.25">
      <c r="A2104" t="str">
        <f t="shared" ref="A2104:A2167" si="38">"89301000"</f>
        <v>89301000</v>
      </c>
      <c r="B2104" t="str">
        <f>"2051171430"</f>
        <v>2051171430</v>
      </c>
      <c r="C2104" s="1">
        <v>45105</v>
      </c>
      <c r="D2104" s="1">
        <v>45119</v>
      </c>
      <c r="E2104">
        <v>1</v>
      </c>
      <c r="F2104" t="str">
        <f>"11-K02-01"</f>
        <v>11-K02-01</v>
      </c>
      <c r="G2104">
        <v>3.1855000000000002</v>
      </c>
      <c r="H2104" t="s">
        <v>11</v>
      </c>
      <c r="I2104" t="s">
        <v>10</v>
      </c>
    </row>
    <row r="2105" spans="1:9" x14ac:dyDescent="0.25">
      <c r="A2105" t="str">
        <f t="shared" si="38"/>
        <v>89301000</v>
      </c>
      <c r="B2105" t="str">
        <f>"2051220666"</f>
        <v>2051220666</v>
      </c>
      <c r="C2105" s="1">
        <v>45230</v>
      </c>
      <c r="D2105" s="1">
        <v>45231</v>
      </c>
      <c r="E2105">
        <v>1</v>
      </c>
      <c r="F2105" t="str">
        <f>"06-K02-04"</f>
        <v>06-K02-04</v>
      </c>
      <c r="G2105">
        <v>0.37659999999999999</v>
      </c>
      <c r="H2105" t="s">
        <v>11</v>
      </c>
      <c r="I2105" t="s">
        <v>10</v>
      </c>
    </row>
    <row r="2106" spans="1:9" x14ac:dyDescent="0.25">
      <c r="A2106" t="str">
        <f t="shared" si="38"/>
        <v>89301000</v>
      </c>
      <c r="B2106" t="str">
        <f>"2051260453"</f>
        <v>2051260453</v>
      </c>
      <c r="C2106" s="1">
        <v>45166</v>
      </c>
      <c r="D2106" s="1">
        <v>45167</v>
      </c>
      <c r="E2106">
        <v>1</v>
      </c>
      <c r="F2106" t="str">
        <f>"06-K17-02"</f>
        <v>06-K17-02</v>
      </c>
      <c r="G2106">
        <v>0.2999</v>
      </c>
      <c r="H2106" t="s">
        <v>11</v>
      </c>
      <c r="I2106" t="s">
        <v>10</v>
      </c>
    </row>
    <row r="2107" spans="1:9" x14ac:dyDescent="0.25">
      <c r="A2107" t="str">
        <f t="shared" si="38"/>
        <v>89301000</v>
      </c>
      <c r="B2107" t="str">
        <f>"2051260453"</f>
        <v>2051260453</v>
      </c>
      <c r="C2107" s="1">
        <v>44991</v>
      </c>
      <c r="D2107" s="1">
        <v>44994</v>
      </c>
      <c r="E2107">
        <v>1</v>
      </c>
      <c r="F2107" t="str">
        <f>"01-K18-04"</f>
        <v>01-K18-04</v>
      </c>
      <c r="G2107">
        <v>0.54610000000000003</v>
      </c>
      <c r="H2107" t="s">
        <v>11</v>
      </c>
      <c r="I2107" t="s">
        <v>10</v>
      </c>
    </row>
    <row r="2108" spans="1:9" x14ac:dyDescent="0.25">
      <c r="A2108" t="str">
        <f t="shared" si="38"/>
        <v>89301000</v>
      </c>
      <c r="B2108" t="str">
        <f>"2051290274"</f>
        <v>2051290274</v>
      </c>
      <c r="C2108" s="1">
        <v>45061</v>
      </c>
      <c r="D2108" s="1">
        <v>45064</v>
      </c>
      <c r="E2108">
        <v>1</v>
      </c>
      <c r="F2108" t="str">
        <f>"03-I16-02"</f>
        <v>03-I16-02</v>
      </c>
      <c r="G2108">
        <v>0.92979999999999996</v>
      </c>
      <c r="H2108" t="s">
        <v>9</v>
      </c>
      <c r="I2108" t="s">
        <v>10</v>
      </c>
    </row>
    <row r="2109" spans="1:9" x14ac:dyDescent="0.25">
      <c r="A2109" t="str">
        <f t="shared" si="38"/>
        <v>89301000</v>
      </c>
      <c r="B2109" t="str">
        <f>"2052020487"</f>
        <v>2052020487</v>
      </c>
      <c r="C2109" s="1">
        <v>45211</v>
      </c>
      <c r="D2109" s="1">
        <v>45213</v>
      </c>
      <c r="E2109">
        <v>1</v>
      </c>
      <c r="F2109" t="str">
        <f>"03-I21-00"</f>
        <v>03-I21-00</v>
      </c>
      <c r="G2109">
        <v>0.42449999999999999</v>
      </c>
      <c r="H2109" t="s">
        <v>11</v>
      </c>
      <c r="I2109" t="s">
        <v>10</v>
      </c>
    </row>
    <row r="2110" spans="1:9" x14ac:dyDescent="0.25">
      <c r="A2110" t="str">
        <f t="shared" si="38"/>
        <v>89301000</v>
      </c>
      <c r="B2110" t="str">
        <f>"2053020519"</f>
        <v>2053020519</v>
      </c>
      <c r="C2110" s="1">
        <v>44956</v>
      </c>
      <c r="D2110" s="1">
        <v>44957</v>
      </c>
      <c r="E2110">
        <v>1</v>
      </c>
      <c r="F2110" t="str">
        <f>"01-K16-06"</f>
        <v>01-K16-06</v>
      </c>
      <c r="G2110">
        <v>0.27150000000000002</v>
      </c>
      <c r="H2110" t="s">
        <v>11</v>
      </c>
      <c r="I2110" t="s">
        <v>10</v>
      </c>
    </row>
    <row r="2111" spans="1:9" x14ac:dyDescent="0.25">
      <c r="A2111" t="str">
        <f t="shared" si="38"/>
        <v>89301000</v>
      </c>
      <c r="B2111" t="str">
        <f>"2053071185"</f>
        <v>2053071185</v>
      </c>
      <c r="C2111" s="1">
        <v>45118</v>
      </c>
      <c r="D2111" s="1">
        <v>45119</v>
      </c>
      <c r="E2111">
        <v>1</v>
      </c>
      <c r="F2111" t="str">
        <f>"09-K12-00"</f>
        <v>09-K12-00</v>
      </c>
      <c r="G2111">
        <v>0.26040000000000002</v>
      </c>
      <c r="H2111" t="s">
        <v>11</v>
      </c>
      <c r="I2111" t="s">
        <v>10</v>
      </c>
    </row>
    <row r="2112" spans="1:9" x14ac:dyDescent="0.25">
      <c r="A2112" t="str">
        <f t="shared" si="38"/>
        <v>89301000</v>
      </c>
      <c r="B2112" t="str">
        <f>"2053230124"</f>
        <v>2053230124</v>
      </c>
      <c r="C2112" s="1">
        <v>44979</v>
      </c>
      <c r="D2112" s="1">
        <v>44982</v>
      </c>
      <c r="E2112">
        <v>1</v>
      </c>
      <c r="F2112" t="str">
        <f>"06-I16-05"</f>
        <v>06-I16-05</v>
      </c>
      <c r="G2112">
        <v>0.4622</v>
      </c>
      <c r="H2112" t="s">
        <v>9</v>
      </c>
      <c r="I2112" t="s">
        <v>10</v>
      </c>
    </row>
    <row r="2113" spans="1:9" x14ac:dyDescent="0.25">
      <c r="A2113" t="str">
        <f t="shared" si="38"/>
        <v>89301000</v>
      </c>
      <c r="B2113" t="str">
        <f>"2053300084"</f>
        <v>2053300084</v>
      </c>
      <c r="C2113" s="1">
        <v>45265</v>
      </c>
      <c r="D2113" s="1">
        <v>45268</v>
      </c>
      <c r="E2113">
        <v>1</v>
      </c>
      <c r="F2113" t="str">
        <f>"03-K01-02"</f>
        <v>03-K01-02</v>
      </c>
      <c r="G2113">
        <v>0.37369999999999998</v>
      </c>
      <c r="H2113" t="s">
        <v>11</v>
      </c>
      <c r="I2113" t="s">
        <v>10</v>
      </c>
    </row>
    <row r="2114" spans="1:9" x14ac:dyDescent="0.25">
      <c r="A2114" t="str">
        <f t="shared" si="38"/>
        <v>89301000</v>
      </c>
      <c r="B2114" t="str">
        <f>"2054030462"</f>
        <v>2054030462</v>
      </c>
      <c r="C2114" s="1">
        <v>45204</v>
      </c>
      <c r="D2114" s="1">
        <v>45215</v>
      </c>
      <c r="E2114">
        <v>1</v>
      </c>
      <c r="F2114" t="str">
        <f>"01-I06-03"</f>
        <v>01-I06-03</v>
      </c>
      <c r="G2114">
        <v>3.5463</v>
      </c>
      <c r="H2114" t="s">
        <v>12</v>
      </c>
      <c r="I2114" t="s">
        <v>10</v>
      </c>
    </row>
    <row r="2115" spans="1:9" x14ac:dyDescent="0.25">
      <c r="A2115" t="str">
        <f t="shared" si="38"/>
        <v>89301000</v>
      </c>
      <c r="B2115" t="str">
        <f>"2054170679"</f>
        <v>2054170679</v>
      </c>
      <c r="C2115" s="1">
        <v>44993</v>
      </c>
      <c r="D2115" s="1">
        <v>44995</v>
      </c>
      <c r="E2115">
        <v>1</v>
      </c>
      <c r="F2115" t="str">
        <f>"06-I17-05"</f>
        <v>06-I17-05</v>
      </c>
      <c r="G2115">
        <v>0.39529999999999998</v>
      </c>
      <c r="H2115" t="s">
        <v>12</v>
      </c>
      <c r="I2115" t="s">
        <v>10</v>
      </c>
    </row>
    <row r="2116" spans="1:9" x14ac:dyDescent="0.25">
      <c r="A2116" t="str">
        <f t="shared" si="38"/>
        <v>89301000</v>
      </c>
      <c r="B2116" t="str">
        <f>"2054170701"</f>
        <v>2054170701</v>
      </c>
      <c r="C2116" s="1">
        <v>45265</v>
      </c>
      <c r="D2116" s="1">
        <v>45268</v>
      </c>
      <c r="E2116">
        <v>1</v>
      </c>
      <c r="F2116" t="str">
        <f>"16-K01-02"</f>
        <v>16-K01-02</v>
      </c>
      <c r="G2116">
        <v>0.48060000000000003</v>
      </c>
      <c r="H2116" t="s">
        <v>11</v>
      </c>
      <c r="I2116" t="s">
        <v>10</v>
      </c>
    </row>
    <row r="2117" spans="1:9" x14ac:dyDescent="0.25">
      <c r="A2117" t="str">
        <f t="shared" si="38"/>
        <v>89301000</v>
      </c>
      <c r="B2117" t="str">
        <f>"2055040471"</f>
        <v>2055040471</v>
      </c>
      <c r="C2117" s="1">
        <v>45063</v>
      </c>
      <c r="D2117" s="1">
        <v>45065</v>
      </c>
      <c r="E2117">
        <v>1</v>
      </c>
      <c r="F2117" t="str">
        <f>"03-K06-01"</f>
        <v>03-K06-01</v>
      </c>
      <c r="G2117">
        <v>0.4713</v>
      </c>
      <c r="H2117" t="s">
        <v>11</v>
      </c>
      <c r="I2117" t="s">
        <v>10</v>
      </c>
    </row>
    <row r="2118" spans="1:9" x14ac:dyDescent="0.25">
      <c r="A2118" t="str">
        <f t="shared" si="38"/>
        <v>89301000</v>
      </c>
      <c r="B2118" t="str">
        <f>"2055060183"</f>
        <v>2055060183</v>
      </c>
      <c r="C2118" s="1">
        <v>45088</v>
      </c>
      <c r="D2118" s="1">
        <v>45090</v>
      </c>
      <c r="E2118">
        <v>1</v>
      </c>
      <c r="F2118" t="str">
        <f>"03-I21-00"</f>
        <v>03-I21-00</v>
      </c>
      <c r="G2118">
        <v>0.42449999999999999</v>
      </c>
      <c r="H2118" t="s">
        <v>11</v>
      </c>
      <c r="I2118" t="s">
        <v>10</v>
      </c>
    </row>
    <row r="2119" spans="1:9" x14ac:dyDescent="0.25">
      <c r="A2119" t="str">
        <f t="shared" si="38"/>
        <v>89301000</v>
      </c>
      <c r="B2119" t="str">
        <f>"2055141583"</f>
        <v>2055141583</v>
      </c>
      <c r="C2119" s="1">
        <v>45179</v>
      </c>
      <c r="D2119" s="1">
        <v>45181</v>
      </c>
      <c r="E2119">
        <v>1</v>
      </c>
      <c r="F2119" t="str">
        <f>"02-I11-01"</f>
        <v>02-I11-01</v>
      </c>
      <c r="G2119">
        <v>0.80620000000000003</v>
      </c>
      <c r="H2119" t="s">
        <v>12</v>
      </c>
      <c r="I2119" t="s">
        <v>10</v>
      </c>
    </row>
    <row r="2120" spans="1:9" x14ac:dyDescent="0.25">
      <c r="A2120" t="str">
        <f t="shared" si="38"/>
        <v>89301000</v>
      </c>
      <c r="B2120" t="str">
        <f>"2055220244"</f>
        <v>2055220244</v>
      </c>
      <c r="C2120" s="1">
        <v>45028</v>
      </c>
      <c r="D2120" s="1">
        <v>45030</v>
      </c>
      <c r="E2120">
        <v>1</v>
      </c>
      <c r="F2120" t="str">
        <f>"02-K02-01"</f>
        <v>02-K02-01</v>
      </c>
      <c r="G2120">
        <v>0.91700000000000004</v>
      </c>
      <c r="H2120" t="s">
        <v>11</v>
      </c>
      <c r="I2120" t="s">
        <v>10</v>
      </c>
    </row>
    <row r="2121" spans="1:9" x14ac:dyDescent="0.25">
      <c r="A2121" t="str">
        <f t="shared" si="38"/>
        <v>89301000</v>
      </c>
      <c r="B2121" t="str">
        <f>"2055221553"</f>
        <v>2055221553</v>
      </c>
      <c r="C2121" s="1">
        <v>45013</v>
      </c>
      <c r="D2121" s="1">
        <v>45019</v>
      </c>
      <c r="E2121">
        <v>1</v>
      </c>
      <c r="F2121" t="str">
        <f>"08-I21-01"</f>
        <v>08-I21-01</v>
      </c>
      <c r="G2121">
        <v>2.3639999999999999</v>
      </c>
      <c r="H2121" t="s">
        <v>12</v>
      </c>
      <c r="I2121" t="s">
        <v>10</v>
      </c>
    </row>
    <row r="2122" spans="1:9" x14ac:dyDescent="0.25">
      <c r="A2122" t="str">
        <f t="shared" si="38"/>
        <v>89301000</v>
      </c>
      <c r="B2122" t="str">
        <f>"2056090652"</f>
        <v>2056090652</v>
      </c>
      <c r="C2122" s="1">
        <v>45035</v>
      </c>
      <c r="D2122" s="1">
        <v>45036</v>
      </c>
      <c r="E2122">
        <v>1</v>
      </c>
      <c r="F2122" t="str">
        <f>"06-M01-05"</f>
        <v>06-M01-05</v>
      </c>
      <c r="G2122">
        <v>0.4481</v>
      </c>
      <c r="H2122" t="s">
        <v>11</v>
      </c>
      <c r="I2122" t="s">
        <v>10</v>
      </c>
    </row>
    <row r="2123" spans="1:9" x14ac:dyDescent="0.25">
      <c r="A2123" t="str">
        <f t="shared" si="38"/>
        <v>89301000</v>
      </c>
      <c r="B2123" t="str">
        <f>"2056110155"</f>
        <v>2056110155</v>
      </c>
      <c r="C2123" s="1">
        <v>45071</v>
      </c>
      <c r="D2123" s="1">
        <v>45072</v>
      </c>
      <c r="E2123">
        <v>1</v>
      </c>
      <c r="F2123" t="str">
        <f>"23-K01-00"</f>
        <v>23-K01-00</v>
      </c>
      <c r="G2123">
        <v>0.1401</v>
      </c>
      <c r="H2123" t="s">
        <v>11</v>
      </c>
      <c r="I2123" t="s">
        <v>10</v>
      </c>
    </row>
    <row r="2124" spans="1:9" x14ac:dyDescent="0.25">
      <c r="A2124" t="str">
        <f t="shared" si="38"/>
        <v>89301000</v>
      </c>
      <c r="B2124" t="str">
        <f>"2056130186"</f>
        <v>2056130186</v>
      </c>
      <c r="C2124" s="1">
        <v>44955</v>
      </c>
      <c r="D2124" s="1">
        <v>44956</v>
      </c>
      <c r="E2124">
        <v>1</v>
      </c>
      <c r="F2124" t="str">
        <f>"03-K01-02"</f>
        <v>03-K01-02</v>
      </c>
      <c r="G2124">
        <v>0.3624</v>
      </c>
      <c r="H2124" t="s">
        <v>11</v>
      </c>
      <c r="I2124" t="s">
        <v>10</v>
      </c>
    </row>
    <row r="2125" spans="1:9" x14ac:dyDescent="0.25">
      <c r="A2125" t="str">
        <f t="shared" si="38"/>
        <v>89301000</v>
      </c>
      <c r="B2125" t="str">
        <f>"2056170677"</f>
        <v>2056170677</v>
      </c>
      <c r="C2125" s="1">
        <v>45235</v>
      </c>
      <c r="D2125" s="1">
        <v>45243</v>
      </c>
      <c r="E2125">
        <v>1</v>
      </c>
      <c r="F2125" t="str">
        <f>"06-I12-03"</f>
        <v>06-I12-03</v>
      </c>
      <c r="G2125">
        <v>1.9540999999999999</v>
      </c>
      <c r="H2125" t="s">
        <v>11</v>
      </c>
      <c r="I2125" t="s">
        <v>10</v>
      </c>
    </row>
    <row r="2126" spans="1:9" x14ac:dyDescent="0.25">
      <c r="A2126" t="str">
        <f t="shared" si="38"/>
        <v>89301000</v>
      </c>
      <c r="B2126" t="str">
        <f>"2056201224"</f>
        <v>2056201224</v>
      </c>
      <c r="C2126" s="1">
        <v>45257</v>
      </c>
      <c r="D2126" s="1">
        <v>45260</v>
      </c>
      <c r="E2126">
        <v>1</v>
      </c>
      <c r="F2126" t="str">
        <f>"03-I16-02"</f>
        <v>03-I16-02</v>
      </c>
      <c r="G2126">
        <v>0.92979999999999996</v>
      </c>
      <c r="H2126" t="s">
        <v>9</v>
      </c>
      <c r="I2126" t="s">
        <v>10</v>
      </c>
    </row>
    <row r="2127" spans="1:9" x14ac:dyDescent="0.25">
      <c r="A2127" t="str">
        <f t="shared" si="38"/>
        <v>89301000</v>
      </c>
      <c r="B2127" t="str">
        <f>"2056210365"</f>
        <v>2056210365</v>
      </c>
      <c r="C2127" s="1">
        <v>45244</v>
      </c>
      <c r="D2127" s="1">
        <v>45246</v>
      </c>
      <c r="E2127">
        <v>1</v>
      </c>
      <c r="F2127" t="str">
        <f>"04-K15-03"</f>
        <v>04-K15-03</v>
      </c>
      <c r="G2127">
        <v>0.48670000000000002</v>
      </c>
      <c r="H2127" t="s">
        <v>11</v>
      </c>
      <c r="I2127" t="s">
        <v>10</v>
      </c>
    </row>
    <row r="2128" spans="1:9" x14ac:dyDescent="0.25">
      <c r="A2128" t="str">
        <f t="shared" si="38"/>
        <v>89301000</v>
      </c>
      <c r="B2128" t="str">
        <f>"2056210365"</f>
        <v>2056210365</v>
      </c>
      <c r="C2128" s="1">
        <v>45210</v>
      </c>
      <c r="D2128" s="1">
        <v>45215</v>
      </c>
      <c r="E2128">
        <v>1</v>
      </c>
      <c r="F2128" t="str">
        <f>"04-K02-03"</f>
        <v>04-K02-03</v>
      </c>
      <c r="G2128">
        <v>1.298</v>
      </c>
      <c r="H2128" t="s">
        <v>11</v>
      </c>
      <c r="I2128" t="s">
        <v>10</v>
      </c>
    </row>
    <row r="2129" spans="1:9" x14ac:dyDescent="0.25">
      <c r="A2129" t="str">
        <f t="shared" si="38"/>
        <v>89301000</v>
      </c>
      <c r="B2129" t="str">
        <f>"2056210915"</f>
        <v>2056210915</v>
      </c>
      <c r="C2129" s="1">
        <v>44962</v>
      </c>
      <c r="D2129" s="1">
        <v>44964</v>
      </c>
      <c r="E2129">
        <v>1</v>
      </c>
      <c r="F2129" t="str">
        <f>"09-I13-04"</f>
        <v>09-I13-04</v>
      </c>
      <c r="G2129">
        <v>0.53610000000000002</v>
      </c>
      <c r="H2129" t="s">
        <v>11</v>
      </c>
      <c r="I2129" t="s">
        <v>10</v>
      </c>
    </row>
    <row r="2130" spans="1:9" x14ac:dyDescent="0.25">
      <c r="A2130" t="str">
        <f t="shared" si="38"/>
        <v>89301000</v>
      </c>
      <c r="B2130" t="str">
        <f>"2057210375"</f>
        <v>2057210375</v>
      </c>
      <c r="C2130" s="1">
        <v>45133</v>
      </c>
      <c r="D2130" s="1">
        <v>45134</v>
      </c>
      <c r="E2130">
        <v>1</v>
      </c>
      <c r="F2130" t="str">
        <f>"06-K10-03"</f>
        <v>06-K10-03</v>
      </c>
      <c r="G2130">
        <v>0.4415</v>
      </c>
      <c r="H2130" t="s">
        <v>11</v>
      </c>
      <c r="I2130" t="s">
        <v>10</v>
      </c>
    </row>
    <row r="2131" spans="1:9" x14ac:dyDescent="0.25">
      <c r="A2131" t="str">
        <f t="shared" si="38"/>
        <v>89301000</v>
      </c>
      <c r="B2131" t="str">
        <f>"2057310530"</f>
        <v>2057310530</v>
      </c>
      <c r="C2131" s="1">
        <v>45137</v>
      </c>
      <c r="D2131" s="1">
        <v>45140</v>
      </c>
      <c r="E2131">
        <v>1</v>
      </c>
      <c r="F2131" t="str">
        <f>"03-K06-01"</f>
        <v>03-K06-01</v>
      </c>
      <c r="G2131">
        <v>0.4713</v>
      </c>
      <c r="H2131" t="s">
        <v>11</v>
      </c>
      <c r="I2131" t="s">
        <v>10</v>
      </c>
    </row>
    <row r="2132" spans="1:9" x14ac:dyDescent="0.25">
      <c r="A2132" t="str">
        <f t="shared" si="38"/>
        <v>89301000</v>
      </c>
      <c r="B2132" t="str">
        <f>"2058020338"</f>
        <v>2058020338</v>
      </c>
      <c r="C2132" s="1">
        <v>45020</v>
      </c>
      <c r="D2132" s="1">
        <v>45022</v>
      </c>
      <c r="E2132">
        <v>1</v>
      </c>
      <c r="F2132" t="str">
        <f>"01-K16-06"</f>
        <v>01-K16-06</v>
      </c>
      <c r="G2132">
        <v>0.27150000000000002</v>
      </c>
      <c r="H2132" t="s">
        <v>11</v>
      </c>
      <c r="I2132" t="s">
        <v>10</v>
      </c>
    </row>
    <row r="2133" spans="1:9" x14ac:dyDescent="0.25">
      <c r="A2133" t="str">
        <f t="shared" si="38"/>
        <v>89301000</v>
      </c>
      <c r="B2133" t="str">
        <f>"2058060840"</f>
        <v>2058060840</v>
      </c>
      <c r="C2133" s="1">
        <v>44925</v>
      </c>
      <c r="D2133" s="1">
        <v>44927</v>
      </c>
      <c r="E2133">
        <v>1</v>
      </c>
      <c r="F2133" t="str">
        <f>"04-K03-03"</f>
        <v>04-K03-03</v>
      </c>
      <c r="G2133">
        <v>0.56110000000000004</v>
      </c>
      <c r="H2133" t="s">
        <v>11</v>
      </c>
      <c r="I2133" t="s">
        <v>10</v>
      </c>
    </row>
    <row r="2134" spans="1:9" x14ac:dyDescent="0.25">
      <c r="A2134" t="str">
        <f t="shared" si="38"/>
        <v>89301000</v>
      </c>
      <c r="B2134" t="str">
        <f>"2058201233"</f>
        <v>2058201233</v>
      </c>
      <c r="C2134" s="1">
        <v>44926</v>
      </c>
      <c r="D2134" s="1">
        <v>44928</v>
      </c>
      <c r="E2134">
        <v>1</v>
      </c>
      <c r="F2134" t="str">
        <f>"02-K09-00"</f>
        <v>02-K09-00</v>
      </c>
      <c r="G2134">
        <v>0.49120000000000003</v>
      </c>
      <c r="H2134" t="s">
        <v>11</v>
      </c>
      <c r="I2134" t="s">
        <v>10</v>
      </c>
    </row>
    <row r="2135" spans="1:9" x14ac:dyDescent="0.25">
      <c r="A2135" t="str">
        <f t="shared" si="38"/>
        <v>89301000</v>
      </c>
      <c r="B2135" t="str">
        <f>"2059040247"</f>
        <v>2059040247</v>
      </c>
      <c r="C2135" s="1">
        <v>45229</v>
      </c>
      <c r="D2135" s="1">
        <v>45230</v>
      </c>
      <c r="E2135">
        <v>1</v>
      </c>
      <c r="F2135" t="str">
        <f>"23-K01-00"</f>
        <v>23-K01-00</v>
      </c>
      <c r="G2135">
        <v>0.1401</v>
      </c>
      <c r="H2135" t="s">
        <v>11</v>
      </c>
      <c r="I2135" t="s">
        <v>10</v>
      </c>
    </row>
    <row r="2136" spans="1:9" x14ac:dyDescent="0.25">
      <c r="A2136" t="str">
        <f t="shared" si="38"/>
        <v>89301000</v>
      </c>
      <c r="B2136" t="str">
        <f t="shared" ref="B2136:B2146" si="39">"2059040720"</f>
        <v>2059040720</v>
      </c>
      <c r="C2136" s="1">
        <v>45264</v>
      </c>
      <c r="D2136" s="1">
        <v>45268</v>
      </c>
      <c r="E2136">
        <v>1</v>
      </c>
      <c r="F2136" t="str">
        <f>"17-C03-02"</f>
        <v>17-C03-02</v>
      </c>
      <c r="G2136">
        <v>1.1890000000000001</v>
      </c>
      <c r="H2136" t="s">
        <v>11</v>
      </c>
      <c r="I2136" t="s">
        <v>10</v>
      </c>
    </row>
    <row r="2137" spans="1:9" x14ac:dyDescent="0.25">
      <c r="A2137" t="str">
        <f t="shared" si="38"/>
        <v>89301000</v>
      </c>
      <c r="B2137" t="str">
        <f t="shared" si="39"/>
        <v>2059040720</v>
      </c>
      <c r="C2137" s="1">
        <v>45274</v>
      </c>
      <c r="D2137" s="1">
        <v>45280</v>
      </c>
      <c r="E2137">
        <v>1</v>
      </c>
      <c r="F2137" t="str">
        <f>"17-C03-01"</f>
        <v>17-C03-01</v>
      </c>
      <c r="G2137">
        <v>3.6871999999999998</v>
      </c>
      <c r="H2137" t="s">
        <v>11</v>
      </c>
      <c r="I2137" t="s">
        <v>10</v>
      </c>
    </row>
    <row r="2138" spans="1:9" x14ac:dyDescent="0.25">
      <c r="A2138" t="str">
        <f t="shared" si="38"/>
        <v>89301000</v>
      </c>
      <c r="B2138" t="str">
        <f t="shared" si="39"/>
        <v>2059040720</v>
      </c>
      <c r="C2138" s="1">
        <v>45215</v>
      </c>
      <c r="D2138" s="1">
        <v>45220</v>
      </c>
      <c r="E2138">
        <v>1</v>
      </c>
      <c r="F2138" t="str">
        <f>"17-C03-02"</f>
        <v>17-C03-02</v>
      </c>
      <c r="G2138">
        <v>1.1890000000000001</v>
      </c>
      <c r="H2138" t="s">
        <v>11</v>
      </c>
      <c r="I2138" t="s">
        <v>10</v>
      </c>
    </row>
    <row r="2139" spans="1:9" x14ac:dyDescent="0.25">
      <c r="A2139" t="str">
        <f t="shared" si="38"/>
        <v>89301000</v>
      </c>
      <c r="B2139" t="str">
        <f t="shared" si="39"/>
        <v>2059040720</v>
      </c>
      <c r="C2139" s="1">
        <v>45197</v>
      </c>
      <c r="D2139" s="1">
        <v>45202</v>
      </c>
      <c r="E2139">
        <v>1</v>
      </c>
      <c r="F2139" t="str">
        <f>"17-K01-01"</f>
        <v>17-K01-01</v>
      </c>
      <c r="G2139">
        <v>3.6817000000000002</v>
      </c>
      <c r="H2139" t="s">
        <v>11</v>
      </c>
      <c r="I2139" t="s">
        <v>10</v>
      </c>
    </row>
    <row r="2140" spans="1:9" x14ac:dyDescent="0.25">
      <c r="A2140" t="str">
        <f t="shared" si="38"/>
        <v>89301000</v>
      </c>
      <c r="B2140" t="str">
        <f t="shared" si="39"/>
        <v>2059040720</v>
      </c>
      <c r="C2140" s="1">
        <v>45188</v>
      </c>
      <c r="D2140" s="1">
        <v>45189</v>
      </c>
      <c r="E2140">
        <v>1</v>
      </c>
      <c r="F2140" t="str">
        <f>"17-C03-02"</f>
        <v>17-C03-02</v>
      </c>
      <c r="G2140">
        <v>1.1890000000000001</v>
      </c>
      <c r="H2140" t="s">
        <v>11</v>
      </c>
      <c r="I2140" t="s">
        <v>10</v>
      </c>
    </row>
    <row r="2141" spans="1:9" x14ac:dyDescent="0.25">
      <c r="A2141" t="str">
        <f t="shared" si="38"/>
        <v>89301000</v>
      </c>
      <c r="B2141" t="str">
        <f t="shared" si="39"/>
        <v>2059040720</v>
      </c>
      <c r="C2141" s="1">
        <v>45173</v>
      </c>
      <c r="D2141" s="1">
        <v>45174</v>
      </c>
      <c r="E2141">
        <v>1</v>
      </c>
      <c r="F2141" t="str">
        <f>"17-C03-02"</f>
        <v>17-C03-02</v>
      </c>
      <c r="G2141">
        <v>1.1890000000000001</v>
      </c>
      <c r="H2141" t="s">
        <v>11</v>
      </c>
      <c r="I2141" t="s">
        <v>10</v>
      </c>
    </row>
    <row r="2142" spans="1:9" x14ac:dyDescent="0.25">
      <c r="A2142" t="str">
        <f t="shared" si="38"/>
        <v>89301000</v>
      </c>
      <c r="B2142" t="str">
        <f t="shared" si="39"/>
        <v>2059040720</v>
      </c>
      <c r="C2142" s="1">
        <v>45151</v>
      </c>
      <c r="D2142" s="1">
        <v>45152</v>
      </c>
      <c r="E2142">
        <v>1</v>
      </c>
      <c r="F2142" t="str">
        <f>"17-C03-02"</f>
        <v>17-C03-02</v>
      </c>
      <c r="G2142">
        <v>1.1890000000000001</v>
      </c>
      <c r="H2142" t="s">
        <v>11</v>
      </c>
      <c r="I2142" t="s">
        <v>10</v>
      </c>
    </row>
    <row r="2143" spans="1:9" x14ac:dyDescent="0.25">
      <c r="A2143" t="str">
        <f t="shared" si="38"/>
        <v>89301000</v>
      </c>
      <c r="B2143" t="str">
        <f t="shared" si="39"/>
        <v>2059040720</v>
      </c>
      <c r="C2143" s="1">
        <v>45100</v>
      </c>
      <c r="D2143" s="1">
        <v>45138</v>
      </c>
      <c r="E2143">
        <v>1</v>
      </c>
      <c r="F2143" t="str">
        <f>"16-K03-01"</f>
        <v>16-K03-01</v>
      </c>
      <c r="G2143">
        <v>2.7965</v>
      </c>
      <c r="H2143" t="s">
        <v>11</v>
      </c>
      <c r="I2143" t="s">
        <v>10</v>
      </c>
    </row>
    <row r="2144" spans="1:9" x14ac:dyDescent="0.25">
      <c r="A2144" t="str">
        <f t="shared" si="38"/>
        <v>89301000</v>
      </c>
      <c r="B2144" t="str">
        <f t="shared" si="39"/>
        <v>2059040720</v>
      </c>
      <c r="C2144" s="1">
        <v>45226</v>
      </c>
      <c r="D2144" s="1">
        <v>45231</v>
      </c>
      <c r="E2144">
        <v>1</v>
      </c>
      <c r="F2144" t="str">
        <f>"16-C03-01"</f>
        <v>16-C03-01</v>
      </c>
      <c r="G2144">
        <v>3.7627999999999999</v>
      </c>
      <c r="H2144" t="s">
        <v>11</v>
      </c>
      <c r="I2144" t="s">
        <v>10</v>
      </c>
    </row>
    <row r="2145" spans="1:9" x14ac:dyDescent="0.25">
      <c r="A2145" t="str">
        <f t="shared" si="38"/>
        <v>89301000</v>
      </c>
      <c r="B2145" t="str">
        <f t="shared" si="39"/>
        <v>2059040720</v>
      </c>
      <c r="C2145" s="1">
        <v>45236</v>
      </c>
      <c r="D2145" s="1">
        <v>45240</v>
      </c>
      <c r="E2145">
        <v>1</v>
      </c>
      <c r="F2145" t="str">
        <f>"17-C03-02"</f>
        <v>17-C03-02</v>
      </c>
      <c r="G2145">
        <v>1.1890000000000001</v>
      </c>
      <c r="H2145" t="s">
        <v>11</v>
      </c>
      <c r="I2145" t="s">
        <v>10</v>
      </c>
    </row>
    <row r="2146" spans="1:9" x14ac:dyDescent="0.25">
      <c r="A2146" t="str">
        <f t="shared" si="38"/>
        <v>89301000</v>
      </c>
      <c r="B2146" t="str">
        <f t="shared" si="39"/>
        <v>2059040720</v>
      </c>
      <c r="C2146" s="1">
        <v>45250</v>
      </c>
      <c r="D2146" s="1">
        <v>45254</v>
      </c>
      <c r="E2146">
        <v>1</v>
      </c>
      <c r="F2146" t="str">
        <f>"17-C03-02"</f>
        <v>17-C03-02</v>
      </c>
      <c r="G2146">
        <v>1.1890000000000001</v>
      </c>
      <c r="H2146" t="s">
        <v>11</v>
      </c>
      <c r="I2146" t="s">
        <v>10</v>
      </c>
    </row>
    <row r="2147" spans="1:9" x14ac:dyDescent="0.25">
      <c r="A2147" t="str">
        <f t="shared" si="38"/>
        <v>89301000</v>
      </c>
      <c r="B2147" t="str">
        <f>"2059080562"</f>
        <v>2059080562</v>
      </c>
      <c r="C2147" s="1">
        <v>45120</v>
      </c>
      <c r="D2147" s="1">
        <v>45121</v>
      </c>
      <c r="E2147">
        <v>1</v>
      </c>
      <c r="F2147" t="str">
        <f>"06-M01-05"</f>
        <v>06-M01-05</v>
      </c>
      <c r="G2147">
        <v>0.4481</v>
      </c>
      <c r="H2147" t="s">
        <v>11</v>
      </c>
      <c r="I2147" t="s">
        <v>10</v>
      </c>
    </row>
    <row r="2148" spans="1:9" x14ac:dyDescent="0.25">
      <c r="A2148" t="str">
        <f t="shared" si="38"/>
        <v>89301000</v>
      </c>
      <c r="B2148" t="str">
        <f>"2059210252"</f>
        <v>2059210252</v>
      </c>
      <c r="C2148" s="1">
        <v>45232</v>
      </c>
      <c r="D2148" s="1">
        <v>45233</v>
      </c>
      <c r="E2148">
        <v>1</v>
      </c>
      <c r="F2148" t="str">
        <f>"08-I20-03"</f>
        <v>08-I20-03</v>
      </c>
      <c r="G2148">
        <v>0.62639999999999996</v>
      </c>
      <c r="H2148" t="s">
        <v>12</v>
      </c>
      <c r="I2148" t="s">
        <v>10</v>
      </c>
    </row>
    <row r="2149" spans="1:9" x14ac:dyDescent="0.25">
      <c r="A2149" t="str">
        <f t="shared" si="38"/>
        <v>89301000</v>
      </c>
      <c r="B2149" t="str">
        <f>"2060180287"</f>
        <v>2060180287</v>
      </c>
      <c r="C2149" s="1">
        <v>45241</v>
      </c>
      <c r="D2149" s="1">
        <v>45243</v>
      </c>
      <c r="E2149">
        <v>6</v>
      </c>
      <c r="F2149" t="str">
        <f>"20-K01-05"</f>
        <v>20-K01-05</v>
      </c>
      <c r="G2149">
        <v>0.3952</v>
      </c>
      <c r="H2149" t="s">
        <v>11</v>
      </c>
      <c r="I2149" t="s">
        <v>10</v>
      </c>
    </row>
    <row r="2150" spans="1:9" x14ac:dyDescent="0.25">
      <c r="A2150" t="str">
        <f t="shared" si="38"/>
        <v>89301000</v>
      </c>
      <c r="B2150" t="str">
        <f>"2060200076"</f>
        <v>2060200076</v>
      </c>
      <c r="C2150" s="1">
        <v>45030</v>
      </c>
      <c r="D2150" s="1">
        <v>45035</v>
      </c>
      <c r="E2150">
        <v>1</v>
      </c>
      <c r="F2150" t="str">
        <f>"06-K10-03"</f>
        <v>06-K10-03</v>
      </c>
      <c r="G2150">
        <v>0.43840000000000001</v>
      </c>
      <c r="H2150" t="s">
        <v>11</v>
      </c>
      <c r="I2150" t="s">
        <v>10</v>
      </c>
    </row>
    <row r="2151" spans="1:9" x14ac:dyDescent="0.25">
      <c r="A2151" t="str">
        <f t="shared" si="38"/>
        <v>89301000</v>
      </c>
      <c r="B2151" t="str">
        <f>"2061031621"</f>
        <v>2061031621</v>
      </c>
      <c r="C2151" s="1">
        <v>45045</v>
      </c>
      <c r="D2151" s="1">
        <v>45046</v>
      </c>
      <c r="E2151">
        <v>6</v>
      </c>
      <c r="F2151" t="str">
        <f>"03-K02-03"</f>
        <v>03-K02-03</v>
      </c>
      <c r="G2151">
        <v>0.33960000000000001</v>
      </c>
      <c r="H2151" t="s">
        <v>11</v>
      </c>
      <c r="I2151" t="s">
        <v>10</v>
      </c>
    </row>
    <row r="2152" spans="1:9" x14ac:dyDescent="0.25">
      <c r="A2152" t="str">
        <f t="shared" si="38"/>
        <v>89301000</v>
      </c>
      <c r="B2152" t="str">
        <f>"2061131611"</f>
        <v>2061131611</v>
      </c>
      <c r="C2152" s="1">
        <v>45102</v>
      </c>
      <c r="D2152" s="1">
        <v>45105</v>
      </c>
      <c r="E2152">
        <v>1</v>
      </c>
      <c r="F2152" t="str">
        <f>"03-I16-02"</f>
        <v>03-I16-02</v>
      </c>
      <c r="G2152">
        <v>0.92979999999999996</v>
      </c>
      <c r="H2152" t="s">
        <v>9</v>
      </c>
      <c r="I2152" t="s">
        <v>10</v>
      </c>
    </row>
    <row r="2153" spans="1:9" x14ac:dyDescent="0.25">
      <c r="A2153" t="str">
        <f t="shared" si="38"/>
        <v>89301000</v>
      </c>
      <c r="B2153" t="str">
        <f>"2061140246"</f>
        <v>2061140246</v>
      </c>
      <c r="C2153" s="1">
        <v>45075</v>
      </c>
      <c r="D2153" s="1">
        <v>45077</v>
      </c>
      <c r="E2153">
        <v>1</v>
      </c>
      <c r="F2153" t="str">
        <f>"16-K03-03"</f>
        <v>16-K03-03</v>
      </c>
      <c r="G2153">
        <v>0.62470000000000003</v>
      </c>
      <c r="H2153" t="s">
        <v>11</v>
      </c>
      <c r="I2153" t="s">
        <v>10</v>
      </c>
    </row>
    <row r="2154" spans="1:9" x14ac:dyDescent="0.25">
      <c r="A2154" t="str">
        <f t="shared" si="38"/>
        <v>89301000</v>
      </c>
      <c r="B2154" t="str">
        <f>"2061220326"</f>
        <v>2061220326</v>
      </c>
      <c r="C2154" s="1">
        <v>45015</v>
      </c>
      <c r="D2154" s="1">
        <v>45018</v>
      </c>
      <c r="E2154">
        <v>1</v>
      </c>
      <c r="F2154" t="str">
        <f>"11-K11-00"</f>
        <v>11-K11-00</v>
      </c>
      <c r="G2154">
        <v>0.48220000000000002</v>
      </c>
      <c r="H2154" t="s">
        <v>11</v>
      </c>
      <c r="I2154" t="s">
        <v>10</v>
      </c>
    </row>
    <row r="2155" spans="1:9" x14ac:dyDescent="0.25">
      <c r="A2155" t="str">
        <f t="shared" si="38"/>
        <v>89301000</v>
      </c>
      <c r="B2155" t="str">
        <f>"2061220326"</f>
        <v>2061220326</v>
      </c>
      <c r="C2155" s="1">
        <v>45022</v>
      </c>
      <c r="D2155" s="1">
        <v>45026</v>
      </c>
      <c r="E2155">
        <v>1</v>
      </c>
      <c r="F2155" t="str">
        <f>"11-K01-03"</f>
        <v>11-K01-03</v>
      </c>
      <c r="G2155">
        <v>0.68789999999999996</v>
      </c>
      <c r="H2155" t="s">
        <v>11</v>
      </c>
      <c r="I2155" t="s">
        <v>10</v>
      </c>
    </row>
    <row r="2156" spans="1:9" x14ac:dyDescent="0.25">
      <c r="A2156" t="str">
        <f t="shared" si="38"/>
        <v>89301000</v>
      </c>
      <c r="B2156" t="str">
        <f>"2061250532"</f>
        <v>2061250532</v>
      </c>
      <c r="C2156" s="1">
        <v>45272</v>
      </c>
      <c r="D2156" s="1">
        <v>45274</v>
      </c>
      <c r="E2156">
        <v>1</v>
      </c>
      <c r="F2156" t="str">
        <f>"04-K02-03"</f>
        <v>04-K02-03</v>
      </c>
      <c r="G2156">
        <v>0.98640000000000005</v>
      </c>
      <c r="H2156" t="s">
        <v>11</v>
      </c>
      <c r="I2156" t="s">
        <v>10</v>
      </c>
    </row>
    <row r="2157" spans="1:9" x14ac:dyDescent="0.25">
      <c r="A2157" t="str">
        <f t="shared" si="38"/>
        <v>89301000</v>
      </c>
      <c r="B2157" t="str">
        <f>"2061270189"</f>
        <v>2061270189</v>
      </c>
      <c r="C2157" s="1">
        <v>45146</v>
      </c>
      <c r="D2157" s="1">
        <v>45147</v>
      </c>
      <c r="E2157">
        <v>1</v>
      </c>
      <c r="F2157" t="str">
        <f>"21-K05-03"</f>
        <v>21-K05-03</v>
      </c>
      <c r="G2157">
        <v>0.45729999999999998</v>
      </c>
      <c r="H2157" t="s">
        <v>11</v>
      </c>
      <c r="I2157" t="s">
        <v>10</v>
      </c>
    </row>
    <row r="2158" spans="1:9" x14ac:dyDescent="0.25">
      <c r="A2158" t="str">
        <f t="shared" si="38"/>
        <v>89301000</v>
      </c>
      <c r="B2158" t="str">
        <f>"2062020972"</f>
        <v>2062020972</v>
      </c>
      <c r="C2158" s="1">
        <v>44936</v>
      </c>
      <c r="D2158" s="1">
        <v>44942</v>
      </c>
      <c r="E2158">
        <v>1</v>
      </c>
      <c r="F2158" t="str">
        <f>"04-K02-04"</f>
        <v>04-K02-04</v>
      </c>
      <c r="G2158">
        <v>0.82099999999999995</v>
      </c>
      <c r="H2158" t="s">
        <v>11</v>
      </c>
      <c r="I2158" t="s">
        <v>10</v>
      </c>
    </row>
    <row r="2159" spans="1:9" x14ac:dyDescent="0.25">
      <c r="A2159" t="str">
        <f t="shared" si="38"/>
        <v>89301000</v>
      </c>
      <c r="B2159" t="str">
        <f>"2062220644"</f>
        <v>2062220644</v>
      </c>
      <c r="C2159" s="1">
        <v>45082</v>
      </c>
      <c r="D2159" s="1">
        <v>45092</v>
      </c>
      <c r="E2159">
        <v>1</v>
      </c>
      <c r="F2159" t="str">
        <f>"11-K01-03"</f>
        <v>11-K01-03</v>
      </c>
      <c r="G2159">
        <v>0.85199999999999998</v>
      </c>
      <c r="H2159" t="s">
        <v>11</v>
      </c>
      <c r="I2159" t="s">
        <v>10</v>
      </c>
    </row>
    <row r="2160" spans="1:9" x14ac:dyDescent="0.25">
      <c r="A2160" t="str">
        <f t="shared" si="38"/>
        <v>89301000</v>
      </c>
      <c r="B2160" t="str">
        <f>"2062270298"</f>
        <v>2062270298</v>
      </c>
      <c r="C2160" s="1">
        <v>44939</v>
      </c>
      <c r="D2160" s="1">
        <v>44942</v>
      </c>
      <c r="E2160">
        <v>1</v>
      </c>
      <c r="F2160" t="str">
        <f>"04-K03-03"</f>
        <v>04-K03-03</v>
      </c>
      <c r="G2160">
        <v>0.56110000000000004</v>
      </c>
      <c r="H2160" t="s">
        <v>11</v>
      </c>
      <c r="I2160" t="s">
        <v>10</v>
      </c>
    </row>
    <row r="2161" spans="1:9" x14ac:dyDescent="0.25">
      <c r="A2161" t="str">
        <f t="shared" si="38"/>
        <v>89301000</v>
      </c>
      <c r="B2161" t="str">
        <f>"2062270298"</f>
        <v>2062270298</v>
      </c>
      <c r="C2161" s="1">
        <v>45279</v>
      </c>
      <c r="D2161" s="1">
        <v>45284</v>
      </c>
      <c r="E2161">
        <v>1</v>
      </c>
      <c r="F2161" t="str">
        <f>"04-K02-04"</f>
        <v>04-K02-04</v>
      </c>
      <c r="G2161">
        <v>0.82099999999999995</v>
      </c>
      <c r="H2161" t="s">
        <v>11</v>
      </c>
      <c r="I2161" t="s">
        <v>10</v>
      </c>
    </row>
    <row r="2162" spans="1:9" x14ac:dyDescent="0.25">
      <c r="A2162" t="str">
        <f t="shared" si="38"/>
        <v>89301000</v>
      </c>
      <c r="B2162" t="str">
        <f>"2101090288"</f>
        <v>2101090288</v>
      </c>
      <c r="C2162" s="1">
        <v>45033</v>
      </c>
      <c r="D2162" s="1">
        <v>45038</v>
      </c>
      <c r="E2162">
        <v>1</v>
      </c>
      <c r="F2162" t="str">
        <f>"11-K01-03"</f>
        <v>11-K01-03</v>
      </c>
      <c r="G2162">
        <v>0.68789999999999996</v>
      </c>
      <c r="H2162" t="s">
        <v>11</v>
      </c>
      <c r="I2162" t="s">
        <v>10</v>
      </c>
    </row>
    <row r="2163" spans="1:9" x14ac:dyDescent="0.25">
      <c r="A2163" t="str">
        <f t="shared" si="38"/>
        <v>89301000</v>
      </c>
      <c r="B2163" t="str">
        <f>"2101110297"</f>
        <v>2101110297</v>
      </c>
      <c r="C2163" s="1">
        <v>44972</v>
      </c>
      <c r="D2163" s="1">
        <v>44974</v>
      </c>
      <c r="E2163">
        <v>1</v>
      </c>
      <c r="F2163" t="str">
        <f>"12-I10-02"</f>
        <v>12-I10-02</v>
      </c>
      <c r="G2163">
        <v>0.51690000000000003</v>
      </c>
      <c r="H2163" t="s">
        <v>9</v>
      </c>
      <c r="I2163" t="s">
        <v>10</v>
      </c>
    </row>
    <row r="2164" spans="1:9" x14ac:dyDescent="0.25">
      <c r="A2164" t="str">
        <f t="shared" si="38"/>
        <v>89301000</v>
      </c>
      <c r="B2164" t="str">
        <f>"2101130647"</f>
        <v>2101130647</v>
      </c>
      <c r="C2164" s="1">
        <v>44925</v>
      </c>
      <c r="D2164" s="1">
        <v>44928</v>
      </c>
      <c r="E2164">
        <v>1</v>
      </c>
      <c r="F2164" t="str">
        <f>"04-K08-03"</f>
        <v>04-K08-03</v>
      </c>
      <c r="G2164">
        <v>1.7977000000000001</v>
      </c>
      <c r="H2164" t="s">
        <v>11</v>
      </c>
      <c r="I2164" t="s">
        <v>10</v>
      </c>
    </row>
    <row r="2165" spans="1:9" x14ac:dyDescent="0.25">
      <c r="A2165" t="str">
        <f t="shared" si="38"/>
        <v>89301000</v>
      </c>
      <c r="B2165" t="str">
        <f>"2101130647"</f>
        <v>2101130647</v>
      </c>
      <c r="C2165" s="1">
        <v>45020</v>
      </c>
      <c r="D2165" s="1">
        <v>45021</v>
      </c>
      <c r="E2165">
        <v>1</v>
      </c>
      <c r="F2165" t="str">
        <f>"04-K15-03"</f>
        <v>04-K15-03</v>
      </c>
      <c r="G2165">
        <v>0.48670000000000002</v>
      </c>
      <c r="H2165" t="s">
        <v>11</v>
      </c>
      <c r="I2165" t="s">
        <v>10</v>
      </c>
    </row>
    <row r="2166" spans="1:9" x14ac:dyDescent="0.25">
      <c r="A2166" t="str">
        <f t="shared" si="38"/>
        <v>89301000</v>
      </c>
      <c r="B2166" t="str">
        <f>"2101210738"</f>
        <v>2101210738</v>
      </c>
      <c r="C2166" s="1">
        <v>45051</v>
      </c>
      <c r="D2166" s="1">
        <v>45052</v>
      </c>
      <c r="E2166">
        <v>1</v>
      </c>
      <c r="F2166" t="str">
        <f>"06-K02-04"</f>
        <v>06-K02-04</v>
      </c>
      <c r="G2166">
        <v>0.37659999999999999</v>
      </c>
      <c r="H2166" t="s">
        <v>11</v>
      </c>
      <c r="I2166" t="s">
        <v>10</v>
      </c>
    </row>
    <row r="2167" spans="1:9" x14ac:dyDescent="0.25">
      <c r="A2167" t="str">
        <f t="shared" si="38"/>
        <v>89301000</v>
      </c>
      <c r="B2167" t="str">
        <f>"2101210738"</f>
        <v>2101210738</v>
      </c>
      <c r="C2167" s="1">
        <v>45206</v>
      </c>
      <c r="D2167" s="1">
        <v>45209</v>
      </c>
      <c r="E2167">
        <v>1</v>
      </c>
      <c r="F2167" t="str">
        <f>"03-K01-01"</f>
        <v>03-K01-01</v>
      </c>
      <c r="G2167">
        <v>0.60770000000000002</v>
      </c>
      <c r="H2167" t="s">
        <v>11</v>
      </c>
      <c r="I2167" t="s">
        <v>10</v>
      </c>
    </row>
    <row r="2168" spans="1:9" x14ac:dyDescent="0.25">
      <c r="A2168" t="str">
        <f t="shared" ref="A2168:A2231" si="40">"89301000"</f>
        <v>89301000</v>
      </c>
      <c r="B2168" t="str">
        <f>"2101240823"</f>
        <v>2101240823</v>
      </c>
      <c r="C2168" s="1">
        <v>44979</v>
      </c>
      <c r="D2168" s="1">
        <v>44981</v>
      </c>
      <c r="E2168">
        <v>1</v>
      </c>
      <c r="F2168" t="str">
        <f>"06-K17-02"</f>
        <v>06-K17-02</v>
      </c>
      <c r="G2168">
        <v>0.2999</v>
      </c>
      <c r="H2168" t="s">
        <v>11</v>
      </c>
      <c r="I2168" t="s">
        <v>10</v>
      </c>
    </row>
    <row r="2169" spans="1:9" x14ac:dyDescent="0.25">
      <c r="A2169" t="str">
        <f t="shared" si="40"/>
        <v>89301000</v>
      </c>
      <c r="B2169" t="str">
        <f>"2102020657"</f>
        <v>2102020657</v>
      </c>
      <c r="C2169" s="1">
        <v>44933</v>
      </c>
      <c r="D2169" s="1">
        <v>44934</v>
      </c>
      <c r="E2169">
        <v>1</v>
      </c>
      <c r="F2169" t="str">
        <f>"06-K02-04"</f>
        <v>06-K02-04</v>
      </c>
      <c r="G2169">
        <v>0.37659999999999999</v>
      </c>
      <c r="H2169" t="s">
        <v>11</v>
      </c>
      <c r="I2169" t="s">
        <v>10</v>
      </c>
    </row>
    <row r="2170" spans="1:9" x14ac:dyDescent="0.25">
      <c r="A2170" t="str">
        <f t="shared" si="40"/>
        <v>89301000</v>
      </c>
      <c r="B2170" t="str">
        <f>"2102020888"</f>
        <v>2102020888</v>
      </c>
      <c r="C2170" s="1">
        <v>44979</v>
      </c>
      <c r="D2170" s="1">
        <v>44980</v>
      </c>
      <c r="E2170">
        <v>1</v>
      </c>
      <c r="F2170" t="str">
        <f>"23-K01-00"</f>
        <v>23-K01-00</v>
      </c>
      <c r="G2170">
        <v>0.1401</v>
      </c>
      <c r="H2170" t="s">
        <v>11</v>
      </c>
      <c r="I2170" t="s">
        <v>10</v>
      </c>
    </row>
    <row r="2171" spans="1:9" x14ac:dyDescent="0.25">
      <c r="A2171" t="str">
        <f t="shared" si="40"/>
        <v>89301000</v>
      </c>
      <c r="B2171" t="str">
        <f>"2102020888"</f>
        <v>2102020888</v>
      </c>
      <c r="C2171" s="1">
        <v>45189</v>
      </c>
      <c r="D2171" s="1">
        <v>45191</v>
      </c>
      <c r="E2171">
        <v>1</v>
      </c>
      <c r="F2171" t="str">
        <f>"12-I13-02"</f>
        <v>12-I13-02</v>
      </c>
      <c r="G2171">
        <v>0.53879999999999995</v>
      </c>
      <c r="H2171" t="s">
        <v>9</v>
      </c>
      <c r="I2171" t="s">
        <v>10</v>
      </c>
    </row>
    <row r="2172" spans="1:9" x14ac:dyDescent="0.25">
      <c r="A2172" t="str">
        <f t="shared" si="40"/>
        <v>89301000</v>
      </c>
      <c r="B2172" t="str">
        <f>"2102090166"</f>
        <v>2102090166</v>
      </c>
      <c r="C2172" s="1">
        <v>44920</v>
      </c>
      <c r="D2172" s="1">
        <v>44930</v>
      </c>
      <c r="E2172">
        <v>1</v>
      </c>
      <c r="F2172" t="str">
        <f>"03-K06-01"</f>
        <v>03-K06-01</v>
      </c>
      <c r="G2172">
        <v>0.75129999999999997</v>
      </c>
      <c r="H2172" t="s">
        <v>11</v>
      </c>
      <c r="I2172" t="s">
        <v>10</v>
      </c>
    </row>
    <row r="2173" spans="1:9" x14ac:dyDescent="0.25">
      <c r="A2173" t="str">
        <f t="shared" si="40"/>
        <v>89301000</v>
      </c>
      <c r="B2173" t="str">
        <f>"2102151623"</f>
        <v>2102151623</v>
      </c>
      <c r="C2173" s="1">
        <v>45056</v>
      </c>
      <c r="D2173" s="1">
        <v>45058</v>
      </c>
      <c r="E2173">
        <v>1</v>
      </c>
      <c r="F2173" t="str">
        <f>"12-I10-02"</f>
        <v>12-I10-02</v>
      </c>
      <c r="G2173">
        <v>0.51690000000000003</v>
      </c>
      <c r="H2173" t="s">
        <v>9</v>
      </c>
      <c r="I2173" t="s">
        <v>10</v>
      </c>
    </row>
    <row r="2174" spans="1:9" x14ac:dyDescent="0.25">
      <c r="A2174" t="str">
        <f t="shared" si="40"/>
        <v>89301000</v>
      </c>
      <c r="B2174" t="str">
        <f>"2102230988"</f>
        <v>2102230988</v>
      </c>
      <c r="C2174" s="1">
        <v>45182</v>
      </c>
      <c r="D2174" s="1">
        <v>45184</v>
      </c>
      <c r="E2174">
        <v>1</v>
      </c>
      <c r="F2174" t="str">
        <f>"12-I10-02"</f>
        <v>12-I10-02</v>
      </c>
      <c r="G2174">
        <v>0.51690000000000003</v>
      </c>
      <c r="H2174" t="s">
        <v>9</v>
      </c>
      <c r="I2174" t="s">
        <v>10</v>
      </c>
    </row>
    <row r="2175" spans="1:9" x14ac:dyDescent="0.25">
      <c r="A2175" t="str">
        <f t="shared" si="40"/>
        <v>89301000</v>
      </c>
      <c r="B2175" t="str">
        <f>"2103050620"</f>
        <v>2103050620</v>
      </c>
      <c r="C2175" s="1">
        <v>45256</v>
      </c>
      <c r="D2175" s="1">
        <v>45258</v>
      </c>
      <c r="E2175">
        <v>1</v>
      </c>
      <c r="F2175" t="str">
        <f>"08-I25-01"</f>
        <v>08-I25-01</v>
      </c>
      <c r="G2175">
        <v>0.95720000000000005</v>
      </c>
      <c r="H2175" t="s">
        <v>11</v>
      </c>
      <c r="I2175" t="s">
        <v>10</v>
      </c>
    </row>
    <row r="2176" spans="1:9" x14ac:dyDescent="0.25">
      <c r="A2176" t="str">
        <f t="shared" si="40"/>
        <v>89301000</v>
      </c>
      <c r="B2176" t="str">
        <f>"2103050620"</f>
        <v>2103050620</v>
      </c>
      <c r="C2176" s="1">
        <v>45074</v>
      </c>
      <c r="D2176" s="1">
        <v>45076</v>
      </c>
      <c r="E2176">
        <v>1</v>
      </c>
      <c r="F2176" t="str">
        <f>"08-I25-01"</f>
        <v>08-I25-01</v>
      </c>
      <c r="G2176">
        <v>0.95720000000000005</v>
      </c>
      <c r="H2176" t="s">
        <v>11</v>
      </c>
      <c r="I2176" t="s">
        <v>10</v>
      </c>
    </row>
    <row r="2177" spans="1:9" x14ac:dyDescent="0.25">
      <c r="A2177" t="str">
        <f t="shared" si="40"/>
        <v>89301000</v>
      </c>
      <c r="B2177" t="str">
        <f>"2103220273"</f>
        <v>2103220273</v>
      </c>
      <c r="C2177" s="1">
        <v>45168</v>
      </c>
      <c r="D2177" s="1">
        <v>45170</v>
      </c>
      <c r="E2177">
        <v>1</v>
      </c>
      <c r="F2177" t="str">
        <f>"12-I13-02"</f>
        <v>12-I13-02</v>
      </c>
      <c r="G2177">
        <v>0.53879999999999995</v>
      </c>
      <c r="H2177" t="s">
        <v>9</v>
      </c>
      <c r="I2177" t="s">
        <v>10</v>
      </c>
    </row>
    <row r="2178" spans="1:9" x14ac:dyDescent="0.25">
      <c r="A2178" t="str">
        <f t="shared" si="40"/>
        <v>89301000</v>
      </c>
      <c r="B2178" t="str">
        <f>"2103240700"</f>
        <v>2103240700</v>
      </c>
      <c r="C2178" s="1">
        <v>44928</v>
      </c>
      <c r="D2178" s="1">
        <v>44930</v>
      </c>
      <c r="E2178">
        <v>1</v>
      </c>
      <c r="F2178" t="str">
        <f>"12-I10-02"</f>
        <v>12-I10-02</v>
      </c>
      <c r="G2178">
        <v>0.51690000000000003</v>
      </c>
      <c r="H2178" t="s">
        <v>9</v>
      </c>
      <c r="I2178" t="s">
        <v>10</v>
      </c>
    </row>
    <row r="2179" spans="1:9" x14ac:dyDescent="0.25">
      <c r="A2179" t="str">
        <f t="shared" si="40"/>
        <v>89301000</v>
      </c>
      <c r="B2179" t="str">
        <f>"2103290794"</f>
        <v>2103290794</v>
      </c>
      <c r="C2179" s="1">
        <v>45095</v>
      </c>
      <c r="D2179" s="1">
        <v>45098</v>
      </c>
      <c r="E2179">
        <v>1</v>
      </c>
      <c r="F2179" t="str">
        <f>"03-K02-03"</f>
        <v>03-K02-03</v>
      </c>
      <c r="G2179">
        <v>0.33960000000000001</v>
      </c>
      <c r="H2179" t="s">
        <v>11</v>
      </c>
      <c r="I2179" t="s">
        <v>10</v>
      </c>
    </row>
    <row r="2180" spans="1:9" x14ac:dyDescent="0.25">
      <c r="A2180" t="str">
        <f t="shared" si="40"/>
        <v>89301000</v>
      </c>
      <c r="B2180" t="str">
        <f>"2104110437"</f>
        <v>2104110437</v>
      </c>
      <c r="C2180" s="1">
        <v>44962</v>
      </c>
      <c r="D2180" s="1">
        <v>44964</v>
      </c>
      <c r="E2180">
        <v>1</v>
      </c>
      <c r="F2180" t="str">
        <f>"08-I25-01"</f>
        <v>08-I25-01</v>
      </c>
      <c r="G2180">
        <v>0.95720000000000005</v>
      </c>
      <c r="H2180" t="s">
        <v>11</v>
      </c>
      <c r="I2180" t="s">
        <v>10</v>
      </c>
    </row>
    <row r="2181" spans="1:9" x14ac:dyDescent="0.25">
      <c r="A2181" t="str">
        <f t="shared" si="40"/>
        <v>89301000</v>
      </c>
      <c r="B2181" t="str">
        <f>"2104260114"</f>
        <v>2104260114</v>
      </c>
      <c r="C2181" s="1">
        <v>45218</v>
      </c>
      <c r="D2181" s="1">
        <v>45220</v>
      </c>
      <c r="E2181">
        <v>1</v>
      </c>
      <c r="F2181" t="str">
        <f>"09-K12-00"</f>
        <v>09-K12-00</v>
      </c>
      <c r="G2181">
        <v>0.26040000000000002</v>
      </c>
      <c r="H2181" t="s">
        <v>11</v>
      </c>
      <c r="I2181" t="s">
        <v>10</v>
      </c>
    </row>
    <row r="2182" spans="1:9" x14ac:dyDescent="0.25">
      <c r="A2182" t="str">
        <f t="shared" si="40"/>
        <v>89301000</v>
      </c>
      <c r="B2182" t="str">
        <f>"2105041411"</f>
        <v>2105041411</v>
      </c>
      <c r="C2182" s="1">
        <v>45151</v>
      </c>
      <c r="D2182" s="1">
        <v>45153</v>
      </c>
      <c r="E2182">
        <v>1</v>
      </c>
      <c r="F2182" t="str">
        <f>"08-I20-03"</f>
        <v>08-I20-03</v>
      </c>
      <c r="G2182">
        <v>0.62639999999999996</v>
      </c>
      <c r="H2182" t="s">
        <v>12</v>
      </c>
      <c r="I2182" t="s">
        <v>10</v>
      </c>
    </row>
    <row r="2183" spans="1:9" x14ac:dyDescent="0.25">
      <c r="A2183" t="str">
        <f t="shared" si="40"/>
        <v>89301000</v>
      </c>
      <c r="B2183" t="str">
        <f>"2105060540"</f>
        <v>2105060540</v>
      </c>
      <c r="C2183" s="1">
        <v>45074</v>
      </c>
      <c r="D2183" s="1">
        <v>45084</v>
      </c>
      <c r="E2183">
        <v>1</v>
      </c>
      <c r="F2183" t="str">
        <f>"18-K02-02"</f>
        <v>18-K02-02</v>
      </c>
      <c r="G2183">
        <v>1.3509</v>
      </c>
      <c r="H2183" t="s">
        <v>11</v>
      </c>
      <c r="I2183" t="s">
        <v>10</v>
      </c>
    </row>
    <row r="2184" spans="1:9" x14ac:dyDescent="0.25">
      <c r="A2184" t="str">
        <f t="shared" si="40"/>
        <v>89301000</v>
      </c>
      <c r="B2184" t="str">
        <f>"2105220084"</f>
        <v>2105220084</v>
      </c>
      <c r="C2184" s="1">
        <v>45043</v>
      </c>
      <c r="D2184" s="1">
        <v>45047</v>
      </c>
      <c r="E2184">
        <v>1</v>
      </c>
      <c r="F2184" t="str">
        <f>"03-I21-00"</f>
        <v>03-I21-00</v>
      </c>
      <c r="G2184">
        <v>0.50900000000000001</v>
      </c>
      <c r="H2184" t="s">
        <v>11</v>
      </c>
      <c r="I2184" t="s">
        <v>10</v>
      </c>
    </row>
    <row r="2185" spans="1:9" x14ac:dyDescent="0.25">
      <c r="A2185" t="str">
        <f t="shared" si="40"/>
        <v>89301000</v>
      </c>
      <c r="B2185" t="str">
        <f>"2105310251"</f>
        <v>2105310251</v>
      </c>
      <c r="C2185" s="1">
        <v>44986</v>
      </c>
      <c r="D2185" s="1">
        <v>44988</v>
      </c>
      <c r="E2185">
        <v>1</v>
      </c>
      <c r="F2185" t="str">
        <f>"12-I10-02"</f>
        <v>12-I10-02</v>
      </c>
      <c r="G2185">
        <v>0.51690000000000003</v>
      </c>
      <c r="H2185" t="s">
        <v>9</v>
      </c>
      <c r="I2185" t="s">
        <v>10</v>
      </c>
    </row>
    <row r="2186" spans="1:9" x14ac:dyDescent="0.25">
      <c r="A2186" t="str">
        <f t="shared" si="40"/>
        <v>89301000</v>
      </c>
      <c r="B2186" t="str">
        <f>"2106260431"</f>
        <v>2106260431</v>
      </c>
      <c r="C2186" s="1">
        <v>45095</v>
      </c>
      <c r="D2186" s="1">
        <v>45096</v>
      </c>
      <c r="E2186">
        <v>1</v>
      </c>
      <c r="F2186" t="str">
        <f>"06-K17-02"</f>
        <v>06-K17-02</v>
      </c>
      <c r="G2186">
        <v>0.2999</v>
      </c>
      <c r="H2186" t="s">
        <v>11</v>
      </c>
      <c r="I2186" t="s">
        <v>10</v>
      </c>
    </row>
    <row r="2187" spans="1:9" x14ac:dyDescent="0.25">
      <c r="A2187" t="str">
        <f t="shared" si="40"/>
        <v>89301000</v>
      </c>
      <c r="B2187" t="str">
        <f>"2107100336"</f>
        <v>2107100336</v>
      </c>
      <c r="C2187" s="1">
        <v>44937</v>
      </c>
      <c r="D2187" s="1">
        <v>44942</v>
      </c>
      <c r="E2187">
        <v>1</v>
      </c>
      <c r="F2187" t="str">
        <f>"01-I07-03"</f>
        <v>01-I07-03</v>
      </c>
      <c r="G2187">
        <v>3.0371000000000001</v>
      </c>
      <c r="H2187" t="s">
        <v>12</v>
      </c>
      <c r="I2187" t="s">
        <v>10</v>
      </c>
    </row>
    <row r="2188" spans="1:9" x14ac:dyDescent="0.25">
      <c r="A2188" t="str">
        <f t="shared" si="40"/>
        <v>89301000</v>
      </c>
      <c r="B2188" t="str">
        <f>"2107240432"</f>
        <v>2107240432</v>
      </c>
      <c r="C2188" s="1">
        <v>45146</v>
      </c>
      <c r="D2188" s="1">
        <v>45149</v>
      </c>
      <c r="E2188">
        <v>1</v>
      </c>
      <c r="F2188" t="str">
        <f>"11-K01-03"</f>
        <v>11-K01-03</v>
      </c>
      <c r="G2188">
        <v>0.68789999999999996</v>
      </c>
      <c r="H2188" t="s">
        <v>11</v>
      </c>
      <c r="I2188" t="s">
        <v>10</v>
      </c>
    </row>
    <row r="2189" spans="1:9" x14ac:dyDescent="0.25">
      <c r="A2189" t="str">
        <f t="shared" si="40"/>
        <v>89301000</v>
      </c>
      <c r="B2189" t="str">
        <f>"2108071328"</f>
        <v>2108071328</v>
      </c>
      <c r="C2189" s="1">
        <v>45062</v>
      </c>
      <c r="D2189" s="1">
        <v>45063</v>
      </c>
      <c r="E2189">
        <v>1</v>
      </c>
      <c r="F2189" t="str">
        <f>"03-K12-01"</f>
        <v>03-K12-01</v>
      </c>
      <c r="G2189">
        <v>0.37140000000000001</v>
      </c>
      <c r="H2189" t="s">
        <v>11</v>
      </c>
      <c r="I2189" t="s">
        <v>10</v>
      </c>
    </row>
    <row r="2190" spans="1:9" x14ac:dyDescent="0.25">
      <c r="A2190" t="str">
        <f t="shared" si="40"/>
        <v>89301000</v>
      </c>
      <c r="B2190" t="str">
        <f>"2108160318"</f>
        <v>2108160318</v>
      </c>
      <c r="C2190" s="1">
        <v>45180</v>
      </c>
      <c r="D2190" s="1">
        <v>45182</v>
      </c>
      <c r="E2190">
        <v>6</v>
      </c>
      <c r="F2190" t="str">
        <f>"01-K18-04"</f>
        <v>01-K18-04</v>
      </c>
      <c r="G2190">
        <v>0.54610000000000003</v>
      </c>
      <c r="H2190" t="s">
        <v>11</v>
      </c>
      <c r="I2190" t="s">
        <v>10</v>
      </c>
    </row>
    <row r="2191" spans="1:9" x14ac:dyDescent="0.25">
      <c r="A2191" t="str">
        <f t="shared" si="40"/>
        <v>89301000</v>
      </c>
      <c r="B2191" t="str">
        <f>"2108210412"</f>
        <v>2108210412</v>
      </c>
      <c r="C2191" s="1">
        <v>44981</v>
      </c>
      <c r="D2191" s="1">
        <v>44983</v>
      </c>
      <c r="E2191">
        <v>1</v>
      </c>
      <c r="F2191" t="str">
        <f>"06-M01-05"</f>
        <v>06-M01-05</v>
      </c>
      <c r="G2191">
        <v>0.4481</v>
      </c>
      <c r="H2191" t="s">
        <v>11</v>
      </c>
      <c r="I2191" t="s">
        <v>10</v>
      </c>
    </row>
    <row r="2192" spans="1:9" x14ac:dyDescent="0.25">
      <c r="A2192" t="str">
        <f t="shared" si="40"/>
        <v>89301000</v>
      </c>
      <c r="B2192" t="str">
        <f>"2108270857"</f>
        <v>2108270857</v>
      </c>
      <c r="C2192" s="1">
        <v>44965</v>
      </c>
      <c r="D2192" s="1">
        <v>44966</v>
      </c>
      <c r="E2192">
        <v>1</v>
      </c>
      <c r="F2192" t="str">
        <f>"21-K04-00"</f>
        <v>21-K04-00</v>
      </c>
      <c r="G2192">
        <v>0.2397</v>
      </c>
      <c r="H2192" t="s">
        <v>11</v>
      </c>
      <c r="I2192" t="s">
        <v>10</v>
      </c>
    </row>
    <row r="2193" spans="1:9" x14ac:dyDescent="0.25">
      <c r="A2193" t="str">
        <f t="shared" si="40"/>
        <v>89301000</v>
      </c>
      <c r="B2193" t="str">
        <f>"2108280427"</f>
        <v>2108280427</v>
      </c>
      <c r="C2193" s="1">
        <v>45199</v>
      </c>
      <c r="D2193" s="1">
        <v>45200</v>
      </c>
      <c r="E2193">
        <v>1</v>
      </c>
      <c r="F2193" t="str">
        <f>"06-K17-02"</f>
        <v>06-K17-02</v>
      </c>
      <c r="G2193">
        <v>0.2999</v>
      </c>
      <c r="H2193" t="s">
        <v>11</v>
      </c>
      <c r="I2193" t="s">
        <v>10</v>
      </c>
    </row>
    <row r="2194" spans="1:9" x14ac:dyDescent="0.25">
      <c r="A2194" t="str">
        <f t="shared" si="40"/>
        <v>89301000</v>
      </c>
      <c r="B2194" t="str">
        <f>"2108310556"</f>
        <v>2108310556</v>
      </c>
      <c r="C2194" s="1">
        <v>45107</v>
      </c>
      <c r="D2194" s="1">
        <v>45111</v>
      </c>
      <c r="E2194">
        <v>1</v>
      </c>
      <c r="F2194" t="str">
        <f>"09-K05-00"</f>
        <v>09-K05-00</v>
      </c>
      <c r="G2194">
        <v>0.8054</v>
      </c>
      <c r="H2194" t="s">
        <v>11</v>
      </c>
      <c r="I2194" t="s">
        <v>10</v>
      </c>
    </row>
    <row r="2195" spans="1:9" x14ac:dyDescent="0.25">
      <c r="A2195" t="str">
        <f t="shared" si="40"/>
        <v>89301000</v>
      </c>
      <c r="B2195" t="str">
        <f>"2109070678"</f>
        <v>2109070678</v>
      </c>
      <c r="C2195" s="1">
        <v>44925</v>
      </c>
      <c r="D2195" s="1">
        <v>44928</v>
      </c>
      <c r="E2195">
        <v>1</v>
      </c>
      <c r="F2195" t="str">
        <f>"04-K03-03"</f>
        <v>04-K03-03</v>
      </c>
      <c r="G2195">
        <v>0.56110000000000004</v>
      </c>
      <c r="H2195" t="s">
        <v>11</v>
      </c>
      <c r="I2195" t="s">
        <v>10</v>
      </c>
    </row>
    <row r="2196" spans="1:9" x14ac:dyDescent="0.25">
      <c r="A2196" t="str">
        <f t="shared" si="40"/>
        <v>89301000</v>
      </c>
      <c r="B2196" t="str">
        <f>"2109110553"</f>
        <v>2109110553</v>
      </c>
      <c r="C2196" s="1">
        <v>44985</v>
      </c>
      <c r="D2196" s="1">
        <v>44987</v>
      </c>
      <c r="E2196">
        <v>1</v>
      </c>
      <c r="F2196" t="str">
        <f>"01-K18-04"</f>
        <v>01-K18-04</v>
      </c>
      <c r="G2196">
        <v>0.54610000000000003</v>
      </c>
      <c r="H2196" t="s">
        <v>11</v>
      </c>
      <c r="I2196" t="s">
        <v>10</v>
      </c>
    </row>
    <row r="2197" spans="1:9" x14ac:dyDescent="0.25">
      <c r="A2197" t="str">
        <f t="shared" si="40"/>
        <v>89301000</v>
      </c>
      <c r="B2197" t="str">
        <f>"2109130199"</f>
        <v>2109130199</v>
      </c>
      <c r="C2197" s="1">
        <v>45012</v>
      </c>
      <c r="D2197" s="1">
        <v>45015</v>
      </c>
      <c r="E2197">
        <v>1</v>
      </c>
      <c r="F2197" t="str">
        <f>"06-K02-04"</f>
        <v>06-K02-04</v>
      </c>
      <c r="G2197">
        <v>0.37659999999999999</v>
      </c>
      <c r="H2197" t="s">
        <v>11</v>
      </c>
      <c r="I2197" t="s">
        <v>10</v>
      </c>
    </row>
    <row r="2198" spans="1:9" x14ac:dyDescent="0.25">
      <c r="A2198" t="str">
        <f t="shared" si="40"/>
        <v>89301000</v>
      </c>
      <c r="B2198" t="str">
        <f>"2109150648"</f>
        <v>2109150648</v>
      </c>
      <c r="C2198" s="1">
        <v>45195</v>
      </c>
      <c r="D2198" s="1">
        <v>45198</v>
      </c>
      <c r="E2198">
        <v>1</v>
      </c>
      <c r="F2198" t="str">
        <f>"08-K04-02"</f>
        <v>08-K04-02</v>
      </c>
      <c r="G2198">
        <v>0.54300000000000004</v>
      </c>
      <c r="H2198" t="s">
        <v>11</v>
      </c>
      <c r="I2198" t="s">
        <v>10</v>
      </c>
    </row>
    <row r="2199" spans="1:9" x14ac:dyDescent="0.25">
      <c r="A2199" t="str">
        <f t="shared" si="40"/>
        <v>89301000</v>
      </c>
      <c r="B2199" t="str">
        <f t="shared" ref="B2199:B2206" si="41">"2109170943"</f>
        <v>2109170943</v>
      </c>
      <c r="C2199" s="1">
        <v>44977</v>
      </c>
      <c r="D2199" s="1">
        <v>44998</v>
      </c>
      <c r="E2199">
        <v>1</v>
      </c>
      <c r="F2199" t="str">
        <f>"17-C03-01"</f>
        <v>17-C03-01</v>
      </c>
      <c r="G2199">
        <v>5.3311000000000002</v>
      </c>
      <c r="H2199" t="s">
        <v>11</v>
      </c>
      <c r="I2199" t="s">
        <v>10</v>
      </c>
    </row>
    <row r="2200" spans="1:9" x14ac:dyDescent="0.25">
      <c r="A2200" t="str">
        <f t="shared" si="40"/>
        <v>89301000</v>
      </c>
      <c r="B2200" t="str">
        <f t="shared" si="41"/>
        <v>2109170943</v>
      </c>
      <c r="C2200" s="1">
        <v>44965</v>
      </c>
      <c r="D2200" s="1">
        <v>44971</v>
      </c>
      <c r="E2200">
        <v>1</v>
      </c>
      <c r="F2200" t="str">
        <f>"17-K01-01"</f>
        <v>17-K01-01</v>
      </c>
      <c r="G2200">
        <v>3.7795999999999998</v>
      </c>
      <c r="H2200" t="s">
        <v>11</v>
      </c>
      <c r="I2200" t="s">
        <v>10</v>
      </c>
    </row>
    <row r="2201" spans="1:9" x14ac:dyDescent="0.25">
      <c r="A2201" t="str">
        <f t="shared" si="40"/>
        <v>89301000</v>
      </c>
      <c r="B2201" t="str">
        <f t="shared" si="41"/>
        <v>2109170943</v>
      </c>
      <c r="C2201" s="1">
        <v>44937</v>
      </c>
      <c r="D2201" s="1">
        <v>44953</v>
      </c>
      <c r="E2201">
        <v>1</v>
      </c>
      <c r="F2201" t="str">
        <f>"17-C03-01"</f>
        <v>17-C03-01</v>
      </c>
      <c r="G2201">
        <v>5.3311000000000002</v>
      </c>
      <c r="H2201" t="s">
        <v>11</v>
      </c>
      <c r="I2201" t="s">
        <v>10</v>
      </c>
    </row>
    <row r="2202" spans="1:9" x14ac:dyDescent="0.25">
      <c r="A2202" t="str">
        <f t="shared" si="40"/>
        <v>89301000</v>
      </c>
      <c r="B2202" t="str">
        <f t="shared" si="41"/>
        <v>2109170943</v>
      </c>
      <c r="C2202" s="1">
        <v>45198</v>
      </c>
      <c r="D2202" s="1">
        <v>45226</v>
      </c>
      <c r="E2202">
        <v>1</v>
      </c>
      <c r="F2202" t="str">
        <f>"17-C03-01"</f>
        <v>17-C03-01</v>
      </c>
      <c r="G2202">
        <v>4.5995999999999997</v>
      </c>
      <c r="H2202" t="s">
        <v>11</v>
      </c>
      <c r="I2202" t="s">
        <v>10</v>
      </c>
    </row>
    <row r="2203" spans="1:9" x14ac:dyDescent="0.25">
      <c r="A2203" t="str">
        <f t="shared" si="40"/>
        <v>89301000</v>
      </c>
      <c r="B2203" t="str">
        <f t="shared" si="41"/>
        <v>2109170943</v>
      </c>
      <c r="C2203" s="1">
        <v>45120</v>
      </c>
      <c r="D2203" s="1">
        <v>45132</v>
      </c>
      <c r="E2203">
        <v>1</v>
      </c>
      <c r="F2203" t="str">
        <f>"17-C03-01"</f>
        <v>17-C03-01</v>
      </c>
      <c r="G2203">
        <v>4.4207999999999998</v>
      </c>
      <c r="H2203" t="s">
        <v>11</v>
      </c>
      <c r="I2203" t="s">
        <v>10</v>
      </c>
    </row>
    <row r="2204" spans="1:9" x14ac:dyDescent="0.25">
      <c r="A2204" t="str">
        <f t="shared" si="40"/>
        <v>89301000</v>
      </c>
      <c r="B2204" t="str">
        <f t="shared" si="41"/>
        <v>2109170943</v>
      </c>
      <c r="C2204" s="1">
        <v>45022</v>
      </c>
      <c r="D2204" s="1">
        <v>45029</v>
      </c>
      <c r="E2204">
        <v>1</v>
      </c>
      <c r="F2204" t="str">
        <f>"17-C03-02"</f>
        <v>17-C03-02</v>
      </c>
      <c r="G2204">
        <v>1.1890000000000001</v>
      </c>
      <c r="H2204" t="s">
        <v>11</v>
      </c>
      <c r="I2204" t="s">
        <v>10</v>
      </c>
    </row>
    <row r="2205" spans="1:9" x14ac:dyDescent="0.25">
      <c r="A2205" t="str">
        <f t="shared" si="40"/>
        <v>89301000</v>
      </c>
      <c r="B2205" t="str">
        <f t="shared" si="41"/>
        <v>2109170943</v>
      </c>
      <c r="C2205" s="1">
        <v>45040</v>
      </c>
      <c r="D2205" s="1">
        <v>45042</v>
      </c>
      <c r="E2205">
        <v>1</v>
      </c>
      <c r="F2205" t="str">
        <f>"17-C03-02"</f>
        <v>17-C03-02</v>
      </c>
      <c r="G2205">
        <v>1.1890000000000001</v>
      </c>
      <c r="H2205" t="s">
        <v>11</v>
      </c>
      <c r="I2205" t="s">
        <v>10</v>
      </c>
    </row>
    <row r="2206" spans="1:9" x14ac:dyDescent="0.25">
      <c r="A2206" t="str">
        <f t="shared" si="40"/>
        <v>89301000</v>
      </c>
      <c r="B2206" t="str">
        <f t="shared" si="41"/>
        <v>2109170943</v>
      </c>
      <c r="C2206" s="1">
        <v>45050</v>
      </c>
      <c r="D2206" s="1">
        <v>45057</v>
      </c>
      <c r="E2206">
        <v>1</v>
      </c>
      <c r="F2206" t="str">
        <f>"17-K01-01"</f>
        <v>17-K01-01</v>
      </c>
      <c r="G2206">
        <v>3.8035000000000001</v>
      </c>
      <c r="H2206" t="s">
        <v>11</v>
      </c>
      <c r="I2206" t="s">
        <v>10</v>
      </c>
    </row>
    <row r="2207" spans="1:9" x14ac:dyDescent="0.25">
      <c r="A2207" t="str">
        <f t="shared" si="40"/>
        <v>89301000</v>
      </c>
      <c r="B2207" t="str">
        <f>"2109210103"</f>
        <v>2109210103</v>
      </c>
      <c r="C2207" s="1">
        <v>45216</v>
      </c>
      <c r="D2207" s="1">
        <v>45218</v>
      </c>
      <c r="E2207">
        <v>1</v>
      </c>
      <c r="F2207" t="str">
        <f>"03-K02-03"</f>
        <v>03-K02-03</v>
      </c>
      <c r="G2207">
        <v>0.33960000000000001</v>
      </c>
      <c r="H2207" t="s">
        <v>11</v>
      </c>
      <c r="I2207" t="s">
        <v>10</v>
      </c>
    </row>
    <row r="2208" spans="1:9" x14ac:dyDescent="0.25">
      <c r="A2208" t="str">
        <f t="shared" si="40"/>
        <v>89301000</v>
      </c>
      <c r="B2208" t="str">
        <f>"2109230915"</f>
        <v>2109230915</v>
      </c>
      <c r="C2208" s="1">
        <v>45256</v>
      </c>
      <c r="D2208" s="1">
        <v>45259</v>
      </c>
      <c r="E2208">
        <v>1</v>
      </c>
      <c r="F2208" t="str">
        <f>"03-K02-02"</f>
        <v>03-K02-02</v>
      </c>
      <c r="G2208">
        <v>0.57650000000000001</v>
      </c>
      <c r="H2208" t="s">
        <v>11</v>
      </c>
      <c r="I2208" t="s">
        <v>10</v>
      </c>
    </row>
    <row r="2209" spans="1:9" x14ac:dyDescent="0.25">
      <c r="A2209" t="str">
        <f t="shared" si="40"/>
        <v>89301000</v>
      </c>
      <c r="B2209" t="str">
        <f>"2109230915"</f>
        <v>2109230915</v>
      </c>
      <c r="C2209" s="1">
        <v>44969</v>
      </c>
      <c r="D2209" s="1">
        <v>44969</v>
      </c>
      <c r="E2209">
        <v>5</v>
      </c>
      <c r="F2209" t="str">
        <f>"06-K08-02"</f>
        <v>06-K08-02</v>
      </c>
      <c r="G2209">
        <v>0.21529999999999999</v>
      </c>
      <c r="H2209" t="s">
        <v>11</v>
      </c>
      <c r="I2209" t="s">
        <v>10</v>
      </c>
    </row>
    <row r="2210" spans="1:9" x14ac:dyDescent="0.25">
      <c r="A2210" t="str">
        <f t="shared" si="40"/>
        <v>89301000</v>
      </c>
      <c r="B2210" t="str">
        <f>"2110060370"</f>
        <v>2110060370</v>
      </c>
      <c r="C2210" s="1">
        <v>45198</v>
      </c>
      <c r="D2210" s="1">
        <v>45200</v>
      </c>
      <c r="E2210">
        <v>1</v>
      </c>
      <c r="F2210" t="str">
        <f>"03-K03-02"</f>
        <v>03-K03-02</v>
      </c>
      <c r="G2210">
        <v>0.51949999999999996</v>
      </c>
      <c r="H2210" t="s">
        <v>11</v>
      </c>
      <c r="I2210" t="s">
        <v>10</v>
      </c>
    </row>
    <row r="2211" spans="1:9" x14ac:dyDescent="0.25">
      <c r="A2211" t="str">
        <f t="shared" si="40"/>
        <v>89301000</v>
      </c>
      <c r="B2211" t="str">
        <f>"2110152066"</f>
        <v>2110152066</v>
      </c>
      <c r="C2211" s="1">
        <v>45133</v>
      </c>
      <c r="D2211" s="1">
        <v>45137</v>
      </c>
      <c r="E2211">
        <v>1</v>
      </c>
      <c r="F2211" t="str">
        <f>"06-K02-03"</f>
        <v>06-K02-03</v>
      </c>
      <c r="G2211">
        <v>0.50470000000000004</v>
      </c>
      <c r="H2211" t="s">
        <v>11</v>
      </c>
      <c r="I2211" t="s">
        <v>10</v>
      </c>
    </row>
    <row r="2212" spans="1:9" x14ac:dyDescent="0.25">
      <c r="A2212" t="str">
        <f t="shared" si="40"/>
        <v>89301000</v>
      </c>
      <c r="B2212" t="str">
        <f>"2110210718"</f>
        <v>2110210718</v>
      </c>
      <c r="C2212" s="1">
        <v>45029</v>
      </c>
      <c r="D2212" s="1">
        <v>45031</v>
      </c>
      <c r="E2212">
        <v>1</v>
      </c>
      <c r="F2212" t="str">
        <f>"11-I17-03"</f>
        <v>11-I17-03</v>
      </c>
      <c r="G2212">
        <v>0.45600000000000002</v>
      </c>
      <c r="H2212" t="s">
        <v>11</v>
      </c>
      <c r="I2212" t="s">
        <v>10</v>
      </c>
    </row>
    <row r="2213" spans="1:9" x14ac:dyDescent="0.25">
      <c r="A2213" t="str">
        <f t="shared" si="40"/>
        <v>89301000</v>
      </c>
      <c r="B2213" t="str">
        <f>"2111030097"</f>
        <v>2111030097</v>
      </c>
      <c r="C2213" s="1">
        <v>45083</v>
      </c>
      <c r="D2213" s="1">
        <v>45085</v>
      </c>
      <c r="E2213">
        <v>1</v>
      </c>
      <c r="F2213" t="str">
        <f>"04-K02-04"</f>
        <v>04-K02-04</v>
      </c>
      <c r="G2213">
        <v>0.82099999999999995</v>
      </c>
      <c r="H2213" t="s">
        <v>11</v>
      </c>
      <c r="I2213" t="s">
        <v>10</v>
      </c>
    </row>
    <row r="2214" spans="1:9" x14ac:dyDescent="0.25">
      <c r="A2214" t="str">
        <f t="shared" si="40"/>
        <v>89301000</v>
      </c>
      <c r="B2214" t="str">
        <f>"2111270447"</f>
        <v>2111270447</v>
      </c>
      <c r="C2214" s="1">
        <v>45030</v>
      </c>
      <c r="D2214" s="1">
        <v>45032</v>
      </c>
      <c r="E2214">
        <v>1</v>
      </c>
      <c r="F2214" t="str">
        <f>"06-K02-04"</f>
        <v>06-K02-04</v>
      </c>
      <c r="G2214">
        <v>0.37809999999999999</v>
      </c>
      <c r="H2214" t="s">
        <v>11</v>
      </c>
      <c r="I2214" t="s">
        <v>10</v>
      </c>
    </row>
    <row r="2215" spans="1:9" x14ac:dyDescent="0.25">
      <c r="A2215" t="str">
        <f t="shared" si="40"/>
        <v>89301000</v>
      </c>
      <c r="B2215" t="str">
        <f>"2112081103"</f>
        <v>2112081103</v>
      </c>
      <c r="C2215" s="1">
        <v>45262</v>
      </c>
      <c r="D2215" s="1">
        <v>45268</v>
      </c>
      <c r="E2215">
        <v>1</v>
      </c>
      <c r="F2215" t="str">
        <f>"06-K02-02"</f>
        <v>06-K02-02</v>
      </c>
      <c r="G2215">
        <v>0.86660000000000004</v>
      </c>
      <c r="H2215" t="s">
        <v>11</v>
      </c>
      <c r="I2215" t="s">
        <v>10</v>
      </c>
    </row>
    <row r="2216" spans="1:9" x14ac:dyDescent="0.25">
      <c r="A2216" t="str">
        <f t="shared" si="40"/>
        <v>89301000</v>
      </c>
      <c r="B2216" t="str">
        <f>"2112081103"</f>
        <v>2112081103</v>
      </c>
      <c r="C2216" s="1">
        <v>44926</v>
      </c>
      <c r="D2216" s="1">
        <v>44932</v>
      </c>
      <c r="E2216">
        <v>1</v>
      </c>
      <c r="F2216" t="str">
        <f>"04-K08-03"</f>
        <v>04-K08-03</v>
      </c>
      <c r="G2216">
        <v>1.8479000000000001</v>
      </c>
      <c r="H2216" t="s">
        <v>11</v>
      </c>
      <c r="I2216" t="s">
        <v>10</v>
      </c>
    </row>
    <row r="2217" spans="1:9" x14ac:dyDescent="0.25">
      <c r="A2217" t="str">
        <f t="shared" si="40"/>
        <v>89301000</v>
      </c>
      <c r="B2217" t="str">
        <f>"2112090739"</f>
        <v>2112090739</v>
      </c>
      <c r="C2217" s="1">
        <v>45094</v>
      </c>
      <c r="D2217" s="1">
        <v>45103</v>
      </c>
      <c r="E2217">
        <v>1</v>
      </c>
      <c r="F2217" t="str">
        <f>"04-M01-07"</f>
        <v>04-M01-07</v>
      </c>
      <c r="G2217">
        <v>3.2717000000000001</v>
      </c>
      <c r="H2217" t="s">
        <v>11</v>
      </c>
      <c r="I2217" t="s">
        <v>10</v>
      </c>
    </row>
    <row r="2218" spans="1:9" x14ac:dyDescent="0.25">
      <c r="A2218" t="str">
        <f t="shared" si="40"/>
        <v>89301000</v>
      </c>
      <c r="B2218" t="str">
        <f>"2112131505"</f>
        <v>2112131505</v>
      </c>
      <c r="C2218" s="1">
        <v>45259</v>
      </c>
      <c r="D2218" s="1">
        <v>45261</v>
      </c>
      <c r="E2218">
        <v>1</v>
      </c>
      <c r="F2218" t="str">
        <f>"12-I10-02"</f>
        <v>12-I10-02</v>
      </c>
      <c r="G2218">
        <v>0.51690000000000003</v>
      </c>
      <c r="H2218" t="s">
        <v>9</v>
      </c>
      <c r="I2218" t="s">
        <v>10</v>
      </c>
    </row>
    <row r="2219" spans="1:9" x14ac:dyDescent="0.25">
      <c r="A2219" t="str">
        <f t="shared" si="40"/>
        <v>89301000</v>
      </c>
      <c r="B2219" t="str">
        <f>"2112160424"</f>
        <v>2112160424</v>
      </c>
      <c r="C2219" s="1">
        <v>45103</v>
      </c>
      <c r="D2219" s="1">
        <v>45105</v>
      </c>
      <c r="E2219">
        <v>1</v>
      </c>
      <c r="F2219" t="str">
        <f>"12-I10-02"</f>
        <v>12-I10-02</v>
      </c>
      <c r="G2219">
        <v>0.51690000000000003</v>
      </c>
      <c r="H2219" t="s">
        <v>9</v>
      </c>
      <c r="I2219" t="s">
        <v>10</v>
      </c>
    </row>
    <row r="2220" spans="1:9" x14ac:dyDescent="0.25">
      <c r="A2220" t="str">
        <f t="shared" si="40"/>
        <v>89301000</v>
      </c>
      <c r="B2220" t="str">
        <f>"2112170467"</f>
        <v>2112170467</v>
      </c>
      <c r="C2220" s="1">
        <v>45000</v>
      </c>
      <c r="D2220" s="1">
        <v>45001</v>
      </c>
      <c r="E2220">
        <v>1</v>
      </c>
      <c r="F2220" t="str">
        <f>"23-K01-00"</f>
        <v>23-K01-00</v>
      </c>
      <c r="G2220">
        <v>0.1401</v>
      </c>
      <c r="H2220" t="s">
        <v>11</v>
      </c>
      <c r="I2220" t="s">
        <v>10</v>
      </c>
    </row>
    <row r="2221" spans="1:9" x14ac:dyDescent="0.25">
      <c r="A2221" t="str">
        <f t="shared" si="40"/>
        <v>89301000</v>
      </c>
      <c r="B2221" t="str">
        <f>"2112200607"</f>
        <v>2112200607</v>
      </c>
      <c r="C2221" s="1">
        <v>44962</v>
      </c>
      <c r="D2221" s="1">
        <v>44965</v>
      </c>
      <c r="E2221">
        <v>1</v>
      </c>
      <c r="F2221" t="str">
        <f>"06-K02-04"</f>
        <v>06-K02-04</v>
      </c>
      <c r="G2221">
        <v>0.37659999999999999</v>
      </c>
      <c r="H2221" t="s">
        <v>11</v>
      </c>
      <c r="I2221" t="s">
        <v>10</v>
      </c>
    </row>
    <row r="2222" spans="1:9" x14ac:dyDescent="0.25">
      <c r="A2222" t="str">
        <f t="shared" si="40"/>
        <v>89301000</v>
      </c>
      <c r="B2222" t="str">
        <f>"2112240867"</f>
        <v>2112240867</v>
      </c>
      <c r="C2222" s="1">
        <v>45070</v>
      </c>
      <c r="D2222" s="1">
        <v>45072</v>
      </c>
      <c r="E2222">
        <v>1</v>
      </c>
      <c r="F2222" t="str">
        <f>"12-I10-02"</f>
        <v>12-I10-02</v>
      </c>
      <c r="G2222">
        <v>0.51690000000000003</v>
      </c>
      <c r="H2222" t="s">
        <v>9</v>
      </c>
      <c r="I2222" t="s">
        <v>10</v>
      </c>
    </row>
    <row r="2223" spans="1:9" x14ac:dyDescent="0.25">
      <c r="A2223" t="str">
        <f t="shared" si="40"/>
        <v>89301000</v>
      </c>
      <c r="B2223" t="str">
        <f>"2152120674"</f>
        <v>2152120674</v>
      </c>
      <c r="C2223" s="1">
        <v>44982</v>
      </c>
      <c r="D2223" s="1">
        <v>44983</v>
      </c>
      <c r="E2223">
        <v>1</v>
      </c>
      <c r="F2223" t="str">
        <f>"09-K12-00"</f>
        <v>09-K12-00</v>
      </c>
      <c r="G2223">
        <v>0.26040000000000002</v>
      </c>
      <c r="H2223" t="s">
        <v>11</v>
      </c>
      <c r="I2223" t="s">
        <v>10</v>
      </c>
    </row>
    <row r="2224" spans="1:9" x14ac:dyDescent="0.25">
      <c r="A2224" t="str">
        <f t="shared" si="40"/>
        <v>89301000</v>
      </c>
      <c r="B2224" t="str">
        <f>"2152150495"</f>
        <v>2152150495</v>
      </c>
      <c r="C2224" s="1">
        <v>44958</v>
      </c>
      <c r="D2224" s="1">
        <v>44960</v>
      </c>
      <c r="E2224">
        <v>1</v>
      </c>
      <c r="F2224" t="str">
        <f>"06-K02-04"</f>
        <v>06-K02-04</v>
      </c>
      <c r="G2224">
        <v>0.37659999999999999</v>
      </c>
      <c r="H2224" t="s">
        <v>11</v>
      </c>
      <c r="I2224" t="s">
        <v>10</v>
      </c>
    </row>
    <row r="2225" spans="1:9" x14ac:dyDescent="0.25">
      <c r="A2225" t="str">
        <f t="shared" si="40"/>
        <v>89301000</v>
      </c>
      <c r="B2225" t="str">
        <f>"2153240001"</f>
        <v>2153240001</v>
      </c>
      <c r="C2225" s="1">
        <v>45118</v>
      </c>
      <c r="D2225" s="1">
        <v>45119</v>
      </c>
      <c r="E2225">
        <v>1</v>
      </c>
      <c r="F2225" t="str">
        <f>"06-K10-03"</f>
        <v>06-K10-03</v>
      </c>
      <c r="G2225">
        <v>0.43519999999999998</v>
      </c>
      <c r="H2225" t="s">
        <v>11</v>
      </c>
      <c r="I2225" t="s">
        <v>10</v>
      </c>
    </row>
    <row r="2226" spans="1:9" x14ac:dyDescent="0.25">
      <c r="A2226" t="str">
        <f t="shared" si="40"/>
        <v>89301000</v>
      </c>
      <c r="B2226" t="str">
        <f>"2154010936"</f>
        <v>2154010936</v>
      </c>
      <c r="C2226" s="1">
        <v>45126</v>
      </c>
      <c r="D2226" s="1">
        <v>45133</v>
      </c>
      <c r="E2226">
        <v>1</v>
      </c>
      <c r="F2226" t="str">
        <f>"11-K01-02"</f>
        <v>11-K01-02</v>
      </c>
      <c r="G2226">
        <v>0.86480000000000001</v>
      </c>
      <c r="H2226" t="s">
        <v>11</v>
      </c>
      <c r="I2226" t="s">
        <v>10</v>
      </c>
    </row>
    <row r="2227" spans="1:9" x14ac:dyDescent="0.25">
      <c r="A2227" t="str">
        <f t="shared" si="40"/>
        <v>89301000</v>
      </c>
      <c r="B2227" t="str">
        <f>"2154100377"</f>
        <v>2154100377</v>
      </c>
      <c r="C2227" s="1">
        <v>44954</v>
      </c>
      <c r="D2227" s="1">
        <v>44956</v>
      </c>
      <c r="E2227">
        <v>1</v>
      </c>
      <c r="F2227" t="str">
        <f>"06-K02-04"</f>
        <v>06-K02-04</v>
      </c>
      <c r="G2227">
        <v>0.37659999999999999</v>
      </c>
      <c r="H2227" t="s">
        <v>11</v>
      </c>
      <c r="I2227" t="s">
        <v>10</v>
      </c>
    </row>
    <row r="2228" spans="1:9" x14ac:dyDescent="0.25">
      <c r="A2228" t="str">
        <f t="shared" si="40"/>
        <v>89301000</v>
      </c>
      <c r="B2228" t="str">
        <f>"2154200015"</f>
        <v>2154200015</v>
      </c>
      <c r="C2228" s="1">
        <v>45173</v>
      </c>
      <c r="D2228" s="1">
        <v>45194</v>
      </c>
      <c r="E2228">
        <v>1</v>
      </c>
      <c r="F2228" t="str">
        <f>"01-K02-02"</f>
        <v>01-K02-02</v>
      </c>
      <c r="G2228">
        <v>2.0105</v>
      </c>
      <c r="H2228" t="s">
        <v>11</v>
      </c>
      <c r="I2228" t="s">
        <v>10</v>
      </c>
    </row>
    <row r="2229" spans="1:9" x14ac:dyDescent="0.25">
      <c r="A2229" t="str">
        <f t="shared" si="40"/>
        <v>89301000</v>
      </c>
      <c r="B2229" t="str">
        <f>"2154200015"</f>
        <v>2154200015</v>
      </c>
      <c r="C2229" s="1">
        <v>45065</v>
      </c>
      <c r="D2229" s="1">
        <v>45066</v>
      </c>
      <c r="E2229">
        <v>1</v>
      </c>
      <c r="F2229" t="str">
        <f>"03-K12-01"</f>
        <v>03-K12-01</v>
      </c>
      <c r="G2229">
        <v>0.37</v>
      </c>
      <c r="H2229" t="s">
        <v>11</v>
      </c>
      <c r="I2229" t="s">
        <v>10</v>
      </c>
    </row>
    <row r="2230" spans="1:9" x14ac:dyDescent="0.25">
      <c r="A2230" t="str">
        <f t="shared" si="40"/>
        <v>89301000</v>
      </c>
      <c r="B2230" t="str">
        <f>"2154290314"</f>
        <v>2154290314</v>
      </c>
      <c r="C2230" s="1">
        <v>45023</v>
      </c>
      <c r="D2230" s="1">
        <v>45028</v>
      </c>
      <c r="E2230">
        <v>1</v>
      </c>
      <c r="F2230" t="str">
        <f>"04-K02-04"</f>
        <v>04-K02-04</v>
      </c>
      <c r="G2230">
        <v>0.82099999999999995</v>
      </c>
      <c r="H2230" t="s">
        <v>11</v>
      </c>
      <c r="I2230" t="s">
        <v>10</v>
      </c>
    </row>
    <row r="2231" spans="1:9" x14ac:dyDescent="0.25">
      <c r="A2231" t="str">
        <f t="shared" si="40"/>
        <v>89301000</v>
      </c>
      <c r="B2231" t="str">
        <f>"2156090167"</f>
        <v>2156090167</v>
      </c>
      <c r="C2231" s="1">
        <v>45156</v>
      </c>
      <c r="D2231" s="1">
        <v>45158</v>
      </c>
      <c r="E2231">
        <v>1</v>
      </c>
      <c r="F2231" t="str">
        <f>"06-K02-04"</f>
        <v>06-K02-04</v>
      </c>
      <c r="G2231">
        <v>0.37659999999999999</v>
      </c>
      <c r="H2231" t="s">
        <v>11</v>
      </c>
      <c r="I2231" t="s">
        <v>10</v>
      </c>
    </row>
    <row r="2232" spans="1:9" x14ac:dyDescent="0.25">
      <c r="A2232" t="str">
        <f t="shared" ref="A2232:A2295" si="42">"89301000"</f>
        <v>89301000</v>
      </c>
      <c r="B2232" t="str">
        <f>"2156121286"</f>
        <v>2156121286</v>
      </c>
      <c r="C2232" s="1">
        <v>45049</v>
      </c>
      <c r="D2232" s="1">
        <v>45050</v>
      </c>
      <c r="E2232">
        <v>1</v>
      </c>
      <c r="F2232" t="str">
        <f>"04-K13-01"</f>
        <v>04-K13-01</v>
      </c>
      <c r="G2232">
        <v>0.71060000000000001</v>
      </c>
      <c r="H2232" t="s">
        <v>11</v>
      </c>
      <c r="I2232" t="s">
        <v>10</v>
      </c>
    </row>
    <row r="2233" spans="1:9" x14ac:dyDescent="0.25">
      <c r="A2233" t="str">
        <f t="shared" si="42"/>
        <v>89301000</v>
      </c>
      <c r="B2233" t="str">
        <f>"2156141229"</f>
        <v>2156141229</v>
      </c>
      <c r="C2233" s="1">
        <v>45273</v>
      </c>
      <c r="D2233" s="1">
        <v>45275</v>
      </c>
      <c r="E2233">
        <v>1</v>
      </c>
      <c r="F2233" t="str">
        <f>"06-I17-05"</f>
        <v>06-I17-05</v>
      </c>
      <c r="G2233">
        <v>0.39529999999999998</v>
      </c>
      <c r="H2233" t="s">
        <v>12</v>
      </c>
      <c r="I2233" t="s">
        <v>10</v>
      </c>
    </row>
    <row r="2234" spans="1:9" x14ac:dyDescent="0.25">
      <c r="A2234" t="str">
        <f t="shared" si="42"/>
        <v>89301000</v>
      </c>
      <c r="B2234" t="str">
        <f>"2156210232"</f>
        <v>2156210232</v>
      </c>
      <c r="C2234" s="1">
        <v>45099</v>
      </c>
      <c r="D2234" s="1">
        <v>45102</v>
      </c>
      <c r="E2234">
        <v>1</v>
      </c>
      <c r="F2234" t="str">
        <f>"06-K02-04"</f>
        <v>06-K02-04</v>
      </c>
      <c r="G2234">
        <v>0.37659999999999999</v>
      </c>
      <c r="H2234" t="s">
        <v>11</v>
      </c>
      <c r="I2234" t="s">
        <v>10</v>
      </c>
    </row>
    <row r="2235" spans="1:9" x14ac:dyDescent="0.25">
      <c r="A2235" t="str">
        <f t="shared" si="42"/>
        <v>89301000</v>
      </c>
      <c r="B2235" t="str">
        <f>"2156250151"</f>
        <v>2156250151</v>
      </c>
      <c r="C2235" s="1">
        <v>44928</v>
      </c>
      <c r="D2235" s="1">
        <v>44935</v>
      </c>
      <c r="E2235">
        <v>1</v>
      </c>
      <c r="F2235" t="str">
        <f>"04-K02-04"</f>
        <v>04-K02-04</v>
      </c>
      <c r="G2235">
        <v>0.82099999999999995</v>
      </c>
      <c r="H2235" t="s">
        <v>11</v>
      </c>
      <c r="I2235" t="s">
        <v>10</v>
      </c>
    </row>
    <row r="2236" spans="1:9" x14ac:dyDescent="0.25">
      <c r="A2236" t="str">
        <f t="shared" si="42"/>
        <v>89301000</v>
      </c>
      <c r="B2236" t="str">
        <f>"2156250151"</f>
        <v>2156250151</v>
      </c>
      <c r="C2236" s="1">
        <v>45225</v>
      </c>
      <c r="D2236" s="1">
        <v>45227</v>
      </c>
      <c r="E2236">
        <v>1</v>
      </c>
      <c r="F2236" t="str">
        <f>"06-K02-04"</f>
        <v>06-K02-04</v>
      </c>
      <c r="G2236">
        <v>0.37659999999999999</v>
      </c>
      <c r="H2236" t="s">
        <v>11</v>
      </c>
      <c r="I2236" t="s">
        <v>10</v>
      </c>
    </row>
    <row r="2237" spans="1:9" x14ac:dyDescent="0.25">
      <c r="A2237" t="str">
        <f t="shared" si="42"/>
        <v>89301000</v>
      </c>
      <c r="B2237" t="str">
        <f>"2156300641"</f>
        <v>2156300641</v>
      </c>
      <c r="C2237" s="1">
        <v>45065</v>
      </c>
      <c r="D2237" s="1">
        <v>45068</v>
      </c>
      <c r="E2237">
        <v>1</v>
      </c>
      <c r="F2237" t="str">
        <f>"01-K07-01"</f>
        <v>01-K07-01</v>
      </c>
      <c r="G2237">
        <v>1.3108</v>
      </c>
      <c r="H2237" t="s">
        <v>11</v>
      </c>
      <c r="I2237" t="s">
        <v>10</v>
      </c>
    </row>
    <row r="2238" spans="1:9" x14ac:dyDescent="0.25">
      <c r="A2238" t="str">
        <f t="shared" si="42"/>
        <v>89301000</v>
      </c>
      <c r="B2238" t="str">
        <f>"2156301499"</f>
        <v>2156301499</v>
      </c>
      <c r="C2238" s="1">
        <v>45064</v>
      </c>
      <c r="D2238" s="1">
        <v>45067</v>
      </c>
      <c r="E2238">
        <v>1</v>
      </c>
      <c r="F2238" t="str">
        <f>"04-K03-03"</f>
        <v>04-K03-03</v>
      </c>
      <c r="G2238">
        <v>0.56110000000000004</v>
      </c>
      <c r="H2238" t="s">
        <v>11</v>
      </c>
      <c r="I2238" t="s">
        <v>10</v>
      </c>
    </row>
    <row r="2239" spans="1:9" x14ac:dyDescent="0.25">
      <c r="A2239" t="str">
        <f t="shared" si="42"/>
        <v>89301000</v>
      </c>
      <c r="B2239" t="str">
        <f>"2157022043"</f>
        <v>2157022043</v>
      </c>
      <c r="C2239" s="1">
        <v>45034</v>
      </c>
      <c r="D2239" s="1">
        <v>45036</v>
      </c>
      <c r="E2239">
        <v>1</v>
      </c>
      <c r="F2239" t="str">
        <f>"04-K11-02"</f>
        <v>04-K11-02</v>
      </c>
      <c r="G2239">
        <v>1.5442</v>
      </c>
      <c r="H2239" t="s">
        <v>11</v>
      </c>
      <c r="I2239" t="s">
        <v>10</v>
      </c>
    </row>
    <row r="2240" spans="1:9" x14ac:dyDescent="0.25">
      <c r="A2240" t="str">
        <f t="shared" si="42"/>
        <v>89301000</v>
      </c>
      <c r="B2240" t="str">
        <f>"2157022043"</f>
        <v>2157022043</v>
      </c>
      <c r="C2240" s="1">
        <v>44943</v>
      </c>
      <c r="D2240" s="1">
        <v>44945</v>
      </c>
      <c r="E2240">
        <v>1</v>
      </c>
      <c r="F2240" t="str">
        <f>"04-K11-02"</f>
        <v>04-K11-02</v>
      </c>
      <c r="G2240">
        <v>1.5954999999999999</v>
      </c>
      <c r="H2240" t="s">
        <v>11</v>
      </c>
      <c r="I2240" t="s">
        <v>10</v>
      </c>
    </row>
    <row r="2241" spans="1:9" x14ac:dyDescent="0.25">
      <c r="A2241" t="str">
        <f t="shared" si="42"/>
        <v>89301000</v>
      </c>
      <c r="B2241" t="str">
        <f>"2157091618"</f>
        <v>2157091618</v>
      </c>
      <c r="C2241" s="1">
        <v>45270</v>
      </c>
      <c r="D2241" s="1">
        <v>45272</v>
      </c>
      <c r="E2241">
        <v>1</v>
      </c>
      <c r="F2241" t="str">
        <f>"06-K17-02"</f>
        <v>06-K17-02</v>
      </c>
      <c r="G2241">
        <v>0.2999</v>
      </c>
      <c r="H2241" t="s">
        <v>11</v>
      </c>
      <c r="I2241" t="s">
        <v>10</v>
      </c>
    </row>
    <row r="2242" spans="1:9" x14ac:dyDescent="0.25">
      <c r="A2242" t="str">
        <f t="shared" si="42"/>
        <v>89301000</v>
      </c>
      <c r="B2242" t="str">
        <f>"2157120328"</f>
        <v>2157120328</v>
      </c>
      <c r="C2242" s="1">
        <v>45085</v>
      </c>
      <c r="D2242" s="1">
        <v>45087</v>
      </c>
      <c r="E2242">
        <v>1</v>
      </c>
      <c r="F2242" t="str">
        <f>"11-K11-00"</f>
        <v>11-K11-00</v>
      </c>
      <c r="G2242">
        <v>0.48220000000000002</v>
      </c>
      <c r="H2242" t="s">
        <v>11</v>
      </c>
      <c r="I2242" t="s">
        <v>10</v>
      </c>
    </row>
    <row r="2243" spans="1:9" x14ac:dyDescent="0.25">
      <c r="A2243" t="str">
        <f t="shared" si="42"/>
        <v>89301000</v>
      </c>
      <c r="B2243" t="str">
        <f>"2157210715"</f>
        <v>2157210715</v>
      </c>
      <c r="C2243" s="1">
        <v>45198</v>
      </c>
      <c r="D2243" s="1">
        <v>45199</v>
      </c>
      <c r="E2243">
        <v>1</v>
      </c>
      <c r="F2243" t="str">
        <f>"22-K01-00"</f>
        <v>22-K01-00</v>
      </c>
      <c r="G2243">
        <v>0.27</v>
      </c>
      <c r="H2243" t="s">
        <v>11</v>
      </c>
      <c r="I2243" t="s">
        <v>10</v>
      </c>
    </row>
    <row r="2244" spans="1:9" x14ac:dyDescent="0.25">
      <c r="A2244" t="str">
        <f t="shared" si="42"/>
        <v>89301000</v>
      </c>
      <c r="B2244" t="str">
        <f>"2157210715"</f>
        <v>2157210715</v>
      </c>
      <c r="C2244" s="1">
        <v>45085</v>
      </c>
      <c r="D2244" s="1">
        <v>45089</v>
      </c>
      <c r="E2244">
        <v>1</v>
      </c>
      <c r="F2244" t="str">
        <f>"11-K01-03"</f>
        <v>11-K01-03</v>
      </c>
      <c r="G2244">
        <v>0.68789999999999996</v>
      </c>
      <c r="H2244" t="s">
        <v>11</v>
      </c>
      <c r="I2244" t="s">
        <v>10</v>
      </c>
    </row>
    <row r="2245" spans="1:9" x14ac:dyDescent="0.25">
      <c r="A2245" t="str">
        <f t="shared" si="42"/>
        <v>89301000</v>
      </c>
      <c r="B2245" t="str">
        <f>"2157211232"</f>
        <v>2157211232</v>
      </c>
      <c r="C2245" s="1">
        <v>45176</v>
      </c>
      <c r="D2245" s="1">
        <v>45178</v>
      </c>
      <c r="E2245">
        <v>1</v>
      </c>
      <c r="F2245" t="str">
        <f>"04-K13-01"</f>
        <v>04-K13-01</v>
      </c>
      <c r="G2245">
        <v>0.68720000000000003</v>
      </c>
      <c r="H2245" t="s">
        <v>11</v>
      </c>
      <c r="I2245" t="s">
        <v>10</v>
      </c>
    </row>
    <row r="2246" spans="1:9" x14ac:dyDescent="0.25">
      <c r="A2246" t="str">
        <f t="shared" si="42"/>
        <v>89301000</v>
      </c>
      <c r="B2246" t="str">
        <f>"2157260633"</f>
        <v>2157260633</v>
      </c>
      <c r="C2246" s="1">
        <v>44993</v>
      </c>
      <c r="D2246" s="1">
        <v>44994</v>
      </c>
      <c r="E2246">
        <v>1</v>
      </c>
      <c r="F2246" t="str">
        <f>"08-I26-02"</f>
        <v>08-I26-02</v>
      </c>
      <c r="G2246">
        <v>0.80410000000000004</v>
      </c>
      <c r="H2246" t="s">
        <v>11</v>
      </c>
      <c r="I2246" t="s">
        <v>10</v>
      </c>
    </row>
    <row r="2247" spans="1:9" x14ac:dyDescent="0.25">
      <c r="A2247" t="str">
        <f t="shared" si="42"/>
        <v>89301000</v>
      </c>
      <c r="B2247" t="str">
        <f>"2157281335"</f>
        <v>2157281335</v>
      </c>
      <c r="C2247" s="1">
        <v>44954</v>
      </c>
      <c r="D2247" s="1">
        <v>44956</v>
      </c>
      <c r="E2247">
        <v>1</v>
      </c>
      <c r="F2247" t="str">
        <f>"04-K03-01"</f>
        <v>04-K03-01</v>
      </c>
      <c r="G2247">
        <v>1.3408</v>
      </c>
      <c r="H2247" t="s">
        <v>11</v>
      </c>
      <c r="I2247" t="s">
        <v>10</v>
      </c>
    </row>
    <row r="2248" spans="1:9" x14ac:dyDescent="0.25">
      <c r="A2248" t="str">
        <f t="shared" si="42"/>
        <v>89301000</v>
      </c>
      <c r="B2248" t="str">
        <f>"2158020667"</f>
        <v>2158020667</v>
      </c>
      <c r="C2248" s="1">
        <v>44981</v>
      </c>
      <c r="D2248" s="1">
        <v>44984</v>
      </c>
      <c r="E2248">
        <v>1</v>
      </c>
      <c r="F2248" t="str">
        <f>"04-K03-03"</f>
        <v>04-K03-03</v>
      </c>
      <c r="G2248">
        <v>0.56110000000000004</v>
      </c>
      <c r="H2248" t="s">
        <v>11</v>
      </c>
      <c r="I2248" t="s">
        <v>10</v>
      </c>
    </row>
    <row r="2249" spans="1:9" x14ac:dyDescent="0.25">
      <c r="A2249" t="str">
        <f t="shared" si="42"/>
        <v>89301000</v>
      </c>
      <c r="B2249" t="str">
        <f>"2158030611"</f>
        <v>2158030611</v>
      </c>
      <c r="C2249" s="1">
        <v>45280</v>
      </c>
      <c r="D2249" s="1">
        <v>45282</v>
      </c>
      <c r="E2249">
        <v>1</v>
      </c>
      <c r="F2249" t="str">
        <f>"01-K07-01"</f>
        <v>01-K07-01</v>
      </c>
      <c r="G2249">
        <v>1.3108</v>
      </c>
      <c r="H2249" t="s">
        <v>11</v>
      </c>
      <c r="I2249" t="s">
        <v>10</v>
      </c>
    </row>
    <row r="2250" spans="1:9" x14ac:dyDescent="0.25">
      <c r="A2250" t="str">
        <f t="shared" si="42"/>
        <v>89301000</v>
      </c>
      <c r="B2250" t="str">
        <f>"2158130843"</f>
        <v>2158130843</v>
      </c>
      <c r="C2250" s="1">
        <v>45211</v>
      </c>
      <c r="D2250" s="1">
        <v>45213</v>
      </c>
      <c r="E2250">
        <v>1</v>
      </c>
      <c r="F2250" t="str">
        <f>"11-K01-03"</f>
        <v>11-K01-03</v>
      </c>
      <c r="G2250">
        <v>0.68389999999999995</v>
      </c>
      <c r="H2250" t="s">
        <v>11</v>
      </c>
      <c r="I2250" t="s">
        <v>10</v>
      </c>
    </row>
    <row r="2251" spans="1:9" x14ac:dyDescent="0.25">
      <c r="A2251" t="str">
        <f t="shared" si="42"/>
        <v>89301000</v>
      </c>
      <c r="B2251" t="str">
        <f>"2158160785"</f>
        <v>2158160785</v>
      </c>
      <c r="C2251" s="1">
        <v>45043</v>
      </c>
      <c r="D2251" s="1">
        <v>45045</v>
      </c>
      <c r="E2251">
        <v>1</v>
      </c>
      <c r="F2251" t="str">
        <f>"06-K02-04"</f>
        <v>06-K02-04</v>
      </c>
      <c r="G2251">
        <v>0.37659999999999999</v>
      </c>
      <c r="H2251" t="s">
        <v>11</v>
      </c>
      <c r="I2251" t="s">
        <v>10</v>
      </c>
    </row>
    <row r="2252" spans="1:9" x14ac:dyDescent="0.25">
      <c r="A2252" t="str">
        <f t="shared" si="42"/>
        <v>89301000</v>
      </c>
      <c r="B2252" t="str">
        <f>"2158191728"</f>
        <v>2158191728</v>
      </c>
      <c r="C2252" s="1">
        <v>45092</v>
      </c>
      <c r="D2252" s="1">
        <v>45098</v>
      </c>
      <c r="E2252">
        <v>1</v>
      </c>
      <c r="F2252" t="str">
        <f>"18-K01-03"</f>
        <v>18-K01-03</v>
      </c>
      <c r="G2252">
        <v>1.5416000000000001</v>
      </c>
      <c r="H2252" t="s">
        <v>11</v>
      </c>
      <c r="I2252" t="s">
        <v>10</v>
      </c>
    </row>
    <row r="2253" spans="1:9" x14ac:dyDescent="0.25">
      <c r="A2253" t="str">
        <f t="shared" si="42"/>
        <v>89301000</v>
      </c>
      <c r="B2253" t="str">
        <f>"2158310495"</f>
        <v>2158310495</v>
      </c>
      <c r="C2253" s="1">
        <v>44964</v>
      </c>
      <c r="D2253" s="1">
        <v>44971</v>
      </c>
      <c r="E2253">
        <v>1</v>
      </c>
      <c r="F2253" t="str">
        <f>"08-I21-02"</f>
        <v>08-I21-02</v>
      </c>
      <c r="G2253">
        <v>1.2658</v>
      </c>
      <c r="H2253" t="s">
        <v>12</v>
      </c>
      <c r="I2253" t="s">
        <v>10</v>
      </c>
    </row>
    <row r="2254" spans="1:9" x14ac:dyDescent="0.25">
      <c r="A2254" t="str">
        <f t="shared" si="42"/>
        <v>89301000</v>
      </c>
      <c r="B2254" t="str">
        <f>"2158311386"</f>
        <v>2158311386</v>
      </c>
      <c r="C2254" s="1">
        <v>45060</v>
      </c>
      <c r="D2254" s="1">
        <v>45062</v>
      </c>
      <c r="E2254">
        <v>1</v>
      </c>
      <c r="F2254" t="str">
        <f>"06-I21-03"</f>
        <v>06-I21-03</v>
      </c>
      <c r="G2254">
        <v>0.45319999999999999</v>
      </c>
      <c r="H2254" t="s">
        <v>12</v>
      </c>
      <c r="I2254" t="s">
        <v>10</v>
      </c>
    </row>
    <row r="2255" spans="1:9" x14ac:dyDescent="0.25">
      <c r="A2255" t="str">
        <f t="shared" si="42"/>
        <v>89301000</v>
      </c>
      <c r="B2255" t="str">
        <f>"2159071475"</f>
        <v>2159071475</v>
      </c>
      <c r="C2255" s="1">
        <v>45068</v>
      </c>
      <c r="D2255" s="1">
        <v>45070</v>
      </c>
      <c r="E2255">
        <v>1</v>
      </c>
      <c r="F2255" t="str">
        <f>"06-M01-05"</f>
        <v>06-M01-05</v>
      </c>
      <c r="G2255">
        <v>0.4481</v>
      </c>
      <c r="H2255" t="s">
        <v>11</v>
      </c>
      <c r="I2255" t="s">
        <v>10</v>
      </c>
    </row>
    <row r="2256" spans="1:9" x14ac:dyDescent="0.25">
      <c r="A2256" t="str">
        <f t="shared" si="42"/>
        <v>89301000</v>
      </c>
      <c r="B2256" t="str">
        <f>"2159130083"</f>
        <v>2159130083</v>
      </c>
      <c r="C2256" s="1">
        <v>45207</v>
      </c>
      <c r="D2256" s="1">
        <v>45209</v>
      </c>
      <c r="E2256">
        <v>1</v>
      </c>
      <c r="F2256" t="str">
        <f>"03-I21-00"</f>
        <v>03-I21-00</v>
      </c>
      <c r="G2256">
        <v>0.43319999999999997</v>
      </c>
      <c r="H2256" t="s">
        <v>11</v>
      </c>
      <c r="I2256" t="s">
        <v>10</v>
      </c>
    </row>
    <row r="2257" spans="1:9" x14ac:dyDescent="0.25">
      <c r="A2257" t="str">
        <f t="shared" si="42"/>
        <v>89301000</v>
      </c>
      <c r="B2257" t="str">
        <f>"2159160278"</f>
        <v>2159160278</v>
      </c>
      <c r="C2257" s="1">
        <v>45096</v>
      </c>
      <c r="D2257" s="1">
        <v>45099</v>
      </c>
      <c r="E2257">
        <v>1</v>
      </c>
      <c r="F2257" t="str">
        <f>"01-K07-01"</f>
        <v>01-K07-01</v>
      </c>
      <c r="G2257">
        <v>1.3108</v>
      </c>
      <c r="H2257" t="s">
        <v>11</v>
      </c>
      <c r="I2257" t="s">
        <v>10</v>
      </c>
    </row>
    <row r="2258" spans="1:9" x14ac:dyDescent="0.25">
      <c r="A2258" t="str">
        <f t="shared" si="42"/>
        <v>89301000</v>
      </c>
      <c r="B2258" t="str">
        <f>"2160010908"</f>
        <v>2160010908</v>
      </c>
      <c r="C2258" s="1">
        <v>45147</v>
      </c>
      <c r="D2258" s="1">
        <v>45148</v>
      </c>
      <c r="E2258">
        <v>1</v>
      </c>
      <c r="F2258" t="str">
        <f>"06-K02-04"</f>
        <v>06-K02-04</v>
      </c>
      <c r="G2258">
        <v>0.37659999999999999</v>
      </c>
      <c r="H2258" t="s">
        <v>11</v>
      </c>
      <c r="I2258" t="s">
        <v>10</v>
      </c>
    </row>
    <row r="2259" spans="1:9" x14ac:dyDescent="0.25">
      <c r="A2259" t="str">
        <f t="shared" si="42"/>
        <v>89301000</v>
      </c>
      <c r="B2259" t="str">
        <f>"2160060672"</f>
        <v>2160060672</v>
      </c>
      <c r="C2259" s="1">
        <v>45139</v>
      </c>
      <c r="D2259" s="1">
        <v>45140</v>
      </c>
      <c r="E2259">
        <v>1</v>
      </c>
      <c r="F2259" t="str">
        <f>"06-K02-04"</f>
        <v>06-K02-04</v>
      </c>
      <c r="G2259">
        <v>0.37659999999999999</v>
      </c>
      <c r="H2259" t="s">
        <v>11</v>
      </c>
      <c r="I2259" t="s">
        <v>10</v>
      </c>
    </row>
    <row r="2260" spans="1:9" x14ac:dyDescent="0.25">
      <c r="A2260" t="str">
        <f t="shared" si="42"/>
        <v>89301000</v>
      </c>
      <c r="B2260" t="str">
        <f>"2160150597"</f>
        <v>2160150597</v>
      </c>
      <c r="C2260" s="1">
        <v>44954</v>
      </c>
      <c r="D2260" s="1">
        <v>44958</v>
      </c>
      <c r="E2260">
        <v>1</v>
      </c>
      <c r="F2260" t="str">
        <f>"04-K03-03"</f>
        <v>04-K03-03</v>
      </c>
      <c r="G2260">
        <v>0.56110000000000004</v>
      </c>
      <c r="H2260" t="s">
        <v>11</v>
      </c>
      <c r="I2260" t="s">
        <v>10</v>
      </c>
    </row>
    <row r="2261" spans="1:9" x14ac:dyDescent="0.25">
      <c r="A2261" t="str">
        <f t="shared" si="42"/>
        <v>89301000</v>
      </c>
      <c r="B2261" t="str">
        <f>"2160210800"</f>
        <v>2160210800</v>
      </c>
      <c r="C2261" s="1">
        <v>45010</v>
      </c>
      <c r="D2261" s="1">
        <v>45011</v>
      </c>
      <c r="E2261">
        <v>1</v>
      </c>
      <c r="F2261" t="str">
        <f>"21-K02-00"</f>
        <v>21-K02-00</v>
      </c>
      <c r="G2261">
        <v>0.39829999999999999</v>
      </c>
      <c r="H2261" t="s">
        <v>11</v>
      </c>
      <c r="I2261" t="s">
        <v>10</v>
      </c>
    </row>
    <row r="2262" spans="1:9" x14ac:dyDescent="0.25">
      <c r="A2262" t="str">
        <f t="shared" si="42"/>
        <v>89301000</v>
      </c>
      <c r="B2262" t="str">
        <f>"2161091306"</f>
        <v>2161091306</v>
      </c>
      <c r="C2262" s="1">
        <v>45046</v>
      </c>
      <c r="D2262" s="1">
        <v>45054</v>
      </c>
      <c r="E2262">
        <v>1</v>
      </c>
      <c r="F2262" t="str">
        <f>"04-M01-07"</f>
        <v>04-M01-07</v>
      </c>
      <c r="G2262">
        <v>3.2717000000000001</v>
      </c>
      <c r="H2262" t="s">
        <v>11</v>
      </c>
      <c r="I2262" t="s">
        <v>10</v>
      </c>
    </row>
    <row r="2263" spans="1:9" x14ac:dyDescent="0.25">
      <c r="A2263" t="str">
        <f t="shared" si="42"/>
        <v>89301000</v>
      </c>
      <c r="B2263" t="str">
        <f>"2161120291"</f>
        <v>2161120291</v>
      </c>
      <c r="C2263" s="1">
        <v>44945</v>
      </c>
      <c r="D2263" s="1">
        <v>44948</v>
      </c>
      <c r="E2263">
        <v>1</v>
      </c>
      <c r="F2263" t="str">
        <f>"11-I17-03"</f>
        <v>11-I17-03</v>
      </c>
      <c r="G2263">
        <v>0.45600000000000002</v>
      </c>
      <c r="H2263" t="s">
        <v>11</v>
      </c>
      <c r="I2263" t="s">
        <v>10</v>
      </c>
    </row>
    <row r="2264" spans="1:9" x14ac:dyDescent="0.25">
      <c r="A2264" t="str">
        <f t="shared" si="42"/>
        <v>89301000</v>
      </c>
      <c r="B2264" t="str">
        <f>"2161220105"</f>
        <v>2161220105</v>
      </c>
      <c r="C2264" s="1">
        <v>44933</v>
      </c>
      <c r="D2264" s="1">
        <v>44939</v>
      </c>
      <c r="E2264">
        <v>1</v>
      </c>
      <c r="F2264" t="str">
        <f>"08-C01-05"</f>
        <v>08-C01-05</v>
      </c>
      <c r="G2264">
        <v>1.2393000000000001</v>
      </c>
      <c r="H2264" t="s">
        <v>11</v>
      </c>
      <c r="I2264" t="s">
        <v>10</v>
      </c>
    </row>
    <row r="2265" spans="1:9" x14ac:dyDescent="0.25">
      <c r="A2265" t="str">
        <f t="shared" si="42"/>
        <v>89301000</v>
      </c>
      <c r="B2265" t="str">
        <f>"2161250685"</f>
        <v>2161250685</v>
      </c>
      <c r="C2265" s="1">
        <v>45129</v>
      </c>
      <c r="D2265" s="1">
        <v>45132</v>
      </c>
      <c r="E2265">
        <v>1</v>
      </c>
      <c r="F2265" t="str">
        <f>"11-K01-02"</f>
        <v>11-K01-02</v>
      </c>
      <c r="G2265">
        <v>0.86480000000000001</v>
      </c>
      <c r="H2265" t="s">
        <v>11</v>
      </c>
      <c r="I2265" t="s">
        <v>10</v>
      </c>
    </row>
    <row r="2266" spans="1:9" x14ac:dyDescent="0.25">
      <c r="A2266" t="str">
        <f t="shared" si="42"/>
        <v>89301000</v>
      </c>
      <c r="B2266" t="str">
        <f>"2161250685"</f>
        <v>2161250685</v>
      </c>
      <c r="C2266" s="1">
        <v>45052</v>
      </c>
      <c r="D2266" s="1">
        <v>45056</v>
      </c>
      <c r="E2266">
        <v>1</v>
      </c>
      <c r="F2266" t="str">
        <f>"01-K18-04"</f>
        <v>01-K18-04</v>
      </c>
      <c r="G2266">
        <v>0.54879999999999995</v>
      </c>
      <c r="H2266" t="s">
        <v>11</v>
      </c>
      <c r="I2266" t="s">
        <v>10</v>
      </c>
    </row>
    <row r="2267" spans="1:9" x14ac:dyDescent="0.25">
      <c r="A2267" t="str">
        <f t="shared" si="42"/>
        <v>89301000</v>
      </c>
      <c r="B2267" t="str">
        <f>"2162010367"</f>
        <v>2162010367</v>
      </c>
      <c r="C2267" s="1">
        <v>44951</v>
      </c>
      <c r="D2267" s="1">
        <v>44956</v>
      </c>
      <c r="E2267">
        <v>1</v>
      </c>
      <c r="F2267" t="str">
        <f>"04-K03-01"</f>
        <v>04-K03-01</v>
      </c>
      <c r="G2267">
        <v>1.3734</v>
      </c>
      <c r="H2267" t="s">
        <v>11</v>
      </c>
      <c r="I2267" t="s">
        <v>10</v>
      </c>
    </row>
    <row r="2268" spans="1:9" x14ac:dyDescent="0.25">
      <c r="A2268" t="str">
        <f t="shared" si="42"/>
        <v>89301000</v>
      </c>
      <c r="B2268" t="str">
        <f>"2162080701"</f>
        <v>2162080701</v>
      </c>
      <c r="C2268" s="1">
        <v>45244</v>
      </c>
      <c r="D2268" s="1">
        <v>45245</v>
      </c>
      <c r="E2268">
        <v>1</v>
      </c>
      <c r="F2268" t="str">
        <f>"03-K02-03"</f>
        <v>03-K02-03</v>
      </c>
      <c r="G2268">
        <v>0.33960000000000001</v>
      </c>
      <c r="H2268" t="s">
        <v>11</v>
      </c>
      <c r="I2268" t="s">
        <v>10</v>
      </c>
    </row>
    <row r="2269" spans="1:9" x14ac:dyDescent="0.25">
      <c r="A2269" t="str">
        <f t="shared" si="42"/>
        <v>89301000</v>
      </c>
      <c r="B2269" t="str">
        <f>"2162080701"</f>
        <v>2162080701</v>
      </c>
      <c r="C2269" s="1">
        <v>45154</v>
      </c>
      <c r="D2269" s="1">
        <v>45159</v>
      </c>
      <c r="E2269">
        <v>1</v>
      </c>
      <c r="F2269" t="str">
        <f>"06-K02-04"</f>
        <v>06-K02-04</v>
      </c>
      <c r="G2269">
        <v>0.37659999999999999</v>
      </c>
      <c r="H2269" t="s">
        <v>11</v>
      </c>
      <c r="I2269" t="s">
        <v>10</v>
      </c>
    </row>
    <row r="2270" spans="1:9" x14ac:dyDescent="0.25">
      <c r="A2270" t="str">
        <f t="shared" si="42"/>
        <v>89301000</v>
      </c>
      <c r="B2270" t="str">
        <f>"2162080701"</f>
        <v>2162080701</v>
      </c>
      <c r="C2270" s="1">
        <v>45045</v>
      </c>
      <c r="D2270" s="1">
        <v>45047</v>
      </c>
      <c r="E2270">
        <v>1</v>
      </c>
      <c r="F2270" t="str">
        <f>"06-K02-04"</f>
        <v>06-K02-04</v>
      </c>
      <c r="G2270">
        <v>0.37659999999999999</v>
      </c>
      <c r="H2270" t="s">
        <v>11</v>
      </c>
      <c r="I2270" t="s">
        <v>10</v>
      </c>
    </row>
    <row r="2271" spans="1:9" x14ac:dyDescent="0.25">
      <c r="A2271" t="str">
        <f t="shared" si="42"/>
        <v>89301000</v>
      </c>
      <c r="B2271" t="str">
        <f>"2162191174"</f>
        <v>2162191174</v>
      </c>
      <c r="C2271" s="1">
        <v>45071</v>
      </c>
      <c r="D2271" s="1">
        <v>45074</v>
      </c>
      <c r="E2271">
        <v>1</v>
      </c>
      <c r="F2271" t="str">
        <f>"11-K11-00"</f>
        <v>11-K11-00</v>
      </c>
      <c r="G2271">
        <v>0.48220000000000002</v>
      </c>
      <c r="H2271" t="s">
        <v>11</v>
      </c>
      <c r="I2271" t="s">
        <v>10</v>
      </c>
    </row>
    <row r="2272" spans="1:9" x14ac:dyDescent="0.25">
      <c r="A2272" t="str">
        <f t="shared" si="42"/>
        <v>89301000</v>
      </c>
      <c r="B2272" t="str">
        <f>"2162191174"</f>
        <v>2162191174</v>
      </c>
      <c r="C2272" s="1">
        <v>45161</v>
      </c>
      <c r="D2272" s="1">
        <v>45174</v>
      </c>
      <c r="E2272">
        <v>1</v>
      </c>
      <c r="F2272" t="str">
        <f>"11-I10-03"</f>
        <v>11-I10-03</v>
      </c>
      <c r="G2272">
        <v>2.3294000000000001</v>
      </c>
      <c r="H2272" t="s">
        <v>12</v>
      </c>
      <c r="I2272" t="s">
        <v>10</v>
      </c>
    </row>
    <row r="2273" spans="1:9" x14ac:dyDescent="0.25">
      <c r="A2273" t="str">
        <f t="shared" si="42"/>
        <v>89301000</v>
      </c>
      <c r="B2273" t="str">
        <f>"2162280505"</f>
        <v>2162280505</v>
      </c>
      <c r="C2273" s="1">
        <v>45155</v>
      </c>
      <c r="D2273" s="1">
        <v>45160</v>
      </c>
      <c r="E2273">
        <v>1</v>
      </c>
      <c r="F2273" t="str">
        <f>"22-I05-04"</f>
        <v>22-I05-04</v>
      </c>
      <c r="G2273">
        <v>0.5675</v>
      </c>
      <c r="H2273" t="s">
        <v>11</v>
      </c>
      <c r="I2273" t="s">
        <v>10</v>
      </c>
    </row>
    <row r="2274" spans="1:9" x14ac:dyDescent="0.25">
      <c r="A2274" t="str">
        <f t="shared" si="42"/>
        <v>89301000</v>
      </c>
      <c r="B2274" t="str">
        <f>"2201030469"</f>
        <v>2201030469</v>
      </c>
      <c r="C2274" s="1">
        <v>45001</v>
      </c>
      <c r="D2274" s="1">
        <v>45013</v>
      </c>
      <c r="E2274">
        <v>1</v>
      </c>
      <c r="F2274" t="str">
        <f>"10-K03-02"</f>
        <v>10-K03-02</v>
      </c>
      <c r="G2274">
        <v>1.6890000000000001</v>
      </c>
      <c r="H2274" t="s">
        <v>11</v>
      </c>
      <c r="I2274" t="s">
        <v>10</v>
      </c>
    </row>
    <row r="2275" spans="1:9" x14ac:dyDescent="0.25">
      <c r="A2275" t="str">
        <f t="shared" si="42"/>
        <v>89301000</v>
      </c>
      <c r="B2275" t="str">
        <f>"2201030469"</f>
        <v>2201030469</v>
      </c>
      <c r="C2275" s="1">
        <v>45136</v>
      </c>
      <c r="D2275" s="1">
        <v>45139</v>
      </c>
      <c r="E2275">
        <v>1</v>
      </c>
      <c r="F2275" t="str">
        <f>"10-K03-02"</f>
        <v>10-K03-02</v>
      </c>
      <c r="G2275">
        <v>1.6890000000000001</v>
      </c>
      <c r="H2275" t="s">
        <v>11</v>
      </c>
      <c r="I2275" t="s">
        <v>10</v>
      </c>
    </row>
    <row r="2276" spans="1:9" x14ac:dyDescent="0.25">
      <c r="A2276" t="str">
        <f t="shared" si="42"/>
        <v>89301000</v>
      </c>
      <c r="B2276" t="str">
        <f>"2201050731"</f>
        <v>2201050731</v>
      </c>
      <c r="C2276" s="1">
        <v>45076</v>
      </c>
      <c r="D2276" s="1">
        <v>45077</v>
      </c>
      <c r="E2276">
        <v>1</v>
      </c>
      <c r="F2276" t="str">
        <f>"01-K18-04"</f>
        <v>01-K18-04</v>
      </c>
      <c r="G2276">
        <v>0.54610000000000003</v>
      </c>
      <c r="H2276" t="s">
        <v>11</v>
      </c>
      <c r="I2276" t="s">
        <v>10</v>
      </c>
    </row>
    <row r="2277" spans="1:9" x14ac:dyDescent="0.25">
      <c r="A2277" t="str">
        <f t="shared" si="42"/>
        <v>89301000</v>
      </c>
      <c r="B2277" t="str">
        <f>"2201121615"</f>
        <v>2201121615</v>
      </c>
      <c r="C2277" s="1">
        <v>45264</v>
      </c>
      <c r="D2277" s="1">
        <v>45266</v>
      </c>
      <c r="E2277">
        <v>1</v>
      </c>
      <c r="F2277" t="str">
        <f>"12-I10-02"</f>
        <v>12-I10-02</v>
      </c>
      <c r="G2277">
        <v>0.51690000000000003</v>
      </c>
      <c r="H2277" t="s">
        <v>9</v>
      </c>
      <c r="I2277" t="s">
        <v>10</v>
      </c>
    </row>
    <row r="2278" spans="1:9" x14ac:dyDescent="0.25">
      <c r="A2278" t="str">
        <f t="shared" si="42"/>
        <v>89301000</v>
      </c>
      <c r="B2278" t="str">
        <f>"2201160280"</f>
        <v>2201160280</v>
      </c>
      <c r="C2278" s="1">
        <v>44953</v>
      </c>
      <c r="D2278" s="1">
        <v>44956</v>
      </c>
      <c r="E2278">
        <v>1</v>
      </c>
      <c r="F2278" t="str">
        <f>"04-K03-03"</f>
        <v>04-K03-03</v>
      </c>
      <c r="G2278">
        <v>0.56110000000000004</v>
      </c>
      <c r="H2278" t="s">
        <v>11</v>
      </c>
      <c r="I2278" t="s">
        <v>10</v>
      </c>
    </row>
    <row r="2279" spans="1:9" x14ac:dyDescent="0.25">
      <c r="A2279" t="str">
        <f t="shared" si="42"/>
        <v>89301000</v>
      </c>
      <c r="B2279" t="str">
        <f>"2201171544"</f>
        <v>2201171544</v>
      </c>
      <c r="C2279" s="1">
        <v>45210</v>
      </c>
      <c r="D2279" s="1">
        <v>45229</v>
      </c>
      <c r="E2279">
        <v>1</v>
      </c>
      <c r="F2279" t="str">
        <f>"11-K03-01"</f>
        <v>11-K03-01</v>
      </c>
      <c r="G2279">
        <v>1.3329</v>
      </c>
      <c r="H2279" t="s">
        <v>11</v>
      </c>
      <c r="I2279" t="s">
        <v>10</v>
      </c>
    </row>
    <row r="2280" spans="1:9" x14ac:dyDescent="0.25">
      <c r="A2280" t="str">
        <f t="shared" si="42"/>
        <v>89301000</v>
      </c>
      <c r="B2280" t="str">
        <f>"2201171544"</f>
        <v>2201171544</v>
      </c>
      <c r="C2280" s="1">
        <v>45244</v>
      </c>
      <c r="D2280" s="1">
        <v>45259</v>
      </c>
      <c r="E2280">
        <v>1</v>
      </c>
      <c r="F2280" t="str">
        <f>"11-K03-01"</f>
        <v>11-K03-01</v>
      </c>
      <c r="G2280">
        <v>1.2875000000000001</v>
      </c>
      <c r="H2280" t="s">
        <v>11</v>
      </c>
      <c r="I2280" t="s">
        <v>10</v>
      </c>
    </row>
    <row r="2281" spans="1:9" x14ac:dyDescent="0.25">
      <c r="A2281" t="str">
        <f t="shared" si="42"/>
        <v>89301000</v>
      </c>
      <c r="B2281" t="str">
        <f>"2201171544"</f>
        <v>2201171544</v>
      </c>
      <c r="C2281" s="1">
        <v>45187</v>
      </c>
      <c r="D2281" s="1">
        <v>45205</v>
      </c>
      <c r="E2281">
        <v>1</v>
      </c>
      <c r="F2281" t="str">
        <f>"11-K03-01"</f>
        <v>11-K03-01</v>
      </c>
      <c r="G2281">
        <v>1.2875000000000001</v>
      </c>
      <c r="H2281" t="s">
        <v>11</v>
      </c>
      <c r="I2281" t="s">
        <v>10</v>
      </c>
    </row>
    <row r="2282" spans="1:9" x14ac:dyDescent="0.25">
      <c r="A2282" t="str">
        <f t="shared" si="42"/>
        <v>89301000</v>
      </c>
      <c r="B2282" t="str">
        <f>"2201190343"</f>
        <v>2201190343</v>
      </c>
      <c r="C2282" s="1">
        <v>44929</v>
      </c>
      <c r="D2282" s="1">
        <v>44931</v>
      </c>
      <c r="E2282">
        <v>1</v>
      </c>
      <c r="F2282" t="str">
        <f>"04-K03-03"</f>
        <v>04-K03-03</v>
      </c>
      <c r="G2282">
        <v>0.56510000000000005</v>
      </c>
      <c r="H2282" t="s">
        <v>11</v>
      </c>
      <c r="I2282" t="s">
        <v>10</v>
      </c>
    </row>
    <row r="2283" spans="1:9" x14ac:dyDescent="0.25">
      <c r="A2283" t="str">
        <f t="shared" si="42"/>
        <v>89301000</v>
      </c>
      <c r="B2283" t="str">
        <f>"2201201739"</f>
        <v>2201201739</v>
      </c>
      <c r="C2283" s="1">
        <v>45096</v>
      </c>
      <c r="D2283" s="1">
        <v>45099</v>
      </c>
      <c r="E2283">
        <v>1</v>
      </c>
      <c r="F2283" t="str">
        <f>"12-I10-02"</f>
        <v>12-I10-02</v>
      </c>
      <c r="G2283">
        <v>0.51690000000000003</v>
      </c>
      <c r="H2283" t="s">
        <v>9</v>
      </c>
      <c r="I2283" t="s">
        <v>10</v>
      </c>
    </row>
    <row r="2284" spans="1:9" x14ac:dyDescent="0.25">
      <c r="A2284" t="str">
        <f t="shared" si="42"/>
        <v>89301000</v>
      </c>
      <c r="B2284" t="str">
        <f>"2201220021"</f>
        <v>2201220021</v>
      </c>
      <c r="C2284" s="1">
        <v>45012</v>
      </c>
      <c r="D2284" s="1">
        <v>45014</v>
      </c>
      <c r="E2284">
        <v>1</v>
      </c>
      <c r="F2284" t="str">
        <f>"12-I10-02"</f>
        <v>12-I10-02</v>
      </c>
      <c r="G2284">
        <v>0.51690000000000003</v>
      </c>
      <c r="H2284" t="s">
        <v>9</v>
      </c>
      <c r="I2284" t="s">
        <v>10</v>
      </c>
    </row>
    <row r="2285" spans="1:9" x14ac:dyDescent="0.25">
      <c r="A2285" t="str">
        <f t="shared" si="42"/>
        <v>89301000</v>
      </c>
      <c r="B2285" t="str">
        <f>"2201250491"</f>
        <v>2201250491</v>
      </c>
      <c r="C2285" s="1">
        <v>45098</v>
      </c>
      <c r="D2285" s="1">
        <v>45100</v>
      </c>
      <c r="E2285">
        <v>1</v>
      </c>
      <c r="F2285" t="str">
        <f>"06-K02-04"</f>
        <v>06-K02-04</v>
      </c>
      <c r="G2285">
        <v>0.37659999999999999</v>
      </c>
      <c r="H2285" t="s">
        <v>11</v>
      </c>
      <c r="I2285" t="s">
        <v>10</v>
      </c>
    </row>
    <row r="2286" spans="1:9" x14ac:dyDescent="0.25">
      <c r="A2286" t="str">
        <f t="shared" si="42"/>
        <v>89301000</v>
      </c>
      <c r="B2286" t="str">
        <f>"2201271061"</f>
        <v>2201271061</v>
      </c>
      <c r="C2286" s="1">
        <v>45175</v>
      </c>
      <c r="D2286" s="1">
        <v>45177</v>
      </c>
      <c r="E2286">
        <v>1</v>
      </c>
      <c r="F2286" t="str">
        <f>"06-I16-05"</f>
        <v>06-I16-05</v>
      </c>
      <c r="G2286">
        <v>0.4622</v>
      </c>
      <c r="H2286" t="s">
        <v>9</v>
      </c>
      <c r="I2286" t="s">
        <v>10</v>
      </c>
    </row>
    <row r="2287" spans="1:9" x14ac:dyDescent="0.25">
      <c r="A2287" t="str">
        <f t="shared" si="42"/>
        <v>89301000</v>
      </c>
      <c r="B2287" t="str">
        <f>"2202010602"</f>
        <v>2202010602</v>
      </c>
      <c r="C2287" s="1">
        <v>45266</v>
      </c>
      <c r="D2287" s="1">
        <v>45269</v>
      </c>
      <c r="E2287">
        <v>1</v>
      </c>
      <c r="F2287" t="str">
        <f>"03-K01-01"</f>
        <v>03-K01-01</v>
      </c>
      <c r="G2287">
        <v>0.60770000000000002</v>
      </c>
      <c r="H2287" t="s">
        <v>11</v>
      </c>
      <c r="I2287" t="s">
        <v>10</v>
      </c>
    </row>
    <row r="2288" spans="1:9" x14ac:dyDescent="0.25">
      <c r="A2288" t="str">
        <f t="shared" si="42"/>
        <v>89301000</v>
      </c>
      <c r="B2288" t="str">
        <f>"2202020645"</f>
        <v>2202020645</v>
      </c>
      <c r="C2288" s="1">
        <v>45019</v>
      </c>
      <c r="D2288" s="1">
        <v>45021</v>
      </c>
      <c r="E2288">
        <v>1</v>
      </c>
      <c r="F2288" t="str">
        <f>"04-K02-04"</f>
        <v>04-K02-04</v>
      </c>
      <c r="G2288">
        <v>0.82099999999999995</v>
      </c>
      <c r="H2288" t="s">
        <v>11</v>
      </c>
      <c r="I2288" t="s">
        <v>10</v>
      </c>
    </row>
    <row r="2289" spans="1:9" x14ac:dyDescent="0.25">
      <c r="A2289" t="str">
        <f t="shared" si="42"/>
        <v>89301000</v>
      </c>
      <c r="B2289" t="str">
        <f>"2202030589"</f>
        <v>2202030589</v>
      </c>
      <c r="C2289" s="1">
        <v>44929</v>
      </c>
      <c r="D2289" s="1">
        <v>44937</v>
      </c>
      <c r="E2289">
        <v>1</v>
      </c>
      <c r="F2289" t="str">
        <f>"03-K01-01"</f>
        <v>03-K01-01</v>
      </c>
      <c r="G2289">
        <v>0.60770000000000002</v>
      </c>
      <c r="H2289" t="s">
        <v>11</v>
      </c>
      <c r="I2289" t="s">
        <v>10</v>
      </c>
    </row>
    <row r="2290" spans="1:9" x14ac:dyDescent="0.25">
      <c r="A2290" t="str">
        <f t="shared" si="42"/>
        <v>89301000</v>
      </c>
      <c r="B2290" t="str">
        <f>"2202140270"</f>
        <v>2202140270</v>
      </c>
      <c r="C2290" s="1">
        <v>45001</v>
      </c>
      <c r="D2290" s="1">
        <v>45003</v>
      </c>
      <c r="E2290">
        <v>1</v>
      </c>
      <c r="F2290" t="str">
        <f>"11-K11-00"</f>
        <v>11-K11-00</v>
      </c>
      <c r="G2290">
        <v>0.48220000000000002</v>
      </c>
      <c r="H2290" t="s">
        <v>11</v>
      </c>
      <c r="I2290" t="s">
        <v>10</v>
      </c>
    </row>
    <row r="2291" spans="1:9" x14ac:dyDescent="0.25">
      <c r="A2291" t="str">
        <f t="shared" si="42"/>
        <v>89301000</v>
      </c>
      <c r="B2291" t="str">
        <f>"2202180860"</f>
        <v>2202180860</v>
      </c>
      <c r="C2291" s="1">
        <v>45215</v>
      </c>
      <c r="D2291" s="1">
        <v>45216</v>
      </c>
      <c r="E2291">
        <v>1</v>
      </c>
      <c r="F2291" t="str">
        <f>"09-I13-03"</f>
        <v>09-I13-03</v>
      </c>
      <c r="G2291">
        <v>0.79510000000000003</v>
      </c>
      <c r="H2291" t="s">
        <v>11</v>
      </c>
      <c r="I2291" t="s">
        <v>10</v>
      </c>
    </row>
    <row r="2292" spans="1:9" x14ac:dyDescent="0.25">
      <c r="A2292" t="str">
        <f t="shared" si="42"/>
        <v>89301000</v>
      </c>
      <c r="B2292" t="str">
        <f>"2202200011"</f>
        <v>2202200011</v>
      </c>
      <c r="C2292" s="1">
        <v>45007</v>
      </c>
      <c r="D2292" s="1">
        <v>45009</v>
      </c>
      <c r="E2292">
        <v>1</v>
      </c>
      <c r="F2292" t="str">
        <f>"12-I08-03"</f>
        <v>12-I08-03</v>
      </c>
      <c r="G2292">
        <v>0.71730000000000005</v>
      </c>
      <c r="H2292" t="s">
        <v>11</v>
      </c>
      <c r="I2292" t="s">
        <v>10</v>
      </c>
    </row>
    <row r="2293" spans="1:9" x14ac:dyDescent="0.25">
      <c r="A2293" t="str">
        <f t="shared" si="42"/>
        <v>89301000</v>
      </c>
      <c r="B2293" t="str">
        <f>"2202230096"</f>
        <v>2202230096</v>
      </c>
      <c r="C2293" s="1">
        <v>45213</v>
      </c>
      <c r="D2293" s="1">
        <v>45215</v>
      </c>
      <c r="E2293">
        <v>6</v>
      </c>
      <c r="F2293" t="str">
        <f>"21-K05-04"</f>
        <v>21-K05-04</v>
      </c>
      <c r="G2293">
        <v>0.24859999999999999</v>
      </c>
      <c r="H2293" t="s">
        <v>11</v>
      </c>
      <c r="I2293" t="s">
        <v>10</v>
      </c>
    </row>
    <row r="2294" spans="1:9" x14ac:dyDescent="0.25">
      <c r="A2294" t="str">
        <f t="shared" si="42"/>
        <v>89301000</v>
      </c>
      <c r="B2294" t="str">
        <f>"2202240623"</f>
        <v>2202240623</v>
      </c>
      <c r="C2294" s="1">
        <v>45222</v>
      </c>
      <c r="D2294" s="1">
        <v>45224</v>
      </c>
      <c r="E2294">
        <v>1</v>
      </c>
      <c r="F2294" t="str">
        <f>"06-I16-05"</f>
        <v>06-I16-05</v>
      </c>
      <c r="G2294">
        <v>0.4622</v>
      </c>
      <c r="H2294" t="s">
        <v>9</v>
      </c>
      <c r="I2294" t="s">
        <v>10</v>
      </c>
    </row>
    <row r="2295" spans="1:9" x14ac:dyDescent="0.25">
      <c r="A2295" t="str">
        <f t="shared" si="42"/>
        <v>89301000</v>
      </c>
      <c r="B2295" t="str">
        <f>"2203020314"</f>
        <v>2203020314</v>
      </c>
      <c r="C2295" s="1">
        <v>45091</v>
      </c>
      <c r="D2295" s="1">
        <v>45093</v>
      </c>
      <c r="E2295">
        <v>1</v>
      </c>
      <c r="F2295" t="str">
        <f>"12-I08-03"</f>
        <v>12-I08-03</v>
      </c>
      <c r="G2295">
        <v>0.71730000000000005</v>
      </c>
      <c r="H2295" t="s">
        <v>11</v>
      </c>
      <c r="I2295" t="s">
        <v>10</v>
      </c>
    </row>
    <row r="2296" spans="1:9" x14ac:dyDescent="0.25">
      <c r="A2296" t="str">
        <f t="shared" ref="A2296:A2358" si="43">"89301000"</f>
        <v>89301000</v>
      </c>
      <c r="B2296" t="str">
        <f>"2203150444"</f>
        <v>2203150444</v>
      </c>
      <c r="C2296" s="1">
        <v>45084</v>
      </c>
      <c r="D2296" s="1">
        <v>45086</v>
      </c>
      <c r="E2296">
        <v>1</v>
      </c>
      <c r="F2296" t="str">
        <f>"12-I10-02"</f>
        <v>12-I10-02</v>
      </c>
      <c r="G2296">
        <v>0.51690000000000003</v>
      </c>
      <c r="H2296" t="s">
        <v>9</v>
      </c>
      <c r="I2296" t="s">
        <v>10</v>
      </c>
    </row>
    <row r="2297" spans="1:9" x14ac:dyDescent="0.25">
      <c r="A2297" t="str">
        <f t="shared" si="43"/>
        <v>89301000</v>
      </c>
      <c r="B2297" t="str">
        <f>"2203181552"</f>
        <v>2203181552</v>
      </c>
      <c r="C2297" s="1">
        <v>45218</v>
      </c>
      <c r="D2297" s="1">
        <v>45222</v>
      </c>
      <c r="E2297">
        <v>1</v>
      </c>
      <c r="F2297" t="str">
        <f>"06-K02-04"</f>
        <v>06-K02-04</v>
      </c>
      <c r="G2297">
        <v>0.37659999999999999</v>
      </c>
      <c r="H2297" t="s">
        <v>11</v>
      </c>
      <c r="I2297" t="s">
        <v>10</v>
      </c>
    </row>
    <row r="2298" spans="1:9" x14ac:dyDescent="0.25">
      <c r="A2298" t="str">
        <f t="shared" si="43"/>
        <v>89301000</v>
      </c>
      <c r="B2298" t="str">
        <f>"2203190957"</f>
        <v>2203190957</v>
      </c>
      <c r="C2298" s="1">
        <v>44953</v>
      </c>
      <c r="D2298" s="1">
        <v>44963</v>
      </c>
      <c r="E2298">
        <v>1</v>
      </c>
      <c r="F2298" t="str">
        <f>"11-K01-03"</f>
        <v>11-K01-03</v>
      </c>
      <c r="G2298">
        <v>0.871</v>
      </c>
      <c r="H2298" t="s">
        <v>11</v>
      </c>
      <c r="I2298" t="s">
        <v>10</v>
      </c>
    </row>
    <row r="2299" spans="1:9" x14ac:dyDescent="0.25">
      <c r="A2299" t="str">
        <f t="shared" si="43"/>
        <v>89301000</v>
      </c>
      <c r="B2299" t="str">
        <f>"2203190957"</f>
        <v>2203190957</v>
      </c>
      <c r="C2299" s="1">
        <v>44930</v>
      </c>
      <c r="D2299" s="1">
        <v>44943</v>
      </c>
      <c r="E2299">
        <v>1</v>
      </c>
      <c r="F2299" t="str">
        <f>"11-I10-03"</f>
        <v>11-I10-03</v>
      </c>
      <c r="G2299">
        <v>2.3294000000000001</v>
      </c>
      <c r="H2299" t="s">
        <v>12</v>
      </c>
      <c r="I2299" t="s">
        <v>10</v>
      </c>
    </row>
    <row r="2300" spans="1:9" x14ac:dyDescent="0.25">
      <c r="A2300" t="str">
        <f t="shared" si="43"/>
        <v>89301000</v>
      </c>
      <c r="B2300" t="str">
        <f>"2203201000"</f>
        <v>2203201000</v>
      </c>
      <c r="C2300" s="1">
        <v>44938</v>
      </c>
      <c r="D2300" s="1">
        <v>44945</v>
      </c>
      <c r="E2300">
        <v>1</v>
      </c>
      <c r="F2300" t="str">
        <f>"04-K02-04"</f>
        <v>04-K02-04</v>
      </c>
      <c r="G2300">
        <v>0.80120000000000002</v>
      </c>
      <c r="H2300" t="s">
        <v>11</v>
      </c>
      <c r="I2300" t="s">
        <v>10</v>
      </c>
    </row>
    <row r="2301" spans="1:9" x14ac:dyDescent="0.25">
      <c r="A2301" t="str">
        <f t="shared" si="43"/>
        <v>89301000</v>
      </c>
      <c r="B2301" t="str">
        <f>"2203261071"</f>
        <v>2203261071</v>
      </c>
      <c r="C2301" s="1">
        <v>45187</v>
      </c>
      <c r="D2301" s="1">
        <v>45189</v>
      </c>
      <c r="E2301">
        <v>1</v>
      </c>
      <c r="F2301" t="str">
        <f>"12-I08-03"</f>
        <v>12-I08-03</v>
      </c>
      <c r="G2301">
        <v>0.71730000000000005</v>
      </c>
      <c r="H2301" t="s">
        <v>11</v>
      </c>
      <c r="I2301" t="s">
        <v>10</v>
      </c>
    </row>
    <row r="2302" spans="1:9" x14ac:dyDescent="0.25">
      <c r="A2302" t="str">
        <f t="shared" si="43"/>
        <v>89301000</v>
      </c>
      <c r="B2302" t="str">
        <f>"2204020313"</f>
        <v>2204020313</v>
      </c>
      <c r="C2302" s="1">
        <v>45045</v>
      </c>
      <c r="D2302" s="1">
        <v>45050</v>
      </c>
      <c r="E2302">
        <v>1</v>
      </c>
      <c r="F2302" t="str">
        <f>"04-K03-03"</f>
        <v>04-K03-03</v>
      </c>
      <c r="G2302">
        <v>0.56110000000000004</v>
      </c>
      <c r="H2302" t="s">
        <v>11</v>
      </c>
      <c r="I2302" t="s">
        <v>10</v>
      </c>
    </row>
    <row r="2303" spans="1:9" x14ac:dyDescent="0.25">
      <c r="A2303" t="str">
        <f t="shared" si="43"/>
        <v>89301000</v>
      </c>
      <c r="B2303" t="str">
        <f>"2204020313"</f>
        <v>2204020313</v>
      </c>
      <c r="C2303" s="1">
        <v>45259</v>
      </c>
      <c r="D2303" s="1">
        <v>45262</v>
      </c>
      <c r="E2303">
        <v>1</v>
      </c>
      <c r="F2303" t="str">
        <f>"06-I16-05"</f>
        <v>06-I16-05</v>
      </c>
      <c r="G2303">
        <v>0.4622</v>
      </c>
      <c r="H2303" t="s">
        <v>9</v>
      </c>
      <c r="I2303" t="s">
        <v>10</v>
      </c>
    </row>
    <row r="2304" spans="1:9" x14ac:dyDescent="0.25">
      <c r="A2304" t="str">
        <f t="shared" si="43"/>
        <v>89301000</v>
      </c>
      <c r="B2304" t="str">
        <f>"2204130071"</f>
        <v>2204130071</v>
      </c>
      <c r="C2304" s="1">
        <v>45250</v>
      </c>
      <c r="D2304" s="1">
        <v>45253</v>
      </c>
      <c r="E2304">
        <v>1</v>
      </c>
      <c r="F2304" t="str">
        <f>"03-K02-03"</f>
        <v>03-K02-03</v>
      </c>
      <c r="G2304">
        <v>0.33960000000000001</v>
      </c>
      <c r="H2304" t="s">
        <v>11</v>
      </c>
      <c r="I2304" t="s">
        <v>10</v>
      </c>
    </row>
    <row r="2305" spans="1:9" x14ac:dyDescent="0.25">
      <c r="A2305" t="str">
        <f t="shared" si="43"/>
        <v>89301000</v>
      </c>
      <c r="B2305" t="str">
        <f>"2204210305"</f>
        <v>2204210305</v>
      </c>
      <c r="C2305" s="1">
        <v>45077</v>
      </c>
      <c r="D2305" s="1">
        <v>45079</v>
      </c>
      <c r="E2305">
        <v>1</v>
      </c>
      <c r="F2305" t="str">
        <f>"12-I10-02"</f>
        <v>12-I10-02</v>
      </c>
      <c r="G2305">
        <v>0.51690000000000003</v>
      </c>
      <c r="H2305" t="s">
        <v>9</v>
      </c>
      <c r="I2305" t="s">
        <v>10</v>
      </c>
    </row>
    <row r="2306" spans="1:9" x14ac:dyDescent="0.25">
      <c r="A2306" t="str">
        <f t="shared" si="43"/>
        <v>89301000</v>
      </c>
      <c r="B2306" t="str">
        <f>"2204211812"</f>
        <v>2204211812</v>
      </c>
      <c r="C2306" s="1">
        <v>45129</v>
      </c>
      <c r="D2306" s="1">
        <v>45132</v>
      </c>
      <c r="E2306">
        <v>6</v>
      </c>
      <c r="F2306" t="str">
        <f>"06-K02-03"</f>
        <v>06-K02-03</v>
      </c>
      <c r="G2306">
        <v>0.5081</v>
      </c>
      <c r="H2306" t="s">
        <v>11</v>
      </c>
      <c r="I2306" t="s">
        <v>10</v>
      </c>
    </row>
    <row r="2307" spans="1:9" x14ac:dyDescent="0.25">
      <c r="A2307" t="str">
        <f t="shared" si="43"/>
        <v>89301000</v>
      </c>
      <c r="B2307" t="str">
        <f>"2204230358"</f>
        <v>2204230358</v>
      </c>
      <c r="C2307" s="1">
        <v>45221</v>
      </c>
      <c r="D2307" s="1">
        <v>45222</v>
      </c>
      <c r="E2307">
        <v>6</v>
      </c>
      <c r="F2307" t="str">
        <f>"01-K18-04"</f>
        <v>01-K18-04</v>
      </c>
      <c r="G2307">
        <v>0.54610000000000003</v>
      </c>
      <c r="H2307" t="s">
        <v>11</v>
      </c>
      <c r="I2307" t="s">
        <v>10</v>
      </c>
    </row>
    <row r="2308" spans="1:9" x14ac:dyDescent="0.25">
      <c r="A2308" t="str">
        <f t="shared" si="43"/>
        <v>89301000</v>
      </c>
      <c r="B2308" t="str">
        <f>"2204270772"</f>
        <v>2204270772</v>
      </c>
      <c r="C2308" s="1">
        <v>44929</v>
      </c>
      <c r="D2308" s="1">
        <v>44933</v>
      </c>
      <c r="E2308">
        <v>1</v>
      </c>
      <c r="F2308" t="str">
        <f>"04-K03-03"</f>
        <v>04-K03-03</v>
      </c>
      <c r="G2308">
        <v>0.56510000000000005</v>
      </c>
      <c r="H2308" t="s">
        <v>11</v>
      </c>
      <c r="I2308" t="s">
        <v>10</v>
      </c>
    </row>
    <row r="2309" spans="1:9" x14ac:dyDescent="0.25">
      <c r="A2309" t="str">
        <f t="shared" si="43"/>
        <v>89301000</v>
      </c>
      <c r="B2309" t="str">
        <f>"2204280595"</f>
        <v>2204280595</v>
      </c>
      <c r="C2309" s="1">
        <v>45268</v>
      </c>
      <c r="D2309" s="1">
        <v>45272</v>
      </c>
      <c r="E2309">
        <v>1</v>
      </c>
      <c r="F2309" t="str">
        <f>"18-K02-05"</f>
        <v>18-K02-05</v>
      </c>
      <c r="G2309">
        <v>0.47970000000000002</v>
      </c>
      <c r="H2309" t="s">
        <v>11</v>
      </c>
      <c r="I2309" t="s">
        <v>10</v>
      </c>
    </row>
    <row r="2310" spans="1:9" x14ac:dyDescent="0.25">
      <c r="A2310" t="str">
        <f t="shared" si="43"/>
        <v>89301000</v>
      </c>
      <c r="B2310" t="str">
        <f>"2204300285"</f>
        <v>2204300285</v>
      </c>
      <c r="C2310" s="1">
        <v>45167</v>
      </c>
      <c r="D2310" s="1">
        <v>45173</v>
      </c>
      <c r="E2310">
        <v>1</v>
      </c>
      <c r="F2310" t="str">
        <f>"16-K04-02"</f>
        <v>16-K04-02</v>
      </c>
      <c r="G2310">
        <v>0.92759999999999998</v>
      </c>
      <c r="H2310" t="s">
        <v>11</v>
      </c>
      <c r="I2310" t="s">
        <v>10</v>
      </c>
    </row>
    <row r="2311" spans="1:9" x14ac:dyDescent="0.25">
      <c r="A2311" t="str">
        <f t="shared" si="43"/>
        <v>89301000</v>
      </c>
      <c r="B2311" t="str">
        <f>"2204300285"</f>
        <v>2204300285</v>
      </c>
      <c r="C2311" s="1">
        <v>45177</v>
      </c>
      <c r="D2311" s="1">
        <v>45181</v>
      </c>
      <c r="E2311">
        <v>1</v>
      </c>
      <c r="F2311" t="str">
        <f>"16-K04-02"</f>
        <v>16-K04-02</v>
      </c>
      <c r="G2311">
        <v>1.0081</v>
      </c>
      <c r="H2311" t="s">
        <v>11</v>
      </c>
      <c r="I2311" t="s">
        <v>10</v>
      </c>
    </row>
    <row r="2312" spans="1:9" x14ac:dyDescent="0.25">
      <c r="A2312" t="str">
        <f t="shared" si="43"/>
        <v>89301000</v>
      </c>
      <c r="B2312" t="str">
        <f>"2204300285"</f>
        <v>2204300285</v>
      </c>
      <c r="C2312" s="1">
        <v>45203</v>
      </c>
      <c r="D2312" s="1">
        <v>45208</v>
      </c>
      <c r="E2312">
        <v>1</v>
      </c>
      <c r="F2312" t="str">
        <f>"16-K04-02"</f>
        <v>16-K04-02</v>
      </c>
      <c r="G2312">
        <v>0.92759999999999998</v>
      </c>
      <c r="H2312" t="s">
        <v>11</v>
      </c>
      <c r="I2312" t="s">
        <v>10</v>
      </c>
    </row>
    <row r="2313" spans="1:9" x14ac:dyDescent="0.25">
      <c r="A2313" t="str">
        <f t="shared" si="43"/>
        <v>89301000</v>
      </c>
      <c r="B2313" t="str">
        <f>"2204300285"</f>
        <v>2204300285</v>
      </c>
      <c r="C2313" s="1">
        <v>45225</v>
      </c>
      <c r="D2313" s="1">
        <v>45230</v>
      </c>
      <c r="E2313">
        <v>1</v>
      </c>
      <c r="F2313" t="str">
        <f>"16-K04-02"</f>
        <v>16-K04-02</v>
      </c>
      <c r="G2313">
        <v>1.0081</v>
      </c>
      <c r="H2313" t="s">
        <v>11</v>
      </c>
      <c r="I2313" t="s">
        <v>10</v>
      </c>
    </row>
    <row r="2314" spans="1:9" x14ac:dyDescent="0.25">
      <c r="A2314" t="str">
        <f t="shared" si="43"/>
        <v>89301000</v>
      </c>
      <c r="B2314" t="str">
        <f>"2204300285"</f>
        <v>2204300285</v>
      </c>
      <c r="C2314" s="1">
        <v>45275</v>
      </c>
      <c r="D2314" s="1">
        <v>45280</v>
      </c>
      <c r="E2314">
        <v>1</v>
      </c>
      <c r="F2314" t="str">
        <f>"16-K04-02"</f>
        <v>16-K04-02</v>
      </c>
      <c r="G2314">
        <v>0.92759999999999998</v>
      </c>
      <c r="H2314" t="s">
        <v>11</v>
      </c>
      <c r="I2314" t="s">
        <v>10</v>
      </c>
    </row>
    <row r="2315" spans="1:9" x14ac:dyDescent="0.25">
      <c r="A2315" t="str">
        <f t="shared" si="43"/>
        <v>89301000</v>
      </c>
      <c r="B2315" t="str">
        <f>"2205040563"</f>
        <v>2205040563</v>
      </c>
      <c r="C2315" s="1">
        <v>45048</v>
      </c>
      <c r="D2315" s="1">
        <v>45050</v>
      </c>
      <c r="E2315">
        <v>1</v>
      </c>
      <c r="F2315" t="str">
        <f>"06-K02-04"</f>
        <v>06-K02-04</v>
      </c>
      <c r="G2315">
        <v>0.37659999999999999</v>
      </c>
      <c r="H2315" t="s">
        <v>11</v>
      </c>
      <c r="I2315" t="s">
        <v>10</v>
      </c>
    </row>
    <row r="2316" spans="1:9" x14ac:dyDescent="0.25">
      <c r="A2316" t="str">
        <f t="shared" si="43"/>
        <v>89301000</v>
      </c>
      <c r="B2316" t="str">
        <f>"2205090888"</f>
        <v>2205090888</v>
      </c>
      <c r="C2316" s="1">
        <v>45245</v>
      </c>
      <c r="D2316" s="1">
        <v>45247</v>
      </c>
      <c r="E2316">
        <v>1</v>
      </c>
      <c r="F2316" t="str">
        <f>"12-I10-02"</f>
        <v>12-I10-02</v>
      </c>
      <c r="G2316">
        <v>0.51690000000000003</v>
      </c>
      <c r="H2316" t="s">
        <v>9</v>
      </c>
      <c r="I2316" t="s">
        <v>10</v>
      </c>
    </row>
    <row r="2317" spans="1:9" x14ac:dyDescent="0.25">
      <c r="A2317" t="str">
        <f t="shared" si="43"/>
        <v>89301000</v>
      </c>
      <c r="B2317" t="str">
        <f>"2205111436"</f>
        <v>2205111436</v>
      </c>
      <c r="C2317" s="1">
        <v>45176</v>
      </c>
      <c r="D2317" s="1">
        <v>45178</v>
      </c>
      <c r="E2317">
        <v>1</v>
      </c>
      <c r="F2317" t="str">
        <f>"12-I10-02"</f>
        <v>12-I10-02</v>
      </c>
      <c r="G2317">
        <v>0.51690000000000003</v>
      </c>
      <c r="H2317" t="s">
        <v>9</v>
      </c>
      <c r="I2317" t="s">
        <v>10</v>
      </c>
    </row>
    <row r="2318" spans="1:9" x14ac:dyDescent="0.25">
      <c r="A2318" t="str">
        <f t="shared" si="43"/>
        <v>89301000</v>
      </c>
      <c r="B2318" t="str">
        <f>"2205120797"</f>
        <v>2205120797</v>
      </c>
      <c r="C2318" s="1">
        <v>45132</v>
      </c>
      <c r="D2318" s="1">
        <v>45141</v>
      </c>
      <c r="E2318">
        <v>1</v>
      </c>
      <c r="F2318" t="str">
        <f>"10-K03-02"</f>
        <v>10-K03-02</v>
      </c>
      <c r="G2318">
        <v>1.6890000000000001</v>
      </c>
      <c r="H2318" t="s">
        <v>11</v>
      </c>
      <c r="I2318" t="s">
        <v>10</v>
      </c>
    </row>
    <row r="2319" spans="1:9" x14ac:dyDescent="0.25">
      <c r="A2319" t="str">
        <f t="shared" si="43"/>
        <v>89301000</v>
      </c>
      <c r="B2319" t="str">
        <f>"2205130521"</f>
        <v>2205130521</v>
      </c>
      <c r="C2319" s="1">
        <v>45267</v>
      </c>
      <c r="D2319" s="1">
        <v>45279</v>
      </c>
      <c r="E2319">
        <v>1</v>
      </c>
      <c r="F2319" t="str">
        <f>"08-K14-01"</f>
        <v>08-K14-01</v>
      </c>
      <c r="G2319">
        <v>0.82540000000000002</v>
      </c>
      <c r="H2319" t="s">
        <v>11</v>
      </c>
      <c r="I2319" t="s">
        <v>10</v>
      </c>
    </row>
    <row r="2320" spans="1:9" x14ac:dyDescent="0.25">
      <c r="A2320" t="str">
        <f t="shared" si="43"/>
        <v>89301000</v>
      </c>
      <c r="B2320" t="str">
        <f>"2205191659"</f>
        <v>2205191659</v>
      </c>
      <c r="C2320" s="1">
        <v>45154</v>
      </c>
      <c r="D2320" s="1">
        <v>45167</v>
      </c>
      <c r="E2320">
        <v>1</v>
      </c>
      <c r="F2320" t="str">
        <f>"11-I10-03"</f>
        <v>11-I10-03</v>
      </c>
      <c r="G2320">
        <v>2.2928999999999999</v>
      </c>
      <c r="H2320" t="s">
        <v>12</v>
      </c>
      <c r="I2320" t="s">
        <v>10</v>
      </c>
    </row>
    <row r="2321" spans="1:9" x14ac:dyDescent="0.25">
      <c r="A2321" t="str">
        <f t="shared" si="43"/>
        <v>89301000</v>
      </c>
      <c r="B2321" t="str">
        <f>"2205251026"</f>
        <v>2205251026</v>
      </c>
      <c r="C2321" s="1">
        <v>45028</v>
      </c>
      <c r="D2321" s="1">
        <v>45042</v>
      </c>
      <c r="E2321">
        <v>1</v>
      </c>
      <c r="F2321" t="str">
        <f>"11-I10-03"</f>
        <v>11-I10-03</v>
      </c>
      <c r="G2321">
        <v>2.3294000000000001</v>
      </c>
      <c r="H2321" t="s">
        <v>12</v>
      </c>
      <c r="I2321" t="s">
        <v>10</v>
      </c>
    </row>
    <row r="2322" spans="1:9" x14ac:dyDescent="0.25">
      <c r="A2322" t="str">
        <f t="shared" si="43"/>
        <v>89301000</v>
      </c>
      <c r="B2322" t="str">
        <f>"2206060351"</f>
        <v>2206060351</v>
      </c>
      <c r="C2322" s="1">
        <v>45138</v>
      </c>
      <c r="D2322" s="1">
        <v>45140</v>
      </c>
      <c r="E2322">
        <v>1</v>
      </c>
      <c r="F2322" t="str">
        <f>"02-K02-01"</f>
        <v>02-K02-01</v>
      </c>
      <c r="G2322">
        <v>0.91700000000000004</v>
      </c>
      <c r="H2322" t="s">
        <v>11</v>
      </c>
      <c r="I2322" t="s">
        <v>10</v>
      </c>
    </row>
    <row r="2323" spans="1:9" x14ac:dyDescent="0.25">
      <c r="A2323" t="str">
        <f t="shared" si="43"/>
        <v>89301000</v>
      </c>
      <c r="B2323" t="str">
        <f>"2206150155"</f>
        <v>2206150155</v>
      </c>
      <c r="C2323" s="1">
        <v>44998</v>
      </c>
      <c r="D2323" s="1">
        <v>45000</v>
      </c>
      <c r="E2323">
        <v>1</v>
      </c>
      <c r="F2323" t="str">
        <f>"04-K03-02"</f>
        <v>04-K03-02</v>
      </c>
      <c r="G2323">
        <v>0.79500000000000004</v>
      </c>
      <c r="H2323" t="s">
        <v>11</v>
      </c>
      <c r="I2323" t="s">
        <v>10</v>
      </c>
    </row>
    <row r="2324" spans="1:9" x14ac:dyDescent="0.25">
      <c r="A2324" t="str">
        <f t="shared" si="43"/>
        <v>89301000</v>
      </c>
      <c r="B2324" t="str">
        <f>"2206190283"</f>
        <v>2206190283</v>
      </c>
      <c r="C2324" s="1">
        <v>45026</v>
      </c>
      <c r="D2324" s="1">
        <v>45028</v>
      </c>
      <c r="E2324">
        <v>1</v>
      </c>
      <c r="F2324" t="str">
        <f>"06-K02-04"</f>
        <v>06-K02-04</v>
      </c>
      <c r="G2324">
        <v>0.37659999999999999</v>
      </c>
      <c r="H2324" t="s">
        <v>11</v>
      </c>
      <c r="I2324" t="s">
        <v>10</v>
      </c>
    </row>
    <row r="2325" spans="1:9" x14ac:dyDescent="0.25">
      <c r="A2325" t="str">
        <f t="shared" si="43"/>
        <v>89301000</v>
      </c>
      <c r="B2325" t="str">
        <f>"2207130332"</f>
        <v>2207130332</v>
      </c>
      <c r="C2325" s="1">
        <v>45190</v>
      </c>
      <c r="D2325" s="1">
        <v>45192</v>
      </c>
      <c r="E2325">
        <v>1</v>
      </c>
      <c r="F2325" t="str">
        <f>"12-I10-02"</f>
        <v>12-I10-02</v>
      </c>
      <c r="G2325">
        <v>0.51690000000000003</v>
      </c>
      <c r="H2325" t="s">
        <v>9</v>
      </c>
      <c r="I2325" t="s">
        <v>10</v>
      </c>
    </row>
    <row r="2326" spans="1:9" x14ac:dyDescent="0.25">
      <c r="A2326" t="str">
        <f t="shared" si="43"/>
        <v>89301000</v>
      </c>
      <c r="B2326" t="str">
        <f>"2207160252"</f>
        <v>2207160252</v>
      </c>
      <c r="C2326" s="1">
        <v>45005</v>
      </c>
      <c r="D2326" s="1">
        <v>45008</v>
      </c>
      <c r="E2326">
        <v>1</v>
      </c>
      <c r="F2326" t="str">
        <f>"04-K02-04"</f>
        <v>04-K02-04</v>
      </c>
      <c r="G2326">
        <v>0.82099999999999995</v>
      </c>
      <c r="H2326" t="s">
        <v>11</v>
      </c>
      <c r="I2326" t="s">
        <v>10</v>
      </c>
    </row>
    <row r="2327" spans="1:9" x14ac:dyDescent="0.25">
      <c r="A2327" t="str">
        <f t="shared" si="43"/>
        <v>89301000</v>
      </c>
      <c r="B2327" t="str">
        <f>"2207210632"</f>
        <v>2207210632</v>
      </c>
      <c r="C2327" s="1">
        <v>45247</v>
      </c>
      <c r="D2327" s="1">
        <v>45249</v>
      </c>
      <c r="E2327">
        <v>1</v>
      </c>
      <c r="F2327" t="str">
        <f>"06-K02-04"</f>
        <v>06-K02-04</v>
      </c>
      <c r="G2327">
        <v>0.37659999999999999</v>
      </c>
      <c r="H2327" t="s">
        <v>11</v>
      </c>
      <c r="I2327" t="s">
        <v>10</v>
      </c>
    </row>
    <row r="2328" spans="1:9" x14ac:dyDescent="0.25">
      <c r="A2328" t="str">
        <f t="shared" si="43"/>
        <v>89301000</v>
      </c>
      <c r="B2328" t="str">
        <f>"2207250353"</f>
        <v>2207250353</v>
      </c>
      <c r="C2328" s="1">
        <v>45048</v>
      </c>
      <c r="D2328" s="1">
        <v>45049</v>
      </c>
      <c r="E2328">
        <v>1</v>
      </c>
      <c r="F2328" t="str">
        <f>"03-K02-03"</f>
        <v>03-K02-03</v>
      </c>
      <c r="G2328">
        <v>0.33960000000000001</v>
      </c>
      <c r="H2328" t="s">
        <v>11</v>
      </c>
      <c r="I2328" t="s">
        <v>10</v>
      </c>
    </row>
    <row r="2329" spans="1:9" x14ac:dyDescent="0.25">
      <c r="A2329" t="str">
        <f t="shared" si="43"/>
        <v>89301000</v>
      </c>
      <c r="B2329" t="str">
        <f>"2207250353"</f>
        <v>2207250353</v>
      </c>
      <c r="C2329" s="1">
        <v>45033</v>
      </c>
      <c r="D2329" s="1">
        <v>45035</v>
      </c>
      <c r="E2329">
        <v>1</v>
      </c>
      <c r="F2329" t="str">
        <f>"04-K02-04"</f>
        <v>04-K02-04</v>
      </c>
      <c r="G2329">
        <v>0.80120000000000002</v>
      </c>
      <c r="H2329" t="s">
        <v>11</v>
      </c>
      <c r="I2329" t="s">
        <v>10</v>
      </c>
    </row>
    <row r="2330" spans="1:9" x14ac:dyDescent="0.25">
      <c r="A2330" t="str">
        <f t="shared" si="43"/>
        <v>89301000</v>
      </c>
      <c r="B2330" t="str">
        <f>"2207270417"</f>
        <v>2207270417</v>
      </c>
      <c r="C2330" s="1">
        <v>45061</v>
      </c>
      <c r="D2330" s="1">
        <v>45064</v>
      </c>
      <c r="E2330">
        <v>1</v>
      </c>
      <c r="F2330" t="str">
        <f>"06-K02-04"</f>
        <v>06-K02-04</v>
      </c>
      <c r="G2330">
        <v>0.37659999999999999</v>
      </c>
      <c r="H2330" t="s">
        <v>11</v>
      </c>
      <c r="I2330" t="s">
        <v>10</v>
      </c>
    </row>
    <row r="2331" spans="1:9" x14ac:dyDescent="0.25">
      <c r="A2331" t="str">
        <f t="shared" si="43"/>
        <v>89301000</v>
      </c>
      <c r="B2331" t="str">
        <f>"2207280768"</f>
        <v>2207280768</v>
      </c>
      <c r="C2331" s="1">
        <v>45155</v>
      </c>
      <c r="D2331" s="1">
        <v>45157</v>
      </c>
      <c r="E2331">
        <v>1</v>
      </c>
      <c r="F2331" t="str">
        <f>"11-I17-03"</f>
        <v>11-I17-03</v>
      </c>
      <c r="G2331">
        <v>0.45600000000000002</v>
      </c>
      <c r="H2331" t="s">
        <v>11</v>
      </c>
      <c r="I2331" t="s">
        <v>10</v>
      </c>
    </row>
    <row r="2332" spans="1:9" x14ac:dyDescent="0.25">
      <c r="A2332" t="str">
        <f t="shared" si="43"/>
        <v>89301000</v>
      </c>
      <c r="B2332" t="str">
        <f>"2208010376"</f>
        <v>2208010376</v>
      </c>
      <c r="C2332" s="1">
        <v>45021</v>
      </c>
      <c r="D2332" s="1">
        <v>45036</v>
      </c>
      <c r="E2332">
        <v>1</v>
      </c>
      <c r="F2332" t="str">
        <f>"11-I09-00"</f>
        <v>11-I09-00</v>
      </c>
      <c r="G2332">
        <v>2.4554</v>
      </c>
      <c r="H2332" t="s">
        <v>12</v>
      </c>
      <c r="I2332" t="s">
        <v>10</v>
      </c>
    </row>
    <row r="2333" spans="1:9" x14ac:dyDescent="0.25">
      <c r="A2333" t="str">
        <f t="shared" si="43"/>
        <v>89301000</v>
      </c>
      <c r="B2333" t="str">
        <f>"2208121674"</f>
        <v>2208121674</v>
      </c>
      <c r="C2333" s="1">
        <v>44995</v>
      </c>
      <c r="D2333" s="1">
        <v>44998</v>
      </c>
      <c r="E2333">
        <v>1</v>
      </c>
      <c r="F2333" t="str">
        <f>"04-K03-03"</f>
        <v>04-K03-03</v>
      </c>
      <c r="G2333">
        <v>0.56510000000000005</v>
      </c>
      <c r="H2333" t="s">
        <v>11</v>
      </c>
      <c r="I2333" t="s">
        <v>10</v>
      </c>
    </row>
    <row r="2334" spans="1:9" x14ac:dyDescent="0.25">
      <c r="A2334" t="str">
        <f t="shared" si="43"/>
        <v>89301000</v>
      </c>
      <c r="B2334" t="str">
        <f>"2208121674"</f>
        <v>2208121674</v>
      </c>
      <c r="C2334" s="1">
        <v>45015</v>
      </c>
      <c r="D2334" s="1">
        <v>45016</v>
      </c>
      <c r="E2334">
        <v>1</v>
      </c>
      <c r="F2334" t="str">
        <f>"03-K02-03"</f>
        <v>03-K02-03</v>
      </c>
      <c r="G2334">
        <v>0.33960000000000001</v>
      </c>
      <c r="H2334" t="s">
        <v>11</v>
      </c>
      <c r="I2334" t="s">
        <v>10</v>
      </c>
    </row>
    <row r="2335" spans="1:9" x14ac:dyDescent="0.25">
      <c r="A2335" t="str">
        <f t="shared" si="43"/>
        <v>89301000</v>
      </c>
      <c r="B2335" t="str">
        <f>"2208170492"</f>
        <v>2208170492</v>
      </c>
      <c r="C2335" s="1">
        <v>44991</v>
      </c>
      <c r="D2335" s="1">
        <v>44993</v>
      </c>
      <c r="E2335">
        <v>1</v>
      </c>
      <c r="F2335" t="str">
        <f>"10-K14-05"</f>
        <v>10-K14-05</v>
      </c>
      <c r="G2335">
        <v>0.36199999999999999</v>
      </c>
      <c r="H2335" t="s">
        <v>11</v>
      </c>
      <c r="I2335" t="s">
        <v>10</v>
      </c>
    </row>
    <row r="2336" spans="1:9" x14ac:dyDescent="0.25">
      <c r="A2336" t="str">
        <f t="shared" si="43"/>
        <v>89301000</v>
      </c>
      <c r="B2336" t="str">
        <f>"2208180645"</f>
        <v>2208180645</v>
      </c>
      <c r="C2336" s="1">
        <v>45210</v>
      </c>
      <c r="D2336" s="1">
        <v>45212</v>
      </c>
      <c r="E2336">
        <v>1</v>
      </c>
      <c r="F2336" t="str">
        <f>"12-I10-02"</f>
        <v>12-I10-02</v>
      </c>
      <c r="G2336">
        <v>0.51690000000000003</v>
      </c>
      <c r="H2336" t="s">
        <v>9</v>
      </c>
      <c r="I2336" t="s">
        <v>10</v>
      </c>
    </row>
    <row r="2337" spans="1:9" x14ac:dyDescent="0.25">
      <c r="A2337" t="str">
        <f t="shared" si="43"/>
        <v>89301000</v>
      </c>
      <c r="B2337" t="str">
        <f>"2208220003"</f>
        <v>2208220003</v>
      </c>
      <c r="C2337" s="1">
        <v>45202</v>
      </c>
      <c r="D2337" s="1">
        <v>45204</v>
      </c>
      <c r="E2337">
        <v>1</v>
      </c>
      <c r="F2337" t="str">
        <f>"09-I13-04"</f>
        <v>09-I13-04</v>
      </c>
      <c r="G2337">
        <v>0.54139999999999999</v>
      </c>
      <c r="H2337" t="s">
        <v>11</v>
      </c>
      <c r="I2337" t="s">
        <v>10</v>
      </c>
    </row>
    <row r="2338" spans="1:9" x14ac:dyDescent="0.25">
      <c r="A2338" t="str">
        <f t="shared" si="43"/>
        <v>89301000</v>
      </c>
      <c r="B2338" t="str">
        <f>"2208221312"</f>
        <v>2208221312</v>
      </c>
      <c r="C2338" s="1">
        <v>45224</v>
      </c>
      <c r="D2338" s="1">
        <v>45226</v>
      </c>
      <c r="E2338">
        <v>1</v>
      </c>
      <c r="F2338" t="str">
        <f>"12-I08-03"</f>
        <v>12-I08-03</v>
      </c>
      <c r="G2338">
        <v>0.71730000000000005</v>
      </c>
      <c r="H2338" t="s">
        <v>11</v>
      </c>
      <c r="I2338" t="s">
        <v>10</v>
      </c>
    </row>
    <row r="2339" spans="1:9" x14ac:dyDescent="0.25">
      <c r="A2339" t="str">
        <f t="shared" si="43"/>
        <v>89301000</v>
      </c>
      <c r="B2339" t="str">
        <f>"2208290337"</f>
        <v>2208290337</v>
      </c>
      <c r="C2339" s="1">
        <v>45035</v>
      </c>
      <c r="D2339" s="1">
        <v>45037</v>
      </c>
      <c r="E2339">
        <v>1</v>
      </c>
      <c r="F2339" t="str">
        <f>"06-I16-05"</f>
        <v>06-I16-05</v>
      </c>
      <c r="G2339">
        <v>0.4622</v>
      </c>
      <c r="H2339" t="s">
        <v>9</v>
      </c>
      <c r="I2339" t="s">
        <v>10</v>
      </c>
    </row>
    <row r="2340" spans="1:9" x14ac:dyDescent="0.25">
      <c r="A2340" t="str">
        <f t="shared" si="43"/>
        <v>89301000</v>
      </c>
      <c r="B2340" t="str">
        <f>"2209030230"</f>
        <v>2209030230</v>
      </c>
      <c r="C2340" s="1">
        <v>45020</v>
      </c>
      <c r="D2340" s="1">
        <v>45021</v>
      </c>
      <c r="E2340">
        <v>1</v>
      </c>
      <c r="F2340" t="str">
        <f>"04-K03-01"</f>
        <v>04-K03-01</v>
      </c>
      <c r="G2340">
        <v>0.89390000000000003</v>
      </c>
      <c r="H2340" t="s">
        <v>11</v>
      </c>
      <c r="I2340" t="s">
        <v>10</v>
      </c>
    </row>
    <row r="2341" spans="1:9" x14ac:dyDescent="0.25">
      <c r="A2341" t="str">
        <f t="shared" si="43"/>
        <v>89301000</v>
      </c>
      <c r="B2341" t="str">
        <f>"2209071150"</f>
        <v>2209071150</v>
      </c>
      <c r="C2341" s="1">
        <v>45066</v>
      </c>
      <c r="D2341" s="1">
        <v>45069</v>
      </c>
      <c r="E2341">
        <v>1</v>
      </c>
      <c r="F2341" t="str">
        <f>"06-K22-03"</f>
        <v>06-K22-03</v>
      </c>
      <c r="G2341">
        <v>0.31619999999999998</v>
      </c>
      <c r="H2341" t="s">
        <v>11</v>
      </c>
      <c r="I2341" t="s">
        <v>10</v>
      </c>
    </row>
    <row r="2342" spans="1:9" x14ac:dyDescent="0.25">
      <c r="A2342" t="str">
        <f t="shared" si="43"/>
        <v>89301000</v>
      </c>
      <c r="B2342" t="str">
        <f>"2209140659"</f>
        <v>2209140659</v>
      </c>
      <c r="C2342" s="1">
        <v>44930</v>
      </c>
      <c r="D2342" s="1">
        <v>44932</v>
      </c>
      <c r="E2342">
        <v>1</v>
      </c>
      <c r="F2342" t="str">
        <f>"02-M01-01"</f>
        <v>02-M01-01</v>
      </c>
      <c r="G2342">
        <v>0.71779999999999999</v>
      </c>
      <c r="H2342" t="s">
        <v>11</v>
      </c>
      <c r="I2342" t="s">
        <v>10</v>
      </c>
    </row>
    <row r="2343" spans="1:9" x14ac:dyDescent="0.25">
      <c r="A2343" t="str">
        <f t="shared" si="43"/>
        <v>89301000</v>
      </c>
      <c r="B2343" t="str">
        <f>"2210010264"</f>
        <v>2210010264</v>
      </c>
      <c r="C2343" s="1">
        <v>44957</v>
      </c>
      <c r="D2343" s="1">
        <v>44959</v>
      </c>
      <c r="E2343">
        <v>1</v>
      </c>
      <c r="F2343" t="str">
        <f>"04-K03-03"</f>
        <v>04-K03-03</v>
      </c>
      <c r="G2343">
        <v>0.56110000000000004</v>
      </c>
      <c r="H2343" t="s">
        <v>11</v>
      </c>
      <c r="I2343" t="s">
        <v>10</v>
      </c>
    </row>
    <row r="2344" spans="1:9" x14ac:dyDescent="0.25">
      <c r="A2344" t="str">
        <f t="shared" si="43"/>
        <v>89301000</v>
      </c>
      <c r="B2344" t="str">
        <f>"2210030581"</f>
        <v>2210030581</v>
      </c>
      <c r="C2344" s="1">
        <v>45089</v>
      </c>
      <c r="D2344" s="1">
        <v>45090</v>
      </c>
      <c r="E2344">
        <v>1</v>
      </c>
      <c r="F2344" t="str">
        <f>"04-K03-03"</f>
        <v>04-K03-03</v>
      </c>
      <c r="G2344">
        <v>0.56110000000000004</v>
      </c>
      <c r="H2344" t="s">
        <v>11</v>
      </c>
      <c r="I2344" t="s">
        <v>10</v>
      </c>
    </row>
    <row r="2345" spans="1:9" x14ac:dyDescent="0.25">
      <c r="A2345" t="str">
        <f t="shared" si="43"/>
        <v>89301000</v>
      </c>
      <c r="B2345" t="str">
        <f>"2210040492"</f>
        <v>2210040492</v>
      </c>
      <c r="C2345" s="1">
        <v>45049</v>
      </c>
      <c r="D2345" s="1">
        <v>45064</v>
      </c>
      <c r="E2345">
        <v>1</v>
      </c>
      <c r="F2345" t="str">
        <f>"11-I10-03"</f>
        <v>11-I10-03</v>
      </c>
      <c r="G2345">
        <v>2.3294000000000001</v>
      </c>
      <c r="H2345" t="s">
        <v>12</v>
      </c>
      <c r="I2345" t="s">
        <v>10</v>
      </c>
    </row>
    <row r="2346" spans="1:9" x14ac:dyDescent="0.25">
      <c r="A2346" t="str">
        <f t="shared" si="43"/>
        <v>89301000</v>
      </c>
      <c r="B2346" t="str">
        <f>"2210090399"</f>
        <v>2210090399</v>
      </c>
      <c r="C2346" s="1">
        <v>45181</v>
      </c>
      <c r="D2346" s="1">
        <v>45184</v>
      </c>
      <c r="E2346">
        <v>1</v>
      </c>
      <c r="F2346" t="str">
        <f>"06-K02-03"</f>
        <v>06-K02-03</v>
      </c>
      <c r="G2346">
        <v>0.50470000000000004</v>
      </c>
      <c r="H2346" t="s">
        <v>11</v>
      </c>
      <c r="I2346" t="s">
        <v>10</v>
      </c>
    </row>
    <row r="2347" spans="1:9" x14ac:dyDescent="0.25">
      <c r="A2347" t="str">
        <f t="shared" si="43"/>
        <v>89301000</v>
      </c>
      <c r="B2347" t="str">
        <f>"2210110584"</f>
        <v>2210110584</v>
      </c>
      <c r="C2347" s="1">
        <v>45026</v>
      </c>
      <c r="D2347" s="1">
        <v>45029</v>
      </c>
      <c r="E2347">
        <v>1</v>
      </c>
      <c r="F2347" t="str">
        <f>"06-I16-03"</f>
        <v>06-I16-03</v>
      </c>
      <c r="G2347">
        <v>0.83740000000000003</v>
      </c>
      <c r="H2347" t="s">
        <v>9</v>
      </c>
      <c r="I2347" t="s">
        <v>10</v>
      </c>
    </row>
    <row r="2348" spans="1:9" x14ac:dyDescent="0.25">
      <c r="A2348" t="str">
        <f t="shared" si="43"/>
        <v>89301000</v>
      </c>
      <c r="B2348" t="str">
        <f>"2210260151"</f>
        <v>2210260151</v>
      </c>
      <c r="C2348" s="1">
        <v>45057</v>
      </c>
      <c r="D2348" s="1">
        <v>45060</v>
      </c>
      <c r="E2348">
        <v>1</v>
      </c>
      <c r="F2348" t="str">
        <f>"03-K02-03"</f>
        <v>03-K02-03</v>
      </c>
      <c r="G2348">
        <v>0.33960000000000001</v>
      </c>
      <c r="H2348" t="s">
        <v>11</v>
      </c>
      <c r="I2348" t="s">
        <v>10</v>
      </c>
    </row>
    <row r="2349" spans="1:9" x14ac:dyDescent="0.25">
      <c r="A2349" t="str">
        <f t="shared" si="43"/>
        <v>89301000</v>
      </c>
      <c r="B2349" t="str">
        <f>"2211060357"</f>
        <v>2211060357</v>
      </c>
      <c r="C2349" s="1">
        <v>45095</v>
      </c>
      <c r="D2349" s="1">
        <v>45096</v>
      </c>
      <c r="E2349">
        <v>1</v>
      </c>
      <c r="F2349" t="str">
        <f>"21-K05-03"</f>
        <v>21-K05-03</v>
      </c>
      <c r="G2349">
        <v>0.45729999999999998</v>
      </c>
      <c r="H2349" t="s">
        <v>11</v>
      </c>
      <c r="I2349" t="s">
        <v>10</v>
      </c>
    </row>
    <row r="2350" spans="1:9" x14ac:dyDescent="0.25">
      <c r="A2350" t="str">
        <f t="shared" si="43"/>
        <v>89301000</v>
      </c>
      <c r="B2350" t="str">
        <f>"2211160677"</f>
        <v>2211160677</v>
      </c>
      <c r="C2350" s="1">
        <v>45124</v>
      </c>
      <c r="D2350" s="1">
        <v>45125</v>
      </c>
      <c r="E2350">
        <v>1</v>
      </c>
      <c r="F2350" t="str">
        <f>"09-K12-00"</f>
        <v>09-K12-00</v>
      </c>
      <c r="G2350">
        <v>0.26040000000000002</v>
      </c>
      <c r="H2350" t="s">
        <v>11</v>
      </c>
      <c r="I2350" t="s">
        <v>10</v>
      </c>
    </row>
    <row r="2351" spans="1:9" x14ac:dyDescent="0.25">
      <c r="A2351" t="str">
        <f t="shared" si="43"/>
        <v>89301000</v>
      </c>
      <c r="B2351" t="str">
        <f>"2211181643"</f>
        <v>2211181643</v>
      </c>
      <c r="C2351" s="1">
        <v>45153</v>
      </c>
      <c r="D2351" s="1">
        <v>45155</v>
      </c>
      <c r="E2351">
        <v>1</v>
      </c>
      <c r="F2351" t="str">
        <f>"06-K02-04"</f>
        <v>06-K02-04</v>
      </c>
      <c r="G2351">
        <v>0.37659999999999999</v>
      </c>
      <c r="H2351" t="s">
        <v>11</v>
      </c>
      <c r="I2351" t="s">
        <v>10</v>
      </c>
    </row>
    <row r="2352" spans="1:9" x14ac:dyDescent="0.25">
      <c r="A2352" t="str">
        <f t="shared" si="43"/>
        <v>89301000</v>
      </c>
      <c r="B2352" t="str">
        <f>"2211220165"</f>
        <v>2211220165</v>
      </c>
      <c r="C2352" s="1">
        <v>45149</v>
      </c>
      <c r="D2352" s="1">
        <v>45152</v>
      </c>
      <c r="E2352">
        <v>1</v>
      </c>
      <c r="F2352" t="str">
        <f>"10-K12-03"</f>
        <v>10-K12-03</v>
      </c>
      <c r="G2352">
        <v>0.5091</v>
      </c>
      <c r="H2352" t="s">
        <v>11</v>
      </c>
      <c r="I2352" t="s">
        <v>10</v>
      </c>
    </row>
    <row r="2353" spans="1:9" x14ac:dyDescent="0.25">
      <c r="A2353" t="str">
        <f t="shared" si="43"/>
        <v>89301000</v>
      </c>
      <c r="B2353" t="str">
        <f>"2212101056"</f>
        <v>2212101056</v>
      </c>
      <c r="C2353" s="1">
        <v>44931</v>
      </c>
      <c r="D2353" s="1">
        <v>44937</v>
      </c>
      <c r="E2353">
        <v>1</v>
      </c>
      <c r="F2353" t="str">
        <f>"15-I04-05"</f>
        <v>15-I04-05</v>
      </c>
      <c r="G2353">
        <v>3.5701000000000001</v>
      </c>
      <c r="H2353" t="s">
        <v>17</v>
      </c>
      <c r="I2353" t="s">
        <v>10</v>
      </c>
    </row>
    <row r="2354" spans="1:9" x14ac:dyDescent="0.25">
      <c r="A2354" t="str">
        <f t="shared" si="43"/>
        <v>89301000</v>
      </c>
      <c r="B2354" t="str">
        <f>"2212120504"</f>
        <v>2212120504</v>
      </c>
      <c r="C2354" s="1">
        <v>45077</v>
      </c>
      <c r="D2354" s="1">
        <v>45081</v>
      </c>
      <c r="E2354">
        <v>1</v>
      </c>
      <c r="F2354" t="str">
        <f>"04-K03-03"</f>
        <v>04-K03-03</v>
      </c>
      <c r="G2354">
        <v>0.56510000000000005</v>
      </c>
      <c r="H2354" t="s">
        <v>11</v>
      </c>
      <c r="I2354" t="s">
        <v>10</v>
      </c>
    </row>
    <row r="2355" spans="1:9" x14ac:dyDescent="0.25">
      <c r="A2355" t="str">
        <f t="shared" si="43"/>
        <v>89301000</v>
      </c>
      <c r="B2355" t="str">
        <f>"2212120504"</f>
        <v>2212120504</v>
      </c>
      <c r="C2355" s="1">
        <v>45055</v>
      </c>
      <c r="D2355" s="1">
        <v>45059</v>
      </c>
      <c r="E2355">
        <v>1</v>
      </c>
      <c r="F2355" t="str">
        <f>"04-K03-03"</f>
        <v>04-K03-03</v>
      </c>
      <c r="G2355">
        <v>0.56110000000000004</v>
      </c>
      <c r="H2355" t="s">
        <v>11</v>
      </c>
      <c r="I2355" t="s">
        <v>10</v>
      </c>
    </row>
    <row r="2356" spans="1:9" x14ac:dyDescent="0.25">
      <c r="A2356" t="str">
        <f t="shared" si="43"/>
        <v>89301000</v>
      </c>
      <c r="B2356" t="str">
        <f>"2212130052"</f>
        <v>2212130052</v>
      </c>
      <c r="C2356" s="1">
        <v>44908</v>
      </c>
      <c r="D2356" s="1">
        <v>44930</v>
      </c>
      <c r="E2356">
        <v>1</v>
      </c>
      <c r="F2356" t="str">
        <f>"15-M01-04"</f>
        <v>15-M01-04</v>
      </c>
      <c r="G2356">
        <v>6.0425000000000004</v>
      </c>
      <c r="H2356" t="s">
        <v>17</v>
      </c>
      <c r="I2356" t="s">
        <v>10</v>
      </c>
    </row>
    <row r="2357" spans="1:9" x14ac:dyDescent="0.25">
      <c r="A2357" t="str">
        <f t="shared" si="43"/>
        <v>89301000</v>
      </c>
      <c r="B2357" t="str">
        <f>"2212180080"</f>
        <v>2212180080</v>
      </c>
      <c r="C2357" s="1">
        <v>45252</v>
      </c>
      <c r="D2357" s="1">
        <v>45255</v>
      </c>
      <c r="E2357">
        <v>1</v>
      </c>
      <c r="F2357" t="str">
        <f>"11-I17-03"</f>
        <v>11-I17-03</v>
      </c>
      <c r="G2357">
        <v>0.50139999999999996</v>
      </c>
      <c r="H2357" t="s">
        <v>11</v>
      </c>
      <c r="I2357" t="s">
        <v>10</v>
      </c>
    </row>
    <row r="2358" spans="1:9" x14ac:dyDescent="0.25">
      <c r="A2358" t="str">
        <f t="shared" si="43"/>
        <v>89301000</v>
      </c>
      <c r="B2358" t="str">
        <f>"2212200936"</f>
        <v>2212200936</v>
      </c>
      <c r="C2358" s="1">
        <v>45098</v>
      </c>
      <c r="D2358" s="1">
        <v>45112</v>
      </c>
      <c r="E2358">
        <v>1</v>
      </c>
      <c r="F2358" t="str">
        <f>"11-I10-03"</f>
        <v>11-I10-03</v>
      </c>
      <c r="G2358">
        <v>2.3294000000000001</v>
      </c>
      <c r="H2358" t="s">
        <v>12</v>
      </c>
      <c r="I2358" t="s">
        <v>10</v>
      </c>
    </row>
    <row r="2359" spans="1:9" x14ac:dyDescent="0.25">
      <c r="A2359" t="str">
        <f t="shared" ref="A2359:A2422" si="44">"89301000"</f>
        <v>89301000</v>
      </c>
      <c r="B2359" t="str">
        <f>"2212210682"</f>
        <v>2212210682</v>
      </c>
      <c r="C2359" s="1">
        <v>44966</v>
      </c>
      <c r="D2359" s="1">
        <v>44967</v>
      </c>
      <c r="E2359">
        <v>1</v>
      </c>
      <c r="F2359" t="str">
        <f>"04-K15-03"</f>
        <v>04-K15-03</v>
      </c>
      <c r="G2359">
        <v>0.48670000000000002</v>
      </c>
      <c r="H2359" t="s">
        <v>11</v>
      </c>
      <c r="I2359" t="s">
        <v>10</v>
      </c>
    </row>
    <row r="2360" spans="1:9" x14ac:dyDescent="0.25">
      <c r="A2360" t="str">
        <f t="shared" si="44"/>
        <v>89301000</v>
      </c>
      <c r="B2360" t="str">
        <f>"2212240206"</f>
        <v>2212240206</v>
      </c>
      <c r="C2360" s="1">
        <v>45153</v>
      </c>
      <c r="D2360" s="1">
        <v>45156</v>
      </c>
      <c r="E2360">
        <v>1</v>
      </c>
      <c r="F2360" t="str">
        <f>"06-K02-04"</f>
        <v>06-K02-04</v>
      </c>
      <c r="G2360">
        <v>0.37659999999999999</v>
      </c>
      <c r="H2360" t="s">
        <v>11</v>
      </c>
      <c r="I2360" t="s">
        <v>10</v>
      </c>
    </row>
    <row r="2361" spans="1:9" x14ac:dyDescent="0.25">
      <c r="A2361" t="str">
        <f t="shared" si="44"/>
        <v>89301000</v>
      </c>
      <c r="B2361" t="str">
        <f>"2212260292"</f>
        <v>2212260292</v>
      </c>
      <c r="C2361" s="1">
        <v>45030</v>
      </c>
      <c r="D2361" s="1">
        <v>45032</v>
      </c>
      <c r="E2361">
        <v>1</v>
      </c>
      <c r="F2361" t="str">
        <f>"23-K03-02"</f>
        <v>23-K03-02</v>
      </c>
      <c r="G2361">
        <v>0.32540000000000002</v>
      </c>
      <c r="H2361" t="s">
        <v>11</v>
      </c>
      <c r="I2361" t="s">
        <v>10</v>
      </c>
    </row>
    <row r="2362" spans="1:9" x14ac:dyDescent="0.25">
      <c r="A2362" t="str">
        <f t="shared" si="44"/>
        <v>89301000</v>
      </c>
      <c r="B2362" t="str">
        <f>"2212270324"</f>
        <v>2212270324</v>
      </c>
      <c r="C2362" s="1">
        <v>44922</v>
      </c>
      <c r="D2362" s="1">
        <v>44927</v>
      </c>
      <c r="E2362">
        <v>1</v>
      </c>
      <c r="F2362" t="str">
        <f>"15-K05-04"</f>
        <v>15-K05-04</v>
      </c>
      <c r="G2362">
        <v>0.27139999999999997</v>
      </c>
      <c r="H2362" t="s">
        <v>13</v>
      </c>
      <c r="I2362" t="s">
        <v>10</v>
      </c>
    </row>
    <row r="2363" spans="1:9" x14ac:dyDescent="0.25">
      <c r="A2363" t="str">
        <f t="shared" si="44"/>
        <v>89301000</v>
      </c>
      <c r="B2363" t="str">
        <f>"2212280477"</f>
        <v>2212280477</v>
      </c>
      <c r="C2363" s="1">
        <v>44923</v>
      </c>
      <c r="D2363" s="1">
        <v>44932</v>
      </c>
      <c r="E2363">
        <v>1</v>
      </c>
      <c r="F2363" t="str">
        <f>"15-K04-01"</f>
        <v>15-K04-01</v>
      </c>
      <c r="G2363">
        <v>2.1480000000000001</v>
      </c>
      <c r="H2363" t="s">
        <v>18</v>
      </c>
      <c r="I2363" t="s">
        <v>10</v>
      </c>
    </row>
    <row r="2364" spans="1:9" x14ac:dyDescent="0.25">
      <c r="A2364" t="str">
        <f t="shared" si="44"/>
        <v>89301000</v>
      </c>
      <c r="B2364" t="str">
        <f>"2212290421"</f>
        <v>2212290421</v>
      </c>
      <c r="C2364" s="1">
        <v>44924</v>
      </c>
      <c r="D2364" s="1">
        <v>44927</v>
      </c>
      <c r="E2364">
        <v>1</v>
      </c>
      <c r="F2364" t="str">
        <f>"15-K05-04"</f>
        <v>15-K05-04</v>
      </c>
      <c r="G2364">
        <v>0.27139999999999997</v>
      </c>
      <c r="H2364" t="s">
        <v>13</v>
      </c>
      <c r="I2364" t="s">
        <v>10</v>
      </c>
    </row>
    <row r="2365" spans="1:9" x14ac:dyDescent="0.25">
      <c r="A2365" t="str">
        <f t="shared" si="44"/>
        <v>89301000</v>
      </c>
      <c r="B2365" t="str">
        <f>"2212290421"</f>
        <v>2212290421</v>
      </c>
      <c r="C2365" s="1">
        <v>45221</v>
      </c>
      <c r="D2365" s="1">
        <v>45226</v>
      </c>
      <c r="E2365">
        <v>1</v>
      </c>
      <c r="F2365" t="str">
        <f>"06-K02-04"</f>
        <v>06-K02-04</v>
      </c>
      <c r="G2365">
        <v>0.37809999999999999</v>
      </c>
      <c r="H2365" t="s">
        <v>11</v>
      </c>
      <c r="I2365" t="s">
        <v>10</v>
      </c>
    </row>
    <row r="2366" spans="1:9" x14ac:dyDescent="0.25">
      <c r="A2366" t="str">
        <f t="shared" si="44"/>
        <v>89301000</v>
      </c>
      <c r="B2366" t="str">
        <f>"2212290421"</f>
        <v>2212290421</v>
      </c>
      <c r="C2366" s="1">
        <v>45139</v>
      </c>
      <c r="D2366" s="1">
        <v>45145</v>
      </c>
      <c r="E2366">
        <v>1</v>
      </c>
      <c r="F2366" t="str">
        <f>"16-K02-03"</f>
        <v>16-K02-03</v>
      </c>
      <c r="G2366">
        <v>0.58299999999999996</v>
      </c>
      <c r="H2366" t="s">
        <v>11</v>
      </c>
      <c r="I2366" t="s">
        <v>10</v>
      </c>
    </row>
    <row r="2367" spans="1:9" x14ac:dyDescent="0.25">
      <c r="A2367" t="str">
        <f t="shared" si="44"/>
        <v>89301000</v>
      </c>
      <c r="B2367" t="str">
        <f>"2251110059"</f>
        <v>2251110059</v>
      </c>
      <c r="C2367" s="1">
        <v>44992</v>
      </c>
      <c r="D2367" s="1">
        <v>44998</v>
      </c>
      <c r="E2367">
        <v>1</v>
      </c>
      <c r="F2367" t="str">
        <f>"03-K06-01"</f>
        <v>03-K06-01</v>
      </c>
      <c r="G2367">
        <v>0.4713</v>
      </c>
      <c r="H2367" t="s">
        <v>11</v>
      </c>
      <c r="I2367" t="s">
        <v>10</v>
      </c>
    </row>
    <row r="2368" spans="1:9" x14ac:dyDescent="0.25">
      <c r="A2368" t="str">
        <f t="shared" si="44"/>
        <v>89301000</v>
      </c>
      <c r="B2368" t="str">
        <f>"2251140518"</f>
        <v>2251140518</v>
      </c>
      <c r="C2368" s="1">
        <v>45241</v>
      </c>
      <c r="D2368" s="1">
        <v>45242</v>
      </c>
      <c r="E2368">
        <v>1</v>
      </c>
      <c r="F2368" t="str">
        <f>"06-K02-04"</f>
        <v>06-K02-04</v>
      </c>
      <c r="G2368">
        <v>0.37659999999999999</v>
      </c>
      <c r="H2368" t="s">
        <v>11</v>
      </c>
      <c r="I2368" t="s">
        <v>10</v>
      </c>
    </row>
    <row r="2369" spans="1:9" x14ac:dyDescent="0.25">
      <c r="A2369" t="str">
        <f t="shared" si="44"/>
        <v>89301000</v>
      </c>
      <c r="B2369" t="str">
        <f>"2251301151"</f>
        <v>2251301151</v>
      </c>
      <c r="C2369" s="1">
        <v>44993</v>
      </c>
      <c r="D2369" s="1">
        <v>45006</v>
      </c>
      <c r="E2369">
        <v>1</v>
      </c>
      <c r="F2369" t="str">
        <f>"11-I10-03"</f>
        <v>11-I10-03</v>
      </c>
      <c r="G2369">
        <v>2.3294000000000001</v>
      </c>
      <c r="H2369" t="s">
        <v>12</v>
      </c>
      <c r="I2369" t="s">
        <v>10</v>
      </c>
    </row>
    <row r="2370" spans="1:9" x14ac:dyDescent="0.25">
      <c r="A2370" t="str">
        <f t="shared" si="44"/>
        <v>89301000</v>
      </c>
      <c r="B2370" t="str">
        <f>"2251301151"</f>
        <v>2251301151</v>
      </c>
      <c r="C2370" s="1">
        <v>45044</v>
      </c>
      <c r="D2370" s="1">
        <v>45048</v>
      </c>
      <c r="E2370">
        <v>1</v>
      </c>
      <c r="F2370" t="str">
        <f>"11-K01-03"</f>
        <v>11-K01-03</v>
      </c>
      <c r="G2370">
        <v>0.68789999999999996</v>
      </c>
      <c r="H2370" t="s">
        <v>11</v>
      </c>
      <c r="I2370" t="s">
        <v>10</v>
      </c>
    </row>
    <row r="2371" spans="1:9" x14ac:dyDescent="0.25">
      <c r="A2371" t="str">
        <f t="shared" si="44"/>
        <v>89301000</v>
      </c>
      <c r="B2371" t="str">
        <f>"2252010497"</f>
        <v>2252010497</v>
      </c>
      <c r="C2371" s="1">
        <v>45272</v>
      </c>
      <c r="D2371" s="1">
        <v>45273</v>
      </c>
      <c r="E2371">
        <v>1</v>
      </c>
      <c r="F2371" t="str">
        <f>"04-K15-03"</f>
        <v>04-K15-03</v>
      </c>
      <c r="G2371">
        <v>0.48670000000000002</v>
      </c>
      <c r="H2371" t="s">
        <v>11</v>
      </c>
      <c r="I2371" t="s">
        <v>10</v>
      </c>
    </row>
    <row r="2372" spans="1:9" x14ac:dyDescent="0.25">
      <c r="A2372" t="str">
        <f t="shared" si="44"/>
        <v>89301000</v>
      </c>
      <c r="B2372" t="str">
        <f>"2252090159"</f>
        <v>2252090159</v>
      </c>
      <c r="C2372" s="1">
        <v>44994</v>
      </c>
      <c r="D2372" s="1">
        <v>44998</v>
      </c>
      <c r="E2372">
        <v>1</v>
      </c>
      <c r="F2372" t="str">
        <f>"04-K02-04"</f>
        <v>04-K02-04</v>
      </c>
      <c r="G2372">
        <v>0.82099999999999995</v>
      </c>
      <c r="H2372" t="s">
        <v>11</v>
      </c>
      <c r="I2372" t="s">
        <v>10</v>
      </c>
    </row>
    <row r="2373" spans="1:9" x14ac:dyDescent="0.25">
      <c r="A2373" t="str">
        <f t="shared" si="44"/>
        <v>89301000</v>
      </c>
      <c r="B2373" t="str">
        <f>"2252180007"</f>
        <v>2252180007</v>
      </c>
      <c r="C2373" s="1">
        <v>44928</v>
      </c>
      <c r="D2373" s="1">
        <v>44943</v>
      </c>
      <c r="E2373">
        <v>1</v>
      </c>
      <c r="F2373" t="str">
        <f>"11-I10-03"</f>
        <v>11-I10-03</v>
      </c>
      <c r="G2373">
        <v>2.2928999999999999</v>
      </c>
      <c r="H2373" t="s">
        <v>12</v>
      </c>
      <c r="I2373" t="s">
        <v>10</v>
      </c>
    </row>
    <row r="2374" spans="1:9" x14ac:dyDescent="0.25">
      <c r="A2374" t="str">
        <f t="shared" si="44"/>
        <v>89301000</v>
      </c>
      <c r="B2374" t="str">
        <f>"2252270097"</f>
        <v>2252270097</v>
      </c>
      <c r="C2374" s="1">
        <v>44941</v>
      </c>
      <c r="D2374" s="1">
        <v>44944</v>
      </c>
      <c r="E2374">
        <v>1</v>
      </c>
      <c r="F2374" t="str">
        <f>"01-I07-03"</f>
        <v>01-I07-03</v>
      </c>
      <c r="G2374">
        <v>2.2292000000000001</v>
      </c>
      <c r="H2374" t="s">
        <v>12</v>
      </c>
      <c r="I2374" t="s">
        <v>10</v>
      </c>
    </row>
    <row r="2375" spans="1:9" x14ac:dyDescent="0.25">
      <c r="A2375" t="str">
        <f t="shared" si="44"/>
        <v>89301000</v>
      </c>
      <c r="B2375" t="str">
        <f>"2252270097"</f>
        <v>2252270097</v>
      </c>
      <c r="C2375" s="1">
        <v>44929</v>
      </c>
      <c r="D2375" s="1">
        <v>44935</v>
      </c>
      <c r="E2375">
        <v>1</v>
      </c>
      <c r="F2375" t="str">
        <f>"01-I07-03"</f>
        <v>01-I07-03</v>
      </c>
      <c r="G2375">
        <v>3.0371000000000001</v>
      </c>
      <c r="H2375" t="s">
        <v>12</v>
      </c>
      <c r="I2375" t="s">
        <v>10</v>
      </c>
    </row>
    <row r="2376" spans="1:9" x14ac:dyDescent="0.25">
      <c r="A2376" t="str">
        <f t="shared" si="44"/>
        <v>89301000</v>
      </c>
      <c r="B2376" t="str">
        <f>"2253060942"</f>
        <v>2253060942</v>
      </c>
      <c r="C2376" s="1">
        <v>44954</v>
      </c>
      <c r="D2376" s="1">
        <v>44961</v>
      </c>
      <c r="E2376">
        <v>1</v>
      </c>
      <c r="F2376" t="str">
        <f>"11-K01-03"</f>
        <v>11-K01-03</v>
      </c>
      <c r="G2376">
        <v>0.68789999999999996</v>
      </c>
      <c r="H2376" t="s">
        <v>11</v>
      </c>
      <c r="I2376" t="s">
        <v>10</v>
      </c>
    </row>
    <row r="2377" spans="1:9" x14ac:dyDescent="0.25">
      <c r="A2377" t="str">
        <f t="shared" si="44"/>
        <v>89301000</v>
      </c>
      <c r="B2377" t="str">
        <f>"2253181293"</f>
        <v>2253181293</v>
      </c>
      <c r="C2377" s="1">
        <v>45208</v>
      </c>
      <c r="D2377" s="1">
        <v>45222</v>
      </c>
      <c r="E2377">
        <v>1</v>
      </c>
      <c r="F2377" t="str">
        <f>"06-K02-02"</f>
        <v>06-K02-02</v>
      </c>
      <c r="G2377">
        <v>0.85289999999999999</v>
      </c>
      <c r="H2377" t="s">
        <v>11</v>
      </c>
      <c r="I2377" t="s">
        <v>10</v>
      </c>
    </row>
    <row r="2378" spans="1:9" x14ac:dyDescent="0.25">
      <c r="A2378" t="str">
        <f t="shared" si="44"/>
        <v>89301000</v>
      </c>
      <c r="B2378" t="str">
        <f t="shared" ref="B2378:B2383" si="45">"2253280392"</f>
        <v>2253280392</v>
      </c>
      <c r="C2378" s="1">
        <v>45166</v>
      </c>
      <c r="D2378" s="1">
        <v>45173</v>
      </c>
      <c r="E2378">
        <v>1</v>
      </c>
      <c r="F2378" t="str">
        <f>"03-K02-03"</f>
        <v>03-K02-03</v>
      </c>
      <c r="G2378">
        <v>0.4763</v>
      </c>
      <c r="H2378" t="s">
        <v>11</v>
      </c>
      <c r="I2378" t="s">
        <v>10</v>
      </c>
    </row>
    <row r="2379" spans="1:9" x14ac:dyDescent="0.25">
      <c r="A2379" t="str">
        <f t="shared" si="44"/>
        <v>89301000</v>
      </c>
      <c r="B2379" t="str">
        <f t="shared" si="45"/>
        <v>2253280392</v>
      </c>
      <c r="C2379" s="1">
        <v>45237</v>
      </c>
      <c r="D2379" s="1">
        <v>45243</v>
      </c>
      <c r="E2379">
        <v>1</v>
      </c>
      <c r="F2379" t="str">
        <f>"04-K02-04"</f>
        <v>04-K02-04</v>
      </c>
      <c r="G2379">
        <v>0.82099999999999995</v>
      </c>
      <c r="H2379" t="s">
        <v>11</v>
      </c>
      <c r="I2379" t="s">
        <v>10</v>
      </c>
    </row>
    <row r="2380" spans="1:9" x14ac:dyDescent="0.25">
      <c r="A2380" t="str">
        <f t="shared" si="44"/>
        <v>89301000</v>
      </c>
      <c r="B2380" t="str">
        <f t="shared" si="45"/>
        <v>2253280392</v>
      </c>
      <c r="C2380" s="1">
        <v>45114</v>
      </c>
      <c r="D2380" s="1">
        <v>45121</v>
      </c>
      <c r="E2380">
        <v>1</v>
      </c>
      <c r="F2380" t="str">
        <f>"03-K02-02"</f>
        <v>03-K02-02</v>
      </c>
      <c r="G2380">
        <v>0.57650000000000001</v>
      </c>
      <c r="H2380" t="s">
        <v>11</v>
      </c>
      <c r="I2380" t="s">
        <v>10</v>
      </c>
    </row>
    <row r="2381" spans="1:9" x14ac:dyDescent="0.25">
      <c r="A2381" t="str">
        <f t="shared" si="44"/>
        <v>89301000</v>
      </c>
      <c r="B2381" t="str">
        <f t="shared" si="45"/>
        <v>2253280392</v>
      </c>
      <c r="C2381" s="1">
        <v>45055</v>
      </c>
      <c r="D2381" s="1">
        <v>45057</v>
      </c>
      <c r="E2381">
        <v>1</v>
      </c>
      <c r="F2381" t="str">
        <f>"06-K20-03"</f>
        <v>06-K20-03</v>
      </c>
      <c r="G2381">
        <v>0.40229999999999999</v>
      </c>
      <c r="H2381" t="s">
        <v>11</v>
      </c>
      <c r="I2381" t="s">
        <v>10</v>
      </c>
    </row>
    <row r="2382" spans="1:9" x14ac:dyDescent="0.25">
      <c r="A2382" t="str">
        <f t="shared" si="44"/>
        <v>89301000</v>
      </c>
      <c r="B2382" t="str">
        <f t="shared" si="45"/>
        <v>2253280392</v>
      </c>
      <c r="C2382" s="1">
        <v>45042</v>
      </c>
      <c r="D2382" s="1">
        <v>45051</v>
      </c>
      <c r="E2382">
        <v>1</v>
      </c>
      <c r="F2382" t="str">
        <f>"04-K02-02"</f>
        <v>04-K02-02</v>
      </c>
      <c r="G2382">
        <v>2.8616999999999999</v>
      </c>
      <c r="H2382" t="s">
        <v>11</v>
      </c>
      <c r="I2382" t="s">
        <v>10</v>
      </c>
    </row>
    <row r="2383" spans="1:9" x14ac:dyDescent="0.25">
      <c r="A2383" t="str">
        <f t="shared" si="44"/>
        <v>89301000</v>
      </c>
      <c r="B2383" t="str">
        <f t="shared" si="45"/>
        <v>2253280392</v>
      </c>
      <c r="C2383" s="1">
        <v>44988</v>
      </c>
      <c r="D2383" s="1">
        <v>44992</v>
      </c>
      <c r="E2383">
        <v>1</v>
      </c>
      <c r="F2383" t="str">
        <f>"04-K02-04"</f>
        <v>04-K02-04</v>
      </c>
      <c r="G2383">
        <v>0.80120000000000002</v>
      </c>
      <c r="H2383" t="s">
        <v>11</v>
      </c>
      <c r="I2383" t="s">
        <v>10</v>
      </c>
    </row>
    <row r="2384" spans="1:9" x14ac:dyDescent="0.25">
      <c r="A2384" t="str">
        <f t="shared" si="44"/>
        <v>89301000</v>
      </c>
      <c r="B2384" t="str">
        <f>"2254140075"</f>
        <v>2254140075</v>
      </c>
      <c r="C2384" s="1">
        <v>45178</v>
      </c>
      <c r="D2384" s="1">
        <v>45182</v>
      </c>
      <c r="E2384">
        <v>1</v>
      </c>
      <c r="F2384" t="str">
        <f>"11-K01-03"</f>
        <v>11-K01-03</v>
      </c>
      <c r="G2384">
        <v>0.68789999999999996</v>
      </c>
      <c r="H2384" t="s">
        <v>11</v>
      </c>
      <c r="I2384" t="s">
        <v>10</v>
      </c>
    </row>
    <row r="2385" spans="1:9" x14ac:dyDescent="0.25">
      <c r="A2385" t="str">
        <f t="shared" si="44"/>
        <v>89301000</v>
      </c>
      <c r="B2385" t="str">
        <f>"2255130427"</f>
        <v>2255130427</v>
      </c>
      <c r="C2385" s="1">
        <v>45047</v>
      </c>
      <c r="D2385" s="1">
        <v>45049</v>
      </c>
      <c r="E2385">
        <v>1</v>
      </c>
      <c r="F2385" t="str">
        <f>"01-K18-04"</f>
        <v>01-K18-04</v>
      </c>
      <c r="G2385">
        <v>0.54610000000000003</v>
      </c>
      <c r="H2385" t="s">
        <v>11</v>
      </c>
      <c r="I2385" t="s">
        <v>10</v>
      </c>
    </row>
    <row r="2386" spans="1:9" x14ac:dyDescent="0.25">
      <c r="A2386" t="str">
        <f t="shared" si="44"/>
        <v>89301000</v>
      </c>
      <c r="B2386" t="str">
        <f>"2255140327"</f>
        <v>2255140327</v>
      </c>
      <c r="C2386" s="1">
        <v>45068</v>
      </c>
      <c r="D2386" s="1">
        <v>45075</v>
      </c>
      <c r="E2386">
        <v>1</v>
      </c>
      <c r="F2386" t="str">
        <f>"06-K02-04"</f>
        <v>06-K02-04</v>
      </c>
      <c r="G2386">
        <v>0.37659999999999999</v>
      </c>
      <c r="H2386" t="s">
        <v>11</v>
      </c>
      <c r="I2386" t="s">
        <v>10</v>
      </c>
    </row>
    <row r="2387" spans="1:9" x14ac:dyDescent="0.25">
      <c r="A2387" t="str">
        <f t="shared" si="44"/>
        <v>89301000</v>
      </c>
      <c r="B2387" t="str">
        <f>"2255150381"</f>
        <v>2255150381</v>
      </c>
      <c r="C2387" s="1">
        <v>45132</v>
      </c>
      <c r="D2387" s="1">
        <v>45134</v>
      </c>
      <c r="E2387">
        <v>1</v>
      </c>
      <c r="F2387" t="str">
        <f>"18-K02-05"</f>
        <v>18-K02-05</v>
      </c>
      <c r="G2387">
        <v>0.47970000000000002</v>
      </c>
      <c r="H2387" t="s">
        <v>11</v>
      </c>
      <c r="I2387" t="s">
        <v>10</v>
      </c>
    </row>
    <row r="2388" spans="1:9" x14ac:dyDescent="0.25">
      <c r="A2388" t="str">
        <f t="shared" si="44"/>
        <v>89301000</v>
      </c>
      <c r="B2388" t="str">
        <f>"2255181467"</f>
        <v>2255181467</v>
      </c>
      <c r="C2388" s="1">
        <v>44971</v>
      </c>
      <c r="D2388" s="1">
        <v>44977</v>
      </c>
      <c r="E2388">
        <v>1</v>
      </c>
      <c r="F2388" t="str">
        <f>"08-I21-02"</f>
        <v>08-I21-02</v>
      </c>
      <c r="G2388">
        <v>1.2658</v>
      </c>
      <c r="H2388" t="s">
        <v>12</v>
      </c>
      <c r="I2388" t="s">
        <v>10</v>
      </c>
    </row>
    <row r="2389" spans="1:9" x14ac:dyDescent="0.25">
      <c r="A2389" t="str">
        <f t="shared" si="44"/>
        <v>89301000</v>
      </c>
      <c r="B2389" t="str">
        <f>"2255220099"</f>
        <v>2255220099</v>
      </c>
      <c r="C2389" s="1">
        <v>45157</v>
      </c>
      <c r="D2389" s="1">
        <v>45158</v>
      </c>
      <c r="E2389">
        <v>1</v>
      </c>
      <c r="F2389" t="str">
        <f>"06-K02-04"</f>
        <v>06-K02-04</v>
      </c>
      <c r="G2389">
        <v>0.37659999999999999</v>
      </c>
      <c r="H2389" t="s">
        <v>11</v>
      </c>
      <c r="I2389" t="s">
        <v>10</v>
      </c>
    </row>
    <row r="2390" spans="1:9" x14ac:dyDescent="0.25">
      <c r="A2390" t="str">
        <f t="shared" si="44"/>
        <v>89301000</v>
      </c>
      <c r="B2390" t="str">
        <f>"2255270743"</f>
        <v>2255270743</v>
      </c>
      <c r="C2390" s="1">
        <v>45007</v>
      </c>
      <c r="D2390" s="1">
        <v>45009</v>
      </c>
      <c r="E2390">
        <v>1</v>
      </c>
      <c r="F2390" t="str">
        <f>"03-K02-02"</f>
        <v>03-K02-02</v>
      </c>
      <c r="G2390">
        <v>0.58540000000000003</v>
      </c>
      <c r="H2390" t="s">
        <v>11</v>
      </c>
      <c r="I2390" t="s">
        <v>10</v>
      </c>
    </row>
    <row r="2391" spans="1:9" x14ac:dyDescent="0.25">
      <c r="A2391" t="str">
        <f t="shared" si="44"/>
        <v>89301000</v>
      </c>
      <c r="B2391" t="str">
        <f>"2255281193"</f>
        <v>2255281193</v>
      </c>
      <c r="C2391" s="1">
        <v>45104</v>
      </c>
      <c r="D2391" s="1">
        <v>45106</v>
      </c>
      <c r="E2391">
        <v>1</v>
      </c>
      <c r="F2391" t="str">
        <f>"06-K17-02"</f>
        <v>06-K17-02</v>
      </c>
      <c r="G2391">
        <v>0.2999</v>
      </c>
      <c r="H2391" t="s">
        <v>11</v>
      </c>
      <c r="I2391" t="s">
        <v>10</v>
      </c>
    </row>
    <row r="2392" spans="1:9" x14ac:dyDescent="0.25">
      <c r="A2392" t="str">
        <f t="shared" si="44"/>
        <v>89301000</v>
      </c>
      <c r="B2392" t="str">
        <f>"2256010042"</f>
        <v>2256010042</v>
      </c>
      <c r="C2392" s="1">
        <v>45099</v>
      </c>
      <c r="D2392" s="1">
        <v>45110</v>
      </c>
      <c r="E2392">
        <v>1</v>
      </c>
      <c r="F2392" t="str">
        <f>"11-K01-02"</f>
        <v>11-K01-02</v>
      </c>
      <c r="G2392">
        <v>0.86480000000000001</v>
      </c>
      <c r="H2392" t="s">
        <v>11</v>
      </c>
      <c r="I2392" t="s">
        <v>10</v>
      </c>
    </row>
    <row r="2393" spans="1:9" x14ac:dyDescent="0.25">
      <c r="A2393" t="str">
        <f t="shared" si="44"/>
        <v>89301000</v>
      </c>
      <c r="B2393" t="str">
        <f>"2256010097"</f>
        <v>2256010097</v>
      </c>
      <c r="C2393" s="1">
        <v>45119</v>
      </c>
      <c r="D2393" s="1">
        <v>45122</v>
      </c>
      <c r="E2393">
        <v>1</v>
      </c>
      <c r="F2393" t="str">
        <f>"10-K14-05"</f>
        <v>10-K14-05</v>
      </c>
      <c r="G2393">
        <v>0.36199999999999999</v>
      </c>
      <c r="H2393" t="s">
        <v>11</v>
      </c>
      <c r="I2393" t="s">
        <v>10</v>
      </c>
    </row>
    <row r="2394" spans="1:9" x14ac:dyDescent="0.25">
      <c r="A2394" t="str">
        <f t="shared" si="44"/>
        <v>89301000</v>
      </c>
      <c r="B2394" t="str">
        <f>"2256050368"</f>
        <v>2256050368</v>
      </c>
      <c r="C2394" s="1">
        <v>45118</v>
      </c>
      <c r="D2394" s="1">
        <v>45121</v>
      </c>
      <c r="E2394">
        <v>1</v>
      </c>
      <c r="F2394" t="str">
        <f>"11-K01-03"</f>
        <v>11-K01-03</v>
      </c>
      <c r="G2394">
        <v>0.68789999999999996</v>
      </c>
      <c r="H2394" t="s">
        <v>11</v>
      </c>
      <c r="I2394" t="s">
        <v>10</v>
      </c>
    </row>
    <row r="2395" spans="1:9" x14ac:dyDescent="0.25">
      <c r="A2395" t="str">
        <f t="shared" si="44"/>
        <v>89301000</v>
      </c>
      <c r="B2395" t="str">
        <f>"2256050368"</f>
        <v>2256050368</v>
      </c>
      <c r="C2395" s="1">
        <v>45047</v>
      </c>
      <c r="D2395" s="1">
        <v>45051</v>
      </c>
      <c r="E2395">
        <v>1</v>
      </c>
      <c r="F2395" t="str">
        <f>"03-K01-02"</f>
        <v>03-K01-02</v>
      </c>
      <c r="G2395">
        <v>0.37369999999999998</v>
      </c>
      <c r="H2395" t="s">
        <v>11</v>
      </c>
      <c r="I2395" t="s">
        <v>10</v>
      </c>
    </row>
    <row r="2396" spans="1:9" x14ac:dyDescent="0.25">
      <c r="A2396" t="str">
        <f t="shared" si="44"/>
        <v>89301000</v>
      </c>
      <c r="B2396" t="str">
        <f>"2256080057"</f>
        <v>2256080057</v>
      </c>
      <c r="C2396" s="1">
        <v>44924</v>
      </c>
      <c r="D2396" s="1">
        <v>44930</v>
      </c>
      <c r="E2396">
        <v>1</v>
      </c>
      <c r="F2396" t="str">
        <f>"04-K02-04"</f>
        <v>04-K02-04</v>
      </c>
      <c r="G2396">
        <v>0.82099999999999995</v>
      </c>
      <c r="H2396" t="s">
        <v>11</v>
      </c>
      <c r="I2396" t="s">
        <v>10</v>
      </c>
    </row>
    <row r="2397" spans="1:9" x14ac:dyDescent="0.25">
      <c r="A2397" t="str">
        <f t="shared" si="44"/>
        <v>89301000</v>
      </c>
      <c r="B2397" t="str">
        <f>"2256130096"</f>
        <v>2256130096</v>
      </c>
      <c r="C2397" s="1">
        <v>45201</v>
      </c>
      <c r="D2397" s="1">
        <v>45202</v>
      </c>
      <c r="E2397">
        <v>1</v>
      </c>
      <c r="F2397" t="str">
        <f>"06-K17-02"</f>
        <v>06-K17-02</v>
      </c>
      <c r="G2397">
        <v>0.2999</v>
      </c>
      <c r="H2397" t="s">
        <v>11</v>
      </c>
      <c r="I2397" t="s">
        <v>10</v>
      </c>
    </row>
    <row r="2398" spans="1:9" x14ac:dyDescent="0.25">
      <c r="A2398" t="str">
        <f t="shared" si="44"/>
        <v>89301000</v>
      </c>
      <c r="B2398" t="str">
        <f>"2256150545"</f>
        <v>2256150545</v>
      </c>
      <c r="C2398" s="1">
        <v>45156</v>
      </c>
      <c r="D2398" s="1">
        <v>45159</v>
      </c>
      <c r="E2398">
        <v>1</v>
      </c>
      <c r="F2398" t="str">
        <f>"18-K02-05"</f>
        <v>18-K02-05</v>
      </c>
      <c r="G2398">
        <v>0.48089999999999999</v>
      </c>
      <c r="H2398" t="s">
        <v>11</v>
      </c>
      <c r="I2398" t="s">
        <v>10</v>
      </c>
    </row>
    <row r="2399" spans="1:9" x14ac:dyDescent="0.25">
      <c r="A2399" t="str">
        <f t="shared" si="44"/>
        <v>89301000</v>
      </c>
      <c r="B2399" t="str">
        <f>"2256200386"</f>
        <v>2256200386</v>
      </c>
      <c r="C2399" s="1">
        <v>45083</v>
      </c>
      <c r="D2399" s="1">
        <v>45086</v>
      </c>
      <c r="E2399">
        <v>1</v>
      </c>
      <c r="F2399" t="str">
        <f>"06-K02-03"</f>
        <v>06-K02-03</v>
      </c>
      <c r="G2399">
        <v>0.50470000000000004</v>
      </c>
      <c r="H2399" t="s">
        <v>11</v>
      </c>
      <c r="I2399" t="s">
        <v>10</v>
      </c>
    </row>
    <row r="2400" spans="1:9" x14ac:dyDescent="0.25">
      <c r="A2400" t="str">
        <f t="shared" si="44"/>
        <v>89301000</v>
      </c>
      <c r="B2400" t="str">
        <f>"2256250238"</f>
        <v>2256250238</v>
      </c>
      <c r="C2400" s="1">
        <v>45215</v>
      </c>
      <c r="D2400" s="1">
        <v>45226</v>
      </c>
      <c r="E2400">
        <v>1</v>
      </c>
      <c r="F2400" t="str">
        <f>"16-K01-02"</f>
        <v>16-K01-02</v>
      </c>
      <c r="G2400">
        <v>0.76529999999999998</v>
      </c>
      <c r="H2400" t="s">
        <v>11</v>
      </c>
      <c r="I2400" t="s">
        <v>10</v>
      </c>
    </row>
    <row r="2401" spans="1:9" x14ac:dyDescent="0.25">
      <c r="A2401" t="str">
        <f t="shared" si="44"/>
        <v>89301000</v>
      </c>
      <c r="B2401" t="str">
        <f>"2256260259"</f>
        <v>2256260259</v>
      </c>
      <c r="C2401" s="1">
        <v>45131</v>
      </c>
      <c r="D2401" s="1">
        <v>45136</v>
      </c>
      <c r="E2401">
        <v>1</v>
      </c>
      <c r="F2401" t="str">
        <f>"16-I04-01"</f>
        <v>16-I04-01</v>
      </c>
      <c r="G2401">
        <v>0.94620000000000004</v>
      </c>
      <c r="H2401" t="s">
        <v>12</v>
      </c>
      <c r="I2401" t="s">
        <v>10</v>
      </c>
    </row>
    <row r="2402" spans="1:9" x14ac:dyDescent="0.25">
      <c r="A2402" t="str">
        <f t="shared" si="44"/>
        <v>89301000</v>
      </c>
      <c r="B2402" t="str">
        <f>"2258010425"</f>
        <v>2258010425</v>
      </c>
      <c r="C2402" s="1">
        <v>45077</v>
      </c>
      <c r="D2402" s="1">
        <v>45081</v>
      </c>
      <c r="E2402">
        <v>1</v>
      </c>
      <c r="F2402" t="str">
        <f>"04-K02-04"</f>
        <v>04-K02-04</v>
      </c>
      <c r="G2402">
        <v>0.80120000000000002</v>
      </c>
      <c r="H2402" t="s">
        <v>11</v>
      </c>
      <c r="I2402" t="s">
        <v>10</v>
      </c>
    </row>
    <row r="2403" spans="1:9" x14ac:dyDescent="0.25">
      <c r="A2403" t="str">
        <f t="shared" si="44"/>
        <v>89301000</v>
      </c>
      <c r="B2403" t="str">
        <f>"2258011448"</f>
        <v>2258011448</v>
      </c>
      <c r="C2403" s="1">
        <v>44980</v>
      </c>
      <c r="D2403" s="1">
        <v>44984</v>
      </c>
      <c r="E2403">
        <v>1</v>
      </c>
      <c r="F2403" t="str">
        <f>"11-K01-02"</f>
        <v>11-K01-02</v>
      </c>
      <c r="G2403">
        <v>0.86480000000000001</v>
      </c>
      <c r="H2403" t="s">
        <v>11</v>
      </c>
      <c r="I2403" t="s">
        <v>10</v>
      </c>
    </row>
    <row r="2404" spans="1:9" x14ac:dyDescent="0.25">
      <c r="A2404" t="str">
        <f t="shared" si="44"/>
        <v>89301000</v>
      </c>
      <c r="B2404" t="str">
        <f>"2258260444"</f>
        <v>2258260444</v>
      </c>
      <c r="C2404" s="1">
        <v>45271</v>
      </c>
      <c r="D2404" s="1">
        <v>45283</v>
      </c>
      <c r="E2404">
        <v>1</v>
      </c>
      <c r="F2404" t="str">
        <f>"11-I10-03"</f>
        <v>11-I10-03</v>
      </c>
      <c r="G2404">
        <v>2.3294000000000001</v>
      </c>
      <c r="H2404" t="s">
        <v>12</v>
      </c>
      <c r="I2404" t="s">
        <v>10</v>
      </c>
    </row>
    <row r="2405" spans="1:9" x14ac:dyDescent="0.25">
      <c r="A2405" t="str">
        <f t="shared" si="44"/>
        <v>89301000</v>
      </c>
      <c r="B2405" t="str">
        <f>"2258260444"</f>
        <v>2258260444</v>
      </c>
      <c r="C2405" s="1">
        <v>45239</v>
      </c>
      <c r="D2405" s="1">
        <v>45241</v>
      </c>
      <c r="E2405">
        <v>1</v>
      </c>
      <c r="F2405" t="str">
        <f>"11-K11-00"</f>
        <v>11-K11-00</v>
      </c>
      <c r="G2405">
        <v>0.48220000000000002</v>
      </c>
      <c r="H2405" t="s">
        <v>11</v>
      </c>
      <c r="I2405" t="s">
        <v>10</v>
      </c>
    </row>
    <row r="2406" spans="1:9" x14ac:dyDescent="0.25">
      <c r="A2406" t="str">
        <f t="shared" si="44"/>
        <v>89301000</v>
      </c>
      <c r="B2406" t="str">
        <f>"2258300198"</f>
        <v>2258300198</v>
      </c>
      <c r="C2406" s="1">
        <v>44962</v>
      </c>
      <c r="D2406" s="1">
        <v>44965</v>
      </c>
      <c r="E2406">
        <v>1</v>
      </c>
      <c r="F2406" t="str">
        <f>"04-K03-03"</f>
        <v>04-K03-03</v>
      </c>
      <c r="G2406">
        <v>0.56110000000000004</v>
      </c>
      <c r="H2406" t="s">
        <v>11</v>
      </c>
      <c r="I2406" t="s">
        <v>10</v>
      </c>
    </row>
    <row r="2407" spans="1:9" x14ac:dyDescent="0.25">
      <c r="A2407" t="str">
        <f t="shared" si="44"/>
        <v>89301000</v>
      </c>
      <c r="B2407" t="str">
        <f>"2259190703"</f>
        <v>2259190703</v>
      </c>
      <c r="C2407" s="1">
        <v>45093</v>
      </c>
      <c r="D2407" s="1">
        <v>45095</v>
      </c>
      <c r="E2407">
        <v>1</v>
      </c>
      <c r="F2407" t="str">
        <f>"03-K02-03"</f>
        <v>03-K02-03</v>
      </c>
      <c r="G2407">
        <v>0.33960000000000001</v>
      </c>
      <c r="H2407" t="s">
        <v>11</v>
      </c>
      <c r="I2407" t="s">
        <v>10</v>
      </c>
    </row>
    <row r="2408" spans="1:9" x14ac:dyDescent="0.25">
      <c r="A2408" t="str">
        <f t="shared" si="44"/>
        <v>89301000</v>
      </c>
      <c r="B2408" t="str">
        <f>"2259230644"</f>
        <v>2259230644</v>
      </c>
      <c r="C2408" s="1">
        <v>44944</v>
      </c>
      <c r="D2408" s="1">
        <v>44946</v>
      </c>
      <c r="E2408">
        <v>1</v>
      </c>
      <c r="F2408" t="str">
        <f>"02-M01-01"</f>
        <v>02-M01-01</v>
      </c>
      <c r="G2408">
        <v>0.71779999999999999</v>
      </c>
      <c r="H2408" t="s">
        <v>11</v>
      </c>
      <c r="I2408" t="s">
        <v>10</v>
      </c>
    </row>
    <row r="2409" spans="1:9" x14ac:dyDescent="0.25">
      <c r="A2409" t="str">
        <f t="shared" si="44"/>
        <v>89301000</v>
      </c>
      <c r="B2409" t="str">
        <f>"2260010291"</f>
        <v>2260010291</v>
      </c>
      <c r="C2409" s="1">
        <v>45015</v>
      </c>
      <c r="D2409" s="1">
        <v>45018</v>
      </c>
      <c r="E2409">
        <v>1</v>
      </c>
      <c r="F2409" t="str">
        <f>"11-K11-00"</f>
        <v>11-K11-00</v>
      </c>
      <c r="G2409">
        <v>0.48220000000000002</v>
      </c>
      <c r="H2409" t="s">
        <v>11</v>
      </c>
      <c r="I2409" t="s">
        <v>10</v>
      </c>
    </row>
    <row r="2410" spans="1:9" x14ac:dyDescent="0.25">
      <c r="A2410" t="str">
        <f t="shared" si="44"/>
        <v>89301000</v>
      </c>
      <c r="B2410" t="str">
        <f>"2260020345"</f>
        <v>2260020345</v>
      </c>
      <c r="C2410" s="1">
        <v>45039</v>
      </c>
      <c r="D2410" s="1">
        <v>45044</v>
      </c>
      <c r="E2410">
        <v>1</v>
      </c>
      <c r="F2410" t="str">
        <f>"04-K03-03"</f>
        <v>04-K03-03</v>
      </c>
      <c r="G2410">
        <v>0.56110000000000004</v>
      </c>
      <c r="H2410" t="s">
        <v>11</v>
      </c>
      <c r="I2410" t="s">
        <v>10</v>
      </c>
    </row>
    <row r="2411" spans="1:9" x14ac:dyDescent="0.25">
      <c r="A2411" t="str">
        <f t="shared" si="44"/>
        <v>89301000</v>
      </c>
      <c r="B2411" t="str">
        <f>"2260130675"</f>
        <v>2260130675</v>
      </c>
      <c r="C2411" s="1">
        <v>45062</v>
      </c>
      <c r="D2411" s="1">
        <v>45067</v>
      </c>
      <c r="E2411">
        <v>1</v>
      </c>
      <c r="F2411" t="str">
        <f>"11-K01-03"</f>
        <v>11-K01-03</v>
      </c>
      <c r="G2411">
        <v>0.68389999999999995</v>
      </c>
      <c r="H2411" t="s">
        <v>11</v>
      </c>
      <c r="I2411" t="s">
        <v>10</v>
      </c>
    </row>
    <row r="2412" spans="1:9" x14ac:dyDescent="0.25">
      <c r="A2412" t="str">
        <f t="shared" si="44"/>
        <v>89301000</v>
      </c>
      <c r="B2412" t="str">
        <f>"2260130675"</f>
        <v>2260130675</v>
      </c>
      <c r="C2412" s="1">
        <v>44934</v>
      </c>
      <c r="D2412" s="1">
        <v>44937</v>
      </c>
      <c r="E2412">
        <v>1</v>
      </c>
      <c r="F2412" t="str">
        <f>"10-K14-05"</f>
        <v>10-K14-05</v>
      </c>
      <c r="G2412">
        <v>0.36199999999999999</v>
      </c>
      <c r="H2412" t="s">
        <v>11</v>
      </c>
      <c r="I2412" t="s">
        <v>10</v>
      </c>
    </row>
    <row r="2413" spans="1:9" x14ac:dyDescent="0.25">
      <c r="A2413" t="str">
        <f t="shared" si="44"/>
        <v>89301000</v>
      </c>
      <c r="B2413" t="str">
        <f>"2260130675"</f>
        <v>2260130675</v>
      </c>
      <c r="C2413" s="1">
        <v>45020</v>
      </c>
      <c r="D2413" s="1">
        <v>45024</v>
      </c>
      <c r="E2413">
        <v>1</v>
      </c>
      <c r="F2413" t="str">
        <f>"11-K01-03"</f>
        <v>11-K01-03</v>
      </c>
      <c r="G2413">
        <v>0.68789999999999996</v>
      </c>
      <c r="H2413" t="s">
        <v>11</v>
      </c>
      <c r="I2413" t="s">
        <v>10</v>
      </c>
    </row>
    <row r="2414" spans="1:9" x14ac:dyDescent="0.25">
      <c r="A2414" t="str">
        <f t="shared" si="44"/>
        <v>89301000</v>
      </c>
      <c r="B2414" t="str">
        <f>"2260141081"</f>
        <v>2260141081</v>
      </c>
      <c r="C2414" s="1">
        <v>45204</v>
      </c>
      <c r="D2414" s="1">
        <v>45205</v>
      </c>
      <c r="E2414">
        <v>1</v>
      </c>
      <c r="F2414" t="str">
        <f>"06-K17-02"</f>
        <v>06-K17-02</v>
      </c>
      <c r="G2414">
        <v>0.2999</v>
      </c>
      <c r="H2414" t="s">
        <v>11</v>
      </c>
      <c r="I2414" t="s">
        <v>10</v>
      </c>
    </row>
    <row r="2415" spans="1:9" x14ac:dyDescent="0.25">
      <c r="A2415" t="str">
        <f t="shared" si="44"/>
        <v>89301000</v>
      </c>
      <c r="B2415" t="str">
        <f>"2260150277"</f>
        <v>2260150277</v>
      </c>
      <c r="C2415" s="1">
        <v>45134</v>
      </c>
      <c r="D2415" s="1">
        <v>45137</v>
      </c>
      <c r="E2415">
        <v>1</v>
      </c>
      <c r="F2415" t="str">
        <f>"06-K02-04"</f>
        <v>06-K02-04</v>
      </c>
      <c r="G2415">
        <v>0.37659999999999999</v>
      </c>
      <c r="H2415" t="s">
        <v>11</v>
      </c>
      <c r="I2415" t="s">
        <v>10</v>
      </c>
    </row>
    <row r="2416" spans="1:9" x14ac:dyDescent="0.25">
      <c r="A2416" t="str">
        <f t="shared" si="44"/>
        <v>89301000</v>
      </c>
      <c r="B2416" t="str">
        <f>"2260190966"</f>
        <v>2260190966</v>
      </c>
      <c r="C2416" s="1">
        <v>44980</v>
      </c>
      <c r="D2416" s="1">
        <v>44981</v>
      </c>
      <c r="E2416">
        <v>1</v>
      </c>
      <c r="F2416" t="str">
        <f>"01-K04-02"</f>
        <v>01-K04-02</v>
      </c>
      <c r="G2416">
        <v>0.5333</v>
      </c>
      <c r="H2416" t="s">
        <v>11</v>
      </c>
      <c r="I2416" t="s">
        <v>10</v>
      </c>
    </row>
    <row r="2417" spans="1:9" x14ac:dyDescent="0.25">
      <c r="A2417" t="str">
        <f t="shared" si="44"/>
        <v>89301000</v>
      </c>
      <c r="B2417" t="str">
        <f>"2260300372"</f>
        <v>2260300372</v>
      </c>
      <c r="C2417" s="1">
        <v>45066</v>
      </c>
      <c r="D2417" s="1">
        <v>45070</v>
      </c>
      <c r="E2417">
        <v>1</v>
      </c>
      <c r="F2417" t="str">
        <f>"11-K01-03"</f>
        <v>11-K01-03</v>
      </c>
      <c r="G2417">
        <v>0.68789999999999996</v>
      </c>
      <c r="H2417" t="s">
        <v>11</v>
      </c>
      <c r="I2417" t="s">
        <v>10</v>
      </c>
    </row>
    <row r="2418" spans="1:9" x14ac:dyDescent="0.25">
      <c r="A2418" t="str">
        <f t="shared" si="44"/>
        <v>89301000</v>
      </c>
      <c r="B2418" t="str">
        <f>"2261010169"</f>
        <v>2261010169</v>
      </c>
      <c r="C2418" s="1">
        <v>45217</v>
      </c>
      <c r="D2418" s="1">
        <v>45232</v>
      </c>
      <c r="E2418">
        <v>1</v>
      </c>
      <c r="F2418" t="str">
        <f>"11-I10-03"</f>
        <v>11-I10-03</v>
      </c>
      <c r="G2418">
        <v>2.2928999999999999</v>
      </c>
      <c r="H2418" t="s">
        <v>12</v>
      </c>
      <c r="I2418" t="s">
        <v>10</v>
      </c>
    </row>
    <row r="2419" spans="1:9" x14ac:dyDescent="0.25">
      <c r="A2419" t="str">
        <f t="shared" si="44"/>
        <v>89301000</v>
      </c>
      <c r="B2419" t="str">
        <f>"2261010169"</f>
        <v>2261010169</v>
      </c>
      <c r="C2419" s="1">
        <v>45019</v>
      </c>
      <c r="D2419" s="1">
        <v>45028</v>
      </c>
      <c r="E2419">
        <v>1</v>
      </c>
      <c r="F2419" t="str">
        <f>"11-I10-03"</f>
        <v>11-I10-03</v>
      </c>
      <c r="G2419">
        <v>2.3294000000000001</v>
      </c>
      <c r="H2419" t="s">
        <v>12</v>
      </c>
      <c r="I2419" t="s">
        <v>10</v>
      </c>
    </row>
    <row r="2420" spans="1:9" x14ac:dyDescent="0.25">
      <c r="A2420" t="str">
        <f t="shared" si="44"/>
        <v>89301000</v>
      </c>
      <c r="B2420" t="str">
        <f>"2261150650"</f>
        <v>2261150650</v>
      </c>
      <c r="C2420" s="1">
        <v>44880</v>
      </c>
      <c r="D2420" s="1">
        <v>44932</v>
      </c>
      <c r="E2420">
        <v>1</v>
      </c>
      <c r="F2420" t="str">
        <f>"15-M01-04"</f>
        <v>15-M01-04</v>
      </c>
      <c r="G2420">
        <v>6.6139000000000001</v>
      </c>
      <c r="H2420" t="s">
        <v>17</v>
      </c>
      <c r="I2420" t="s">
        <v>10</v>
      </c>
    </row>
    <row r="2421" spans="1:9" x14ac:dyDescent="0.25">
      <c r="A2421" t="str">
        <f t="shared" si="44"/>
        <v>89301000</v>
      </c>
      <c r="B2421" t="str">
        <f>"2261250090"</f>
        <v>2261250090</v>
      </c>
      <c r="C2421" s="1">
        <v>44949</v>
      </c>
      <c r="D2421" s="1">
        <v>44960</v>
      </c>
      <c r="E2421">
        <v>5</v>
      </c>
      <c r="F2421" t="str">
        <f>"00-M01-04"</f>
        <v>00-M01-04</v>
      </c>
      <c r="G2421">
        <v>7.2366999999999999</v>
      </c>
      <c r="H2421" t="s">
        <v>11</v>
      </c>
      <c r="I2421" t="s">
        <v>10</v>
      </c>
    </row>
    <row r="2422" spans="1:9" x14ac:dyDescent="0.25">
      <c r="A2422" t="str">
        <f t="shared" si="44"/>
        <v>89301000</v>
      </c>
      <c r="B2422" t="str">
        <f>"2262020332"</f>
        <v>2262020332</v>
      </c>
      <c r="C2422" s="1">
        <v>45196</v>
      </c>
      <c r="D2422" s="1">
        <v>45199</v>
      </c>
      <c r="E2422">
        <v>1</v>
      </c>
      <c r="F2422" t="str">
        <f>"03-K01-02"</f>
        <v>03-K01-02</v>
      </c>
      <c r="G2422">
        <v>0.37369999999999998</v>
      </c>
      <c r="H2422" t="s">
        <v>11</v>
      </c>
      <c r="I2422" t="s">
        <v>10</v>
      </c>
    </row>
    <row r="2423" spans="1:9" x14ac:dyDescent="0.25">
      <c r="A2423" t="str">
        <f t="shared" ref="A2423:A2486" si="46">"89301000"</f>
        <v>89301000</v>
      </c>
      <c r="B2423" t="str">
        <f>"2262060086"</f>
        <v>2262060086</v>
      </c>
      <c r="C2423" s="1">
        <v>44901</v>
      </c>
      <c r="D2423" s="1">
        <v>44927</v>
      </c>
      <c r="E2423">
        <v>1</v>
      </c>
      <c r="F2423" t="str">
        <f>"15-K03-01"</f>
        <v>15-K03-01</v>
      </c>
      <c r="G2423">
        <v>3.0916000000000001</v>
      </c>
      <c r="H2423" t="s">
        <v>18</v>
      </c>
      <c r="I2423" t="s">
        <v>10</v>
      </c>
    </row>
    <row r="2424" spans="1:9" x14ac:dyDescent="0.25">
      <c r="A2424" t="str">
        <f t="shared" si="46"/>
        <v>89301000</v>
      </c>
      <c r="B2424" t="str">
        <f>"2262060097"</f>
        <v>2262060097</v>
      </c>
      <c r="C2424" s="1">
        <v>44901</v>
      </c>
      <c r="D2424" s="1">
        <v>44927</v>
      </c>
      <c r="E2424">
        <v>1</v>
      </c>
      <c r="F2424" t="str">
        <f>"15-K03-01"</f>
        <v>15-K03-01</v>
      </c>
      <c r="G2424">
        <v>3.0916000000000001</v>
      </c>
      <c r="H2424" t="s">
        <v>18</v>
      </c>
      <c r="I2424" t="s">
        <v>10</v>
      </c>
    </row>
    <row r="2425" spans="1:9" x14ac:dyDescent="0.25">
      <c r="A2425" t="str">
        <f t="shared" si="46"/>
        <v>89301000</v>
      </c>
      <c r="B2425" t="str">
        <f>"2262240277"</f>
        <v>2262240277</v>
      </c>
      <c r="C2425" s="1">
        <v>44919</v>
      </c>
      <c r="D2425" s="1">
        <v>44945</v>
      </c>
      <c r="E2425">
        <v>1</v>
      </c>
      <c r="F2425" t="str">
        <f>"15-M01-06"</f>
        <v>15-M01-06</v>
      </c>
      <c r="G2425">
        <v>4.4470999999999998</v>
      </c>
      <c r="H2425" t="s">
        <v>17</v>
      </c>
      <c r="I2425" t="s">
        <v>10</v>
      </c>
    </row>
    <row r="2426" spans="1:9" x14ac:dyDescent="0.25">
      <c r="A2426" t="str">
        <f t="shared" si="46"/>
        <v>89301000</v>
      </c>
      <c r="B2426" t="str">
        <f>"2262280361"</f>
        <v>2262280361</v>
      </c>
      <c r="C2426" s="1">
        <v>44923</v>
      </c>
      <c r="D2426" s="1">
        <v>44927</v>
      </c>
      <c r="E2426">
        <v>1</v>
      </c>
      <c r="F2426" t="str">
        <f>"15-K03-02"</f>
        <v>15-K03-02</v>
      </c>
      <c r="G2426">
        <v>1.8358000000000001</v>
      </c>
      <c r="H2426" t="s">
        <v>18</v>
      </c>
      <c r="I2426" t="s">
        <v>10</v>
      </c>
    </row>
    <row r="2427" spans="1:9" x14ac:dyDescent="0.25">
      <c r="A2427" t="str">
        <f t="shared" si="46"/>
        <v>89301000</v>
      </c>
      <c r="B2427" t="str">
        <f>"2262290404"</f>
        <v>2262290404</v>
      </c>
      <c r="C2427" s="1">
        <v>44924</v>
      </c>
      <c r="D2427" s="1">
        <v>44929</v>
      </c>
      <c r="E2427">
        <v>1</v>
      </c>
      <c r="F2427" t="str">
        <f>"15-K04-02"</f>
        <v>15-K04-02</v>
      </c>
      <c r="G2427">
        <v>1.0172000000000001</v>
      </c>
      <c r="H2427" t="s">
        <v>18</v>
      </c>
      <c r="I2427" t="s">
        <v>10</v>
      </c>
    </row>
    <row r="2428" spans="1:9" x14ac:dyDescent="0.25">
      <c r="A2428" t="str">
        <f t="shared" si="46"/>
        <v>89301000</v>
      </c>
      <c r="B2428" t="str">
        <f>"2262290415"</f>
        <v>2262290415</v>
      </c>
      <c r="C2428" s="1">
        <v>44924</v>
      </c>
      <c r="D2428" s="1">
        <v>44929</v>
      </c>
      <c r="E2428">
        <v>1</v>
      </c>
      <c r="F2428" t="str">
        <f>"15-K03-02"</f>
        <v>15-K03-02</v>
      </c>
      <c r="G2428">
        <v>1.8358000000000001</v>
      </c>
      <c r="H2428" t="s">
        <v>18</v>
      </c>
      <c r="I2428" t="s">
        <v>10</v>
      </c>
    </row>
    <row r="2429" spans="1:9" x14ac:dyDescent="0.25">
      <c r="A2429" t="str">
        <f t="shared" si="46"/>
        <v>89301000</v>
      </c>
      <c r="B2429" t="str">
        <f>"2262300425"</f>
        <v>2262300425</v>
      </c>
      <c r="C2429" s="1">
        <v>44925</v>
      </c>
      <c r="D2429" s="1">
        <v>44928</v>
      </c>
      <c r="E2429">
        <v>1</v>
      </c>
      <c r="F2429" t="str">
        <f>"15-K05-04"</f>
        <v>15-K05-04</v>
      </c>
      <c r="G2429">
        <v>0.27139999999999997</v>
      </c>
      <c r="H2429" t="s">
        <v>13</v>
      </c>
      <c r="I2429" t="s">
        <v>10</v>
      </c>
    </row>
    <row r="2430" spans="1:9" x14ac:dyDescent="0.25">
      <c r="A2430" t="str">
        <f t="shared" si="46"/>
        <v>89301000</v>
      </c>
      <c r="B2430" t="str">
        <f>"2262310248"</f>
        <v>2262310248</v>
      </c>
      <c r="C2430" s="1">
        <v>44926</v>
      </c>
      <c r="D2430" s="1">
        <v>44929</v>
      </c>
      <c r="E2430">
        <v>1</v>
      </c>
      <c r="F2430" t="str">
        <f>"15-K05-04"</f>
        <v>15-K05-04</v>
      </c>
      <c r="G2430">
        <v>0.27139999999999997</v>
      </c>
      <c r="H2430" t="s">
        <v>13</v>
      </c>
      <c r="I2430" t="s">
        <v>10</v>
      </c>
    </row>
    <row r="2431" spans="1:9" x14ac:dyDescent="0.25">
      <c r="A2431" t="str">
        <f t="shared" si="46"/>
        <v>89301000</v>
      </c>
      <c r="B2431" t="str">
        <f>"2301020546"</f>
        <v>2301020546</v>
      </c>
      <c r="C2431" s="1">
        <v>44928</v>
      </c>
      <c r="D2431" s="1">
        <v>44931</v>
      </c>
      <c r="E2431">
        <v>1</v>
      </c>
      <c r="F2431" t="str">
        <f>"15-K05-04"</f>
        <v>15-K05-04</v>
      </c>
      <c r="G2431">
        <v>0.27139999999999997</v>
      </c>
      <c r="H2431" t="s">
        <v>13</v>
      </c>
      <c r="I2431" t="s">
        <v>10</v>
      </c>
    </row>
    <row r="2432" spans="1:9" x14ac:dyDescent="0.25">
      <c r="A2432" t="str">
        <f t="shared" si="46"/>
        <v>89301000</v>
      </c>
      <c r="B2432" t="str">
        <f>"2301020568"</f>
        <v>2301020568</v>
      </c>
      <c r="C2432" s="1">
        <v>44928</v>
      </c>
      <c r="D2432" s="1">
        <v>44939</v>
      </c>
      <c r="E2432">
        <v>1</v>
      </c>
      <c r="F2432" t="str">
        <f>"15-K03-01"</f>
        <v>15-K03-01</v>
      </c>
      <c r="G2432">
        <v>3.0916000000000001</v>
      </c>
      <c r="H2432" t="s">
        <v>18</v>
      </c>
      <c r="I2432" t="s">
        <v>10</v>
      </c>
    </row>
    <row r="2433" spans="1:9" x14ac:dyDescent="0.25">
      <c r="A2433" t="str">
        <f t="shared" si="46"/>
        <v>89301000</v>
      </c>
      <c r="B2433" t="str">
        <f>"2301020568"</f>
        <v>2301020568</v>
      </c>
      <c r="C2433" s="1">
        <v>45284</v>
      </c>
      <c r="D2433" s="1">
        <v>45289</v>
      </c>
      <c r="E2433">
        <v>1</v>
      </c>
      <c r="F2433" t="str">
        <f>"03-K02-03"</f>
        <v>03-K02-03</v>
      </c>
      <c r="G2433">
        <v>0.34050000000000002</v>
      </c>
      <c r="H2433" t="s">
        <v>11</v>
      </c>
      <c r="I2433" t="s">
        <v>10</v>
      </c>
    </row>
    <row r="2434" spans="1:9" x14ac:dyDescent="0.25">
      <c r="A2434" t="str">
        <f t="shared" si="46"/>
        <v>89301000</v>
      </c>
      <c r="B2434" t="str">
        <f>"2301030380"</f>
        <v>2301030380</v>
      </c>
      <c r="C2434" s="1">
        <v>44929</v>
      </c>
      <c r="D2434" s="1">
        <v>44932</v>
      </c>
      <c r="E2434">
        <v>1</v>
      </c>
      <c r="F2434" t="str">
        <f>"15-K05-04"</f>
        <v>15-K05-04</v>
      </c>
      <c r="G2434">
        <v>0.27139999999999997</v>
      </c>
      <c r="H2434" t="s">
        <v>13</v>
      </c>
      <c r="I2434" t="s">
        <v>10</v>
      </c>
    </row>
    <row r="2435" spans="1:9" x14ac:dyDescent="0.25">
      <c r="A2435" t="str">
        <f t="shared" si="46"/>
        <v>89301000</v>
      </c>
      <c r="B2435" t="str">
        <f>"2301040533"</f>
        <v>2301040533</v>
      </c>
      <c r="C2435" s="1">
        <v>44930</v>
      </c>
      <c r="D2435" s="1">
        <v>44932</v>
      </c>
      <c r="E2435">
        <v>1</v>
      </c>
      <c r="F2435" t="str">
        <f>"15-K05-04"</f>
        <v>15-K05-04</v>
      </c>
      <c r="G2435">
        <v>0.27139999999999997</v>
      </c>
      <c r="H2435" t="s">
        <v>13</v>
      </c>
      <c r="I2435" t="s">
        <v>10</v>
      </c>
    </row>
    <row r="2436" spans="1:9" x14ac:dyDescent="0.25">
      <c r="A2436" t="str">
        <f t="shared" si="46"/>
        <v>89301000</v>
      </c>
      <c r="B2436" t="str">
        <f>"2301050686"</f>
        <v>2301050686</v>
      </c>
      <c r="C2436" s="1">
        <v>44931</v>
      </c>
      <c r="D2436" s="1">
        <v>44964</v>
      </c>
      <c r="E2436">
        <v>1</v>
      </c>
      <c r="F2436" t="str">
        <f>"15-K02-02"</f>
        <v>15-K02-02</v>
      </c>
      <c r="G2436">
        <v>4.5713999999999997</v>
      </c>
      <c r="H2436" t="s">
        <v>18</v>
      </c>
      <c r="I2436" t="s">
        <v>10</v>
      </c>
    </row>
    <row r="2437" spans="1:9" x14ac:dyDescent="0.25">
      <c r="A2437" t="str">
        <f t="shared" si="46"/>
        <v>89301000</v>
      </c>
      <c r="B2437" t="str">
        <f>"2301050708"</f>
        <v>2301050708</v>
      </c>
      <c r="C2437" s="1">
        <v>44931</v>
      </c>
      <c r="D2437" s="1">
        <v>44934</v>
      </c>
      <c r="E2437">
        <v>1</v>
      </c>
      <c r="F2437" t="str">
        <f>"15-K05-04"</f>
        <v>15-K05-04</v>
      </c>
      <c r="G2437">
        <v>0.27139999999999997</v>
      </c>
      <c r="H2437" t="s">
        <v>13</v>
      </c>
      <c r="I2437" t="s">
        <v>10</v>
      </c>
    </row>
    <row r="2438" spans="1:9" x14ac:dyDescent="0.25">
      <c r="A2438" t="str">
        <f t="shared" si="46"/>
        <v>89301000</v>
      </c>
      <c r="B2438" t="str">
        <f>"2301100714"</f>
        <v>2301100714</v>
      </c>
      <c r="C2438" s="1">
        <v>44936</v>
      </c>
      <c r="D2438" s="1">
        <v>44940</v>
      </c>
      <c r="E2438">
        <v>1</v>
      </c>
      <c r="F2438" t="str">
        <f>"15-K03-02"</f>
        <v>15-K03-02</v>
      </c>
      <c r="G2438">
        <v>1.8358000000000001</v>
      </c>
      <c r="H2438" t="s">
        <v>18</v>
      </c>
      <c r="I2438" t="s">
        <v>10</v>
      </c>
    </row>
    <row r="2439" spans="1:9" x14ac:dyDescent="0.25">
      <c r="A2439" t="str">
        <f t="shared" si="46"/>
        <v>89301000</v>
      </c>
      <c r="B2439" t="str">
        <f>"2301100736"</f>
        <v>2301100736</v>
      </c>
      <c r="C2439" s="1">
        <v>44936</v>
      </c>
      <c r="D2439" s="1">
        <v>44939</v>
      </c>
      <c r="E2439">
        <v>1</v>
      </c>
      <c r="F2439" t="str">
        <f>"15-K05-04"</f>
        <v>15-K05-04</v>
      </c>
      <c r="G2439">
        <v>0.27139999999999997</v>
      </c>
      <c r="H2439" t="s">
        <v>13</v>
      </c>
      <c r="I2439" t="s">
        <v>10</v>
      </c>
    </row>
    <row r="2440" spans="1:9" x14ac:dyDescent="0.25">
      <c r="A2440" t="str">
        <f t="shared" si="46"/>
        <v>89301000</v>
      </c>
      <c r="B2440" t="str">
        <f>"2301110625"</f>
        <v>2301110625</v>
      </c>
      <c r="C2440" s="1">
        <v>44937</v>
      </c>
      <c r="D2440" s="1">
        <v>44941</v>
      </c>
      <c r="E2440">
        <v>1</v>
      </c>
      <c r="F2440" t="str">
        <f>"15-K05-04"</f>
        <v>15-K05-04</v>
      </c>
      <c r="G2440">
        <v>0.27139999999999997</v>
      </c>
      <c r="H2440" t="s">
        <v>13</v>
      </c>
      <c r="I2440" t="s">
        <v>10</v>
      </c>
    </row>
    <row r="2441" spans="1:9" x14ac:dyDescent="0.25">
      <c r="A2441" t="str">
        <f t="shared" si="46"/>
        <v>89301000</v>
      </c>
      <c r="B2441" t="str">
        <f>"2301110636"</f>
        <v>2301110636</v>
      </c>
      <c r="C2441" s="1">
        <v>44937</v>
      </c>
      <c r="D2441" s="1">
        <v>44941</v>
      </c>
      <c r="E2441">
        <v>1</v>
      </c>
      <c r="F2441" t="str">
        <f>"15-K05-04"</f>
        <v>15-K05-04</v>
      </c>
      <c r="G2441">
        <v>0.27139999999999997</v>
      </c>
      <c r="H2441" t="s">
        <v>13</v>
      </c>
      <c r="I2441" t="s">
        <v>10</v>
      </c>
    </row>
    <row r="2442" spans="1:9" x14ac:dyDescent="0.25">
      <c r="A2442" t="str">
        <f t="shared" si="46"/>
        <v>89301000</v>
      </c>
      <c r="B2442" t="str">
        <f>"2301120096"</f>
        <v>2301120096</v>
      </c>
      <c r="C2442" s="1">
        <v>44938</v>
      </c>
      <c r="D2442" s="1">
        <v>44940</v>
      </c>
      <c r="E2442">
        <v>1</v>
      </c>
      <c r="F2442" t="str">
        <f>"15-K05-04"</f>
        <v>15-K05-04</v>
      </c>
      <c r="G2442">
        <v>0.27139999999999997</v>
      </c>
      <c r="H2442" t="s">
        <v>13</v>
      </c>
      <c r="I2442" t="s">
        <v>10</v>
      </c>
    </row>
    <row r="2443" spans="1:9" x14ac:dyDescent="0.25">
      <c r="A2443" t="str">
        <f t="shared" si="46"/>
        <v>89301000</v>
      </c>
      <c r="B2443" t="str">
        <f>"2301120316"</f>
        <v>2301120316</v>
      </c>
      <c r="C2443" s="1">
        <v>45063</v>
      </c>
      <c r="D2443" s="1">
        <v>45077</v>
      </c>
      <c r="E2443">
        <v>1</v>
      </c>
      <c r="F2443" t="str">
        <f>"11-I10-03"</f>
        <v>11-I10-03</v>
      </c>
      <c r="G2443">
        <v>2.2928999999999999</v>
      </c>
      <c r="H2443" t="s">
        <v>12</v>
      </c>
      <c r="I2443" t="s">
        <v>10</v>
      </c>
    </row>
    <row r="2444" spans="1:9" x14ac:dyDescent="0.25">
      <c r="A2444" t="str">
        <f t="shared" si="46"/>
        <v>89301000</v>
      </c>
      <c r="B2444" t="str">
        <f>"2301120580"</f>
        <v>2301120580</v>
      </c>
      <c r="C2444" s="1">
        <v>45192</v>
      </c>
      <c r="D2444" s="1">
        <v>45195</v>
      </c>
      <c r="E2444">
        <v>1</v>
      </c>
      <c r="F2444" t="str">
        <f>"18-K02-04"</f>
        <v>18-K02-04</v>
      </c>
      <c r="G2444">
        <v>0.74450000000000005</v>
      </c>
      <c r="H2444" t="s">
        <v>11</v>
      </c>
      <c r="I2444" t="s">
        <v>10</v>
      </c>
    </row>
    <row r="2445" spans="1:9" x14ac:dyDescent="0.25">
      <c r="A2445" t="str">
        <f t="shared" si="46"/>
        <v>89301000</v>
      </c>
      <c r="B2445" t="str">
        <f>"2301120580"</f>
        <v>2301120580</v>
      </c>
      <c r="C2445" s="1">
        <v>44938</v>
      </c>
      <c r="D2445" s="1">
        <v>44942</v>
      </c>
      <c r="E2445">
        <v>1</v>
      </c>
      <c r="F2445" t="str">
        <f>"15-K05-04"</f>
        <v>15-K05-04</v>
      </c>
      <c r="G2445">
        <v>0.27139999999999997</v>
      </c>
      <c r="H2445" t="s">
        <v>13</v>
      </c>
      <c r="I2445" t="s">
        <v>10</v>
      </c>
    </row>
    <row r="2446" spans="1:9" x14ac:dyDescent="0.25">
      <c r="A2446" t="str">
        <f t="shared" si="46"/>
        <v>89301000</v>
      </c>
      <c r="B2446" t="str">
        <f>"2301120591"</f>
        <v>2301120591</v>
      </c>
      <c r="C2446" s="1">
        <v>44938</v>
      </c>
      <c r="D2446" s="1">
        <v>44943</v>
      </c>
      <c r="E2446">
        <v>1</v>
      </c>
      <c r="F2446" t="str">
        <f>"15-K05-04"</f>
        <v>15-K05-04</v>
      </c>
      <c r="G2446">
        <v>0.27139999999999997</v>
      </c>
      <c r="H2446" t="s">
        <v>13</v>
      </c>
      <c r="I2446" t="s">
        <v>10</v>
      </c>
    </row>
    <row r="2447" spans="1:9" x14ac:dyDescent="0.25">
      <c r="A2447" t="str">
        <f t="shared" si="46"/>
        <v>89301000</v>
      </c>
      <c r="B2447" t="str">
        <f>"2301120602"</f>
        <v>2301120602</v>
      </c>
      <c r="C2447" s="1">
        <v>44938</v>
      </c>
      <c r="D2447" s="1">
        <v>44943</v>
      </c>
      <c r="E2447">
        <v>1</v>
      </c>
      <c r="F2447" t="str">
        <f>"15-K05-04"</f>
        <v>15-K05-04</v>
      </c>
      <c r="G2447">
        <v>0.27139999999999997</v>
      </c>
      <c r="H2447" t="s">
        <v>13</v>
      </c>
      <c r="I2447" t="s">
        <v>10</v>
      </c>
    </row>
    <row r="2448" spans="1:9" x14ac:dyDescent="0.25">
      <c r="A2448" t="str">
        <f t="shared" si="46"/>
        <v>89301000</v>
      </c>
      <c r="B2448" t="str">
        <f>"2301130711"</f>
        <v>2301130711</v>
      </c>
      <c r="C2448" s="1">
        <v>44939</v>
      </c>
      <c r="D2448" s="1">
        <v>44939</v>
      </c>
      <c r="E2448">
        <v>1</v>
      </c>
      <c r="F2448" t="str">
        <f>"15-K05-04"</f>
        <v>15-K05-04</v>
      </c>
      <c r="G2448">
        <v>0.13569999999999999</v>
      </c>
      <c r="H2448" t="s">
        <v>13</v>
      </c>
      <c r="I2448" t="s">
        <v>10</v>
      </c>
    </row>
    <row r="2449" spans="1:9" x14ac:dyDescent="0.25">
      <c r="A2449" t="str">
        <f t="shared" si="46"/>
        <v>89301000</v>
      </c>
      <c r="B2449" t="str">
        <f>"2301150269"</f>
        <v>2301150269</v>
      </c>
      <c r="C2449" s="1">
        <v>44941</v>
      </c>
      <c r="D2449" s="1">
        <v>44944</v>
      </c>
      <c r="E2449">
        <v>1</v>
      </c>
      <c r="F2449" t="str">
        <f>"15-K05-04"</f>
        <v>15-K05-04</v>
      </c>
      <c r="G2449">
        <v>0.27139999999999997</v>
      </c>
      <c r="H2449" t="s">
        <v>13</v>
      </c>
      <c r="I2449" t="s">
        <v>10</v>
      </c>
    </row>
    <row r="2450" spans="1:9" x14ac:dyDescent="0.25">
      <c r="A2450" t="str">
        <f t="shared" si="46"/>
        <v>89301000</v>
      </c>
      <c r="B2450" t="str">
        <f>"2301160510"</f>
        <v>2301160510</v>
      </c>
      <c r="C2450" s="1">
        <v>44942</v>
      </c>
      <c r="D2450" s="1">
        <v>44946</v>
      </c>
      <c r="E2450">
        <v>1</v>
      </c>
      <c r="F2450" t="str">
        <f>"15-K05-02"</f>
        <v>15-K05-02</v>
      </c>
      <c r="G2450">
        <v>0.53290000000000004</v>
      </c>
      <c r="H2450" t="s">
        <v>13</v>
      </c>
      <c r="I2450" t="s">
        <v>10</v>
      </c>
    </row>
    <row r="2451" spans="1:9" x14ac:dyDescent="0.25">
      <c r="A2451" t="str">
        <f t="shared" si="46"/>
        <v>89301000</v>
      </c>
      <c r="B2451" t="str">
        <f>"2301160521"</f>
        <v>2301160521</v>
      </c>
      <c r="C2451" s="1">
        <v>44942</v>
      </c>
      <c r="D2451" s="1">
        <v>44945</v>
      </c>
      <c r="E2451">
        <v>1</v>
      </c>
      <c r="F2451" t="str">
        <f t="shared" ref="F2451:F2456" si="47">"15-K05-04"</f>
        <v>15-K05-04</v>
      </c>
      <c r="G2451">
        <v>0.27139999999999997</v>
      </c>
      <c r="H2451" t="s">
        <v>13</v>
      </c>
      <c r="I2451" t="s">
        <v>10</v>
      </c>
    </row>
    <row r="2452" spans="1:9" x14ac:dyDescent="0.25">
      <c r="A2452" t="str">
        <f t="shared" si="46"/>
        <v>89301000</v>
      </c>
      <c r="B2452" t="str">
        <f>"2301170553"</f>
        <v>2301170553</v>
      </c>
      <c r="C2452" s="1">
        <v>44943</v>
      </c>
      <c r="D2452" s="1">
        <v>44946</v>
      </c>
      <c r="E2452">
        <v>1</v>
      </c>
      <c r="F2452" t="str">
        <f t="shared" si="47"/>
        <v>15-K05-04</v>
      </c>
      <c r="G2452">
        <v>0.27139999999999997</v>
      </c>
      <c r="H2452" t="s">
        <v>13</v>
      </c>
      <c r="I2452" t="s">
        <v>10</v>
      </c>
    </row>
    <row r="2453" spans="1:9" x14ac:dyDescent="0.25">
      <c r="A2453" t="str">
        <f t="shared" si="46"/>
        <v>89301000</v>
      </c>
      <c r="B2453" t="str">
        <f>"2301180475"</f>
        <v>2301180475</v>
      </c>
      <c r="C2453" s="1">
        <v>44944</v>
      </c>
      <c r="D2453" s="1">
        <v>44947</v>
      </c>
      <c r="E2453">
        <v>1</v>
      </c>
      <c r="F2453" t="str">
        <f t="shared" si="47"/>
        <v>15-K05-04</v>
      </c>
      <c r="G2453">
        <v>0.27139999999999997</v>
      </c>
      <c r="H2453" t="s">
        <v>13</v>
      </c>
      <c r="I2453" t="s">
        <v>10</v>
      </c>
    </row>
    <row r="2454" spans="1:9" x14ac:dyDescent="0.25">
      <c r="A2454" t="str">
        <f t="shared" si="46"/>
        <v>89301000</v>
      </c>
      <c r="B2454" t="str">
        <f>"2301180486"</f>
        <v>2301180486</v>
      </c>
      <c r="C2454" s="1">
        <v>44944</v>
      </c>
      <c r="D2454" s="1">
        <v>44947</v>
      </c>
      <c r="E2454">
        <v>1</v>
      </c>
      <c r="F2454" t="str">
        <f t="shared" si="47"/>
        <v>15-K05-04</v>
      </c>
      <c r="G2454">
        <v>0.27139999999999997</v>
      </c>
      <c r="H2454" t="s">
        <v>13</v>
      </c>
      <c r="I2454" t="s">
        <v>10</v>
      </c>
    </row>
    <row r="2455" spans="1:9" x14ac:dyDescent="0.25">
      <c r="A2455" t="str">
        <f t="shared" si="46"/>
        <v>89301000</v>
      </c>
      <c r="B2455" t="str">
        <f>"2301180497"</f>
        <v>2301180497</v>
      </c>
      <c r="C2455" s="1">
        <v>44944</v>
      </c>
      <c r="D2455" s="1">
        <v>44948</v>
      </c>
      <c r="E2455">
        <v>1</v>
      </c>
      <c r="F2455" t="str">
        <f t="shared" si="47"/>
        <v>15-K05-04</v>
      </c>
      <c r="G2455">
        <v>0.27139999999999997</v>
      </c>
      <c r="H2455" t="s">
        <v>13</v>
      </c>
      <c r="I2455" t="s">
        <v>10</v>
      </c>
    </row>
    <row r="2456" spans="1:9" x14ac:dyDescent="0.25">
      <c r="A2456" t="str">
        <f t="shared" si="46"/>
        <v>89301000</v>
      </c>
      <c r="B2456" t="str">
        <f>"2301190078"</f>
        <v>2301190078</v>
      </c>
      <c r="C2456" s="1">
        <v>44945</v>
      </c>
      <c r="D2456" s="1">
        <v>44946</v>
      </c>
      <c r="E2456">
        <v>1</v>
      </c>
      <c r="F2456" t="str">
        <f t="shared" si="47"/>
        <v>15-K05-04</v>
      </c>
      <c r="G2456">
        <v>0.27139999999999997</v>
      </c>
      <c r="H2456" t="s">
        <v>13</v>
      </c>
      <c r="I2456" t="s">
        <v>10</v>
      </c>
    </row>
    <row r="2457" spans="1:9" x14ac:dyDescent="0.25">
      <c r="A2457" t="str">
        <f t="shared" si="46"/>
        <v>89301000</v>
      </c>
      <c r="B2457" t="str">
        <f>"2301190254"</f>
        <v>2301190254</v>
      </c>
      <c r="C2457" s="1">
        <v>45029</v>
      </c>
      <c r="D2457" s="1">
        <v>45031</v>
      </c>
      <c r="E2457">
        <v>1</v>
      </c>
      <c r="F2457" t="str">
        <f>"06-I16-05"</f>
        <v>06-I16-05</v>
      </c>
      <c r="G2457">
        <v>0.4622</v>
      </c>
      <c r="H2457" t="s">
        <v>9</v>
      </c>
      <c r="I2457" t="s">
        <v>10</v>
      </c>
    </row>
    <row r="2458" spans="1:9" x14ac:dyDescent="0.25">
      <c r="A2458" t="str">
        <f t="shared" si="46"/>
        <v>89301000</v>
      </c>
      <c r="B2458" t="str">
        <f>"2301190837"</f>
        <v>2301190837</v>
      </c>
      <c r="C2458" s="1">
        <v>44945</v>
      </c>
      <c r="D2458" s="1">
        <v>44948</v>
      </c>
      <c r="E2458">
        <v>1</v>
      </c>
      <c r="F2458" t="str">
        <f>"15-K05-04"</f>
        <v>15-K05-04</v>
      </c>
      <c r="G2458">
        <v>0.27139999999999997</v>
      </c>
      <c r="H2458" t="s">
        <v>13</v>
      </c>
      <c r="I2458" t="s">
        <v>10</v>
      </c>
    </row>
    <row r="2459" spans="1:9" x14ac:dyDescent="0.25">
      <c r="A2459" t="str">
        <f t="shared" si="46"/>
        <v>89301000</v>
      </c>
      <c r="B2459" t="str">
        <f>"2301200649"</f>
        <v>2301200649</v>
      </c>
      <c r="C2459" s="1">
        <v>44946</v>
      </c>
      <c r="D2459" s="1">
        <v>44950</v>
      </c>
      <c r="E2459">
        <v>1</v>
      </c>
      <c r="F2459" t="str">
        <f>"15-K05-04"</f>
        <v>15-K05-04</v>
      </c>
      <c r="G2459">
        <v>0.27139999999999997</v>
      </c>
      <c r="H2459" t="s">
        <v>13</v>
      </c>
      <c r="I2459" t="s">
        <v>10</v>
      </c>
    </row>
    <row r="2460" spans="1:9" x14ac:dyDescent="0.25">
      <c r="A2460" t="str">
        <f t="shared" si="46"/>
        <v>89301000</v>
      </c>
      <c r="B2460" t="str">
        <f>"2301220229"</f>
        <v>2301220229</v>
      </c>
      <c r="C2460" s="1">
        <v>44948</v>
      </c>
      <c r="D2460" s="1">
        <v>44952</v>
      </c>
      <c r="E2460">
        <v>1</v>
      </c>
      <c r="F2460" t="str">
        <f>"15-K05-04"</f>
        <v>15-K05-04</v>
      </c>
      <c r="G2460">
        <v>0.27139999999999997</v>
      </c>
      <c r="H2460" t="s">
        <v>13</v>
      </c>
      <c r="I2460" t="s">
        <v>10</v>
      </c>
    </row>
    <row r="2461" spans="1:9" x14ac:dyDescent="0.25">
      <c r="A2461" t="str">
        <f t="shared" si="46"/>
        <v>89301000</v>
      </c>
      <c r="B2461" t="str">
        <f>"2301220317"</f>
        <v>2301220317</v>
      </c>
      <c r="C2461" s="1">
        <v>45117</v>
      </c>
      <c r="D2461" s="1">
        <v>45125</v>
      </c>
      <c r="E2461">
        <v>1</v>
      </c>
      <c r="F2461" t="str">
        <f>"11-K01-03"</f>
        <v>11-K01-03</v>
      </c>
      <c r="G2461">
        <v>0.68789999999999996</v>
      </c>
      <c r="H2461" t="s">
        <v>11</v>
      </c>
      <c r="I2461" t="s">
        <v>10</v>
      </c>
    </row>
    <row r="2462" spans="1:9" x14ac:dyDescent="0.25">
      <c r="A2462" t="str">
        <f t="shared" si="46"/>
        <v>89301000</v>
      </c>
      <c r="B2462" t="str">
        <f>"2301220317"</f>
        <v>2301220317</v>
      </c>
      <c r="C2462" s="1">
        <v>45070</v>
      </c>
      <c r="D2462" s="1">
        <v>45083</v>
      </c>
      <c r="E2462">
        <v>1</v>
      </c>
      <c r="F2462" t="str">
        <f>"11-I10-03"</f>
        <v>11-I10-03</v>
      </c>
      <c r="G2462">
        <v>2.3294000000000001</v>
      </c>
      <c r="H2462" t="s">
        <v>12</v>
      </c>
      <c r="I2462" t="s">
        <v>10</v>
      </c>
    </row>
    <row r="2463" spans="1:9" x14ac:dyDescent="0.25">
      <c r="A2463" t="str">
        <f t="shared" si="46"/>
        <v>89301000</v>
      </c>
      <c r="B2463" t="str">
        <f>"2301230525"</f>
        <v>2301230525</v>
      </c>
      <c r="C2463" s="1">
        <v>45175</v>
      </c>
      <c r="D2463" s="1">
        <v>45176</v>
      </c>
      <c r="E2463">
        <v>1</v>
      </c>
      <c r="F2463" t="str">
        <f>"09-K04-02"</f>
        <v>09-K04-02</v>
      </c>
      <c r="G2463">
        <v>0.64849999999999997</v>
      </c>
      <c r="H2463" t="s">
        <v>11</v>
      </c>
      <c r="I2463" t="s">
        <v>10</v>
      </c>
    </row>
    <row r="2464" spans="1:9" x14ac:dyDescent="0.25">
      <c r="A2464" t="str">
        <f t="shared" si="46"/>
        <v>89301000</v>
      </c>
      <c r="B2464" t="str">
        <f>"2301230525"</f>
        <v>2301230525</v>
      </c>
      <c r="C2464" s="1">
        <v>44949</v>
      </c>
      <c r="D2464" s="1">
        <v>44952</v>
      </c>
      <c r="E2464">
        <v>1</v>
      </c>
      <c r="F2464" t="str">
        <f>"15-K05-04"</f>
        <v>15-K05-04</v>
      </c>
      <c r="G2464">
        <v>0.27139999999999997</v>
      </c>
      <c r="H2464" t="s">
        <v>13</v>
      </c>
      <c r="I2464" t="s">
        <v>10</v>
      </c>
    </row>
    <row r="2465" spans="1:9" x14ac:dyDescent="0.25">
      <c r="A2465" t="str">
        <f t="shared" si="46"/>
        <v>89301000</v>
      </c>
      <c r="B2465" t="str">
        <f>"2301230525"</f>
        <v>2301230525</v>
      </c>
      <c r="C2465" s="1">
        <v>45016</v>
      </c>
      <c r="D2465" s="1">
        <v>45018</v>
      </c>
      <c r="E2465">
        <v>1</v>
      </c>
      <c r="F2465" t="str">
        <f>"06-K22-03"</f>
        <v>06-K22-03</v>
      </c>
      <c r="G2465">
        <v>0.31619999999999998</v>
      </c>
      <c r="H2465" t="s">
        <v>11</v>
      </c>
      <c r="I2465" t="s">
        <v>10</v>
      </c>
    </row>
    <row r="2466" spans="1:9" x14ac:dyDescent="0.25">
      <c r="A2466" t="str">
        <f t="shared" si="46"/>
        <v>89301000</v>
      </c>
      <c r="B2466" t="str">
        <f>"2301230558"</f>
        <v>2301230558</v>
      </c>
      <c r="C2466" s="1">
        <v>44949</v>
      </c>
      <c r="D2466" s="1">
        <v>44952</v>
      </c>
      <c r="E2466">
        <v>1</v>
      </c>
      <c r="F2466" t="str">
        <f>"15-K05-04"</f>
        <v>15-K05-04</v>
      </c>
      <c r="G2466">
        <v>0.27139999999999997</v>
      </c>
      <c r="H2466" t="s">
        <v>13</v>
      </c>
      <c r="I2466" t="s">
        <v>10</v>
      </c>
    </row>
    <row r="2467" spans="1:9" x14ac:dyDescent="0.25">
      <c r="A2467" t="str">
        <f t="shared" si="46"/>
        <v>89301000</v>
      </c>
      <c r="B2467" t="str">
        <f>"2301240084"</f>
        <v>2301240084</v>
      </c>
      <c r="C2467" s="1">
        <v>44950</v>
      </c>
      <c r="D2467" s="1">
        <v>44952</v>
      </c>
      <c r="E2467">
        <v>1</v>
      </c>
      <c r="F2467" t="str">
        <f>"15-K05-04"</f>
        <v>15-K05-04</v>
      </c>
      <c r="G2467">
        <v>0.27139999999999997</v>
      </c>
      <c r="H2467" t="s">
        <v>13</v>
      </c>
      <c r="I2467" t="s">
        <v>10</v>
      </c>
    </row>
    <row r="2468" spans="1:9" x14ac:dyDescent="0.25">
      <c r="A2468" t="str">
        <f t="shared" si="46"/>
        <v>89301000</v>
      </c>
      <c r="B2468" t="str">
        <f>"2301240623"</f>
        <v>2301240623</v>
      </c>
      <c r="C2468" s="1">
        <v>44950</v>
      </c>
      <c r="D2468" s="1">
        <v>44960</v>
      </c>
      <c r="E2468">
        <v>1</v>
      </c>
      <c r="F2468" t="str">
        <f>"15-M01-07"</f>
        <v>15-M01-07</v>
      </c>
      <c r="G2468">
        <v>2.3500999999999999</v>
      </c>
      <c r="H2468" t="s">
        <v>17</v>
      </c>
      <c r="I2468" t="s">
        <v>10</v>
      </c>
    </row>
    <row r="2469" spans="1:9" x14ac:dyDescent="0.25">
      <c r="A2469" t="str">
        <f t="shared" si="46"/>
        <v>89301000</v>
      </c>
      <c r="B2469" t="str">
        <f>"2301240645"</f>
        <v>2301240645</v>
      </c>
      <c r="C2469" s="1">
        <v>44950</v>
      </c>
      <c r="D2469" s="1">
        <v>44954</v>
      </c>
      <c r="E2469">
        <v>1</v>
      </c>
      <c r="F2469" t="str">
        <f t="shared" ref="F2469:F2474" si="48">"15-K05-04"</f>
        <v>15-K05-04</v>
      </c>
      <c r="G2469">
        <v>0.27139999999999997</v>
      </c>
      <c r="H2469" t="s">
        <v>13</v>
      </c>
      <c r="I2469" t="s">
        <v>10</v>
      </c>
    </row>
    <row r="2470" spans="1:9" x14ac:dyDescent="0.25">
      <c r="A2470" t="str">
        <f t="shared" si="46"/>
        <v>89301000</v>
      </c>
      <c r="B2470" t="str">
        <f>"2301250050"</f>
        <v>2301250050</v>
      </c>
      <c r="C2470" s="1">
        <v>44951</v>
      </c>
      <c r="D2470" s="1">
        <v>44955</v>
      </c>
      <c r="E2470">
        <v>1</v>
      </c>
      <c r="F2470" t="str">
        <f t="shared" si="48"/>
        <v>15-K05-04</v>
      </c>
      <c r="G2470">
        <v>0.27139999999999997</v>
      </c>
      <c r="H2470" t="s">
        <v>13</v>
      </c>
      <c r="I2470" t="s">
        <v>10</v>
      </c>
    </row>
    <row r="2471" spans="1:9" x14ac:dyDescent="0.25">
      <c r="A2471" t="str">
        <f t="shared" si="46"/>
        <v>89301000</v>
      </c>
      <c r="B2471" t="str">
        <f>"2301260082"</f>
        <v>2301260082</v>
      </c>
      <c r="C2471" s="1">
        <v>44952</v>
      </c>
      <c r="D2471" s="1">
        <v>44956</v>
      </c>
      <c r="E2471">
        <v>1</v>
      </c>
      <c r="F2471" t="str">
        <f t="shared" si="48"/>
        <v>15-K05-04</v>
      </c>
      <c r="G2471">
        <v>0.27139999999999997</v>
      </c>
      <c r="H2471" t="s">
        <v>13</v>
      </c>
      <c r="I2471" t="s">
        <v>10</v>
      </c>
    </row>
    <row r="2472" spans="1:9" x14ac:dyDescent="0.25">
      <c r="A2472" t="str">
        <f t="shared" si="46"/>
        <v>89301000</v>
      </c>
      <c r="B2472" t="str">
        <f>"2301270708"</f>
        <v>2301270708</v>
      </c>
      <c r="C2472" s="1">
        <v>44953</v>
      </c>
      <c r="D2472" s="1">
        <v>44956</v>
      </c>
      <c r="E2472">
        <v>1</v>
      </c>
      <c r="F2472" t="str">
        <f t="shared" si="48"/>
        <v>15-K05-04</v>
      </c>
      <c r="G2472">
        <v>0.27139999999999997</v>
      </c>
      <c r="H2472" t="s">
        <v>13</v>
      </c>
      <c r="I2472" t="s">
        <v>10</v>
      </c>
    </row>
    <row r="2473" spans="1:9" x14ac:dyDescent="0.25">
      <c r="A2473" t="str">
        <f t="shared" si="46"/>
        <v>89301000</v>
      </c>
      <c r="B2473" t="str">
        <f>"2301270730"</f>
        <v>2301270730</v>
      </c>
      <c r="C2473" s="1">
        <v>44953</v>
      </c>
      <c r="D2473" s="1">
        <v>44956</v>
      </c>
      <c r="E2473">
        <v>1</v>
      </c>
      <c r="F2473" t="str">
        <f t="shared" si="48"/>
        <v>15-K05-04</v>
      </c>
      <c r="G2473">
        <v>0.27139999999999997</v>
      </c>
      <c r="H2473" t="s">
        <v>13</v>
      </c>
      <c r="I2473" t="s">
        <v>10</v>
      </c>
    </row>
    <row r="2474" spans="1:9" x14ac:dyDescent="0.25">
      <c r="A2474" t="str">
        <f t="shared" si="46"/>
        <v>89301000</v>
      </c>
      <c r="B2474" t="str">
        <f>"2301280366"</f>
        <v>2301280366</v>
      </c>
      <c r="C2474" s="1">
        <v>44954</v>
      </c>
      <c r="D2474" s="1">
        <v>44957</v>
      </c>
      <c r="E2474">
        <v>1</v>
      </c>
      <c r="F2474" t="str">
        <f t="shared" si="48"/>
        <v>15-K05-04</v>
      </c>
      <c r="G2474">
        <v>0.27139999999999997</v>
      </c>
      <c r="H2474" t="s">
        <v>13</v>
      </c>
      <c r="I2474" t="s">
        <v>10</v>
      </c>
    </row>
    <row r="2475" spans="1:9" x14ac:dyDescent="0.25">
      <c r="A2475" t="str">
        <f t="shared" si="46"/>
        <v>89301000</v>
      </c>
      <c r="B2475" t="str">
        <f>"2301290332"</f>
        <v>2301290332</v>
      </c>
      <c r="C2475" s="1">
        <v>44955</v>
      </c>
      <c r="D2475" s="1">
        <v>44963</v>
      </c>
      <c r="E2475">
        <v>1</v>
      </c>
      <c r="F2475" t="str">
        <f>"15-K04-02"</f>
        <v>15-K04-02</v>
      </c>
      <c r="G2475">
        <v>1.0172000000000001</v>
      </c>
      <c r="H2475" t="s">
        <v>18</v>
      </c>
      <c r="I2475" t="s">
        <v>10</v>
      </c>
    </row>
    <row r="2476" spans="1:9" x14ac:dyDescent="0.25">
      <c r="A2476" t="str">
        <f t="shared" si="46"/>
        <v>89301000</v>
      </c>
      <c r="B2476" t="str">
        <f>"2301300100"</f>
        <v>2301300100</v>
      </c>
      <c r="C2476" s="1">
        <v>44956</v>
      </c>
      <c r="D2476" s="1">
        <v>44958</v>
      </c>
      <c r="E2476">
        <v>1</v>
      </c>
      <c r="F2476" t="str">
        <f>"15-K05-04"</f>
        <v>15-K05-04</v>
      </c>
      <c r="G2476">
        <v>0.27139999999999997</v>
      </c>
      <c r="H2476" t="s">
        <v>13</v>
      </c>
      <c r="I2476" t="s">
        <v>10</v>
      </c>
    </row>
    <row r="2477" spans="1:9" x14ac:dyDescent="0.25">
      <c r="A2477" t="str">
        <f t="shared" si="46"/>
        <v>89301000</v>
      </c>
      <c r="B2477" t="str">
        <f>"2301300529"</f>
        <v>2301300529</v>
      </c>
      <c r="C2477" s="1">
        <v>44956</v>
      </c>
      <c r="D2477" s="1">
        <v>44959</v>
      </c>
      <c r="E2477">
        <v>1</v>
      </c>
      <c r="F2477" t="str">
        <f>"15-K05-04"</f>
        <v>15-K05-04</v>
      </c>
      <c r="G2477">
        <v>0.27139999999999997</v>
      </c>
      <c r="H2477" t="s">
        <v>13</v>
      </c>
      <c r="I2477" t="s">
        <v>10</v>
      </c>
    </row>
    <row r="2478" spans="1:9" x14ac:dyDescent="0.25">
      <c r="A2478" t="str">
        <f t="shared" si="46"/>
        <v>89301000</v>
      </c>
      <c r="B2478" t="str">
        <f>"2301300540"</f>
        <v>2301300540</v>
      </c>
      <c r="C2478" s="1">
        <v>44956</v>
      </c>
      <c r="D2478" s="1">
        <v>44959</v>
      </c>
      <c r="E2478">
        <v>1</v>
      </c>
      <c r="F2478" t="str">
        <f>"15-K05-04"</f>
        <v>15-K05-04</v>
      </c>
      <c r="G2478">
        <v>0.27139999999999997</v>
      </c>
      <c r="H2478" t="s">
        <v>13</v>
      </c>
      <c r="I2478" t="s">
        <v>10</v>
      </c>
    </row>
    <row r="2479" spans="1:9" x14ac:dyDescent="0.25">
      <c r="A2479" t="str">
        <f t="shared" si="46"/>
        <v>89301000</v>
      </c>
      <c r="B2479" t="str">
        <f>"2301300551"</f>
        <v>2301300551</v>
      </c>
      <c r="C2479" s="1">
        <v>44956</v>
      </c>
      <c r="D2479" s="1">
        <v>44959</v>
      </c>
      <c r="E2479">
        <v>1</v>
      </c>
      <c r="F2479" t="str">
        <f>"15-K05-04"</f>
        <v>15-K05-04</v>
      </c>
      <c r="G2479">
        <v>0.27139999999999997</v>
      </c>
      <c r="H2479" t="s">
        <v>13</v>
      </c>
      <c r="I2479" t="s">
        <v>10</v>
      </c>
    </row>
    <row r="2480" spans="1:9" x14ac:dyDescent="0.25">
      <c r="A2480" t="str">
        <f t="shared" si="46"/>
        <v>89301000</v>
      </c>
      <c r="B2480" t="str">
        <f>"2301300562"</f>
        <v>2301300562</v>
      </c>
      <c r="C2480" s="1">
        <v>44956</v>
      </c>
      <c r="D2480" s="1">
        <v>44960</v>
      </c>
      <c r="E2480">
        <v>1</v>
      </c>
      <c r="F2480" t="str">
        <f>"15-K05-04"</f>
        <v>15-K05-04</v>
      </c>
      <c r="G2480">
        <v>0.27139999999999997</v>
      </c>
      <c r="H2480" t="s">
        <v>13</v>
      </c>
      <c r="I2480" t="s">
        <v>10</v>
      </c>
    </row>
    <row r="2481" spans="1:9" x14ac:dyDescent="0.25">
      <c r="A2481" t="str">
        <f t="shared" si="46"/>
        <v>89301000</v>
      </c>
      <c r="B2481" t="str">
        <f>"2301310275"</f>
        <v>2301310275</v>
      </c>
      <c r="C2481" s="1">
        <v>44957</v>
      </c>
      <c r="D2481" s="1">
        <v>44966</v>
      </c>
      <c r="E2481">
        <v>1</v>
      </c>
      <c r="F2481" t="str">
        <f>"15-M01-07"</f>
        <v>15-M01-07</v>
      </c>
      <c r="G2481">
        <v>2.3500999999999999</v>
      </c>
      <c r="H2481" t="s">
        <v>17</v>
      </c>
      <c r="I2481" t="s">
        <v>10</v>
      </c>
    </row>
    <row r="2482" spans="1:9" x14ac:dyDescent="0.25">
      <c r="A2482" t="str">
        <f t="shared" si="46"/>
        <v>89301000</v>
      </c>
      <c r="B2482" t="str">
        <f>"2301310462"</f>
        <v>2301310462</v>
      </c>
      <c r="C2482" s="1">
        <v>44957</v>
      </c>
      <c r="D2482" s="1">
        <v>44961</v>
      </c>
      <c r="E2482">
        <v>1</v>
      </c>
      <c r="F2482" t="str">
        <f>"15-K06-04"</f>
        <v>15-K06-04</v>
      </c>
      <c r="G2482">
        <v>0.55330000000000001</v>
      </c>
      <c r="H2482" t="s">
        <v>13</v>
      </c>
      <c r="I2482" t="s">
        <v>10</v>
      </c>
    </row>
    <row r="2483" spans="1:9" x14ac:dyDescent="0.25">
      <c r="A2483" t="str">
        <f t="shared" si="46"/>
        <v>89301000</v>
      </c>
      <c r="B2483" t="str">
        <f>"2301310473"</f>
        <v>2301310473</v>
      </c>
      <c r="C2483" s="1">
        <v>44957</v>
      </c>
      <c r="D2483" s="1">
        <v>44961</v>
      </c>
      <c r="E2483">
        <v>1</v>
      </c>
      <c r="F2483" t="str">
        <f>"15-K05-04"</f>
        <v>15-K05-04</v>
      </c>
      <c r="G2483">
        <v>0.27139999999999997</v>
      </c>
      <c r="H2483" t="s">
        <v>13</v>
      </c>
      <c r="I2483" t="s">
        <v>10</v>
      </c>
    </row>
    <row r="2484" spans="1:9" x14ac:dyDescent="0.25">
      <c r="A2484" t="str">
        <f t="shared" si="46"/>
        <v>89301000</v>
      </c>
      <c r="B2484" t="str">
        <f>"2302010491"</f>
        <v>2302010491</v>
      </c>
      <c r="C2484" s="1">
        <v>44958</v>
      </c>
      <c r="D2484" s="1">
        <v>44961</v>
      </c>
      <c r="E2484">
        <v>1</v>
      </c>
      <c r="F2484" t="str">
        <f>"15-K05-04"</f>
        <v>15-K05-04</v>
      </c>
      <c r="G2484">
        <v>0.27139999999999997</v>
      </c>
      <c r="H2484" t="s">
        <v>13</v>
      </c>
      <c r="I2484" t="s">
        <v>10</v>
      </c>
    </row>
    <row r="2485" spans="1:9" x14ac:dyDescent="0.25">
      <c r="A2485" t="str">
        <f t="shared" si="46"/>
        <v>89301000</v>
      </c>
      <c r="B2485" t="str">
        <f>"2302020688"</f>
        <v>2302020688</v>
      </c>
      <c r="C2485" s="1">
        <v>44959</v>
      </c>
      <c r="D2485" s="1">
        <v>44965</v>
      </c>
      <c r="E2485">
        <v>1</v>
      </c>
      <c r="F2485" t="str">
        <f>"15-K03-02"</f>
        <v>15-K03-02</v>
      </c>
      <c r="G2485">
        <v>1.8358000000000001</v>
      </c>
      <c r="H2485" t="s">
        <v>18</v>
      </c>
      <c r="I2485" t="s">
        <v>10</v>
      </c>
    </row>
    <row r="2486" spans="1:9" x14ac:dyDescent="0.25">
      <c r="A2486" t="str">
        <f t="shared" si="46"/>
        <v>89301000</v>
      </c>
      <c r="B2486" t="str">
        <f>"2302030225"</f>
        <v>2302030225</v>
      </c>
      <c r="C2486" s="1">
        <v>44961</v>
      </c>
      <c r="D2486" s="1">
        <v>44969</v>
      </c>
      <c r="E2486">
        <v>1</v>
      </c>
      <c r="F2486" t="str">
        <f>"15-M01-07"</f>
        <v>15-M01-07</v>
      </c>
      <c r="G2486">
        <v>2.3370000000000002</v>
      </c>
      <c r="H2486" t="s">
        <v>17</v>
      </c>
      <c r="I2486" t="s">
        <v>10</v>
      </c>
    </row>
    <row r="2487" spans="1:9" x14ac:dyDescent="0.25">
      <c r="A2487" t="str">
        <f t="shared" ref="A2487:A2550" si="49">"89301000"</f>
        <v>89301000</v>
      </c>
      <c r="B2487" t="str">
        <f>"2302040301"</f>
        <v>2302040301</v>
      </c>
      <c r="C2487" s="1">
        <v>44961</v>
      </c>
      <c r="D2487" s="1">
        <v>44964</v>
      </c>
      <c r="E2487">
        <v>1</v>
      </c>
      <c r="F2487" t="str">
        <f t="shared" ref="F2487:F2494" si="50">"15-K05-04"</f>
        <v>15-K05-04</v>
      </c>
      <c r="G2487">
        <v>0.27139999999999997</v>
      </c>
      <c r="H2487" t="s">
        <v>13</v>
      </c>
      <c r="I2487" t="s">
        <v>10</v>
      </c>
    </row>
    <row r="2488" spans="1:9" x14ac:dyDescent="0.25">
      <c r="A2488" t="str">
        <f t="shared" si="49"/>
        <v>89301000</v>
      </c>
      <c r="B2488" t="str">
        <f>"2302070540"</f>
        <v>2302070540</v>
      </c>
      <c r="C2488" s="1">
        <v>44964</v>
      </c>
      <c r="D2488" s="1">
        <v>44967</v>
      </c>
      <c r="E2488">
        <v>1</v>
      </c>
      <c r="F2488" t="str">
        <f t="shared" si="50"/>
        <v>15-K05-04</v>
      </c>
      <c r="G2488">
        <v>0.27139999999999997</v>
      </c>
      <c r="H2488" t="s">
        <v>13</v>
      </c>
      <c r="I2488" t="s">
        <v>10</v>
      </c>
    </row>
    <row r="2489" spans="1:9" x14ac:dyDescent="0.25">
      <c r="A2489" t="str">
        <f t="shared" si="49"/>
        <v>89301000</v>
      </c>
      <c r="B2489" t="str">
        <f>"2302070551"</f>
        <v>2302070551</v>
      </c>
      <c r="C2489" s="1">
        <v>44964</v>
      </c>
      <c r="D2489" s="1">
        <v>44967</v>
      </c>
      <c r="E2489">
        <v>1</v>
      </c>
      <c r="F2489" t="str">
        <f t="shared" si="50"/>
        <v>15-K05-04</v>
      </c>
      <c r="G2489">
        <v>0.27139999999999997</v>
      </c>
      <c r="H2489" t="s">
        <v>13</v>
      </c>
      <c r="I2489" t="s">
        <v>10</v>
      </c>
    </row>
    <row r="2490" spans="1:9" x14ac:dyDescent="0.25">
      <c r="A2490" t="str">
        <f t="shared" si="49"/>
        <v>89301000</v>
      </c>
      <c r="B2490" t="str">
        <f>"2302080066"</f>
        <v>2302080066</v>
      </c>
      <c r="C2490" s="1">
        <v>44965</v>
      </c>
      <c r="D2490" s="1">
        <v>44967</v>
      </c>
      <c r="E2490">
        <v>1</v>
      </c>
      <c r="F2490" t="str">
        <f t="shared" si="50"/>
        <v>15-K05-04</v>
      </c>
      <c r="G2490">
        <v>0.27139999999999997</v>
      </c>
      <c r="H2490" t="s">
        <v>13</v>
      </c>
      <c r="I2490" t="s">
        <v>10</v>
      </c>
    </row>
    <row r="2491" spans="1:9" x14ac:dyDescent="0.25">
      <c r="A2491" t="str">
        <f t="shared" si="49"/>
        <v>89301000</v>
      </c>
      <c r="B2491" t="str">
        <f>"2302090362"</f>
        <v>2302090362</v>
      </c>
      <c r="C2491" s="1">
        <v>44966</v>
      </c>
      <c r="D2491" s="1">
        <v>44969</v>
      </c>
      <c r="E2491">
        <v>1</v>
      </c>
      <c r="F2491" t="str">
        <f t="shared" si="50"/>
        <v>15-K05-04</v>
      </c>
      <c r="G2491">
        <v>0.27139999999999997</v>
      </c>
      <c r="H2491" t="s">
        <v>13</v>
      </c>
      <c r="I2491" t="s">
        <v>10</v>
      </c>
    </row>
    <row r="2492" spans="1:9" x14ac:dyDescent="0.25">
      <c r="A2492" t="str">
        <f t="shared" si="49"/>
        <v>89301000</v>
      </c>
      <c r="B2492" t="str">
        <f>"2302100064"</f>
        <v>2302100064</v>
      </c>
      <c r="C2492" s="1">
        <v>44967</v>
      </c>
      <c r="D2492" s="1">
        <v>44970</v>
      </c>
      <c r="E2492">
        <v>1</v>
      </c>
      <c r="F2492" t="str">
        <f t="shared" si="50"/>
        <v>15-K05-04</v>
      </c>
      <c r="G2492">
        <v>0.27139999999999997</v>
      </c>
      <c r="H2492" t="s">
        <v>13</v>
      </c>
      <c r="I2492" t="s">
        <v>10</v>
      </c>
    </row>
    <row r="2493" spans="1:9" x14ac:dyDescent="0.25">
      <c r="A2493" t="str">
        <f t="shared" si="49"/>
        <v>89301000</v>
      </c>
      <c r="B2493" t="str">
        <f>"2302110371"</f>
        <v>2302110371</v>
      </c>
      <c r="C2493" s="1">
        <v>44968</v>
      </c>
      <c r="D2493" s="1">
        <v>44971</v>
      </c>
      <c r="E2493">
        <v>1</v>
      </c>
      <c r="F2493" t="str">
        <f t="shared" si="50"/>
        <v>15-K05-04</v>
      </c>
      <c r="G2493">
        <v>0.27139999999999997</v>
      </c>
      <c r="H2493" t="s">
        <v>13</v>
      </c>
      <c r="I2493" t="s">
        <v>10</v>
      </c>
    </row>
    <row r="2494" spans="1:9" x14ac:dyDescent="0.25">
      <c r="A2494" t="str">
        <f t="shared" si="49"/>
        <v>89301000</v>
      </c>
      <c r="B2494" t="str">
        <f>"2302130094"</f>
        <v>2302130094</v>
      </c>
      <c r="C2494" s="1">
        <v>44970</v>
      </c>
      <c r="D2494" s="1">
        <v>44974</v>
      </c>
      <c r="E2494">
        <v>1</v>
      </c>
      <c r="F2494" t="str">
        <f t="shared" si="50"/>
        <v>15-K05-04</v>
      </c>
      <c r="G2494">
        <v>0.27139999999999997</v>
      </c>
      <c r="H2494" t="s">
        <v>13</v>
      </c>
      <c r="I2494" t="s">
        <v>10</v>
      </c>
    </row>
    <row r="2495" spans="1:9" x14ac:dyDescent="0.25">
      <c r="A2495" t="str">
        <f t="shared" si="49"/>
        <v>89301000</v>
      </c>
      <c r="B2495" t="str">
        <f>"2302140544"</f>
        <v>2302140544</v>
      </c>
      <c r="C2495" s="1">
        <v>44994</v>
      </c>
      <c r="D2495" s="1">
        <v>44998</v>
      </c>
      <c r="E2495">
        <v>1</v>
      </c>
      <c r="F2495" t="str">
        <f>"15-K06-03"</f>
        <v>15-K06-03</v>
      </c>
      <c r="G2495">
        <v>0.70640000000000003</v>
      </c>
      <c r="H2495" t="s">
        <v>13</v>
      </c>
      <c r="I2495" t="s">
        <v>10</v>
      </c>
    </row>
    <row r="2496" spans="1:9" x14ac:dyDescent="0.25">
      <c r="A2496" t="str">
        <f t="shared" si="49"/>
        <v>89301000</v>
      </c>
      <c r="B2496" t="str">
        <f>"2302140544"</f>
        <v>2302140544</v>
      </c>
      <c r="C2496" s="1">
        <v>44971</v>
      </c>
      <c r="D2496" s="1">
        <v>44975</v>
      </c>
      <c r="E2496">
        <v>1</v>
      </c>
      <c r="F2496" t="str">
        <f>"15-K05-04"</f>
        <v>15-K05-04</v>
      </c>
      <c r="G2496">
        <v>0.27139999999999997</v>
      </c>
      <c r="H2496" t="s">
        <v>13</v>
      </c>
      <c r="I2496" t="s">
        <v>10</v>
      </c>
    </row>
    <row r="2497" spans="1:9" x14ac:dyDescent="0.25">
      <c r="A2497" t="str">
        <f t="shared" si="49"/>
        <v>89301000</v>
      </c>
      <c r="B2497" t="str">
        <f>"2302160674"</f>
        <v>2302160674</v>
      </c>
      <c r="C2497" s="1">
        <v>44973</v>
      </c>
      <c r="D2497" s="1">
        <v>44976</v>
      </c>
      <c r="E2497">
        <v>1</v>
      </c>
      <c r="F2497" t="str">
        <f>"15-K05-04"</f>
        <v>15-K05-04</v>
      </c>
      <c r="G2497">
        <v>0.27139999999999997</v>
      </c>
      <c r="H2497" t="s">
        <v>13</v>
      </c>
      <c r="I2497" t="s">
        <v>10</v>
      </c>
    </row>
    <row r="2498" spans="1:9" x14ac:dyDescent="0.25">
      <c r="A2498" t="str">
        <f t="shared" si="49"/>
        <v>89301000</v>
      </c>
      <c r="B2498" t="str">
        <f>"2302170629"</f>
        <v>2302170629</v>
      </c>
      <c r="C2498" s="1">
        <v>44974</v>
      </c>
      <c r="D2498" s="1">
        <v>45011</v>
      </c>
      <c r="E2498">
        <v>1</v>
      </c>
      <c r="F2498" t="str">
        <f>"15-M01-06"</f>
        <v>15-M01-06</v>
      </c>
      <c r="G2498">
        <v>4.4606000000000003</v>
      </c>
      <c r="H2498" t="s">
        <v>17</v>
      </c>
      <c r="I2498" t="s">
        <v>10</v>
      </c>
    </row>
    <row r="2499" spans="1:9" x14ac:dyDescent="0.25">
      <c r="A2499" t="str">
        <f t="shared" si="49"/>
        <v>89301000</v>
      </c>
      <c r="B2499" t="str">
        <f>"2302180056"</f>
        <v>2302180056</v>
      </c>
      <c r="C2499" s="1">
        <v>45125</v>
      </c>
      <c r="D2499" s="1">
        <v>45128</v>
      </c>
      <c r="E2499">
        <v>1</v>
      </c>
      <c r="F2499" t="str">
        <f>"11-K01-03"</f>
        <v>11-K01-03</v>
      </c>
      <c r="G2499">
        <v>0.68789999999999996</v>
      </c>
      <c r="H2499" t="s">
        <v>11</v>
      </c>
      <c r="I2499" t="s">
        <v>10</v>
      </c>
    </row>
    <row r="2500" spans="1:9" x14ac:dyDescent="0.25">
      <c r="A2500" t="str">
        <f t="shared" si="49"/>
        <v>89301000</v>
      </c>
      <c r="B2500" t="str">
        <f>"2302180056"</f>
        <v>2302180056</v>
      </c>
      <c r="C2500" s="1">
        <v>45055</v>
      </c>
      <c r="D2500" s="1">
        <v>45057</v>
      </c>
      <c r="E2500">
        <v>1</v>
      </c>
      <c r="F2500" t="str">
        <f>"04-K02-04"</f>
        <v>04-K02-04</v>
      </c>
      <c r="G2500">
        <v>0.80120000000000002</v>
      </c>
      <c r="H2500" t="s">
        <v>11</v>
      </c>
      <c r="I2500" t="s">
        <v>10</v>
      </c>
    </row>
    <row r="2501" spans="1:9" x14ac:dyDescent="0.25">
      <c r="A2501" t="str">
        <f t="shared" si="49"/>
        <v>89301000</v>
      </c>
      <c r="B2501" t="str">
        <f>"2302180056"</f>
        <v>2302180056</v>
      </c>
      <c r="C2501" s="1">
        <v>45145</v>
      </c>
      <c r="D2501" s="1">
        <v>45149</v>
      </c>
      <c r="E2501">
        <v>1</v>
      </c>
      <c r="F2501" t="str">
        <f>"10-K14-05"</f>
        <v>10-K14-05</v>
      </c>
      <c r="G2501">
        <v>0.36199999999999999</v>
      </c>
      <c r="H2501" t="s">
        <v>11</v>
      </c>
      <c r="I2501" t="s">
        <v>10</v>
      </c>
    </row>
    <row r="2502" spans="1:9" x14ac:dyDescent="0.25">
      <c r="A2502" t="str">
        <f t="shared" si="49"/>
        <v>89301000</v>
      </c>
      <c r="B2502" t="str">
        <f>"2302180507"</f>
        <v>2302180507</v>
      </c>
      <c r="C2502" s="1">
        <v>44975</v>
      </c>
      <c r="D2502" s="1">
        <v>44980</v>
      </c>
      <c r="E2502">
        <v>1</v>
      </c>
      <c r="F2502" t="str">
        <f>"15-K05-04"</f>
        <v>15-K05-04</v>
      </c>
      <c r="G2502">
        <v>0.27139999999999997</v>
      </c>
      <c r="H2502" t="s">
        <v>13</v>
      </c>
      <c r="I2502" t="s">
        <v>10</v>
      </c>
    </row>
    <row r="2503" spans="1:9" x14ac:dyDescent="0.25">
      <c r="A2503" t="str">
        <f t="shared" si="49"/>
        <v>89301000</v>
      </c>
      <c r="B2503" t="str">
        <f>"2302190264"</f>
        <v>2302190264</v>
      </c>
      <c r="C2503" s="1">
        <v>44976</v>
      </c>
      <c r="D2503" s="1">
        <v>44978</v>
      </c>
      <c r="E2503">
        <v>1</v>
      </c>
      <c r="F2503" t="str">
        <f>"15-K05-02"</f>
        <v>15-K05-02</v>
      </c>
      <c r="G2503">
        <v>0.53290000000000004</v>
      </c>
      <c r="H2503" t="s">
        <v>13</v>
      </c>
      <c r="I2503" t="s">
        <v>10</v>
      </c>
    </row>
    <row r="2504" spans="1:9" x14ac:dyDescent="0.25">
      <c r="A2504" t="str">
        <f t="shared" si="49"/>
        <v>89301000</v>
      </c>
      <c r="B2504" t="str">
        <f>"2302190308"</f>
        <v>2302190308</v>
      </c>
      <c r="C2504" s="1">
        <v>44976</v>
      </c>
      <c r="D2504" s="1">
        <v>44979</v>
      </c>
      <c r="E2504">
        <v>1</v>
      </c>
      <c r="F2504" t="str">
        <f>"15-K05-04"</f>
        <v>15-K05-04</v>
      </c>
      <c r="G2504">
        <v>0.27139999999999997</v>
      </c>
      <c r="H2504" t="s">
        <v>13</v>
      </c>
      <c r="I2504" t="s">
        <v>10</v>
      </c>
    </row>
    <row r="2505" spans="1:9" x14ac:dyDescent="0.25">
      <c r="A2505" t="str">
        <f t="shared" si="49"/>
        <v>89301000</v>
      </c>
      <c r="B2505" t="str">
        <f>"2302200692"</f>
        <v>2302200692</v>
      </c>
      <c r="C2505" s="1">
        <v>44977</v>
      </c>
      <c r="D2505" s="1">
        <v>44980</v>
      </c>
      <c r="E2505">
        <v>1</v>
      </c>
      <c r="F2505" t="str">
        <f>"15-K05-04"</f>
        <v>15-K05-04</v>
      </c>
      <c r="G2505">
        <v>0.27139999999999997</v>
      </c>
      <c r="H2505" t="s">
        <v>13</v>
      </c>
      <c r="I2505" t="s">
        <v>10</v>
      </c>
    </row>
    <row r="2506" spans="1:9" x14ac:dyDescent="0.25">
      <c r="A2506" t="str">
        <f t="shared" si="49"/>
        <v>89301000</v>
      </c>
      <c r="B2506" t="str">
        <f>"2302210823"</f>
        <v>2302210823</v>
      </c>
      <c r="C2506" s="1">
        <v>44978</v>
      </c>
      <c r="D2506" s="1">
        <v>44981</v>
      </c>
      <c r="E2506">
        <v>1</v>
      </c>
      <c r="F2506" t="str">
        <f>"15-K05-02"</f>
        <v>15-K05-02</v>
      </c>
      <c r="G2506">
        <v>0.53290000000000004</v>
      </c>
      <c r="H2506" t="s">
        <v>13</v>
      </c>
      <c r="I2506" t="s">
        <v>10</v>
      </c>
    </row>
    <row r="2507" spans="1:9" x14ac:dyDescent="0.25">
      <c r="A2507" t="str">
        <f t="shared" si="49"/>
        <v>89301000</v>
      </c>
      <c r="B2507" t="str">
        <f>"2302210856"</f>
        <v>2302210856</v>
      </c>
      <c r="C2507" s="1">
        <v>44978</v>
      </c>
      <c r="D2507" s="1">
        <v>44982</v>
      </c>
      <c r="E2507">
        <v>1</v>
      </c>
      <c r="F2507" t="str">
        <f>"15-K05-04"</f>
        <v>15-K05-04</v>
      </c>
      <c r="G2507">
        <v>0.27139999999999997</v>
      </c>
      <c r="H2507" t="s">
        <v>13</v>
      </c>
      <c r="I2507" t="s">
        <v>10</v>
      </c>
    </row>
    <row r="2508" spans="1:9" x14ac:dyDescent="0.25">
      <c r="A2508" t="str">
        <f t="shared" si="49"/>
        <v>89301000</v>
      </c>
      <c r="B2508" t="str">
        <f>"2302220437"</f>
        <v>2302220437</v>
      </c>
      <c r="C2508" s="1">
        <v>44979</v>
      </c>
      <c r="D2508" s="1">
        <v>44982</v>
      </c>
      <c r="E2508">
        <v>1</v>
      </c>
      <c r="F2508" t="str">
        <f>"15-K05-04"</f>
        <v>15-K05-04</v>
      </c>
      <c r="G2508">
        <v>0.27139999999999997</v>
      </c>
      <c r="H2508" t="s">
        <v>13</v>
      </c>
      <c r="I2508" t="s">
        <v>10</v>
      </c>
    </row>
    <row r="2509" spans="1:9" x14ac:dyDescent="0.25">
      <c r="A2509" t="str">
        <f t="shared" si="49"/>
        <v>89301000</v>
      </c>
      <c r="B2509" t="str">
        <f>"2302240072"</f>
        <v>2302240072</v>
      </c>
      <c r="C2509" s="1">
        <v>44981</v>
      </c>
      <c r="D2509" s="1">
        <v>44983</v>
      </c>
      <c r="E2509">
        <v>1</v>
      </c>
      <c r="F2509" t="str">
        <f>"15-K05-04"</f>
        <v>15-K05-04</v>
      </c>
      <c r="G2509">
        <v>0.27139999999999997</v>
      </c>
      <c r="H2509" t="s">
        <v>13</v>
      </c>
      <c r="I2509" t="s">
        <v>10</v>
      </c>
    </row>
    <row r="2510" spans="1:9" x14ac:dyDescent="0.25">
      <c r="A2510" t="str">
        <f t="shared" si="49"/>
        <v>89301000</v>
      </c>
      <c r="B2510" t="str">
        <f>"2302240204"</f>
        <v>2302240204</v>
      </c>
      <c r="C2510" s="1">
        <v>44992</v>
      </c>
      <c r="D2510" s="1">
        <v>44998</v>
      </c>
      <c r="E2510">
        <v>1</v>
      </c>
      <c r="F2510" t="str">
        <f>"15-K06-02"</f>
        <v>15-K06-02</v>
      </c>
      <c r="G2510">
        <v>1.4557</v>
      </c>
      <c r="H2510" t="s">
        <v>13</v>
      </c>
      <c r="I2510" t="s">
        <v>10</v>
      </c>
    </row>
    <row r="2511" spans="1:9" x14ac:dyDescent="0.25">
      <c r="A2511" t="str">
        <f t="shared" si="49"/>
        <v>89301000</v>
      </c>
      <c r="B2511" t="str">
        <f>"2302240567"</f>
        <v>2302240567</v>
      </c>
      <c r="C2511" s="1">
        <v>44981</v>
      </c>
      <c r="D2511" s="1">
        <v>44984</v>
      </c>
      <c r="E2511">
        <v>1</v>
      </c>
      <c r="F2511" t="str">
        <f>"15-K03-02"</f>
        <v>15-K03-02</v>
      </c>
      <c r="G2511">
        <v>1.4685999999999999</v>
      </c>
      <c r="H2511" t="s">
        <v>18</v>
      </c>
      <c r="I2511" t="s">
        <v>10</v>
      </c>
    </row>
    <row r="2512" spans="1:9" x14ac:dyDescent="0.25">
      <c r="A2512" t="str">
        <f t="shared" si="49"/>
        <v>89301000</v>
      </c>
      <c r="B2512" t="str">
        <f>"2302250434"</f>
        <v>2302250434</v>
      </c>
      <c r="C2512" s="1">
        <v>44982</v>
      </c>
      <c r="D2512" s="1">
        <v>44985</v>
      </c>
      <c r="E2512">
        <v>1</v>
      </c>
      <c r="F2512" t="str">
        <f>"15-K05-04"</f>
        <v>15-K05-04</v>
      </c>
      <c r="G2512">
        <v>0.27139999999999997</v>
      </c>
      <c r="H2512" t="s">
        <v>13</v>
      </c>
      <c r="I2512" t="s">
        <v>10</v>
      </c>
    </row>
    <row r="2513" spans="1:9" x14ac:dyDescent="0.25">
      <c r="A2513" t="str">
        <f t="shared" si="49"/>
        <v>89301000</v>
      </c>
      <c r="B2513" t="str">
        <f>"2302270355"</f>
        <v>2302270355</v>
      </c>
      <c r="C2513" s="1">
        <v>44984</v>
      </c>
      <c r="D2513" s="1">
        <v>44987</v>
      </c>
      <c r="E2513">
        <v>1</v>
      </c>
      <c r="F2513" t="str">
        <f>"15-K05-02"</f>
        <v>15-K05-02</v>
      </c>
      <c r="G2513">
        <v>0.53290000000000004</v>
      </c>
      <c r="H2513" t="s">
        <v>13</v>
      </c>
      <c r="I2513" t="s">
        <v>10</v>
      </c>
    </row>
    <row r="2514" spans="1:9" x14ac:dyDescent="0.25">
      <c r="A2514" t="str">
        <f t="shared" si="49"/>
        <v>89301000</v>
      </c>
      <c r="B2514" t="str">
        <f>"2302280068"</f>
        <v>2302280068</v>
      </c>
      <c r="C2514" s="1">
        <v>44985</v>
      </c>
      <c r="D2514" s="1">
        <v>44987</v>
      </c>
      <c r="E2514">
        <v>1</v>
      </c>
      <c r="F2514" t="str">
        <f>"15-K05-04"</f>
        <v>15-K05-04</v>
      </c>
      <c r="G2514">
        <v>0.27139999999999997</v>
      </c>
      <c r="H2514" t="s">
        <v>13</v>
      </c>
      <c r="I2514" t="s">
        <v>10</v>
      </c>
    </row>
    <row r="2515" spans="1:9" x14ac:dyDescent="0.25">
      <c r="A2515" t="str">
        <f t="shared" si="49"/>
        <v>89301000</v>
      </c>
      <c r="B2515" t="str">
        <f>"2302280068"</f>
        <v>2302280068</v>
      </c>
      <c r="C2515" s="1">
        <v>45160</v>
      </c>
      <c r="D2515" s="1">
        <v>45170</v>
      </c>
      <c r="E2515">
        <v>1</v>
      </c>
      <c r="F2515" t="str">
        <f>"04-I08-01"</f>
        <v>04-I08-01</v>
      </c>
      <c r="G2515">
        <v>3.0463</v>
      </c>
      <c r="H2515" t="s">
        <v>11</v>
      </c>
      <c r="I2515" t="s">
        <v>10</v>
      </c>
    </row>
    <row r="2516" spans="1:9" x14ac:dyDescent="0.25">
      <c r="A2516" t="str">
        <f t="shared" si="49"/>
        <v>89301000</v>
      </c>
      <c r="B2516" t="str">
        <f>"2302280090"</f>
        <v>2302280090</v>
      </c>
      <c r="C2516" s="1">
        <v>44985</v>
      </c>
      <c r="D2516" s="1">
        <v>44989</v>
      </c>
      <c r="E2516">
        <v>1</v>
      </c>
      <c r="F2516" t="str">
        <f>"15-K05-04"</f>
        <v>15-K05-04</v>
      </c>
      <c r="G2516">
        <v>0.27139999999999997</v>
      </c>
      <c r="H2516" t="s">
        <v>13</v>
      </c>
      <c r="I2516" t="s">
        <v>10</v>
      </c>
    </row>
    <row r="2517" spans="1:9" x14ac:dyDescent="0.25">
      <c r="A2517" t="str">
        <f t="shared" si="49"/>
        <v>89301000</v>
      </c>
      <c r="B2517" t="str">
        <f>"2302280772"</f>
        <v>2302280772</v>
      </c>
      <c r="C2517" s="1">
        <v>44985</v>
      </c>
      <c r="D2517" s="1">
        <v>44988</v>
      </c>
      <c r="E2517">
        <v>1</v>
      </c>
      <c r="F2517" t="str">
        <f>"15-K05-04"</f>
        <v>15-K05-04</v>
      </c>
      <c r="G2517">
        <v>0.27139999999999997</v>
      </c>
      <c r="H2517" t="s">
        <v>13</v>
      </c>
      <c r="I2517" t="s">
        <v>10</v>
      </c>
    </row>
    <row r="2518" spans="1:9" x14ac:dyDescent="0.25">
      <c r="A2518" t="str">
        <f t="shared" si="49"/>
        <v>89301000</v>
      </c>
      <c r="B2518" t="str">
        <f>"2303010688"</f>
        <v>2303010688</v>
      </c>
      <c r="C2518" s="1">
        <v>44986</v>
      </c>
      <c r="D2518" s="1">
        <v>44989</v>
      </c>
      <c r="E2518">
        <v>1</v>
      </c>
      <c r="F2518" t="str">
        <f>"15-K05-04"</f>
        <v>15-K05-04</v>
      </c>
      <c r="G2518">
        <v>0.27139999999999997</v>
      </c>
      <c r="H2518" t="s">
        <v>13</v>
      </c>
      <c r="I2518" t="s">
        <v>10</v>
      </c>
    </row>
    <row r="2519" spans="1:9" x14ac:dyDescent="0.25">
      <c r="A2519" t="str">
        <f t="shared" si="49"/>
        <v>89301000</v>
      </c>
      <c r="B2519" t="str">
        <f>"2303010688"</f>
        <v>2303010688</v>
      </c>
      <c r="C2519" s="1">
        <v>45049</v>
      </c>
      <c r="D2519" s="1">
        <v>45050</v>
      </c>
      <c r="E2519">
        <v>1</v>
      </c>
      <c r="F2519" t="str">
        <f>"23-K03-02"</f>
        <v>23-K03-02</v>
      </c>
      <c r="G2519">
        <v>0.32540000000000002</v>
      </c>
      <c r="H2519" t="s">
        <v>11</v>
      </c>
      <c r="I2519" t="s">
        <v>10</v>
      </c>
    </row>
    <row r="2520" spans="1:9" x14ac:dyDescent="0.25">
      <c r="A2520" t="str">
        <f t="shared" si="49"/>
        <v>89301000</v>
      </c>
      <c r="B2520" t="str">
        <f>"2303030609"</f>
        <v>2303030609</v>
      </c>
      <c r="C2520" s="1">
        <v>44988</v>
      </c>
      <c r="D2520" s="1">
        <v>44992</v>
      </c>
      <c r="E2520">
        <v>1</v>
      </c>
      <c r="F2520" t="str">
        <f>"15-K05-04"</f>
        <v>15-K05-04</v>
      </c>
      <c r="G2520">
        <v>0.27139999999999997</v>
      </c>
      <c r="H2520" t="s">
        <v>13</v>
      </c>
      <c r="I2520" t="s">
        <v>10</v>
      </c>
    </row>
    <row r="2521" spans="1:9" x14ac:dyDescent="0.25">
      <c r="A2521" t="str">
        <f t="shared" si="49"/>
        <v>89301000</v>
      </c>
      <c r="B2521" t="str">
        <f>"2303040377"</f>
        <v>2303040377</v>
      </c>
      <c r="C2521" s="1">
        <v>44989</v>
      </c>
      <c r="D2521" s="1">
        <v>44992</v>
      </c>
      <c r="E2521">
        <v>1</v>
      </c>
      <c r="F2521" t="str">
        <f>"15-K05-04"</f>
        <v>15-K05-04</v>
      </c>
      <c r="G2521">
        <v>0.27139999999999997</v>
      </c>
      <c r="H2521" t="s">
        <v>13</v>
      </c>
      <c r="I2521" t="s">
        <v>10</v>
      </c>
    </row>
    <row r="2522" spans="1:9" x14ac:dyDescent="0.25">
      <c r="A2522" t="str">
        <f t="shared" si="49"/>
        <v>89301000</v>
      </c>
      <c r="B2522" t="str">
        <f>"2303040377"</f>
        <v>2303040377</v>
      </c>
      <c r="C2522" s="1">
        <v>45010</v>
      </c>
      <c r="D2522" s="1">
        <v>45021</v>
      </c>
      <c r="E2522">
        <v>1</v>
      </c>
      <c r="F2522" t="str">
        <f>"15-K06-04"</f>
        <v>15-K06-04</v>
      </c>
      <c r="G2522">
        <v>0.68679999999999997</v>
      </c>
      <c r="H2522" t="s">
        <v>13</v>
      </c>
      <c r="I2522" t="s">
        <v>10</v>
      </c>
    </row>
    <row r="2523" spans="1:9" x14ac:dyDescent="0.25">
      <c r="A2523" t="str">
        <f t="shared" si="49"/>
        <v>89301000</v>
      </c>
      <c r="B2523" t="str">
        <f>"2303040399"</f>
        <v>2303040399</v>
      </c>
      <c r="C2523" s="1">
        <v>44989</v>
      </c>
      <c r="D2523" s="1">
        <v>44992</v>
      </c>
      <c r="E2523">
        <v>1</v>
      </c>
      <c r="F2523" t="str">
        <f>"15-K05-04"</f>
        <v>15-K05-04</v>
      </c>
      <c r="G2523">
        <v>0.27139999999999997</v>
      </c>
      <c r="H2523" t="s">
        <v>13</v>
      </c>
      <c r="I2523" t="s">
        <v>10</v>
      </c>
    </row>
    <row r="2524" spans="1:9" x14ac:dyDescent="0.25">
      <c r="A2524" t="str">
        <f t="shared" si="49"/>
        <v>89301000</v>
      </c>
      <c r="B2524" t="str">
        <f>"2303050464"</f>
        <v>2303050464</v>
      </c>
      <c r="C2524" s="1">
        <v>44990</v>
      </c>
      <c r="D2524" s="1">
        <v>44994</v>
      </c>
      <c r="E2524">
        <v>1</v>
      </c>
      <c r="F2524" t="str">
        <f>"15-K05-04"</f>
        <v>15-K05-04</v>
      </c>
      <c r="G2524">
        <v>0.27139999999999997</v>
      </c>
      <c r="H2524" t="s">
        <v>13</v>
      </c>
      <c r="I2524" t="s">
        <v>10</v>
      </c>
    </row>
    <row r="2525" spans="1:9" x14ac:dyDescent="0.25">
      <c r="A2525" t="str">
        <f t="shared" si="49"/>
        <v>89301000</v>
      </c>
      <c r="B2525" t="str">
        <f>"2303060562"</f>
        <v>2303060562</v>
      </c>
      <c r="C2525" s="1">
        <v>44991</v>
      </c>
      <c r="D2525" s="1">
        <v>44995</v>
      </c>
      <c r="E2525">
        <v>1</v>
      </c>
      <c r="F2525" t="str">
        <f>"15-K05-04"</f>
        <v>15-K05-04</v>
      </c>
      <c r="G2525">
        <v>0.27139999999999997</v>
      </c>
      <c r="H2525" t="s">
        <v>13</v>
      </c>
      <c r="I2525" t="s">
        <v>10</v>
      </c>
    </row>
    <row r="2526" spans="1:9" x14ac:dyDescent="0.25">
      <c r="A2526" t="str">
        <f t="shared" si="49"/>
        <v>89301000</v>
      </c>
      <c r="B2526" t="str">
        <f>"2303070088"</f>
        <v>2303070088</v>
      </c>
      <c r="C2526" s="1">
        <v>44992</v>
      </c>
      <c r="D2526" s="1">
        <v>44998</v>
      </c>
      <c r="E2526">
        <v>1</v>
      </c>
      <c r="F2526" t="str">
        <f>"15-K05-04"</f>
        <v>15-K05-04</v>
      </c>
      <c r="G2526">
        <v>0.30399999999999999</v>
      </c>
      <c r="H2526" t="s">
        <v>13</v>
      </c>
      <c r="I2526" t="s">
        <v>10</v>
      </c>
    </row>
    <row r="2527" spans="1:9" x14ac:dyDescent="0.25">
      <c r="A2527" t="str">
        <f t="shared" si="49"/>
        <v>89301000</v>
      </c>
      <c r="B2527" t="str">
        <f>"2303070660"</f>
        <v>2303070660</v>
      </c>
      <c r="C2527" s="1">
        <v>44992</v>
      </c>
      <c r="D2527" s="1">
        <v>44995</v>
      </c>
      <c r="E2527">
        <v>1</v>
      </c>
      <c r="F2527" t="str">
        <f>"15-K05-04"</f>
        <v>15-K05-04</v>
      </c>
      <c r="G2527">
        <v>0.27139999999999997</v>
      </c>
      <c r="H2527" t="s">
        <v>13</v>
      </c>
      <c r="I2527" t="s">
        <v>10</v>
      </c>
    </row>
    <row r="2528" spans="1:9" x14ac:dyDescent="0.25">
      <c r="A2528" t="str">
        <f t="shared" si="49"/>
        <v>89301000</v>
      </c>
      <c r="B2528" t="str">
        <f>"2303080087"</f>
        <v>2303080087</v>
      </c>
      <c r="C2528" s="1">
        <v>44993</v>
      </c>
      <c r="D2528" s="1">
        <v>44996</v>
      </c>
      <c r="E2528">
        <v>1</v>
      </c>
      <c r="F2528" t="str">
        <f>"15-K04-04"</f>
        <v>15-K04-04</v>
      </c>
      <c r="G2528">
        <v>0.38179999999999997</v>
      </c>
      <c r="H2528" t="s">
        <v>18</v>
      </c>
      <c r="I2528" t="s">
        <v>10</v>
      </c>
    </row>
    <row r="2529" spans="1:9" x14ac:dyDescent="0.25">
      <c r="A2529" t="str">
        <f t="shared" si="49"/>
        <v>89301000</v>
      </c>
      <c r="B2529" t="str">
        <f>"2303090603"</f>
        <v>2303090603</v>
      </c>
      <c r="C2529" s="1">
        <v>44994</v>
      </c>
      <c r="D2529" s="1">
        <v>44996</v>
      </c>
      <c r="E2529">
        <v>1</v>
      </c>
      <c r="F2529" t="str">
        <f>"15-K05-04"</f>
        <v>15-K05-04</v>
      </c>
      <c r="G2529">
        <v>0.27139999999999997</v>
      </c>
      <c r="H2529" t="s">
        <v>13</v>
      </c>
      <c r="I2529" t="s">
        <v>10</v>
      </c>
    </row>
    <row r="2530" spans="1:9" x14ac:dyDescent="0.25">
      <c r="A2530" t="str">
        <f t="shared" si="49"/>
        <v>89301000</v>
      </c>
      <c r="B2530" t="str">
        <f>"2303090636"</f>
        <v>2303090636</v>
      </c>
      <c r="C2530" s="1">
        <v>44994</v>
      </c>
      <c r="D2530" s="1">
        <v>44997</v>
      </c>
      <c r="E2530">
        <v>1</v>
      </c>
      <c r="F2530" t="str">
        <f>"15-K05-04"</f>
        <v>15-K05-04</v>
      </c>
      <c r="G2530">
        <v>0.27139999999999997</v>
      </c>
      <c r="H2530" t="s">
        <v>13</v>
      </c>
      <c r="I2530" t="s">
        <v>10</v>
      </c>
    </row>
    <row r="2531" spans="1:9" x14ac:dyDescent="0.25">
      <c r="A2531" t="str">
        <f t="shared" si="49"/>
        <v>89301000</v>
      </c>
      <c r="B2531" t="str">
        <f>"2303090636"</f>
        <v>2303090636</v>
      </c>
      <c r="C2531" s="1">
        <v>45149</v>
      </c>
      <c r="D2531" s="1">
        <v>45150</v>
      </c>
      <c r="E2531">
        <v>1</v>
      </c>
      <c r="F2531" t="str">
        <f>"09-K12-00"</f>
        <v>09-K12-00</v>
      </c>
      <c r="G2531">
        <v>0.26040000000000002</v>
      </c>
      <c r="H2531" t="s">
        <v>11</v>
      </c>
      <c r="I2531" t="s">
        <v>10</v>
      </c>
    </row>
    <row r="2532" spans="1:9" x14ac:dyDescent="0.25">
      <c r="A2532" t="str">
        <f t="shared" si="49"/>
        <v>89301000</v>
      </c>
      <c r="B2532" t="str">
        <f>"2303090658"</f>
        <v>2303090658</v>
      </c>
      <c r="C2532" s="1">
        <v>44994</v>
      </c>
      <c r="D2532" s="1">
        <v>44997</v>
      </c>
      <c r="E2532">
        <v>1</v>
      </c>
      <c r="F2532" t="str">
        <f>"15-K05-04"</f>
        <v>15-K05-04</v>
      </c>
      <c r="G2532">
        <v>0.27139999999999997</v>
      </c>
      <c r="H2532" t="s">
        <v>13</v>
      </c>
      <c r="I2532" t="s">
        <v>10</v>
      </c>
    </row>
    <row r="2533" spans="1:9" x14ac:dyDescent="0.25">
      <c r="A2533" t="str">
        <f t="shared" si="49"/>
        <v>89301000</v>
      </c>
      <c r="B2533" t="str">
        <f>"2303100613"</f>
        <v>2303100613</v>
      </c>
      <c r="C2533" s="1">
        <v>44995</v>
      </c>
      <c r="D2533" s="1">
        <v>44999</v>
      </c>
      <c r="E2533">
        <v>1</v>
      </c>
      <c r="F2533" t="str">
        <f>"15-K05-04"</f>
        <v>15-K05-04</v>
      </c>
      <c r="G2533">
        <v>0.27139999999999997</v>
      </c>
      <c r="H2533" t="s">
        <v>13</v>
      </c>
      <c r="I2533" t="s">
        <v>10</v>
      </c>
    </row>
    <row r="2534" spans="1:9" x14ac:dyDescent="0.25">
      <c r="A2534" t="str">
        <f t="shared" si="49"/>
        <v>89301000</v>
      </c>
      <c r="B2534" t="str">
        <f>"2303100613"</f>
        <v>2303100613</v>
      </c>
      <c r="C2534" s="1">
        <v>45021</v>
      </c>
      <c r="D2534" s="1">
        <v>45029</v>
      </c>
      <c r="E2534">
        <v>1</v>
      </c>
      <c r="F2534" t="str">
        <f>"15-K06-04"</f>
        <v>15-K06-04</v>
      </c>
      <c r="G2534">
        <v>0.55400000000000005</v>
      </c>
      <c r="H2534" t="s">
        <v>13</v>
      </c>
      <c r="I2534" t="s">
        <v>10</v>
      </c>
    </row>
    <row r="2535" spans="1:9" x14ac:dyDescent="0.25">
      <c r="A2535" t="str">
        <f t="shared" si="49"/>
        <v>89301000</v>
      </c>
      <c r="B2535" t="str">
        <f>"2303150663"</f>
        <v>2303150663</v>
      </c>
      <c r="C2535" s="1">
        <v>45000</v>
      </c>
      <c r="D2535" s="1">
        <v>45004</v>
      </c>
      <c r="E2535">
        <v>1</v>
      </c>
      <c r="F2535" t="str">
        <f>"15-K05-01"</f>
        <v>15-K05-01</v>
      </c>
      <c r="G2535">
        <v>1.1777</v>
      </c>
      <c r="H2535" t="s">
        <v>13</v>
      </c>
      <c r="I2535" t="s">
        <v>10</v>
      </c>
    </row>
    <row r="2536" spans="1:9" x14ac:dyDescent="0.25">
      <c r="A2536" t="str">
        <f t="shared" si="49"/>
        <v>89301000</v>
      </c>
      <c r="B2536" t="str">
        <f>"2303150674"</f>
        <v>2303150674</v>
      </c>
      <c r="C2536" s="1">
        <v>45000</v>
      </c>
      <c r="D2536" s="1">
        <v>45003</v>
      </c>
      <c r="E2536">
        <v>1</v>
      </c>
      <c r="F2536" t="str">
        <f>"15-K05-04"</f>
        <v>15-K05-04</v>
      </c>
      <c r="G2536">
        <v>0.27139999999999997</v>
      </c>
      <c r="H2536" t="s">
        <v>13</v>
      </c>
      <c r="I2536" t="s">
        <v>10</v>
      </c>
    </row>
    <row r="2537" spans="1:9" x14ac:dyDescent="0.25">
      <c r="A2537" t="str">
        <f t="shared" si="49"/>
        <v>89301000</v>
      </c>
      <c r="B2537" t="str">
        <f>"2303170617"</f>
        <v>2303170617</v>
      </c>
      <c r="C2537" s="1">
        <v>45002</v>
      </c>
      <c r="D2537" s="1">
        <v>45005</v>
      </c>
      <c r="E2537">
        <v>1</v>
      </c>
      <c r="F2537" t="str">
        <f>"15-K05-04"</f>
        <v>15-K05-04</v>
      </c>
      <c r="G2537">
        <v>0.27139999999999997</v>
      </c>
      <c r="H2537" t="s">
        <v>13</v>
      </c>
      <c r="I2537" t="s">
        <v>10</v>
      </c>
    </row>
    <row r="2538" spans="1:9" x14ac:dyDescent="0.25">
      <c r="A2538" t="str">
        <f t="shared" si="49"/>
        <v>89301000</v>
      </c>
      <c r="B2538" t="str">
        <f>"2303180275"</f>
        <v>2303180275</v>
      </c>
      <c r="C2538" s="1">
        <v>45003</v>
      </c>
      <c r="D2538" s="1">
        <v>45006</v>
      </c>
      <c r="E2538">
        <v>1</v>
      </c>
      <c r="F2538" t="str">
        <f>"15-K05-04"</f>
        <v>15-K05-04</v>
      </c>
      <c r="G2538">
        <v>0.27139999999999997</v>
      </c>
      <c r="H2538" t="s">
        <v>13</v>
      </c>
      <c r="I2538" t="s">
        <v>10</v>
      </c>
    </row>
    <row r="2539" spans="1:9" x14ac:dyDescent="0.25">
      <c r="A2539" t="str">
        <f t="shared" si="49"/>
        <v>89301000</v>
      </c>
      <c r="B2539" t="str">
        <f>"2303190351"</f>
        <v>2303190351</v>
      </c>
      <c r="C2539" s="1">
        <v>45004</v>
      </c>
      <c r="D2539" s="1">
        <v>45006</v>
      </c>
      <c r="E2539">
        <v>1</v>
      </c>
      <c r="F2539" t="str">
        <f>"15-K05-04"</f>
        <v>15-K05-04</v>
      </c>
      <c r="G2539">
        <v>0.27139999999999997</v>
      </c>
      <c r="H2539" t="s">
        <v>13</v>
      </c>
      <c r="I2539" t="s">
        <v>10</v>
      </c>
    </row>
    <row r="2540" spans="1:9" x14ac:dyDescent="0.25">
      <c r="A2540" t="str">
        <f t="shared" si="49"/>
        <v>89301000</v>
      </c>
      <c r="B2540" t="str">
        <f>"2303201450"</f>
        <v>2303201450</v>
      </c>
      <c r="C2540" s="1">
        <v>45005</v>
      </c>
      <c r="D2540" s="1">
        <v>45012</v>
      </c>
      <c r="E2540">
        <v>1</v>
      </c>
      <c r="F2540" t="str">
        <f>"15-M01-07"</f>
        <v>15-M01-07</v>
      </c>
      <c r="G2540">
        <v>2.3500999999999999</v>
      </c>
      <c r="H2540" t="s">
        <v>17</v>
      </c>
      <c r="I2540" t="s">
        <v>10</v>
      </c>
    </row>
    <row r="2541" spans="1:9" x14ac:dyDescent="0.25">
      <c r="A2541" t="str">
        <f t="shared" si="49"/>
        <v>89301000</v>
      </c>
      <c r="B2541" t="str">
        <f>"2303210052"</f>
        <v>2303210052</v>
      </c>
      <c r="C2541" s="1">
        <v>45006</v>
      </c>
      <c r="D2541" s="1">
        <v>45008</v>
      </c>
      <c r="E2541">
        <v>1</v>
      </c>
      <c r="F2541" t="str">
        <f>"15-K05-04"</f>
        <v>15-K05-04</v>
      </c>
      <c r="G2541">
        <v>0.27139999999999997</v>
      </c>
      <c r="H2541" t="s">
        <v>13</v>
      </c>
      <c r="I2541" t="s">
        <v>10</v>
      </c>
    </row>
    <row r="2542" spans="1:9" x14ac:dyDescent="0.25">
      <c r="A2542" t="str">
        <f t="shared" si="49"/>
        <v>89301000</v>
      </c>
      <c r="B2542" t="str">
        <f>"2303211471"</f>
        <v>2303211471</v>
      </c>
      <c r="C2542" s="1">
        <v>45036</v>
      </c>
      <c r="D2542" s="1">
        <v>45040</v>
      </c>
      <c r="E2542">
        <v>1</v>
      </c>
      <c r="F2542" t="str">
        <f>"06-I08-00"</f>
        <v>06-I08-00</v>
      </c>
      <c r="G2542">
        <v>1.6089</v>
      </c>
      <c r="H2542" t="s">
        <v>12</v>
      </c>
      <c r="I2542" t="s">
        <v>10</v>
      </c>
    </row>
    <row r="2543" spans="1:9" x14ac:dyDescent="0.25">
      <c r="A2543" t="str">
        <f t="shared" si="49"/>
        <v>89301000</v>
      </c>
      <c r="B2543" t="str">
        <f>"2303220051"</f>
        <v>2303220051</v>
      </c>
      <c r="C2543" s="1">
        <v>45007</v>
      </c>
      <c r="D2543" s="1">
        <v>45009</v>
      </c>
      <c r="E2543">
        <v>1</v>
      </c>
      <c r="F2543" t="str">
        <f>"15-K05-04"</f>
        <v>15-K05-04</v>
      </c>
      <c r="G2543">
        <v>0.27139999999999997</v>
      </c>
      <c r="H2543" t="s">
        <v>13</v>
      </c>
      <c r="I2543" t="s">
        <v>10</v>
      </c>
    </row>
    <row r="2544" spans="1:9" x14ac:dyDescent="0.25">
      <c r="A2544" t="str">
        <f t="shared" si="49"/>
        <v>89301000</v>
      </c>
      <c r="B2544" t="str">
        <f>"2303240654"</f>
        <v>2303240654</v>
      </c>
      <c r="C2544" s="1">
        <v>45103</v>
      </c>
      <c r="D2544" s="1">
        <v>45116</v>
      </c>
      <c r="E2544">
        <v>1</v>
      </c>
      <c r="F2544" t="str">
        <f>"11-I10-03"</f>
        <v>11-I10-03</v>
      </c>
      <c r="G2544">
        <v>2.3294000000000001</v>
      </c>
      <c r="H2544" t="s">
        <v>12</v>
      </c>
      <c r="I2544" t="s">
        <v>10</v>
      </c>
    </row>
    <row r="2545" spans="1:9" x14ac:dyDescent="0.25">
      <c r="A2545" t="str">
        <f t="shared" si="49"/>
        <v>89301000</v>
      </c>
      <c r="B2545" t="str">
        <f>"2303240654"</f>
        <v>2303240654</v>
      </c>
      <c r="C2545" s="1">
        <v>45009</v>
      </c>
      <c r="D2545" s="1">
        <v>45012</v>
      </c>
      <c r="E2545">
        <v>1</v>
      </c>
      <c r="F2545" t="str">
        <f>"15-K05-04"</f>
        <v>15-K05-04</v>
      </c>
      <c r="G2545">
        <v>0.27139999999999997</v>
      </c>
      <c r="H2545" t="s">
        <v>13</v>
      </c>
      <c r="I2545" t="s">
        <v>10</v>
      </c>
    </row>
    <row r="2546" spans="1:9" x14ac:dyDescent="0.25">
      <c r="A2546" t="str">
        <f t="shared" si="49"/>
        <v>89301000</v>
      </c>
      <c r="B2546" t="str">
        <f>"2303270552"</f>
        <v>2303270552</v>
      </c>
      <c r="C2546" s="1">
        <v>45012</v>
      </c>
      <c r="D2546" s="1">
        <v>45016</v>
      </c>
      <c r="E2546">
        <v>1</v>
      </c>
      <c r="F2546" t="str">
        <f>"15-K05-04"</f>
        <v>15-K05-04</v>
      </c>
      <c r="G2546">
        <v>0.27139999999999997</v>
      </c>
      <c r="H2546" t="s">
        <v>13</v>
      </c>
      <c r="I2546" t="s">
        <v>10</v>
      </c>
    </row>
    <row r="2547" spans="1:9" x14ac:dyDescent="0.25">
      <c r="A2547" t="str">
        <f t="shared" si="49"/>
        <v>89301000</v>
      </c>
      <c r="B2547" t="str">
        <f>"2303270618"</f>
        <v>2303270618</v>
      </c>
      <c r="C2547" s="1">
        <v>45012</v>
      </c>
      <c r="D2547" s="1">
        <v>45016</v>
      </c>
      <c r="E2547">
        <v>1</v>
      </c>
      <c r="F2547" t="str">
        <f>"15-K05-02"</f>
        <v>15-K05-02</v>
      </c>
      <c r="G2547">
        <v>0.53290000000000004</v>
      </c>
      <c r="H2547" t="s">
        <v>13</v>
      </c>
      <c r="I2547" t="s">
        <v>10</v>
      </c>
    </row>
    <row r="2548" spans="1:9" x14ac:dyDescent="0.25">
      <c r="A2548" t="str">
        <f t="shared" si="49"/>
        <v>89301000</v>
      </c>
      <c r="B2548" t="str">
        <f>"2303280793"</f>
        <v>2303280793</v>
      </c>
      <c r="C2548" s="1">
        <v>45013</v>
      </c>
      <c r="D2548" s="1">
        <v>45017</v>
      </c>
      <c r="E2548">
        <v>1</v>
      </c>
      <c r="F2548" t="str">
        <f>"15-K05-02"</f>
        <v>15-K05-02</v>
      </c>
      <c r="G2548">
        <v>0.53290000000000004</v>
      </c>
      <c r="H2548" t="s">
        <v>13</v>
      </c>
      <c r="I2548" t="s">
        <v>10</v>
      </c>
    </row>
    <row r="2549" spans="1:9" x14ac:dyDescent="0.25">
      <c r="A2549" t="str">
        <f t="shared" si="49"/>
        <v>89301000</v>
      </c>
      <c r="B2549" t="str">
        <f>"2303300604"</f>
        <v>2303300604</v>
      </c>
      <c r="C2549" s="1">
        <v>45015</v>
      </c>
      <c r="D2549" s="1">
        <v>45019</v>
      </c>
      <c r="E2549">
        <v>1</v>
      </c>
      <c r="F2549" t="str">
        <f>"15-K05-04"</f>
        <v>15-K05-04</v>
      </c>
      <c r="G2549">
        <v>0.27139999999999997</v>
      </c>
      <c r="H2549" t="s">
        <v>13</v>
      </c>
      <c r="I2549" t="s">
        <v>10</v>
      </c>
    </row>
    <row r="2550" spans="1:9" x14ac:dyDescent="0.25">
      <c r="A2550" t="str">
        <f t="shared" si="49"/>
        <v>89301000</v>
      </c>
      <c r="B2550" t="str">
        <f>"2303310680"</f>
        <v>2303310680</v>
      </c>
      <c r="C2550" s="1">
        <v>45016</v>
      </c>
      <c r="D2550" s="1">
        <v>45019</v>
      </c>
      <c r="E2550">
        <v>1</v>
      </c>
      <c r="F2550" t="str">
        <f>"15-K05-04"</f>
        <v>15-K05-04</v>
      </c>
      <c r="G2550">
        <v>0.27139999999999997</v>
      </c>
      <c r="H2550" t="s">
        <v>13</v>
      </c>
      <c r="I2550" t="s">
        <v>10</v>
      </c>
    </row>
    <row r="2551" spans="1:9" x14ac:dyDescent="0.25">
      <c r="A2551" t="str">
        <f t="shared" ref="A2551:A2614" si="51">"89301000"</f>
        <v>89301000</v>
      </c>
      <c r="B2551" t="str">
        <f>"2304020015"</f>
        <v>2304020015</v>
      </c>
      <c r="C2551" s="1">
        <v>45259</v>
      </c>
      <c r="D2551" s="1">
        <v>45264</v>
      </c>
      <c r="E2551">
        <v>1</v>
      </c>
      <c r="F2551" t="str">
        <f>"11-K01-03"</f>
        <v>11-K01-03</v>
      </c>
      <c r="G2551">
        <v>0.68789999999999996</v>
      </c>
      <c r="H2551" t="s">
        <v>11</v>
      </c>
      <c r="I2551" t="s">
        <v>10</v>
      </c>
    </row>
    <row r="2552" spans="1:9" x14ac:dyDescent="0.25">
      <c r="A2552" t="str">
        <f t="shared" si="51"/>
        <v>89301000</v>
      </c>
      <c r="B2552" t="str">
        <f>"2304020015"</f>
        <v>2304020015</v>
      </c>
      <c r="C2552" s="1">
        <v>45052</v>
      </c>
      <c r="D2552" s="1">
        <v>45074</v>
      </c>
      <c r="E2552">
        <v>1</v>
      </c>
      <c r="F2552" t="str">
        <f>"06-I21-03"</f>
        <v>06-I21-03</v>
      </c>
      <c r="G2552">
        <v>1.5448999999999999</v>
      </c>
      <c r="H2552" t="s">
        <v>12</v>
      </c>
      <c r="I2552" t="s">
        <v>10</v>
      </c>
    </row>
    <row r="2553" spans="1:9" x14ac:dyDescent="0.25">
      <c r="A2553" t="str">
        <f t="shared" si="51"/>
        <v>89301000</v>
      </c>
      <c r="B2553" t="str">
        <f>"2304020246"</f>
        <v>2304020246</v>
      </c>
      <c r="C2553" s="1">
        <v>45018</v>
      </c>
      <c r="D2553" s="1">
        <v>45021</v>
      </c>
      <c r="E2553">
        <v>1</v>
      </c>
      <c r="F2553" t="str">
        <f>"15-K05-04"</f>
        <v>15-K05-04</v>
      </c>
      <c r="G2553">
        <v>0.27139999999999997</v>
      </c>
      <c r="H2553" t="s">
        <v>13</v>
      </c>
      <c r="I2553" t="s">
        <v>10</v>
      </c>
    </row>
    <row r="2554" spans="1:9" x14ac:dyDescent="0.25">
      <c r="A2554" t="str">
        <f t="shared" si="51"/>
        <v>89301000</v>
      </c>
      <c r="B2554" t="str">
        <f>"2304030421"</f>
        <v>2304030421</v>
      </c>
      <c r="C2554" s="1">
        <v>45019</v>
      </c>
      <c r="D2554" s="1">
        <v>45021</v>
      </c>
      <c r="E2554">
        <v>1</v>
      </c>
      <c r="F2554" t="str">
        <f>"15-K05-04"</f>
        <v>15-K05-04</v>
      </c>
      <c r="G2554">
        <v>0.27139999999999997</v>
      </c>
      <c r="H2554" t="s">
        <v>13</v>
      </c>
      <c r="I2554" t="s">
        <v>10</v>
      </c>
    </row>
    <row r="2555" spans="1:9" x14ac:dyDescent="0.25">
      <c r="A2555" t="str">
        <f t="shared" si="51"/>
        <v>89301000</v>
      </c>
      <c r="B2555" t="str">
        <f>"2304030432"</f>
        <v>2304030432</v>
      </c>
      <c r="C2555" s="1">
        <v>45019</v>
      </c>
      <c r="D2555" s="1">
        <v>45022</v>
      </c>
      <c r="E2555">
        <v>1</v>
      </c>
      <c r="F2555" t="str">
        <f>"15-K05-04"</f>
        <v>15-K05-04</v>
      </c>
      <c r="G2555">
        <v>0.27139999999999997</v>
      </c>
      <c r="H2555" t="s">
        <v>13</v>
      </c>
      <c r="I2555" t="s">
        <v>10</v>
      </c>
    </row>
    <row r="2556" spans="1:9" x14ac:dyDescent="0.25">
      <c r="A2556" t="str">
        <f t="shared" si="51"/>
        <v>89301000</v>
      </c>
      <c r="B2556" t="str">
        <f>"2304030443"</f>
        <v>2304030443</v>
      </c>
      <c r="C2556" s="1">
        <v>45019</v>
      </c>
      <c r="D2556" s="1">
        <v>45022</v>
      </c>
      <c r="E2556">
        <v>1</v>
      </c>
      <c r="F2556" t="str">
        <f>"15-K05-04"</f>
        <v>15-K05-04</v>
      </c>
      <c r="G2556">
        <v>0.27139999999999997</v>
      </c>
      <c r="H2556" t="s">
        <v>13</v>
      </c>
      <c r="I2556" t="s">
        <v>10</v>
      </c>
    </row>
    <row r="2557" spans="1:9" x14ac:dyDescent="0.25">
      <c r="A2557" t="str">
        <f t="shared" si="51"/>
        <v>89301000</v>
      </c>
      <c r="B2557" t="str">
        <f>"2304040530"</f>
        <v>2304040530</v>
      </c>
      <c r="C2557" s="1">
        <v>45098</v>
      </c>
      <c r="D2557" s="1">
        <v>45103</v>
      </c>
      <c r="E2557">
        <v>1</v>
      </c>
      <c r="F2557" t="str">
        <f>"07-K11-02"</f>
        <v>07-K11-02</v>
      </c>
      <c r="G2557">
        <v>0.64419999999999999</v>
      </c>
      <c r="H2557" t="s">
        <v>11</v>
      </c>
      <c r="I2557" t="s">
        <v>10</v>
      </c>
    </row>
    <row r="2558" spans="1:9" x14ac:dyDescent="0.25">
      <c r="A2558" t="str">
        <f t="shared" si="51"/>
        <v>89301000</v>
      </c>
      <c r="B2558" t="str">
        <f>"2304040530"</f>
        <v>2304040530</v>
      </c>
      <c r="C2558" s="1">
        <v>45020</v>
      </c>
      <c r="D2558" s="1">
        <v>45030</v>
      </c>
      <c r="E2558">
        <v>1</v>
      </c>
      <c r="F2558" t="str">
        <f>"15-K04-02"</f>
        <v>15-K04-02</v>
      </c>
      <c r="G2558">
        <v>1.0172000000000001</v>
      </c>
      <c r="H2558" t="s">
        <v>18</v>
      </c>
      <c r="I2558" t="s">
        <v>10</v>
      </c>
    </row>
    <row r="2559" spans="1:9" x14ac:dyDescent="0.25">
      <c r="A2559" t="str">
        <f t="shared" si="51"/>
        <v>89301000</v>
      </c>
      <c r="B2559" t="str">
        <f>"2304040541"</f>
        <v>2304040541</v>
      </c>
      <c r="C2559" s="1">
        <v>45020</v>
      </c>
      <c r="D2559" s="1">
        <v>45022</v>
      </c>
      <c r="E2559">
        <v>1</v>
      </c>
      <c r="F2559" t="str">
        <f t="shared" ref="F2559:F2568" si="52">"15-K05-04"</f>
        <v>15-K05-04</v>
      </c>
      <c r="G2559">
        <v>0.27139999999999997</v>
      </c>
      <c r="H2559" t="s">
        <v>13</v>
      </c>
      <c r="I2559" t="s">
        <v>10</v>
      </c>
    </row>
    <row r="2560" spans="1:9" x14ac:dyDescent="0.25">
      <c r="A2560" t="str">
        <f t="shared" si="51"/>
        <v>89301000</v>
      </c>
      <c r="B2560" t="str">
        <f>"2304040552"</f>
        <v>2304040552</v>
      </c>
      <c r="C2560" s="1">
        <v>45020</v>
      </c>
      <c r="D2560" s="1">
        <v>45023</v>
      </c>
      <c r="E2560">
        <v>1</v>
      </c>
      <c r="F2560" t="str">
        <f t="shared" si="52"/>
        <v>15-K05-04</v>
      </c>
      <c r="G2560">
        <v>0.27139999999999997</v>
      </c>
      <c r="H2560" t="s">
        <v>13</v>
      </c>
      <c r="I2560" t="s">
        <v>10</v>
      </c>
    </row>
    <row r="2561" spans="1:9" x14ac:dyDescent="0.25">
      <c r="A2561" t="str">
        <f t="shared" si="51"/>
        <v>89301000</v>
      </c>
      <c r="B2561" t="str">
        <f>"2304050749"</f>
        <v>2304050749</v>
      </c>
      <c r="C2561" s="1">
        <v>45021</v>
      </c>
      <c r="D2561" s="1">
        <v>45023</v>
      </c>
      <c r="E2561">
        <v>1</v>
      </c>
      <c r="F2561" t="str">
        <f t="shared" si="52"/>
        <v>15-K05-04</v>
      </c>
      <c r="G2561">
        <v>0.27139999999999997</v>
      </c>
      <c r="H2561" t="s">
        <v>13</v>
      </c>
      <c r="I2561" t="s">
        <v>10</v>
      </c>
    </row>
    <row r="2562" spans="1:9" x14ac:dyDescent="0.25">
      <c r="A2562" t="str">
        <f t="shared" si="51"/>
        <v>89301000</v>
      </c>
      <c r="B2562" t="str">
        <f>"2304100293"</f>
        <v>2304100293</v>
      </c>
      <c r="C2562" s="1">
        <v>45026</v>
      </c>
      <c r="D2562" s="1">
        <v>45029</v>
      </c>
      <c r="E2562">
        <v>1</v>
      </c>
      <c r="F2562" t="str">
        <f t="shared" si="52"/>
        <v>15-K05-04</v>
      </c>
      <c r="G2562">
        <v>0.27139999999999997</v>
      </c>
      <c r="H2562" t="s">
        <v>13</v>
      </c>
      <c r="I2562" t="s">
        <v>10</v>
      </c>
    </row>
    <row r="2563" spans="1:9" x14ac:dyDescent="0.25">
      <c r="A2563" t="str">
        <f t="shared" si="51"/>
        <v>89301000</v>
      </c>
      <c r="B2563" t="str">
        <f>"2304110446"</f>
        <v>2304110446</v>
      </c>
      <c r="C2563" s="1">
        <v>45027</v>
      </c>
      <c r="D2563" s="1">
        <v>45031</v>
      </c>
      <c r="E2563">
        <v>1</v>
      </c>
      <c r="F2563" t="str">
        <f t="shared" si="52"/>
        <v>15-K05-04</v>
      </c>
      <c r="G2563">
        <v>0.27139999999999997</v>
      </c>
      <c r="H2563" t="s">
        <v>13</v>
      </c>
      <c r="I2563" t="s">
        <v>10</v>
      </c>
    </row>
    <row r="2564" spans="1:9" x14ac:dyDescent="0.25">
      <c r="A2564" t="str">
        <f t="shared" si="51"/>
        <v>89301000</v>
      </c>
      <c r="B2564" t="str">
        <f>"2304110545"</f>
        <v>2304110545</v>
      </c>
      <c r="C2564" s="1">
        <v>45027</v>
      </c>
      <c r="D2564" s="1">
        <v>45030</v>
      </c>
      <c r="E2564">
        <v>1</v>
      </c>
      <c r="F2564" t="str">
        <f t="shared" si="52"/>
        <v>15-K05-04</v>
      </c>
      <c r="G2564">
        <v>0.27139999999999997</v>
      </c>
      <c r="H2564" t="s">
        <v>13</v>
      </c>
      <c r="I2564" t="s">
        <v>10</v>
      </c>
    </row>
    <row r="2565" spans="1:9" x14ac:dyDescent="0.25">
      <c r="A2565" t="str">
        <f t="shared" si="51"/>
        <v>89301000</v>
      </c>
      <c r="B2565" t="str">
        <f>"2304120093"</f>
        <v>2304120093</v>
      </c>
      <c r="C2565" s="1">
        <v>45028</v>
      </c>
      <c r="D2565" s="1">
        <v>45031</v>
      </c>
      <c r="E2565">
        <v>1</v>
      </c>
      <c r="F2565" t="str">
        <f t="shared" si="52"/>
        <v>15-K05-04</v>
      </c>
      <c r="G2565">
        <v>0.27139999999999997</v>
      </c>
      <c r="H2565" t="s">
        <v>13</v>
      </c>
      <c r="I2565" t="s">
        <v>10</v>
      </c>
    </row>
    <row r="2566" spans="1:9" x14ac:dyDescent="0.25">
      <c r="A2566" t="str">
        <f t="shared" si="51"/>
        <v>89301000</v>
      </c>
      <c r="B2566" t="str">
        <f>"2304130488"</f>
        <v>2304130488</v>
      </c>
      <c r="C2566" s="1">
        <v>45029</v>
      </c>
      <c r="D2566" s="1">
        <v>45032</v>
      </c>
      <c r="E2566">
        <v>1</v>
      </c>
      <c r="F2566" t="str">
        <f t="shared" si="52"/>
        <v>15-K05-04</v>
      </c>
      <c r="G2566">
        <v>0.27139999999999997</v>
      </c>
      <c r="H2566" t="s">
        <v>13</v>
      </c>
      <c r="I2566" t="s">
        <v>10</v>
      </c>
    </row>
    <row r="2567" spans="1:9" x14ac:dyDescent="0.25">
      <c r="A2567" t="str">
        <f t="shared" si="51"/>
        <v>89301000</v>
      </c>
      <c r="B2567" t="str">
        <f>"2304140113"</f>
        <v>2304140113</v>
      </c>
      <c r="C2567" s="1">
        <v>45030</v>
      </c>
      <c r="D2567" s="1">
        <v>45033</v>
      </c>
      <c r="E2567">
        <v>1</v>
      </c>
      <c r="F2567" t="str">
        <f t="shared" si="52"/>
        <v>15-K05-04</v>
      </c>
      <c r="G2567">
        <v>0.27139999999999997</v>
      </c>
      <c r="H2567" t="s">
        <v>13</v>
      </c>
      <c r="I2567" t="s">
        <v>10</v>
      </c>
    </row>
    <row r="2568" spans="1:9" x14ac:dyDescent="0.25">
      <c r="A2568" t="str">
        <f t="shared" si="51"/>
        <v>89301000</v>
      </c>
      <c r="B2568" t="str">
        <f>"2304160199"</f>
        <v>2304160199</v>
      </c>
      <c r="C2568" s="1">
        <v>45032</v>
      </c>
      <c r="D2568" s="1">
        <v>45034</v>
      </c>
      <c r="E2568">
        <v>1</v>
      </c>
      <c r="F2568" t="str">
        <f t="shared" si="52"/>
        <v>15-K05-04</v>
      </c>
      <c r="G2568">
        <v>0.27139999999999997</v>
      </c>
      <c r="H2568" t="s">
        <v>13</v>
      </c>
      <c r="I2568" t="s">
        <v>10</v>
      </c>
    </row>
    <row r="2569" spans="1:9" x14ac:dyDescent="0.25">
      <c r="A2569" t="str">
        <f t="shared" si="51"/>
        <v>89301000</v>
      </c>
      <c r="B2569" t="str">
        <f>"2304161101"</f>
        <v>2304161101</v>
      </c>
      <c r="C2569" s="1">
        <v>45032</v>
      </c>
      <c r="D2569" s="1">
        <v>45041</v>
      </c>
      <c r="E2569">
        <v>1</v>
      </c>
      <c r="F2569" t="str">
        <f>"15-K03-01"</f>
        <v>15-K03-01</v>
      </c>
      <c r="G2569">
        <v>3.1217000000000001</v>
      </c>
      <c r="H2569" t="s">
        <v>18</v>
      </c>
      <c r="I2569" t="s">
        <v>10</v>
      </c>
    </row>
    <row r="2570" spans="1:9" x14ac:dyDescent="0.25">
      <c r="A2570" t="str">
        <f t="shared" si="51"/>
        <v>89301000</v>
      </c>
      <c r="B2570" t="str">
        <f>"2304170077"</f>
        <v>2304170077</v>
      </c>
      <c r="C2570" s="1">
        <v>45033</v>
      </c>
      <c r="D2570" s="1">
        <v>45035</v>
      </c>
      <c r="E2570">
        <v>1</v>
      </c>
      <c r="F2570" t="str">
        <f>"15-K05-04"</f>
        <v>15-K05-04</v>
      </c>
      <c r="G2570">
        <v>0.27139999999999997</v>
      </c>
      <c r="H2570" t="s">
        <v>13</v>
      </c>
      <c r="I2570" t="s">
        <v>10</v>
      </c>
    </row>
    <row r="2571" spans="1:9" x14ac:dyDescent="0.25">
      <c r="A2571" t="str">
        <f t="shared" si="51"/>
        <v>89301000</v>
      </c>
      <c r="B2571" t="str">
        <f>"2304180164"</f>
        <v>2304180164</v>
      </c>
      <c r="C2571" s="1">
        <v>45243</v>
      </c>
      <c r="D2571" s="1">
        <v>45257</v>
      </c>
      <c r="E2571">
        <v>1</v>
      </c>
      <c r="F2571" t="str">
        <f>"11-I10-03"</f>
        <v>11-I10-03</v>
      </c>
      <c r="G2571">
        <v>2.3294000000000001</v>
      </c>
      <c r="H2571" t="s">
        <v>12</v>
      </c>
      <c r="I2571" t="s">
        <v>10</v>
      </c>
    </row>
    <row r="2572" spans="1:9" x14ac:dyDescent="0.25">
      <c r="A2572" t="str">
        <f t="shared" si="51"/>
        <v>89301000</v>
      </c>
      <c r="B2572" t="str">
        <f>"2304190647"</f>
        <v>2304190647</v>
      </c>
      <c r="C2572" s="1">
        <v>45035</v>
      </c>
      <c r="D2572" s="1">
        <v>45038</v>
      </c>
      <c r="E2572">
        <v>1</v>
      </c>
      <c r="F2572" t="str">
        <f>"15-K05-04"</f>
        <v>15-K05-04</v>
      </c>
      <c r="G2572">
        <v>0.27139999999999997</v>
      </c>
      <c r="H2572" t="s">
        <v>13</v>
      </c>
      <c r="I2572" t="s">
        <v>10</v>
      </c>
    </row>
    <row r="2573" spans="1:9" x14ac:dyDescent="0.25">
      <c r="A2573" t="str">
        <f t="shared" si="51"/>
        <v>89301000</v>
      </c>
      <c r="B2573" t="str">
        <f>"2304190658"</f>
        <v>2304190658</v>
      </c>
      <c r="C2573" s="1">
        <v>45035</v>
      </c>
      <c r="D2573" s="1">
        <v>45059</v>
      </c>
      <c r="E2573">
        <v>1</v>
      </c>
      <c r="F2573" t="str">
        <f>"15-K03-01"</f>
        <v>15-K03-01</v>
      </c>
      <c r="G2573">
        <v>3.0916000000000001</v>
      </c>
      <c r="H2573" t="s">
        <v>18</v>
      </c>
      <c r="I2573" t="s">
        <v>10</v>
      </c>
    </row>
    <row r="2574" spans="1:9" x14ac:dyDescent="0.25">
      <c r="A2574" t="str">
        <f t="shared" si="51"/>
        <v>89301000</v>
      </c>
      <c r="B2574" t="str">
        <f>"2304200602"</f>
        <v>2304200602</v>
      </c>
      <c r="C2574" s="1">
        <v>45036</v>
      </c>
      <c r="D2574" s="1">
        <v>45040</v>
      </c>
      <c r="E2574">
        <v>1</v>
      </c>
      <c r="F2574" t="str">
        <f>"15-K05-04"</f>
        <v>15-K05-04</v>
      </c>
      <c r="G2574">
        <v>0.27139999999999997</v>
      </c>
      <c r="H2574" t="s">
        <v>13</v>
      </c>
      <c r="I2574" t="s">
        <v>10</v>
      </c>
    </row>
    <row r="2575" spans="1:9" x14ac:dyDescent="0.25">
      <c r="A2575" t="str">
        <f t="shared" si="51"/>
        <v>89301000</v>
      </c>
      <c r="B2575" t="str">
        <f>"2304210458"</f>
        <v>2304210458</v>
      </c>
      <c r="C2575" s="1">
        <v>45037</v>
      </c>
      <c r="D2575" s="1">
        <v>45040</v>
      </c>
      <c r="E2575">
        <v>1</v>
      </c>
      <c r="F2575" t="str">
        <f>"15-K05-04"</f>
        <v>15-K05-04</v>
      </c>
      <c r="G2575">
        <v>0.27139999999999997</v>
      </c>
      <c r="H2575" t="s">
        <v>13</v>
      </c>
      <c r="I2575" t="s">
        <v>10</v>
      </c>
    </row>
    <row r="2576" spans="1:9" x14ac:dyDescent="0.25">
      <c r="A2576" t="str">
        <f t="shared" si="51"/>
        <v>89301000</v>
      </c>
      <c r="B2576" t="str">
        <f>"2304210458"</f>
        <v>2304210458</v>
      </c>
      <c r="C2576" s="1">
        <v>45166</v>
      </c>
      <c r="D2576" s="1">
        <v>45170</v>
      </c>
      <c r="E2576">
        <v>1</v>
      </c>
      <c r="F2576" t="str">
        <f>"04-K03-03"</f>
        <v>04-K03-03</v>
      </c>
      <c r="G2576">
        <v>0.56110000000000004</v>
      </c>
      <c r="H2576" t="s">
        <v>11</v>
      </c>
      <c r="I2576" t="s">
        <v>10</v>
      </c>
    </row>
    <row r="2577" spans="1:9" x14ac:dyDescent="0.25">
      <c r="A2577" t="str">
        <f t="shared" si="51"/>
        <v>89301000</v>
      </c>
      <c r="B2577" t="str">
        <f>"2304230236"</f>
        <v>2304230236</v>
      </c>
      <c r="C2577" s="1">
        <v>45040</v>
      </c>
      <c r="D2577" s="1">
        <v>45043</v>
      </c>
      <c r="E2577">
        <v>1</v>
      </c>
      <c r="F2577" t="str">
        <f>"15-K06-04"</f>
        <v>15-K06-04</v>
      </c>
      <c r="G2577">
        <v>0.55330000000000001</v>
      </c>
      <c r="H2577" t="s">
        <v>13</v>
      </c>
      <c r="I2577" t="s">
        <v>10</v>
      </c>
    </row>
    <row r="2578" spans="1:9" x14ac:dyDescent="0.25">
      <c r="A2578" t="str">
        <f t="shared" si="51"/>
        <v>89301000</v>
      </c>
      <c r="B2578" t="str">
        <f>"2304240565"</f>
        <v>2304240565</v>
      </c>
      <c r="C2578" s="1">
        <v>45040</v>
      </c>
      <c r="D2578" s="1">
        <v>45042</v>
      </c>
      <c r="E2578">
        <v>1</v>
      </c>
      <c r="F2578" t="str">
        <f>"15-K05-04"</f>
        <v>15-K05-04</v>
      </c>
      <c r="G2578">
        <v>0.27139999999999997</v>
      </c>
      <c r="H2578" t="s">
        <v>13</v>
      </c>
      <c r="I2578" t="s">
        <v>10</v>
      </c>
    </row>
    <row r="2579" spans="1:9" x14ac:dyDescent="0.25">
      <c r="A2579" t="str">
        <f t="shared" si="51"/>
        <v>89301000</v>
      </c>
      <c r="B2579" t="str">
        <f>"2304241401"</f>
        <v>2304241401</v>
      </c>
      <c r="C2579" s="1">
        <v>45222</v>
      </c>
      <c r="D2579" s="1">
        <v>45226</v>
      </c>
      <c r="E2579">
        <v>1</v>
      </c>
      <c r="F2579" t="str">
        <f>"06-K02-03"</f>
        <v>06-K02-03</v>
      </c>
      <c r="G2579">
        <v>0.50470000000000004</v>
      </c>
      <c r="H2579" t="s">
        <v>11</v>
      </c>
      <c r="I2579" t="s">
        <v>10</v>
      </c>
    </row>
    <row r="2580" spans="1:9" x14ac:dyDescent="0.25">
      <c r="A2580" t="str">
        <f t="shared" si="51"/>
        <v>89301000</v>
      </c>
      <c r="B2580" t="str">
        <f>"2304260442"</f>
        <v>2304260442</v>
      </c>
      <c r="C2580" s="1">
        <v>45042</v>
      </c>
      <c r="D2580" s="1">
        <v>45044</v>
      </c>
      <c r="E2580">
        <v>1</v>
      </c>
      <c r="F2580" t="str">
        <f>"15-K05-04"</f>
        <v>15-K05-04</v>
      </c>
      <c r="G2580">
        <v>0.27139999999999997</v>
      </c>
      <c r="H2580" t="s">
        <v>13</v>
      </c>
      <c r="I2580" t="s">
        <v>10</v>
      </c>
    </row>
    <row r="2581" spans="1:9" x14ac:dyDescent="0.25">
      <c r="A2581" t="str">
        <f t="shared" si="51"/>
        <v>89301000</v>
      </c>
      <c r="B2581" t="str">
        <f>"2304260464"</f>
        <v>2304260464</v>
      </c>
      <c r="C2581" s="1">
        <v>45042</v>
      </c>
      <c r="D2581" s="1">
        <v>45045</v>
      </c>
      <c r="E2581">
        <v>1</v>
      </c>
      <c r="F2581" t="str">
        <f>"15-K05-04"</f>
        <v>15-K05-04</v>
      </c>
      <c r="G2581">
        <v>0.27139999999999997</v>
      </c>
      <c r="H2581" t="s">
        <v>13</v>
      </c>
      <c r="I2581" t="s">
        <v>10</v>
      </c>
    </row>
    <row r="2582" spans="1:9" x14ac:dyDescent="0.25">
      <c r="A2582" t="str">
        <f t="shared" si="51"/>
        <v>89301000</v>
      </c>
      <c r="B2582" t="str">
        <f>"2304270617"</f>
        <v>2304270617</v>
      </c>
      <c r="C2582" s="1">
        <v>45043</v>
      </c>
      <c r="D2582" s="1">
        <v>45050</v>
      </c>
      <c r="E2582">
        <v>1</v>
      </c>
      <c r="F2582" t="str">
        <f>"15-M01-07"</f>
        <v>15-M01-07</v>
      </c>
      <c r="G2582">
        <v>2.3500999999999999</v>
      </c>
      <c r="H2582" t="s">
        <v>17</v>
      </c>
      <c r="I2582" t="s">
        <v>10</v>
      </c>
    </row>
    <row r="2583" spans="1:9" x14ac:dyDescent="0.25">
      <c r="A2583" t="str">
        <f t="shared" si="51"/>
        <v>89301000</v>
      </c>
      <c r="B2583" t="str">
        <f>"2304290406"</f>
        <v>2304290406</v>
      </c>
      <c r="C2583" s="1">
        <v>45045</v>
      </c>
      <c r="D2583" s="1">
        <v>45050</v>
      </c>
      <c r="E2583">
        <v>1</v>
      </c>
      <c r="F2583" t="str">
        <f>"15-K05-04"</f>
        <v>15-K05-04</v>
      </c>
      <c r="G2583">
        <v>0.27139999999999997</v>
      </c>
      <c r="H2583" t="s">
        <v>13</v>
      </c>
      <c r="I2583" t="s">
        <v>10</v>
      </c>
    </row>
    <row r="2584" spans="1:9" x14ac:dyDescent="0.25">
      <c r="A2584" t="str">
        <f t="shared" si="51"/>
        <v>89301000</v>
      </c>
      <c r="B2584" t="str">
        <f>"2304300416"</f>
        <v>2304300416</v>
      </c>
      <c r="C2584" s="1">
        <v>45046</v>
      </c>
      <c r="D2584" s="1">
        <v>45049</v>
      </c>
      <c r="E2584">
        <v>1</v>
      </c>
      <c r="F2584" t="str">
        <f>"15-K05-04"</f>
        <v>15-K05-04</v>
      </c>
      <c r="G2584">
        <v>0.27139999999999997</v>
      </c>
      <c r="H2584" t="s">
        <v>13</v>
      </c>
      <c r="I2584" t="s">
        <v>10</v>
      </c>
    </row>
    <row r="2585" spans="1:9" x14ac:dyDescent="0.25">
      <c r="A2585" t="str">
        <f t="shared" si="51"/>
        <v>89301000</v>
      </c>
      <c r="B2585" t="str">
        <f>"2305010345"</f>
        <v>2305010345</v>
      </c>
      <c r="C2585" s="1">
        <v>45047</v>
      </c>
      <c r="D2585" s="1">
        <v>45077</v>
      </c>
      <c r="E2585">
        <v>1</v>
      </c>
      <c r="F2585" t="str">
        <f>"15-M01-06"</f>
        <v>15-M01-06</v>
      </c>
      <c r="G2585">
        <v>4.6277999999999997</v>
      </c>
      <c r="H2585" t="s">
        <v>17</v>
      </c>
      <c r="I2585" t="s">
        <v>10</v>
      </c>
    </row>
    <row r="2586" spans="1:9" x14ac:dyDescent="0.25">
      <c r="A2586" t="str">
        <f t="shared" si="51"/>
        <v>89301000</v>
      </c>
      <c r="B2586" t="str">
        <f>"2305010356"</f>
        <v>2305010356</v>
      </c>
      <c r="C2586" s="1">
        <v>45047</v>
      </c>
      <c r="D2586" s="1">
        <v>45050</v>
      </c>
      <c r="E2586">
        <v>1</v>
      </c>
      <c r="F2586" t="str">
        <f>"15-K05-04"</f>
        <v>15-K05-04</v>
      </c>
      <c r="G2586">
        <v>0.27139999999999997</v>
      </c>
      <c r="H2586" t="s">
        <v>13</v>
      </c>
      <c r="I2586" t="s">
        <v>10</v>
      </c>
    </row>
    <row r="2587" spans="1:9" x14ac:dyDescent="0.25">
      <c r="A2587" t="str">
        <f t="shared" si="51"/>
        <v>89301000</v>
      </c>
      <c r="B2587" t="str">
        <f>"2305020586"</f>
        <v>2305020586</v>
      </c>
      <c r="C2587" s="1">
        <v>45048</v>
      </c>
      <c r="D2587" s="1">
        <v>45051</v>
      </c>
      <c r="E2587">
        <v>1</v>
      </c>
      <c r="F2587" t="str">
        <f>"15-K05-04"</f>
        <v>15-K05-04</v>
      </c>
      <c r="G2587">
        <v>0.27139999999999997</v>
      </c>
      <c r="H2587" t="s">
        <v>13</v>
      </c>
      <c r="I2587" t="s">
        <v>10</v>
      </c>
    </row>
    <row r="2588" spans="1:9" x14ac:dyDescent="0.25">
      <c r="A2588" t="str">
        <f t="shared" si="51"/>
        <v>89301000</v>
      </c>
      <c r="B2588" t="str">
        <f>"2305020586"</f>
        <v>2305020586</v>
      </c>
      <c r="C2588" s="1">
        <v>45268</v>
      </c>
      <c r="D2588" s="1">
        <v>45271</v>
      </c>
      <c r="E2588">
        <v>1</v>
      </c>
      <c r="F2588" t="str">
        <f>"04-K03-03"</f>
        <v>04-K03-03</v>
      </c>
      <c r="G2588">
        <v>0.56110000000000004</v>
      </c>
      <c r="H2588" t="s">
        <v>11</v>
      </c>
      <c r="I2588" t="s">
        <v>10</v>
      </c>
    </row>
    <row r="2589" spans="1:9" x14ac:dyDescent="0.25">
      <c r="A2589" t="str">
        <f t="shared" si="51"/>
        <v>89301000</v>
      </c>
      <c r="B2589" t="str">
        <f>"2305030574"</f>
        <v>2305030574</v>
      </c>
      <c r="C2589" s="1">
        <v>45049</v>
      </c>
      <c r="D2589" s="1">
        <v>45052</v>
      </c>
      <c r="E2589">
        <v>1</v>
      </c>
      <c r="F2589" t="str">
        <f>"15-K05-04"</f>
        <v>15-K05-04</v>
      </c>
      <c r="G2589">
        <v>0.27139999999999997</v>
      </c>
      <c r="H2589" t="s">
        <v>13</v>
      </c>
      <c r="I2589" t="s">
        <v>10</v>
      </c>
    </row>
    <row r="2590" spans="1:9" x14ac:dyDescent="0.25">
      <c r="A2590" t="str">
        <f t="shared" si="51"/>
        <v>89301000</v>
      </c>
      <c r="B2590" t="str">
        <f>"2305060406"</f>
        <v>2305060406</v>
      </c>
      <c r="C2590" s="1">
        <v>45052</v>
      </c>
      <c r="D2590" s="1">
        <v>45056</v>
      </c>
      <c r="E2590">
        <v>1</v>
      </c>
      <c r="F2590" t="str">
        <f>"15-K05-04"</f>
        <v>15-K05-04</v>
      </c>
      <c r="G2590">
        <v>0.27139999999999997</v>
      </c>
      <c r="H2590" t="s">
        <v>13</v>
      </c>
      <c r="I2590" t="s">
        <v>10</v>
      </c>
    </row>
    <row r="2591" spans="1:9" x14ac:dyDescent="0.25">
      <c r="A2591" t="str">
        <f t="shared" si="51"/>
        <v>89301000</v>
      </c>
      <c r="B2591" t="str">
        <f>"2305060439"</f>
        <v>2305060439</v>
      </c>
      <c r="C2591" s="1">
        <v>45052</v>
      </c>
      <c r="D2591" s="1">
        <v>45054</v>
      </c>
      <c r="E2591">
        <v>1</v>
      </c>
      <c r="F2591" t="str">
        <f>"15-K05-04"</f>
        <v>15-K05-04</v>
      </c>
      <c r="G2591">
        <v>0.27139999999999997</v>
      </c>
      <c r="H2591" t="s">
        <v>13</v>
      </c>
      <c r="I2591" t="s">
        <v>10</v>
      </c>
    </row>
    <row r="2592" spans="1:9" x14ac:dyDescent="0.25">
      <c r="A2592" t="str">
        <f t="shared" si="51"/>
        <v>89301000</v>
      </c>
      <c r="B2592" t="str">
        <f>"2305070009"</f>
        <v>2305070009</v>
      </c>
      <c r="C2592" s="1">
        <v>45063</v>
      </c>
      <c r="D2592" s="1">
        <v>45064</v>
      </c>
      <c r="E2592">
        <v>1</v>
      </c>
      <c r="F2592" t="str">
        <f>"15-K06-04"</f>
        <v>15-K06-04</v>
      </c>
      <c r="G2592">
        <v>0.55330000000000001</v>
      </c>
      <c r="H2592" t="s">
        <v>13</v>
      </c>
      <c r="I2592" t="s">
        <v>10</v>
      </c>
    </row>
    <row r="2593" spans="1:9" x14ac:dyDescent="0.25">
      <c r="A2593" t="str">
        <f t="shared" si="51"/>
        <v>89301000</v>
      </c>
      <c r="B2593" t="str">
        <f>"2305070405"</f>
        <v>2305070405</v>
      </c>
      <c r="C2593" s="1">
        <v>45053</v>
      </c>
      <c r="D2593" s="1">
        <v>45058</v>
      </c>
      <c r="E2593">
        <v>1</v>
      </c>
      <c r="F2593" t="str">
        <f>"15-K05-04"</f>
        <v>15-K05-04</v>
      </c>
      <c r="G2593">
        <v>0.27139999999999997</v>
      </c>
      <c r="H2593" t="s">
        <v>13</v>
      </c>
      <c r="I2593" t="s">
        <v>10</v>
      </c>
    </row>
    <row r="2594" spans="1:9" x14ac:dyDescent="0.25">
      <c r="A2594" t="str">
        <f t="shared" si="51"/>
        <v>89301000</v>
      </c>
      <c r="B2594" t="str">
        <f>"2305080327"</f>
        <v>2305080327</v>
      </c>
      <c r="C2594" s="1">
        <v>45096</v>
      </c>
      <c r="D2594" s="1">
        <v>45098</v>
      </c>
      <c r="E2594">
        <v>1</v>
      </c>
      <c r="F2594" t="str">
        <f>"03-K02-03"</f>
        <v>03-K02-03</v>
      </c>
      <c r="G2594">
        <v>0.33960000000000001</v>
      </c>
      <c r="H2594" t="s">
        <v>11</v>
      </c>
      <c r="I2594" t="s">
        <v>10</v>
      </c>
    </row>
    <row r="2595" spans="1:9" x14ac:dyDescent="0.25">
      <c r="A2595" t="str">
        <f t="shared" si="51"/>
        <v>89301000</v>
      </c>
      <c r="B2595" t="str">
        <f>"2305080327"</f>
        <v>2305080327</v>
      </c>
      <c r="C2595" s="1">
        <v>45121</v>
      </c>
      <c r="D2595" s="1">
        <v>45122</v>
      </c>
      <c r="E2595">
        <v>1</v>
      </c>
      <c r="F2595" t="str">
        <f>"06-K09-02"</f>
        <v>06-K09-02</v>
      </c>
      <c r="G2595">
        <v>0.31809999999999999</v>
      </c>
      <c r="H2595" t="s">
        <v>11</v>
      </c>
      <c r="I2595" t="s">
        <v>10</v>
      </c>
    </row>
    <row r="2596" spans="1:9" x14ac:dyDescent="0.25">
      <c r="A2596" t="str">
        <f t="shared" si="51"/>
        <v>89301000</v>
      </c>
      <c r="B2596" t="str">
        <f>"2305080327"</f>
        <v>2305080327</v>
      </c>
      <c r="C2596" s="1">
        <v>45054</v>
      </c>
      <c r="D2596" s="1">
        <v>45064</v>
      </c>
      <c r="E2596">
        <v>1</v>
      </c>
      <c r="F2596" t="str">
        <f>"15-K03-01"</f>
        <v>15-K03-01</v>
      </c>
      <c r="G2596">
        <v>3.0916000000000001</v>
      </c>
      <c r="H2596" t="s">
        <v>18</v>
      </c>
      <c r="I2596" t="s">
        <v>10</v>
      </c>
    </row>
    <row r="2597" spans="1:9" x14ac:dyDescent="0.25">
      <c r="A2597" t="str">
        <f t="shared" si="51"/>
        <v>89301000</v>
      </c>
      <c r="B2597" t="str">
        <f>"2305080338"</f>
        <v>2305080338</v>
      </c>
      <c r="C2597" s="1">
        <v>45054</v>
      </c>
      <c r="D2597" s="1">
        <v>45057</v>
      </c>
      <c r="E2597">
        <v>1</v>
      </c>
      <c r="F2597" t="str">
        <f>"15-K05-04"</f>
        <v>15-K05-04</v>
      </c>
      <c r="G2597">
        <v>0.27139999999999997</v>
      </c>
      <c r="H2597" t="s">
        <v>13</v>
      </c>
      <c r="I2597" t="s">
        <v>10</v>
      </c>
    </row>
    <row r="2598" spans="1:9" x14ac:dyDescent="0.25">
      <c r="A2598" t="str">
        <f t="shared" si="51"/>
        <v>89301000</v>
      </c>
      <c r="B2598" t="str">
        <f>"2305090502"</f>
        <v>2305090502</v>
      </c>
      <c r="C2598" s="1">
        <v>45055</v>
      </c>
      <c r="D2598" s="1">
        <v>45060</v>
      </c>
      <c r="E2598">
        <v>1</v>
      </c>
      <c r="F2598" t="str">
        <f>"15-K05-04"</f>
        <v>15-K05-04</v>
      </c>
      <c r="G2598">
        <v>0.27139999999999997</v>
      </c>
      <c r="H2598" t="s">
        <v>13</v>
      </c>
      <c r="I2598" t="s">
        <v>10</v>
      </c>
    </row>
    <row r="2599" spans="1:9" x14ac:dyDescent="0.25">
      <c r="A2599" t="str">
        <f t="shared" si="51"/>
        <v>89301000</v>
      </c>
      <c r="B2599" t="str">
        <f>"2305090513"</f>
        <v>2305090513</v>
      </c>
      <c r="C2599" s="1">
        <v>45055</v>
      </c>
      <c r="D2599" s="1">
        <v>45133</v>
      </c>
      <c r="E2599">
        <v>1</v>
      </c>
      <c r="F2599" t="str">
        <f>"15-M01-01"</f>
        <v>15-M01-01</v>
      </c>
      <c r="G2599">
        <v>23.3477</v>
      </c>
      <c r="H2599" t="s">
        <v>17</v>
      </c>
      <c r="I2599" t="s">
        <v>10</v>
      </c>
    </row>
    <row r="2600" spans="1:9" x14ac:dyDescent="0.25">
      <c r="A2600" t="str">
        <f t="shared" si="51"/>
        <v>89301000</v>
      </c>
      <c r="B2600" t="str">
        <f>"2305100688"</f>
        <v>2305100688</v>
      </c>
      <c r="C2600" s="1">
        <v>45056</v>
      </c>
      <c r="D2600" s="1">
        <v>45060</v>
      </c>
      <c r="E2600">
        <v>1</v>
      </c>
      <c r="F2600" t="str">
        <f>"15-K04-01"</f>
        <v>15-K04-01</v>
      </c>
      <c r="G2600">
        <v>1.79</v>
      </c>
      <c r="H2600" t="s">
        <v>18</v>
      </c>
      <c r="I2600" t="s">
        <v>10</v>
      </c>
    </row>
    <row r="2601" spans="1:9" x14ac:dyDescent="0.25">
      <c r="A2601" t="str">
        <f t="shared" si="51"/>
        <v>89301000</v>
      </c>
      <c r="B2601" t="str">
        <f>"2305100710"</f>
        <v>2305100710</v>
      </c>
      <c r="C2601" s="1">
        <v>45056</v>
      </c>
      <c r="D2601" s="1">
        <v>45059</v>
      </c>
      <c r="E2601">
        <v>1</v>
      </c>
      <c r="F2601" t="str">
        <f>"15-K05-04"</f>
        <v>15-K05-04</v>
      </c>
      <c r="G2601">
        <v>0.27139999999999997</v>
      </c>
      <c r="H2601" t="s">
        <v>13</v>
      </c>
      <c r="I2601" t="s">
        <v>10</v>
      </c>
    </row>
    <row r="2602" spans="1:9" x14ac:dyDescent="0.25">
      <c r="A2602" t="str">
        <f t="shared" si="51"/>
        <v>89301000</v>
      </c>
      <c r="B2602" t="str">
        <f>"2305110544"</f>
        <v>2305110544</v>
      </c>
      <c r="C2602" s="1">
        <v>45057</v>
      </c>
      <c r="D2602" s="1">
        <v>45061</v>
      </c>
      <c r="E2602">
        <v>1</v>
      </c>
      <c r="F2602" t="str">
        <f>"15-K05-02"</f>
        <v>15-K05-02</v>
      </c>
      <c r="G2602">
        <v>0.53290000000000004</v>
      </c>
      <c r="H2602" t="s">
        <v>13</v>
      </c>
      <c r="I2602" t="s">
        <v>10</v>
      </c>
    </row>
    <row r="2603" spans="1:9" x14ac:dyDescent="0.25">
      <c r="A2603" t="str">
        <f t="shared" si="51"/>
        <v>89301000</v>
      </c>
      <c r="B2603" t="str">
        <f>"2305110555"</f>
        <v>2305110555</v>
      </c>
      <c r="C2603" s="1">
        <v>45057</v>
      </c>
      <c r="D2603" s="1">
        <v>45061</v>
      </c>
      <c r="E2603">
        <v>1</v>
      </c>
      <c r="F2603" t="str">
        <f>"15-K05-02"</f>
        <v>15-K05-02</v>
      </c>
      <c r="G2603">
        <v>0.53290000000000004</v>
      </c>
      <c r="H2603" t="s">
        <v>13</v>
      </c>
      <c r="I2603" t="s">
        <v>10</v>
      </c>
    </row>
    <row r="2604" spans="1:9" x14ac:dyDescent="0.25">
      <c r="A2604" t="str">
        <f t="shared" si="51"/>
        <v>89301000</v>
      </c>
      <c r="B2604" t="str">
        <f>"2305120092"</f>
        <v>2305120092</v>
      </c>
      <c r="C2604" s="1">
        <v>45058</v>
      </c>
      <c r="D2604" s="1">
        <v>45063</v>
      </c>
      <c r="E2604">
        <v>1</v>
      </c>
      <c r="F2604" t="str">
        <f>"15-K05-04"</f>
        <v>15-K05-04</v>
      </c>
      <c r="G2604">
        <v>0.27139999999999997</v>
      </c>
      <c r="H2604" t="s">
        <v>13</v>
      </c>
      <c r="I2604" t="s">
        <v>10</v>
      </c>
    </row>
    <row r="2605" spans="1:9" x14ac:dyDescent="0.25">
      <c r="A2605" t="str">
        <f t="shared" si="51"/>
        <v>89301000</v>
      </c>
      <c r="B2605" t="str">
        <f>"2305140354"</f>
        <v>2305140354</v>
      </c>
      <c r="C2605" s="1">
        <v>45060</v>
      </c>
      <c r="D2605" s="1">
        <v>45063</v>
      </c>
      <c r="E2605">
        <v>1</v>
      </c>
      <c r="F2605" t="str">
        <f>"15-K05-04"</f>
        <v>15-K05-04</v>
      </c>
      <c r="G2605">
        <v>0.27139999999999997</v>
      </c>
      <c r="H2605" t="s">
        <v>13</v>
      </c>
      <c r="I2605" t="s">
        <v>10</v>
      </c>
    </row>
    <row r="2606" spans="1:9" x14ac:dyDescent="0.25">
      <c r="A2606" t="str">
        <f t="shared" si="51"/>
        <v>89301000</v>
      </c>
      <c r="B2606" t="str">
        <f>"2305150529"</f>
        <v>2305150529</v>
      </c>
      <c r="C2606" s="1">
        <v>45061</v>
      </c>
      <c r="D2606" s="1">
        <v>45064</v>
      </c>
      <c r="E2606">
        <v>1</v>
      </c>
      <c r="F2606" t="str">
        <f>"15-K05-04"</f>
        <v>15-K05-04</v>
      </c>
      <c r="G2606">
        <v>0.27139999999999997</v>
      </c>
      <c r="H2606" t="s">
        <v>13</v>
      </c>
      <c r="I2606" t="s">
        <v>10</v>
      </c>
    </row>
    <row r="2607" spans="1:9" x14ac:dyDescent="0.25">
      <c r="A2607" t="str">
        <f t="shared" si="51"/>
        <v>89301000</v>
      </c>
      <c r="B2607" t="str">
        <f>"2305160088"</f>
        <v>2305160088</v>
      </c>
      <c r="C2607" s="1">
        <v>45062</v>
      </c>
      <c r="D2607" s="1">
        <v>45064</v>
      </c>
      <c r="E2607">
        <v>1</v>
      </c>
      <c r="F2607" t="str">
        <f>"15-K05-04"</f>
        <v>15-K05-04</v>
      </c>
      <c r="G2607">
        <v>0.27139999999999997</v>
      </c>
      <c r="H2607" t="s">
        <v>13</v>
      </c>
      <c r="I2607" t="s">
        <v>10</v>
      </c>
    </row>
    <row r="2608" spans="1:9" x14ac:dyDescent="0.25">
      <c r="A2608" t="str">
        <f t="shared" si="51"/>
        <v>89301000</v>
      </c>
      <c r="B2608" t="str">
        <f>"2305160187"</f>
        <v>2305160187</v>
      </c>
      <c r="C2608" s="1">
        <v>45123</v>
      </c>
      <c r="D2608" s="1">
        <v>45126</v>
      </c>
      <c r="E2608">
        <v>1</v>
      </c>
      <c r="F2608" t="str">
        <f>"01-K06-00"</f>
        <v>01-K06-00</v>
      </c>
      <c r="G2608">
        <v>0.1535</v>
      </c>
      <c r="H2608" t="s">
        <v>11</v>
      </c>
      <c r="I2608" t="s">
        <v>10</v>
      </c>
    </row>
    <row r="2609" spans="1:9" x14ac:dyDescent="0.25">
      <c r="A2609" t="str">
        <f t="shared" si="51"/>
        <v>89301000</v>
      </c>
      <c r="B2609" t="str">
        <f>"2305160550"</f>
        <v>2305160550</v>
      </c>
      <c r="C2609" s="1">
        <v>45062</v>
      </c>
      <c r="D2609" s="1">
        <v>45065</v>
      </c>
      <c r="E2609">
        <v>1</v>
      </c>
      <c r="F2609" t="str">
        <f>"15-K05-04"</f>
        <v>15-K05-04</v>
      </c>
      <c r="G2609">
        <v>0.27139999999999997</v>
      </c>
      <c r="H2609" t="s">
        <v>13</v>
      </c>
      <c r="I2609" t="s">
        <v>10</v>
      </c>
    </row>
    <row r="2610" spans="1:9" x14ac:dyDescent="0.25">
      <c r="A2610" t="str">
        <f t="shared" si="51"/>
        <v>89301000</v>
      </c>
      <c r="B2610" t="str">
        <f>"2305160561"</f>
        <v>2305160561</v>
      </c>
      <c r="C2610" s="1">
        <v>45062</v>
      </c>
      <c r="D2610" s="1">
        <v>45065</v>
      </c>
      <c r="E2610">
        <v>1</v>
      </c>
      <c r="F2610" t="str">
        <f>"15-K05-04"</f>
        <v>15-K05-04</v>
      </c>
      <c r="G2610">
        <v>0.27139999999999997</v>
      </c>
      <c r="H2610" t="s">
        <v>13</v>
      </c>
      <c r="I2610" t="s">
        <v>10</v>
      </c>
    </row>
    <row r="2611" spans="1:9" x14ac:dyDescent="0.25">
      <c r="A2611" t="str">
        <f t="shared" si="51"/>
        <v>89301000</v>
      </c>
      <c r="B2611" t="str">
        <f>"2305170076"</f>
        <v>2305170076</v>
      </c>
      <c r="C2611" s="1">
        <v>45063</v>
      </c>
      <c r="D2611" s="1">
        <v>45067</v>
      </c>
      <c r="E2611">
        <v>1</v>
      </c>
      <c r="F2611" t="str">
        <f>"15-K05-04"</f>
        <v>15-K05-04</v>
      </c>
      <c r="G2611">
        <v>0.27139999999999997</v>
      </c>
      <c r="H2611" t="s">
        <v>13</v>
      </c>
      <c r="I2611" t="s">
        <v>10</v>
      </c>
    </row>
    <row r="2612" spans="1:9" x14ac:dyDescent="0.25">
      <c r="A2612" t="str">
        <f t="shared" si="51"/>
        <v>89301000</v>
      </c>
      <c r="B2612" t="str">
        <f>"2305180559"</f>
        <v>2305180559</v>
      </c>
      <c r="C2612" s="1">
        <v>45064</v>
      </c>
      <c r="D2612" s="1">
        <v>45066</v>
      </c>
      <c r="E2612">
        <v>1</v>
      </c>
      <c r="F2612" t="str">
        <f>"15-K05-04"</f>
        <v>15-K05-04</v>
      </c>
      <c r="G2612">
        <v>0.27139999999999997</v>
      </c>
      <c r="H2612" t="s">
        <v>13</v>
      </c>
      <c r="I2612" t="s">
        <v>10</v>
      </c>
    </row>
    <row r="2613" spans="1:9" x14ac:dyDescent="0.25">
      <c r="A2613" t="str">
        <f t="shared" si="51"/>
        <v>89301000</v>
      </c>
      <c r="B2613" t="str">
        <f>"2305180581"</f>
        <v>2305180581</v>
      </c>
      <c r="C2613" s="1">
        <v>45064</v>
      </c>
      <c r="D2613" s="1">
        <v>45068</v>
      </c>
      <c r="E2613">
        <v>1</v>
      </c>
      <c r="F2613" t="str">
        <f>"15-K05-04"</f>
        <v>15-K05-04</v>
      </c>
      <c r="G2613">
        <v>0.27139999999999997</v>
      </c>
      <c r="H2613" t="s">
        <v>13</v>
      </c>
      <c r="I2613" t="s">
        <v>10</v>
      </c>
    </row>
    <row r="2614" spans="1:9" x14ac:dyDescent="0.25">
      <c r="A2614" t="str">
        <f t="shared" si="51"/>
        <v>89301000</v>
      </c>
      <c r="B2614" t="str">
        <f>"2305180581"</f>
        <v>2305180581</v>
      </c>
      <c r="C2614" s="1">
        <v>45072</v>
      </c>
      <c r="D2614" s="1">
        <v>45076</v>
      </c>
      <c r="E2614">
        <v>1</v>
      </c>
      <c r="F2614" t="str">
        <f>"15-K06-03"</f>
        <v>15-K06-03</v>
      </c>
      <c r="G2614">
        <v>0.70520000000000005</v>
      </c>
      <c r="H2614" t="s">
        <v>13</v>
      </c>
      <c r="I2614" t="s">
        <v>10</v>
      </c>
    </row>
    <row r="2615" spans="1:9" x14ac:dyDescent="0.25">
      <c r="A2615" t="str">
        <f t="shared" ref="A2615:A2678" si="53">"89301000"</f>
        <v>89301000</v>
      </c>
      <c r="B2615" t="str">
        <f>"2305190657"</f>
        <v>2305190657</v>
      </c>
      <c r="C2615" s="1">
        <v>45065</v>
      </c>
      <c r="D2615" s="1">
        <v>45072</v>
      </c>
      <c r="E2615">
        <v>1</v>
      </c>
      <c r="F2615" t="str">
        <f>"15-M01-07"</f>
        <v>15-M01-07</v>
      </c>
      <c r="G2615">
        <v>2.3500999999999999</v>
      </c>
      <c r="H2615" t="s">
        <v>17</v>
      </c>
      <c r="I2615" t="s">
        <v>10</v>
      </c>
    </row>
    <row r="2616" spans="1:9" x14ac:dyDescent="0.25">
      <c r="A2616" t="str">
        <f t="shared" si="53"/>
        <v>89301000</v>
      </c>
      <c r="B2616" t="str">
        <f>"2305190668"</f>
        <v>2305190668</v>
      </c>
      <c r="C2616" s="1">
        <v>45065</v>
      </c>
      <c r="D2616" s="1">
        <v>45072</v>
      </c>
      <c r="E2616">
        <v>1</v>
      </c>
      <c r="F2616" t="str">
        <f>"15-M01-07"</f>
        <v>15-M01-07</v>
      </c>
      <c r="G2616">
        <v>2.3500999999999999</v>
      </c>
      <c r="H2616" t="s">
        <v>17</v>
      </c>
      <c r="I2616" t="s">
        <v>10</v>
      </c>
    </row>
    <row r="2617" spans="1:9" x14ac:dyDescent="0.25">
      <c r="A2617" t="str">
        <f t="shared" si="53"/>
        <v>89301000</v>
      </c>
      <c r="B2617" t="str">
        <f>"2305210369"</f>
        <v>2305210369</v>
      </c>
      <c r="C2617" s="1">
        <v>45067</v>
      </c>
      <c r="D2617" s="1">
        <v>45071</v>
      </c>
      <c r="E2617">
        <v>1</v>
      </c>
      <c r="F2617" t="str">
        <f>"15-K05-04"</f>
        <v>15-K05-04</v>
      </c>
      <c r="G2617">
        <v>0.27139999999999997</v>
      </c>
      <c r="H2617" t="s">
        <v>13</v>
      </c>
      <c r="I2617" t="s">
        <v>10</v>
      </c>
    </row>
    <row r="2618" spans="1:9" x14ac:dyDescent="0.25">
      <c r="A2618" t="str">
        <f t="shared" si="53"/>
        <v>89301000</v>
      </c>
      <c r="B2618" t="str">
        <f>"2305221083"</f>
        <v>2305221083</v>
      </c>
      <c r="C2618" s="1">
        <v>45068</v>
      </c>
      <c r="D2618" s="1">
        <v>45073</v>
      </c>
      <c r="E2618">
        <v>1</v>
      </c>
      <c r="F2618" t="str">
        <f>"15-K06-01"</f>
        <v>15-K06-01</v>
      </c>
      <c r="G2618">
        <v>1.7487999999999999</v>
      </c>
      <c r="H2618" t="s">
        <v>13</v>
      </c>
      <c r="I2618" t="s">
        <v>10</v>
      </c>
    </row>
    <row r="2619" spans="1:9" x14ac:dyDescent="0.25">
      <c r="A2619" t="str">
        <f t="shared" si="53"/>
        <v>89301000</v>
      </c>
      <c r="B2619" t="str">
        <f>"2305230521"</f>
        <v>2305230521</v>
      </c>
      <c r="C2619" s="1">
        <v>45085</v>
      </c>
      <c r="D2619" s="1">
        <v>45095</v>
      </c>
      <c r="E2619">
        <v>1</v>
      </c>
      <c r="F2619" t="str">
        <f>"15-K06-04"</f>
        <v>15-K06-04</v>
      </c>
      <c r="G2619">
        <v>0.62039999999999995</v>
      </c>
      <c r="H2619" t="s">
        <v>13</v>
      </c>
      <c r="I2619" t="s">
        <v>10</v>
      </c>
    </row>
    <row r="2620" spans="1:9" x14ac:dyDescent="0.25">
      <c r="A2620" t="str">
        <f t="shared" si="53"/>
        <v>89301000</v>
      </c>
      <c r="B2620" t="str">
        <f>"2305230521"</f>
        <v>2305230521</v>
      </c>
      <c r="C2620" s="1">
        <v>45069</v>
      </c>
      <c r="D2620" s="1">
        <v>45072</v>
      </c>
      <c r="E2620">
        <v>1</v>
      </c>
      <c r="F2620" t="str">
        <f>"15-K05-04"</f>
        <v>15-K05-04</v>
      </c>
      <c r="G2620">
        <v>0.27139999999999997</v>
      </c>
      <c r="H2620" t="s">
        <v>13</v>
      </c>
      <c r="I2620" t="s">
        <v>10</v>
      </c>
    </row>
    <row r="2621" spans="1:9" x14ac:dyDescent="0.25">
      <c r="A2621" t="str">
        <f t="shared" si="53"/>
        <v>89301000</v>
      </c>
      <c r="B2621" t="str">
        <f>"2305230554"</f>
        <v>2305230554</v>
      </c>
      <c r="C2621" s="1">
        <v>45069</v>
      </c>
      <c r="D2621" s="1">
        <v>45072</v>
      </c>
      <c r="E2621">
        <v>1</v>
      </c>
      <c r="F2621" t="str">
        <f>"15-K05-04"</f>
        <v>15-K05-04</v>
      </c>
      <c r="G2621">
        <v>0.27139999999999997</v>
      </c>
      <c r="H2621" t="s">
        <v>13</v>
      </c>
      <c r="I2621" t="s">
        <v>10</v>
      </c>
    </row>
    <row r="2622" spans="1:9" x14ac:dyDescent="0.25">
      <c r="A2622" t="str">
        <f t="shared" si="53"/>
        <v>89301000</v>
      </c>
      <c r="B2622" t="str">
        <f>"2305250453"</f>
        <v>2305250453</v>
      </c>
      <c r="C2622" s="1">
        <v>45071</v>
      </c>
      <c r="D2622" s="1">
        <v>45074</v>
      </c>
      <c r="E2622">
        <v>1</v>
      </c>
      <c r="F2622" t="str">
        <f>"15-K05-04"</f>
        <v>15-K05-04</v>
      </c>
      <c r="G2622">
        <v>0.27139999999999997</v>
      </c>
      <c r="H2622" t="s">
        <v>13</v>
      </c>
      <c r="I2622" t="s">
        <v>10</v>
      </c>
    </row>
    <row r="2623" spans="1:9" x14ac:dyDescent="0.25">
      <c r="A2623" t="str">
        <f t="shared" si="53"/>
        <v>89301000</v>
      </c>
      <c r="B2623" t="str">
        <f>"2305260573"</f>
        <v>2305260573</v>
      </c>
      <c r="C2623" s="1">
        <v>45072</v>
      </c>
      <c r="D2623" s="1">
        <v>45077</v>
      </c>
      <c r="E2623">
        <v>1</v>
      </c>
      <c r="F2623" t="str">
        <f>"15-K05-04"</f>
        <v>15-K05-04</v>
      </c>
      <c r="G2623">
        <v>0.27139999999999997</v>
      </c>
      <c r="H2623" t="s">
        <v>13</v>
      </c>
      <c r="I2623" t="s">
        <v>10</v>
      </c>
    </row>
    <row r="2624" spans="1:9" x14ac:dyDescent="0.25">
      <c r="A2624" t="str">
        <f t="shared" si="53"/>
        <v>89301000</v>
      </c>
      <c r="B2624" t="str">
        <f>"2305280285"</f>
        <v>2305280285</v>
      </c>
      <c r="C2624" s="1">
        <v>45074</v>
      </c>
      <c r="D2624" s="1">
        <v>45077</v>
      </c>
      <c r="E2624">
        <v>1</v>
      </c>
      <c r="F2624" t="str">
        <f>"15-K05-04"</f>
        <v>15-K05-04</v>
      </c>
      <c r="G2624">
        <v>0.27139999999999997</v>
      </c>
      <c r="H2624" t="s">
        <v>13</v>
      </c>
      <c r="I2624" t="s">
        <v>10</v>
      </c>
    </row>
    <row r="2625" spans="1:9" x14ac:dyDescent="0.25">
      <c r="A2625" t="str">
        <f t="shared" si="53"/>
        <v>89301000</v>
      </c>
      <c r="B2625" t="str">
        <f>"2305290504"</f>
        <v>2305290504</v>
      </c>
      <c r="C2625" s="1">
        <v>45118</v>
      </c>
      <c r="D2625" s="1">
        <v>45119</v>
      </c>
      <c r="E2625">
        <v>1</v>
      </c>
      <c r="F2625" t="str">
        <f>"10-K10-00"</f>
        <v>10-K10-00</v>
      </c>
      <c r="G2625">
        <v>0.54949999999999999</v>
      </c>
      <c r="H2625" t="s">
        <v>11</v>
      </c>
      <c r="I2625" t="s">
        <v>10</v>
      </c>
    </row>
    <row r="2626" spans="1:9" x14ac:dyDescent="0.25">
      <c r="A2626" t="str">
        <f t="shared" si="53"/>
        <v>89301000</v>
      </c>
      <c r="B2626" t="str">
        <f>"2305290504"</f>
        <v>2305290504</v>
      </c>
      <c r="C2626" s="1">
        <v>45075</v>
      </c>
      <c r="D2626" s="1">
        <v>45111</v>
      </c>
      <c r="E2626">
        <v>1</v>
      </c>
      <c r="F2626" t="str">
        <f>"15-M01-04"</f>
        <v>15-M01-04</v>
      </c>
      <c r="G2626">
        <v>6.0425000000000004</v>
      </c>
      <c r="H2626" t="s">
        <v>17</v>
      </c>
      <c r="I2626" t="s">
        <v>10</v>
      </c>
    </row>
    <row r="2627" spans="1:9" x14ac:dyDescent="0.25">
      <c r="A2627" t="str">
        <f t="shared" si="53"/>
        <v>89301000</v>
      </c>
      <c r="B2627" t="str">
        <f>"2305290515"</f>
        <v>2305290515</v>
      </c>
      <c r="C2627" s="1">
        <v>45075</v>
      </c>
      <c r="D2627" s="1">
        <v>45079</v>
      </c>
      <c r="E2627">
        <v>1</v>
      </c>
      <c r="F2627" t="str">
        <f>"15-K05-04"</f>
        <v>15-K05-04</v>
      </c>
      <c r="G2627">
        <v>0.27139999999999997</v>
      </c>
      <c r="H2627" t="s">
        <v>13</v>
      </c>
      <c r="I2627" t="s">
        <v>10</v>
      </c>
    </row>
    <row r="2628" spans="1:9" x14ac:dyDescent="0.25">
      <c r="A2628" t="str">
        <f t="shared" si="53"/>
        <v>89301000</v>
      </c>
      <c r="B2628" t="str">
        <f>"2305290537"</f>
        <v>2305290537</v>
      </c>
      <c r="C2628" s="1">
        <v>45075</v>
      </c>
      <c r="D2628" s="1">
        <v>45078</v>
      </c>
      <c r="E2628">
        <v>1</v>
      </c>
      <c r="F2628" t="str">
        <f>"15-K05-04"</f>
        <v>15-K05-04</v>
      </c>
      <c r="G2628">
        <v>0.27139999999999997</v>
      </c>
      <c r="H2628" t="s">
        <v>13</v>
      </c>
      <c r="I2628" t="s">
        <v>10</v>
      </c>
    </row>
    <row r="2629" spans="1:9" x14ac:dyDescent="0.25">
      <c r="A2629" t="str">
        <f t="shared" si="53"/>
        <v>89301000</v>
      </c>
      <c r="B2629" t="str">
        <f>"2305301317"</f>
        <v>2305301317</v>
      </c>
      <c r="C2629" s="1">
        <v>45076</v>
      </c>
      <c r="D2629" s="1">
        <v>45079</v>
      </c>
      <c r="E2629">
        <v>1</v>
      </c>
      <c r="F2629" t="str">
        <f>"15-K05-04"</f>
        <v>15-K05-04</v>
      </c>
      <c r="G2629">
        <v>0.27139999999999997</v>
      </c>
      <c r="H2629" t="s">
        <v>13</v>
      </c>
      <c r="I2629" t="s">
        <v>10</v>
      </c>
    </row>
    <row r="2630" spans="1:9" x14ac:dyDescent="0.25">
      <c r="A2630" t="str">
        <f t="shared" si="53"/>
        <v>89301000</v>
      </c>
      <c r="B2630" t="str">
        <f>"2305301339"</f>
        <v>2305301339</v>
      </c>
      <c r="C2630" s="1">
        <v>45076</v>
      </c>
      <c r="D2630" s="1">
        <v>45079</v>
      </c>
      <c r="E2630">
        <v>1</v>
      </c>
      <c r="F2630" t="str">
        <f>"15-K05-04"</f>
        <v>15-K05-04</v>
      </c>
      <c r="G2630">
        <v>0.27139999999999997</v>
      </c>
      <c r="H2630" t="s">
        <v>13</v>
      </c>
      <c r="I2630" t="s">
        <v>10</v>
      </c>
    </row>
    <row r="2631" spans="1:9" x14ac:dyDescent="0.25">
      <c r="A2631" t="str">
        <f t="shared" si="53"/>
        <v>89301000</v>
      </c>
      <c r="B2631" t="str">
        <f>"2306010740"</f>
        <v>2306010740</v>
      </c>
      <c r="C2631" s="1">
        <v>45078</v>
      </c>
      <c r="D2631" s="1">
        <v>45082</v>
      </c>
      <c r="E2631">
        <v>1</v>
      </c>
      <c r="F2631" t="str">
        <f>"15-K05-04"</f>
        <v>15-K05-04</v>
      </c>
      <c r="G2631">
        <v>0.27139999999999997</v>
      </c>
      <c r="H2631" t="s">
        <v>13</v>
      </c>
      <c r="I2631" t="s">
        <v>10</v>
      </c>
    </row>
    <row r="2632" spans="1:9" x14ac:dyDescent="0.25">
      <c r="A2632" t="str">
        <f t="shared" si="53"/>
        <v>89301000</v>
      </c>
      <c r="B2632" t="str">
        <f>"2306010751"</f>
        <v>2306010751</v>
      </c>
      <c r="C2632" s="1">
        <v>45078</v>
      </c>
      <c r="D2632" s="1">
        <v>45084</v>
      </c>
      <c r="E2632">
        <v>1</v>
      </c>
      <c r="F2632" t="str">
        <f>"15-K06-04"</f>
        <v>15-K06-04</v>
      </c>
      <c r="G2632">
        <v>0.55330000000000001</v>
      </c>
      <c r="H2632" t="s">
        <v>13</v>
      </c>
      <c r="I2632" t="s">
        <v>10</v>
      </c>
    </row>
    <row r="2633" spans="1:9" x14ac:dyDescent="0.25">
      <c r="A2633" t="str">
        <f t="shared" si="53"/>
        <v>89301000</v>
      </c>
      <c r="B2633" t="str">
        <f>"2306020673"</f>
        <v>2306020673</v>
      </c>
      <c r="C2633" s="1">
        <v>45079</v>
      </c>
      <c r="D2633" s="1">
        <v>45083</v>
      </c>
      <c r="E2633">
        <v>1</v>
      </c>
      <c r="F2633" t="str">
        <f>"15-K05-04"</f>
        <v>15-K05-04</v>
      </c>
      <c r="G2633">
        <v>0.27139999999999997</v>
      </c>
      <c r="H2633" t="s">
        <v>13</v>
      </c>
      <c r="I2633" t="s">
        <v>10</v>
      </c>
    </row>
    <row r="2634" spans="1:9" x14ac:dyDescent="0.25">
      <c r="A2634" t="str">
        <f t="shared" si="53"/>
        <v>89301000</v>
      </c>
      <c r="B2634" t="str">
        <f>"2306020673"</f>
        <v>2306020673</v>
      </c>
      <c r="C2634" s="1">
        <v>45086</v>
      </c>
      <c r="D2634" s="1">
        <v>45087</v>
      </c>
      <c r="E2634">
        <v>1</v>
      </c>
      <c r="F2634" t="str">
        <f>"15-K06-04"</f>
        <v>15-K06-04</v>
      </c>
      <c r="G2634">
        <v>0.55330000000000001</v>
      </c>
      <c r="H2634" t="s">
        <v>13</v>
      </c>
      <c r="I2634" t="s">
        <v>10</v>
      </c>
    </row>
    <row r="2635" spans="1:9" x14ac:dyDescent="0.25">
      <c r="A2635" t="str">
        <f t="shared" si="53"/>
        <v>89301000</v>
      </c>
      <c r="B2635" t="str">
        <f>"2306030408"</f>
        <v>2306030408</v>
      </c>
      <c r="C2635" s="1">
        <v>45080</v>
      </c>
      <c r="D2635" s="1">
        <v>45083</v>
      </c>
      <c r="E2635">
        <v>1</v>
      </c>
      <c r="F2635" t="str">
        <f>"15-K05-04"</f>
        <v>15-K05-04</v>
      </c>
      <c r="G2635">
        <v>0.27139999999999997</v>
      </c>
      <c r="H2635" t="s">
        <v>13</v>
      </c>
      <c r="I2635" t="s">
        <v>10</v>
      </c>
    </row>
    <row r="2636" spans="1:9" x14ac:dyDescent="0.25">
      <c r="A2636" t="str">
        <f t="shared" si="53"/>
        <v>89301000</v>
      </c>
      <c r="B2636" t="str">
        <f>"2306050494"</f>
        <v>2306050494</v>
      </c>
      <c r="C2636" s="1">
        <v>45082</v>
      </c>
      <c r="D2636" s="1">
        <v>45084</v>
      </c>
      <c r="E2636">
        <v>1</v>
      </c>
      <c r="F2636" t="str">
        <f>"15-K05-04"</f>
        <v>15-K05-04</v>
      </c>
      <c r="G2636">
        <v>0.27139999999999997</v>
      </c>
      <c r="H2636" t="s">
        <v>13</v>
      </c>
      <c r="I2636" t="s">
        <v>10</v>
      </c>
    </row>
    <row r="2637" spans="1:9" x14ac:dyDescent="0.25">
      <c r="A2637" t="str">
        <f t="shared" si="53"/>
        <v>89301000</v>
      </c>
      <c r="B2637" t="str">
        <f>"2306050494"</f>
        <v>2306050494</v>
      </c>
      <c r="C2637" s="1">
        <v>45133</v>
      </c>
      <c r="D2637" s="1">
        <v>45135</v>
      </c>
      <c r="E2637">
        <v>1</v>
      </c>
      <c r="F2637" t="str">
        <f>"04-K15-03"</f>
        <v>04-K15-03</v>
      </c>
      <c r="G2637">
        <v>0.48670000000000002</v>
      </c>
      <c r="H2637" t="s">
        <v>11</v>
      </c>
      <c r="I2637" t="s">
        <v>10</v>
      </c>
    </row>
    <row r="2638" spans="1:9" x14ac:dyDescent="0.25">
      <c r="A2638" t="str">
        <f t="shared" si="53"/>
        <v>89301000</v>
      </c>
      <c r="B2638" t="str">
        <f>"2306070602"</f>
        <v>2306070602</v>
      </c>
      <c r="C2638" s="1">
        <v>45084</v>
      </c>
      <c r="D2638" s="1">
        <v>45086</v>
      </c>
      <c r="E2638">
        <v>1</v>
      </c>
      <c r="F2638" t="str">
        <f>"15-K05-04"</f>
        <v>15-K05-04</v>
      </c>
      <c r="G2638">
        <v>0.27139999999999997</v>
      </c>
      <c r="H2638" t="s">
        <v>13</v>
      </c>
      <c r="I2638" t="s">
        <v>10</v>
      </c>
    </row>
    <row r="2639" spans="1:9" x14ac:dyDescent="0.25">
      <c r="A2639" t="str">
        <f t="shared" si="53"/>
        <v>89301000</v>
      </c>
      <c r="B2639" t="str">
        <f>"2306080326"</f>
        <v>2306080326</v>
      </c>
      <c r="C2639" s="1">
        <v>45085</v>
      </c>
      <c r="D2639" s="1">
        <v>45088</v>
      </c>
      <c r="E2639">
        <v>1</v>
      </c>
      <c r="F2639" t="str">
        <f>"15-K05-04"</f>
        <v>15-K05-04</v>
      </c>
      <c r="G2639">
        <v>0.27139999999999997</v>
      </c>
      <c r="H2639" t="s">
        <v>13</v>
      </c>
      <c r="I2639" t="s">
        <v>10</v>
      </c>
    </row>
    <row r="2640" spans="1:9" x14ac:dyDescent="0.25">
      <c r="A2640" t="str">
        <f t="shared" si="53"/>
        <v>89301000</v>
      </c>
      <c r="B2640" t="str">
        <f>"2306080381"</f>
        <v>2306080381</v>
      </c>
      <c r="C2640" s="1">
        <v>45085</v>
      </c>
      <c r="D2640" s="1">
        <v>45087</v>
      </c>
      <c r="E2640">
        <v>1</v>
      </c>
      <c r="F2640" t="str">
        <f>"15-K05-04"</f>
        <v>15-K05-04</v>
      </c>
      <c r="G2640">
        <v>0.27139999999999997</v>
      </c>
      <c r="H2640" t="s">
        <v>13</v>
      </c>
      <c r="I2640" t="s">
        <v>10</v>
      </c>
    </row>
    <row r="2641" spans="1:9" x14ac:dyDescent="0.25">
      <c r="A2641" t="str">
        <f t="shared" si="53"/>
        <v>89301000</v>
      </c>
      <c r="B2641" t="str">
        <f>"2306090589"</f>
        <v>2306090589</v>
      </c>
      <c r="C2641" s="1">
        <v>45086</v>
      </c>
      <c r="D2641" s="1">
        <v>45089</v>
      </c>
      <c r="E2641">
        <v>1</v>
      </c>
      <c r="F2641" t="str">
        <f>"15-K05-04"</f>
        <v>15-K05-04</v>
      </c>
      <c r="G2641">
        <v>0.27139999999999997</v>
      </c>
      <c r="H2641" t="s">
        <v>13</v>
      </c>
      <c r="I2641" t="s">
        <v>10</v>
      </c>
    </row>
    <row r="2642" spans="1:9" x14ac:dyDescent="0.25">
      <c r="A2642" t="str">
        <f t="shared" si="53"/>
        <v>89301000</v>
      </c>
      <c r="B2642" t="str">
        <f>"2306110367"</f>
        <v>2306110367</v>
      </c>
      <c r="C2642" s="1">
        <v>45088</v>
      </c>
      <c r="D2642" s="1">
        <v>45090</v>
      </c>
      <c r="E2642">
        <v>1</v>
      </c>
      <c r="F2642" t="str">
        <f>"15-K05-04"</f>
        <v>15-K05-04</v>
      </c>
      <c r="G2642">
        <v>0.27139999999999997</v>
      </c>
      <c r="H2642" t="s">
        <v>13</v>
      </c>
      <c r="I2642" t="s">
        <v>10</v>
      </c>
    </row>
    <row r="2643" spans="1:9" x14ac:dyDescent="0.25">
      <c r="A2643" t="str">
        <f t="shared" si="53"/>
        <v>89301000</v>
      </c>
      <c r="B2643" t="str">
        <f>"2306110378"</f>
        <v>2306110378</v>
      </c>
      <c r="C2643" s="1">
        <v>45088</v>
      </c>
      <c r="D2643" s="1">
        <v>45094</v>
      </c>
      <c r="E2643">
        <v>1</v>
      </c>
      <c r="F2643" t="str">
        <f>"15-K06-04"</f>
        <v>15-K06-04</v>
      </c>
      <c r="G2643">
        <v>0.55330000000000001</v>
      </c>
      <c r="H2643" t="s">
        <v>13</v>
      </c>
      <c r="I2643" t="s">
        <v>10</v>
      </c>
    </row>
    <row r="2644" spans="1:9" x14ac:dyDescent="0.25">
      <c r="A2644" t="str">
        <f t="shared" si="53"/>
        <v>89301000</v>
      </c>
      <c r="B2644" t="str">
        <f>"2306120586"</f>
        <v>2306120586</v>
      </c>
      <c r="C2644" s="1">
        <v>45089</v>
      </c>
      <c r="D2644" s="1">
        <v>45094</v>
      </c>
      <c r="E2644">
        <v>1</v>
      </c>
      <c r="F2644" t="str">
        <f>"15-M01-07"</f>
        <v>15-M01-07</v>
      </c>
      <c r="G2644">
        <v>2.3370000000000002</v>
      </c>
      <c r="H2644" t="s">
        <v>17</v>
      </c>
      <c r="I2644" t="s">
        <v>10</v>
      </c>
    </row>
    <row r="2645" spans="1:9" x14ac:dyDescent="0.25">
      <c r="A2645" t="str">
        <f t="shared" si="53"/>
        <v>89301000</v>
      </c>
      <c r="B2645" t="str">
        <f>"2306130398"</f>
        <v>2306130398</v>
      </c>
      <c r="C2645" s="1">
        <v>45090</v>
      </c>
      <c r="D2645" s="1">
        <v>45093</v>
      </c>
      <c r="E2645">
        <v>1</v>
      </c>
      <c r="F2645" t="str">
        <f>"15-K05-04"</f>
        <v>15-K05-04</v>
      </c>
      <c r="G2645">
        <v>0.27139999999999997</v>
      </c>
      <c r="H2645" t="s">
        <v>13</v>
      </c>
      <c r="I2645" t="s">
        <v>10</v>
      </c>
    </row>
    <row r="2646" spans="1:9" x14ac:dyDescent="0.25">
      <c r="A2646" t="str">
        <f t="shared" si="53"/>
        <v>89301000</v>
      </c>
      <c r="B2646" t="str">
        <f>"2306140353"</f>
        <v>2306140353</v>
      </c>
      <c r="C2646" s="1">
        <v>45091</v>
      </c>
      <c r="D2646" s="1">
        <v>45095</v>
      </c>
      <c r="E2646">
        <v>1</v>
      </c>
      <c r="F2646" t="str">
        <f>"15-K05-04"</f>
        <v>15-K05-04</v>
      </c>
      <c r="G2646">
        <v>0.27139999999999997</v>
      </c>
      <c r="H2646" t="s">
        <v>13</v>
      </c>
      <c r="I2646" t="s">
        <v>10</v>
      </c>
    </row>
    <row r="2647" spans="1:9" x14ac:dyDescent="0.25">
      <c r="A2647" t="str">
        <f t="shared" si="53"/>
        <v>89301000</v>
      </c>
      <c r="B2647" t="str">
        <f>"2306150682"</f>
        <v>2306150682</v>
      </c>
      <c r="C2647" s="1">
        <v>45092</v>
      </c>
      <c r="D2647" s="1">
        <v>45132</v>
      </c>
      <c r="E2647">
        <v>1</v>
      </c>
      <c r="F2647" t="str">
        <f>"15-K02-02"</f>
        <v>15-K02-02</v>
      </c>
      <c r="G2647">
        <v>4.5732999999999997</v>
      </c>
      <c r="H2647" t="s">
        <v>18</v>
      </c>
      <c r="I2647" t="s">
        <v>10</v>
      </c>
    </row>
    <row r="2648" spans="1:9" x14ac:dyDescent="0.25">
      <c r="A2648" t="str">
        <f t="shared" si="53"/>
        <v>89301000</v>
      </c>
      <c r="B2648" t="str">
        <f>"2306170185"</f>
        <v>2306170185</v>
      </c>
      <c r="C2648" s="1">
        <v>45094</v>
      </c>
      <c r="D2648" s="1">
        <v>45097</v>
      </c>
      <c r="E2648">
        <v>1</v>
      </c>
      <c r="F2648" t="str">
        <f>"15-K05-04"</f>
        <v>15-K05-04</v>
      </c>
      <c r="G2648">
        <v>0.27139999999999997</v>
      </c>
      <c r="H2648" t="s">
        <v>13</v>
      </c>
      <c r="I2648" t="s">
        <v>10</v>
      </c>
    </row>
    <row r="2649" spans="1:9" x14ac:dyDescent="0.25">
      <c r="A2649" t="str">
        <f t="shared" si="53"/>
        <v>89301000</v>
      </c>
      <c r="B2649" t="str">
        <f>"2306190458"</f>
        <v>2306190458</v>
      </c>
      <c r="C2649" s="1">
        <v>45096</v>
      </c>
      <c r="D2649" s="1">
        <v>45099</v>
      </c>
      <c r="E2649">
        <v>1</v>
      </c>
      <c r="F2649" t="str">
        <f>"15-K05-04"</f>
        <v>15-K05-04</v>
      </c>
      <c r="G2649">
        <v>0.27139999999999997</v>
      </c>
      <c r="H2649" t="s">
        <v>13</v>
      </c>
      <c r="I2649" t="s">
        <v>10</v>
      </c>
    </row>
    <row r="2650" spans="1:9" x14ac:dyDescent="0.25">
      <c r="A2650" t="str">
        <f t="shared" si="53"/>
        <v>89301000</v>
      </c>
      <c r="B2650" t="str">
        <f>"2306220763"</f>
        <v>2306220763</v>
      </c>
      <c r="C2650" s="1">
        <v>45099</v>
      </c>
      <c r="D2650" s="1">
        <v>45102</v>
      </c>
      <c r="E2650">
        <v>1</v>
      </c>
      <c r="F2650" t="str">
        <f>"15-K05-04"</f>
        <v>15-K05-04</v>
      </c>
      <c r="G2650">
        <v>0.27139999999999997</v>
      </c>
      <c r="H2650" t="s">
        <v>13</v>
      </c>
      <c r="I2650" t="s">
        <v>10</v>
      </c>
    </row>
    <row r="2651" spans="1:9" x14ac:dyDescent="0.25">
      <c r="A2651" t="str">
        <f t="shared" si="53"/>
        <v>89301000</v>
      </c>
      <c r="B2651" t="str">
        <f>"2306220774"</f>
        <v>2306220774</v>
      </c>
      <c r="C2651" s="1">
        <v>45099</v>
      </c>
      <c r="D2651" s="1">
        <v>45102</v>
      </c>
      <c r="E2651">
        <v>1</v>
      </c>
      <c r="F2651" t="str">
        <f>"15-K05-04"</f>
        <v>15-K05-04</v>
      </c>
      <c r="G2651">
        <v>0.27139999999999997</v>
      </c>
      <c r="H2651" t="s">
        <v>13</v>
      </c>
      <c r="I2651" t="s">
        <v>10</v>
      </c>
    </row>
    <row r="2652" spans="1:9" x14ac:dyDescent="0.25">
      <c r="A2652" t="str">
        <f t="shared" si="53"/>
        <v>89301000</v>
      </c>
      <c r="B2652" t="str">
        <f>"2306240332"</f>
        <v>2306240332</v>
      </c>
      <c r="C2652" s="1">
        <v>45147</v>
      </c>
      <c r="D2652" s="1">
        <v>45152</v>
      </c>
      <c r="E2652">
        <v>1</v>
      </c>
      <c r="F2652" t="str">
        <f>"18-K02-05"</f>
        <v>18-K02-05</v>
      </c>
      <c r="G2652">
        <v>0.48089999999999999</v>
      </c>
      <c r="H2652" t="s">
        <v>11</v>
      </c>
      <c r="I2652" t="s">
        <v>10</v>
      </c>
    </row>
    <row r="2653" spans="1:9" x14ac:dyDescent="0.25">
      <c r="A2653" t="str">
        <f t="shared" si="53"/>
        <v>89301000</v>
      </c>
      <c r="B2653" t="str">
        <f>"2306240332"</f>
        <v>2306240332</v>
      </c>
      <c r="C2653" s="1">
        <v>45120</v>
      </c>
      <c r="D2653" s="1">
        <v>45125</v>
      </c>
      <c r="E2653">
        <v>1</v>
      </c>
      <c r="F2653" t="str">
        <f>"15-K06-04"</f>
        <v>15-K06-04</v>
      </c>
      <c r="G2653">
        <v>0.55330000000000001</v>
      </c>
      <c r="H2653" t="s">
        <v>13</v>
      </c>
      <c r="I2653" t="s">
        <v>10</v>
      </c>
    </row>
    <row r="2654" spans="1:9" x14ac:dyDescent="0.25">
      <c r="A2654" t="str">
        <f t="shared" si="53"/>
        <v>89301000</v>
      </c>
      <c r="B2654" t="str">
        <f>"2306240332"</f>
        <v>2306240332</v>
      </c>
      <c r="C2654" s="1">
        <v>45101</v>
      </c>
      <c r="D2654" s="1">
        <v>45104</v>
      </c>
      <c r="E2654">
        <v>1</v>
      </c>
      <c r="F2654" t="str">
        <f t="shared" ref="F2654:F2659" si="54">"15-K05-04"</f>
        <v>15-K05-04</v>
      </c>
      <c r="G2654">
        <v>0.27139999999999997</v>
      </c>
      <c r="H2654" t="s">
        <v>13</v>
      </c>
      <c r="I2654" t="s">
        <v>10</v>
      </c>
    </row>
    <row r="2655" spans="1:9" x14ac:dyDescent="0.25">
      <c r="A2655" t="str">
        <f t="shared" si="53"/>
        <v>89301000</v>
      </c>
      <c r="B2655" t="str">
        <f>"2306240365"</f>
        <v>2306240365</v>
      </c>
      <c r="C2655" s="1">
        <v>45101</v>
      </c>
      <c r="D2655" s="1">
        <v>45104</v>
      </c>
      <c r="E2655">
        <v>1</v>
      </c>
      <c r="F2655" t="str">
        <f t="shared" si="54"/>
        <v>15-K05-04</v>
      </c>
      <c r="G2655">
        <v>0.27139999999999997</v>
      </c>
      <c r="H2655" t="s">
        <v>13</v>
      </c>
      <c r="I2655" t="s">
        <v>10</v>
      </c>
    </row>
    <row r="2656" spans="1:9" x14ac:dyDescent="0.25">
      <c r="A2656" t="str">
        <f t="shared" si="53"/>
        <v>89301000</v>
      </c>
      <c r="B2656" t="str">
        <f>"2306250298"</f>
        <v>2306250298</v>
      </c>
      <c r="C2656" s="1">
        <v>45102</v>
      </c>
      <c r="D2656" s="1">
        <v>45104</v>
      </c>
      <c r="E2656">
        <v>1</v>
      </c>
      <c r="F2656" t="str">
        <f t="shared" si="54"/>
        <v>15-K05-04</v>
      </c>
      <c r="G2656">
        <v>0.27139999999999997</v>
      </c>
      <c r="H2656" t="s">
        <v>13</v>
      </c>
      <c r="I2656" t="s">
        <v>10</v>
      </c>
    </row>
    <row r="2657" spans="1:9" x14ac:dyDescent="0.25">
      <c r="A2657" t="str">
        <f t="shared" si="53"/>
        <v>89301000</v>
      </c>
      <c r="B2657" t="str">
        <f>"2306270659"</f>
        <v>2306270659</v>
      </c>
      <c r="C2657" s="1">
        <v>45104</v>
      </c>
      <c r="D2657" s="1">
        <v>45107</v>
      </c>
      <c r="E2657">
        <v>1</v>
      </c>
      <c r="F2657" t="str">
        <f t="shared" si="54"/>
        <v>15-K05-04</v>
      </c>
      <c r="G2657">
        <v>0.27139999999999997</v>
      </c>
      <c r="H2657" t="s">
        <v>13</v>
      </c>
      <c r="I2657" t="s">
        <v>10</v>
      </c>
    </row>
    <row r="2658" spans="1:9" x14ac:dyDescent="0.25">
      <c r="A2658" t="str">
        <f t="shared" si="53"/>
        <v>89301000</v>
      </c>
      <c r="B2658" t="str">
        <f>"2306280625"</f>
        <v>2306280625</v>
      </c>
      <c r="C2658" s="1">
        <v>45105</v>
      </c>
      <c r="D2658" s="1">
        <v>45108</v>
      </c>
      <c r="E2658">
        <v>1</v>
      </c>
      <c r="F2658" t="str">
        <f t="shared" si="54"/>
        <v>15-K05-04</v>
      </c>
      <c r="G2658">
        <v>0.27139999999999997</v>
      </c>
      <c r="H2658" t="s">
        <v>13</v>
      </c>
      <c r="I2658" t="s">
        <v>10</v>
      </c>
    </row>
    <row r="2659" spans="1:9" x14ac:dyDescent="0.25">
      <c r="A2659" t="str">
        <f t="shared" si="53"/>
        <v>89301000</v>
      </c>
      <c r="B2659" t="str">
        <f>"2306290811"</f>
        <v>2306290811</v>
      </c>
      <c r="C2659" s="1">
        <v>45106</v>
      </c>
      <c r="D2659" s="1">
        <v>45109</v>
      </c>
      <c r="E2659">
        <v>1</v>
      </c>
      <c r="F2659" t="str">
        <f t="shared" si="54"/>
        <v>15-K05-04</v>
      </c>
      <c r="G2659">
        <v>0.27139999999999997</v>
      </c>
      <c r="H2659" t="s">
        <v>13</v>
      </c>
      <c r="I2659" t="s">
        <v>10</v>
      </c>
    </row>
    <row r="2660" spans="1:9" x14ac:dyDescent="0.25">
      <c r="A2660" t="str">
        <f t="shared" si="53"/>
        <v>89301000</v>
      </c>
      <c r="B2660" t="str">
        <f>"2306290844"</f>
        <v>2306290844</v>
      </c>
      <c r="C2660" s="1">
        <v>45106</v>
      </c>
      <c r="D2660" s="1">
        <v>45108</v>
      </c>
      <c r="E2660">
        <v>1</v>
      </c>
      <c r="F2660" t="str">
        <f>"15-K04-02"</f>
        <v>15-K04-02</v>
      </c>
      <c r="G2660">
        <v>1.0172000000000001</v>
      </c>
      <c r="H2660" t="s">
        <v>18</v>
      </c>
      <c r="I2660" t="s">
        <v>10</v>
      </c>
    </row>
    <row r="2661" spans="1:9" x14ac:dyDescent="0.25">
      <c r="A2661" t="str">
        <f t="shared" si="53"/>
        <v>89301000</v>
      </c>
      <c r="B2661" t="str">
        <f>"2306290855"</f>
        <v>2306290855</v>
      </c>
      <c r="C2661" s="1">
        <v>45106</v>
      </c>
      <c r="D2661" s="1">
        <v>45109</v>
      </c>
      <c r="E2661">
        <v>1</v>
      </c>
      <c r="F2661" t="str">
        <f>"15-K05-04"</f>
        <v>15-K05-04</v>
      </c>
      <c r="G2661">
        <v>0.27139999999999997</v>
      </c>
      <c r="H2661" t="s">
        <v>13</v>
      </c>
      <c r="I2661" t="s">
        <v>10</v>
      </c>
    </row>
    <row r="2662" spans="1:9" x14ac:dyDescent="0.25">
      <c r="A2662" t="str">
        <f t="shared" si="53"/>
        <v>89301000</v>
      </c>
      <c r="B2662" t="str">
        <f>"2306300667"</f>
        <v>2306300667</v>
      </c>
      <c r="C2662" s="1">
        <v>45107</v>
      </c>
      <c r="D2662" s="1">
        <v>45110</v>
      </c>
      <c r="E2662">
        <v>1</v>
      </c>
      <c r="F2662" t="str">
        <f>"15-K05-04"</f>
        <v>15-K05-04</v>
      </c>
      <c r="G2662">
        <v>0.27139999999999997</v>
      </c>
      <c r="H2662" t="s">
        <v>13</v>
      </c>
      <c r="I2662" t="s">
        <v>10</v>
      </c>
    </row>
    <row r="2663" spans="1:9" x14ac:dyDescent="0.25">
      <c r="A2663" t="str">
        <f t="shared" si="53"/>
        <v>89301000</v>
      </c>
      <c r="B2663" t="str">
        <f>"2307010420"</f>
        <v>2307010420</v>
      </c>
      <c r="C2663" s="1">
        <v>45108</v>
      </c>
      <c r="D2663" s="1">
        <v>45108</v>
      </c>
      <c r="E2663">
        <v>7</v>
      </c>
      <c r="F2663" t="str">
        <f>"15-K02-01"</f>
        <v>15-K02-01</v>
      </c>
      <c r="G2663">
        <v>0.32079999999999997</v>
      </c>
      <c r="H2663" t="s">
        <v>18</v>
      </c>
      <c r="I2663" t="s">
        <v>10</v>
      </c>
    </row>
    <row r="2664" spans="1:9" x14ac:dyDescent="0.25">
      <c r="A2664" t="str">
        <f t="shared" si="53"/>
        <v>89301000</v>
      </c>
      <c r="B2664" t="str">
        <f>"2307020430"</f>
        <v>2307020430</v>
      </c>
      <c r="C2664" s="1">
        <v>45201</v>
      </c>
      <c r="D2664" s="1">
        <v>45211</v>
      </c>
      <c r="E2664">
        <v>1</v>
      </c>
      <c r="F2664" t="str">
        <f>"11-K01-03"</f>
        <v>11-K01-03</v>
      </c>
      <c r="G2664">
        <v>0.86529999999999996</v>
      </c>
      <c r="H2664" t="s">
        <v>11</v>
      </c>
      <c r="I2664" t="s">
        <v>10</v>
      </c>
    </row>
    <row r="2665" spans="1:9" x14ac:dyDescent="0.25">
      <c r="A2665" t="str">
        <f t="shared" si="53"/>
        <v>89301000</v>
      </c>
      <c r="B2665" t="str">
        <f>"2307020430"</f>
        <v>2307020430</v>
      </c>
      <c r="C2665" s="1">
        <v>45118</v>
      </c>
      <c r="D2665" s="1">
        <v>45124</v>
      </c>
      <c r="E2665">
        <v>1</v>
      </c>
      <c r="F2665" t="str">
        <f>"15-K06-01"</f>
        <v>15-K06-01</v>
      </c>
      <c r="G2665">
        <v>1.7554000000000001</v>
      </c>
      <c r="H2665" t="s">
        <v>13</v>
      </c>
      <c r="I2665" t="s">
        <v>10</v>
      </c>
    </row>
    <row r="2666" spans="1:9" x14ac:dyDescent="0.25">
      <c r="A2666" t="str">
        <f t="shared" si="53"/>
        <v>89301000</v>
      </c>
      <c r="B2666" t="str">
        <f>"2307020430"</f>
        <v>2307020430</v>
      </c>
      <c r="C2666" s="1">
        <v>45234</v>
      </c>
      <c r="D2666" s="1">
        <v>45237</v>
      </c>
      <c r="E2666">
        <v>1</v>
      </c>
      <c r="F2666" t="str">
        <f>"04-K02-04"</f>
        <v>04-K02-04</v>
      </c>
      <c r="G2666">
        <v>0.82099999999999995</v>
      </c>
      <c r="H2666" t="s">
        <v>11</v>
      </c>
      <c r="I2666" t="s">
        <v>10</v>
      </c>
    </row>
    <row r="2667" spans="1:9" x14ac:dyDescent="0.25">
      <c r="A2667" t="str">
        <f t="shared" si="53"/>
        <v>89301000</v>
      </c>
      <c r="B2667" t="str">
        <f>"2307020430"</f>
        <v>2307020430</v>
      </c>
      <c r="C2667" s="1">
        <v>45109</v>
      </c>
      <c r="D2667" s="1">
        <v>45112</v>
      </c>
      <c r="E2667">
        <v>1</v>
      </c>
      <c r="F2667" t="str">
        <f>"15-K05-04"</f>
        <v>15-K05-04</v>
      </c>
      <c r="G2667">
        <v>0.27139999999999997</v>
      </c>
      <c r="H2667" t="s">
        <v>13</v>
      </c>
      <c r="I2667" t="s">
        <v>10</v>
      </c>
    </row>
    <row r="2668" spans="1:9" x14ac:dyDescent="0.25">
      <c r="A2668" t="str">
        <f t="shared" si="53"/>
        <v>89301000</v>
      </c>
      <c r="B2668" t="str">
        <f>"2307030517"</f>
        <v>2307030517</v>
      </c>
      <c r="C2668" s="1">
        <v>45110</v>
      </c>
      <c r="D2668" s="1">
        <v>45114</v>
      </c>
      <c r="E2668">
        <v>1</v>
      </c>
      <c r="F2668" t="str">
        <f>"15-K05-04"</f>
        <v>15-K05-04</v>
      </c>
      <c r="G2668">
        <v>0.27139999999999997</v>
      </c>
      <c r="H2668" t="s">
        <v>13</v>
      </c>
      <c r="I2668" t="s">
        <v>10</v>
      </c>
    </row>
    <row r="2669" spans="1:9" x14ac:dyDescent="0.25">
      <c r="A2669" t="str">
        <f t="shared" si="53"/>
        <v>89301000</v>
      </c>
      <c r="B2669" t="str">
        <f>"2307030528"</f>
        <v>2307030528</v>
      </c>
      <c r="C2669" s="1">
        <v>45110</v>
      </c>
      <c r="D2669" s="1">
        <v>45112</v>
      </c>
      <c r="E2669">
        <v>1</v>
      </c>
      <c r="F2669" t="str">
        <f>"15-K05-04"</f>
        <v>15-K05-04</v>
      </c>
      <c r="G2669">
        <v>0.27139999999999997</v>
      </c>
      <c r="H2669" t="s">
        <v>13</v>
      </c>
      <c r="I2669" t="s">
        <v>10</v>
      </c>
    </row>
    <row r="2670" spans="1:9" x14ac:dyDescent="0.25">
      <c r="A2670" t="str">
        <f t="shared" si="53"/>
        <v>89301000</v>
      </c>
      <c r="B2670" t="str">
        <f>"2307040439"</f>
        <v>2307040439</v>
      </c>
      <c r="C2670" s="1">
        <v>45111</v>
      </c>
      <c r="D2670" s="1">
        <v>45115</v>
      </c>
      <c r="E2670">
        <v>1</v>
      </c>
      <c r="F2670" t="str">
        <f>"15-K06-03"</f>
        <v>15-K06-03</v>
      </c>
      <c r="G2670">
        <v>0.70520000000000005</v>
      </c>
      <c r="H2670" t="s">
        <v>13</v>
      </c>
      <c r="I2670" t="s">
        <v>10</v>
      </c>
    </row>
    <row r="2671" spans="1:9" x14ac:dyDescent="0.25">
      <c r="A2671" t="str">
        <f t="shared" si="53"/>
        <v>89301000</v>
      </c>
      <c r="B2671" t="str">
        <f>"2307040450"</f>
        <v>2307040450</v>
      </c>
      <c r="C2671" s="1">
        <v>45111</v>
      </c>
      <c r="D2671" s="1">
        <v>45115</v>
      </c>
      <c r="E2671">
        <v>1</v>
      </c>
      <c r="F2671" t="str">
        <f>"15-K06-04"</f>
        <v>15-K06-04</v>
      </c>
      <c r="G2671">
        <v>0.55330000000000001</v>
      </c>
      <c r="H2671" t="s">
        <v>13</v>
      </c>
      <c r="I2671" t="s">
        <v>10</v>
      </c>
    </row>
    <row r="2672" spans="1:9" x14ac:dyDescent="0.25">
      <c r="A2672" t="str">
        <f t="shared" si="53"/>
        <v>89301000</v>
      </c>
      <c r="B2672" t="str">
        <f>"2307050218"</f>
        <v>2307050218</v>
      </c>
      <c r="C2672" s="1">
        <v>45112</v>
      </c>
      <c r="D2672" s="1">
        <v>45115</v>
      </c>
      <c r="E2672">
        <v>1</v>
      </c>
      <c r="F2672" t="str">
        <f>"15-K05-04"</f>
        <v>15-K05-04</v>
      </c>
      <c r="G2672">
        <v>0.27139999999999997</v>
      </c>
      <c r="H2672" t="s">
        <v>13</v>
      </c>
      <c r="I2672" t="s">
        <v>10</v>
      </c>
    </row>
    <row r="2673" spans="1:9" x14ac:dyDescent="0.25">
      <c r="A2673" t="str">
        <f t="shared" si="53"/>
        <v>89301000</v>
      </c>
      <c r="B2673" t="str">
        <f>"2307060173"</f>
        <v>2307060173</v>
      </c>
      <c r="C2673" s="1">
        <v>45113</v>
      </c>
      <c r="D2673" s="1">
        <v>45116</v>
      </c>
      <c r="E2673">
        <v>1</v>
      </c>
      <c r="F2673" t="str">
        <f>"15-K05-04"</f>
        <v>15-K05-04</v>
      </c>
      <c r="G2673">
        <v>0.27139999999999997</v>
      </c>
      <c r="H2673" t="s">
        <v>13</v>
      </c>
      <c r="I2673" t="s">
        <v>10</v>
      </c>
    </row>
    <row r="2674" spans="1:9" x14ac:dyDescent="0.25">
      <c r="A2674" t="str">
        <f t="shared" si="53"/>
        <v>89301000</v>
      </c>
      <c r="B2674" t="str">
        <f>"2307070612"</f>
        <v>2307070612</v>
      </c>
      <c r="C2674" s="1">
        <v>45114</v>
      </c>
      <c r="D2674" s="1">
        <v>45116</v>
      </c>
      <c r="E2674">
        <v>1</v>
      </c>
      <c r="F2674" t="str">
        <f>"15-K05-04"</f>
        <v>15-K05-04</v>
      </c>
      <c r="G2674">
        <v>0.27139999999999997</v>
      </c>
      <c r="H2674" t="s">
        <v>13</v>
      </c>
      <c r="I2674" t="s">
        <v>10</v>
      </c>
    </row>
    <row r="2675" spans="1:9" x14ac:dyDescent="0.25">
      <c r="A2675" t="str">
        <f t="shared" si="53"/>
        <v>89301000</v>
      </c>
      <c r="B2675" t="str">
        <f>"2307080435"</f>
        <v>2307080435</v>
      </c>
      <c r="C2675" s="1">
        <v>45115</v>
      </c>
      <c r="D2675" s="1">
        <v>45118</v>
      </c>
      <c r="E2675">
        <v>1</v>
      </c>
      <c r="F2675" t="str">
        <f>"15-K05-04"</f>
        <v>15-K05-04</v>
      </c>
      <c r="G2675">
        <v>0.27139999999999997</v>
      </c>
      <c r="H2675" t="s">
        <v>13</v>
      </c>
      <c r="I2675" t="s">
        <v>10</v>
      </c>
    </row>
    <row r="2676" spans="1:9" x14ac:dyDescent="0.25">
      <c r="A2676" t="str">
        <f t="shared" si="53"/>
        <v>89301000</v>
      </c>
      <c r="B2676" t="str">
        <f>"2307090368"</f>
        <v>2307090368</v>
      </c>
      <c r="C2676" s="1">
        <v>45116</v>
      </c>
      <c r="D2676" s="1">
        <v>45157</v>
      </c>
      <c r="E2676">
        <v>1</v>
      </c>
      <c r="F2676" t="str">
        <f>"15-K03-01"</f>
        <v>15-K03-01</v>
      </c>
      <c r="G2676">
        <v>3.6818</v>
      </c>
      <c r="H2676" t="s">
        <v>18</v>
      </c>
      <c r="I2676" t="s">
        <v>10</v>
      </c>
    </row>
    <row r="2677" spans="1:9" x14ac:dyDescent="0.25">
      <c r="A2677" t="str">
        <f t="shared" si="53"/>
        <v>89301000</v>
      </c>
      <c r="B2677" t="str">
        <f>"2307090390"</f>
        <v>2307090390</v>
      </c>
      <c r="C2677" s="1">
        <v>45116</v>
      </c>
      <c r="D2677" s="1">
        <v>45123</v>
      </c>
      <c r="E2677">
        <v>1</v>
      </c>
      <c r="F2677" t="str">
        <f>"15-K05-04"</f>
        <v>15-K05-04</v>
      </c>
      <c r="G2677">
        <v>0.33650000000000002</v>
      </c>
      <c r="H2677" t="s">
        <v>13</v>
      </c>
      <c r="I2677" t="s">
        <v>10</v>
      </c>
    </row>
    <row r="2678" spans="1:9" x14ac:dyDescent="0.25">
      <c r="A2678" t="str">
        <f t="shared" si="53"/>
        <v>89301000</v>
      </c>
      <c r="B2678" t="str">
        <f>"2307100455"</f>
        <v>2307100455</v>
      </c>
      <c r="C2678" s="1">
        <v>45183</v>
      </c>
      <c r="D2678" s="1">
        <v>45189</v>
      </c>
      <c r="E2678">
        <v>1</v>
      </c>
      <c r="F2678" t="str">
        <f>"11-K11-00"</f>
        <v>11-K11-00</v>
      </c>
      <c r="G2678">
        <v>0.60609999999999997</v>
      </c>
      <c r="H2678" t="s">
        <v>11</v>
      </c>
      <c r="I2678" t="s">
        <v>10</v>
      </c>
    </row>
    <row r="2679" spans="1:9" x14ac:dyDescent="0.25">
      <c r="A2679" t="str">
        <f t="shared" ref="A2679:A2741" si="55">"89301000"</f>
        <v>89301000</v>
      </c>
      <c r="B2679" t="str">
        <f>"2307100455"</f>
        <v>2307100455</v>
      </c>
      <c r="C2679" s="1">
        <v>45207</v>
      </c>
      <c r="D2679" s="1">
        <v>45215</v>
      </c>
      <c r="E2679">
        <v>1</v>
      </c>
      <c r="F2679" t="str">
        <f>"11-K01-03"</f>
        <v>11-K01-03</v>
      </c>
      <c r="G2679">
        <v>0.69830000000000003</v>
      </c>
      <c r="H2679" t="s">
        <v>11</v>
      </c>
      <c r="I2679" t="s">
        <v>10</v>
      </c>
    </row>
    <row r="2680" spans="1:9" x14ac:dyDescent="0.25">
      <c r="A2680" t="str">
        <f t="shared" si="55"/>
        <v>89301000</v>
      </c>
      <c r="B2680" t="str">
        <f>"2307100455"</f>
        <v>2307100455</v>
      </c>
      <c r="C2680" s="1">
        <v>45152</v>
      </c>
      <c r="D2680" s="1">
        <v>45162</v>
      </c>
      <c r="E2680">
        <v>1</v>
      </c>
      <c r="F2680" t="str">
        <f>"18-K01-03"</f>
        <v>18-K01-03</v>
      </c>
      <c r="G2680">
        <v>1.5416000000000001</v>
      </c>
      <c r="H2680" t="s">
        <v>11</v>
      </c>
      <c r="I2680" t="s">
        <v>10</v>
      </c>
    </row>
    <row r="2681" spans="1:9" x14ac:dyDescent="0.25">
      <c r="A2681" t="str">
        <f t="shared" si="55"/>
        <v>89301000</v>
      </c>
      <c r="B2681" t="str">
        <f>"2307100455"</f>
        <v>2307100455</v>
      </c>
      <c r="C2681" s="1">
        <v>45117</v>
      </c>
      <c r="D2681" s="1">
        <v>45119</v>
      </c>
      <c r="E2681">
        <v>1</v>
      </c>
      <c r="F2681" t="str">
        <f>"15-K05-04"</f>
        <v>15-K05-04</v>
      </c>
      <c r="G2681">
        <v>0.27139999999999997</v>
      </c>
      <c r="H2681" t="s">
        <v>13</v>
      </c>
      <c r="I2681" t="s">
        <v>10</v>
      </c>
    </row>
    <row r="2682" spans="1:9" x14ac:dyDescent="0.25">
      <c r="A2682" t="str">
        <f t="shared" si="55"/>
        <v>89301000</v>
      </c>
      <c r="B2682" t="str">
        <f>"2307100455"</f>
        <v>2307100455</v>
      </c>
      <c r="C2682" s="1">
        <v>45234</v>
      </c>
      <c r="D2682" s="1">
        <v>45238</v>
      </c>
      <c r="E2682">
        <v>1</v>
      </c>
      <c r="F2682" t="str">
        <f>"11-K01-03"</f>
        <v>11-K01-03</v>
      </c>
      <c r="G2682">
        <v>0.68789999999999996</v>
      </c>
      <c r="H2682" t="s">
        <v>11</v>
      </c>
      <c r="I2682" t="s">
        <v>10</v>
      </c>
    </row>
    <row r="2683" spans="1:9" x14ac:dyDescent="0.25">
      <c r="A2683" t="str">
        <f t="shared" si="55"/>
        <v>89301000</v>
      </c>
      <c r="B2683" t="str">
        <f>"2307100554"</f>
        <v>2307100554</v>
      </c>
      <c r="C2683" s="1">
        <v>45117</v>
      </c>
      <c r="D2683" s="1">
        <v>45120</v>
      </c>
      <c r="E2683">
        <v>1</v>
      </c>
      <c r="F2683" t="str">
        <f t="shared" ref="F2683:F2689" si="56">"15-K05-04"</f>
        <v>15-K05-04</v>
      </c>
      <c r="G2683">
        <v>0.27139999999999997</v>
      </c>
      <c r="H2683" t="s">
        <v>13</v>
      </c>
      <c r="I2683" t="s">
        <v>10</v>
      </c>
    </row>
    <row r="2684" spans="1:9" x14ac:dyDescent="0.25">
      <c r="A2684" t="str">
        <f t="shared" si="55"/>
        <v>89301000</v>
      </c>
      <c r="B2684" t="str">
        <f>"2307120387"</f>
        <v>2307120387</v>
      </c>
      <c r="C2684" s="1">
        <v>45119</v>
      </c>
      <c r="D2684" s="1">
        <v>45121</v>
      </c>
      <c r="E2684">
        <v>1</v>
      </c>
      <c r="F2684" t="str">
        <f t="shared" si="56"/>
        <v>15-K05-04</v>
      </c>
      <c r="G2684">
        <v>0.27139999999999997</v>
      </c>
      <c r="H2684" t="s">
        <v>13</v>
      </c>
      <c r="I2684" t="s">
        <v>10</v>
      </c>
    </row>
    <row r="2685" spans="1:9" x14ac:dyDescent="0.25">
      <c r="A2685" t="str">
        <f t="shared" si="55"/>
        <v>89301000</v>
      </c>
      <c r="B2685" t="str">
        <f>"2307120398"</f>
        <v>2307120398</v>
      </c>
      <c r="C2685" s="1">
        <v>45119</v>
      </c>
      <c r="D2685" s="1">
        <v>45122</v>
      </c>
      <c r="E2685">
        <v>1</v>
      </c>
      <c r="F2685" t="str">
        <f t="shared" si="56"/>
        <v>15-K05-04</v>
      </c>
      <c r="G2685">
        <v>0.27139999999999997</v>
      </c>
      <c r="H2685" t="s">
        <v>13</v>
      </c>
      <c r="I2685" t="s">
        <v>10</v>
      </c>
    </row>
    <row r="2686" spans="1:9" x14ac:dyDescent="0.25">
      <c r="A2686" t="str">
        <f t="shared" si="55"/>
        <v>89301000</v>
      </c>
      <c r="B2686" t="str">
        <f>"2307130012"</f>
        <v>2307130012</v>
      </c>
      <c r="C2686" s="1">
        <v>45120</v>
      </c>
      <c r="D2686" s="1">
        <v>45123</v>
      </c>
      <c r="E2686">
        <v>1</v>
      </c>
      <c r="F2686" t="str">
        <f t="shared" si="56"/>
        <v>15-K05-04</v>
      </c>
      <c r="G2686">
        <v>0.27139999999999997</v>
      </c>
      <c r="H2686" t="s">
        <v>13</v>
      </c>
      <c r="I2686" t="s">
        <v>10</v>
      </c>
    </row>
    <row r="2687" spans="1:9" x14ac:dyDescent="0.25">
      <c r="A2687" t="str">
        <f t="shared" si="55"/>
        <v>89301000</v>
      </c>
      <c r="B2687" t="str">
        <f>"2307130617"</f>
        <v>2307130617</v>
      </c>
      <c r="C2687" s="1">
        <v>45120</v>
      </c>
      <c r="D2687" s="1">
        <v>45122</v>
      </c>
      <c r="E2687">
        <v>1</v>
      </c>
      <c r="F2687" t="str">
        <f t="shared" si="56"/>
        <v>15-K05-04</v>
      </c>
      <c r="G2687">
        <v>0.27139999999999997</v>
      </c>
      <c r="H2687" t="s">
        <v>13</v>
      </c>
      <c r="I2687" t="s">
        <v>10</v>
      </c>
    </row>
    <row r="2688" spans="1:9" x14ac:dyDescent="0.25">
      <c r="A2688" t="str">
        <f t="shared" si="55"/>
        <v>89301000</v>
      </c>
      <c r="B2688" t="str">
        <f>"2307150406"</f>
        <v>2307150406</v>
      </c>
      <c r="C2688" s="1">
        <v>45122</v>
      </c>
      <c r="D2688" s="1">
        <v>45125</v>
      </c>
      <c r="E2688">
        <v>1</v>
      </c>
      <c r="F2688" t="str">
        <f t="shared" si="56"/>
        <v>15-K05-04</v>
      </c>
      <c r="G2688">
        <v>0.27139999999999997</v>
      </c>
      <c r="H2688" t="s">
        <v>13</v>
      </c>
      <c r="I2688" t="s">
        <v>10</v>
      </c>
    </row>
    <row r="2689" spans="1:9" x14ac:dyDescent="0.25">
      <c r="A2689" t="str">
        <f t="shared" si="55"/>
        <v>89301000</v>
      </c>
      <c r="B2689" t="str">
        <f>"2307150417"</f>
        <v>2307150417</v>
      </c>
      <c r="C2689" s="1">
        <v>45122</v>
      </c>
      <c r="D2689" s="1">
        <v>45124</v>
      </c>
      <c r="E2689">
        <v>1</v>
      </c>
      <c r="F2689" t="str">
        <f t="shared" si="56"/>
        <v>15-K05-04</v>
      </c>
      <c r="G2689">
        <v>0.27139999999999997</v>
      </c>
      <c r="H2689" t="s">
        <v>13</v>
      </c>
      <c r="I2689" t="s">
        <v>10</v>
      </c>
    </row>
    <row r="2690" spans="1:9" x14ac:dyDescent="0.25">
      <c r="A2690" t="str">
        <f t="shared" si="55"/>
        <v>89301000</v>
      </c>
      <c r="B2690" t="str">
        <f>"2307170052"</f>
        <v>2307170052</v>
      </c>
      <c r="C2690" s="1">
        <v>45124</v>
      </c>
      <c r="D2690" s="1">
        <v>45131</v>
      </c>
      <c r="E2690">
        <v>1</v>
      </c>
      <c r="F2690" t="str">
        <f>"15-K04-01"</f>
        <v>15-K04-01</v>
      </c>
      <c r="G2690">
        <v>2.1480000000000001</v>
      </c>
      <c r="H2690" t="s">
        <v>18</v>
      </c>
      <c r="I2690" t="s">
        <v>10</v>
      </c>
    </row>
    <row r="2691" spans="1:9" x14ac:dyDescent="0.25">
      <c r="A2691" t="str">
        <f t="shared" si="55"/>
        <v>89301000</v>
      </c>
      <c r="B2691" t="str">
        <f>"2307170690"</f>
        <v>2307170690</v>
      </c>
      <c r="C2691" s="1">
        <v>45124</v>
      </c>
      <c r="D2691" s="1">
        <v>45126</v>
      </c>
      <c r="E2691">
        <v>1</v>
      </c>
      <c r="F2691" t="str">
        <f t="shared" ref="F2691:F2697" si="57">"15-K05-04"</f>
        <v>15-K05-04</v>
      </c>
      <c r="G2691">
        <v>0.27139999999999997</v>
      </c>
      <c r="H2691" t="s">
        <v>13</v>
      </c>
      <c r="I2691" t="s">
        <v>10</v>
      </c>
    </row>
    <row r="2692" spans="1:9" x14ac:dyDescent="0.25">
      <c r="A2692" t="str">
        <f t="shared" si="55"/>
        <v>89301000</v>
      </c>
      <c r="B2692" t="str">
        <f>"2307170745"</f>
        <v>2307170745</v>
      </c>
      <c r="C2692" s="1">
        <v>45124</v>
      </c>
      <c r="D2692" s="1">
        <v>45127</v>
      </c>
      <c r="E2692">
        <v>1</v>
      </c>
      <c r="F2692" t="str">
        <f t="shared" si="57"/>
        <v>15-K05-04</v>
      </c>
      <c r="G2692">
        <v>0.27139999999999997</v>
      </c>
      <c r="H2692" t="s">
        <v>13</v>
      </c>
      <c r="I2692" t="s">
        <v>10</v>
      </c>
    </row>
    <row r="2693" spans="1:9" x14ac:dyDescent="0.25">
      <c r="A2693" t="str">
        <f t="shared" si="55"/>
        <v>89301000</v>
      </c>
      <c r="B2693" t="str">
        <f>"2307170811"</f>
        <v>2307170811</v>
      </c>
      <c r="C2693" s="1">
        <v>45124</v>
      </c>
      <c r="D2693" s="1">
        <v>45127</v>
      </c>
      <c r="E2693">
        <v>1</v>
      </c>
      <c r="F2693" t="str">
        <f t="shared" si="57"/>
        <v>15-K05-04</v>
      </c>
      <c r="G2693">
        <v>0.27139999999999997</v>
      </c>
      <c r="H2693" t="s">
        <v>13</v>
      </c>
      <c r="I2693" t="s">
        <v>10</v>
      </c>
    </row>
    <row r="2694" spans="1:9" x14ac:dyDescent="0.25">
      <c r="A2694" t="str">
        <f t="shared" si="55"/>
        <v>89301000</v>
      </c>
      <c r="B2694" t="str">
        <f>"2307170822"</f>
        <v>2307170822</v>
      </c>
      <c r="C2694" s="1">
        <v>45124</v>
      </c>
      <c r="D2694" s="1">
        <v>45127</v>
      </c>
      <c r="E2694">
        <v>1</v>
      </c>
      <c r="F2694" t="str">
        <f t="shared" si="57"/>
        <v>15-K05-04</v>
      </c>
      <c r="G2694">
        <v>0.27139999999999997</v>
      </c>
      <c r="H2694" t="s">
        <v>13</v>
      </c>
      <c r="I2694" t="s">
        <v>10</v>
      </c>
    </row>
    <row r="2695" spans="1:9" x14ac:dyDescent="0.25">
      <c r="A2695" t="str">
        <f t="shared" si="55"/>
        <v>89301000</v>
      </c>
      <c r="B2695" t="str">
        <f>"2307180733"</f>
        <v>2307180733</v>
      </c>
      <c r="C2695" s="1">
        <v>45125</v>
      </c>
      <c r="D2695" s="1">
        <v>45129</v>
      </c>
      <c r="E2695">
        <v>1</v>
      </c>
      <c r="F2695" t="str">
        <f t="shared" si="57"/>
        <v>15-K05-04</v>
      </c>
      <c r="G2695">
        <v>0.27139999999999997</v>
      </c>
      <c r="H2695" t="s">
        <v>13</v>
      </c>
      <c r="I2695" t="s">
        <v>10</v>
      </c>
    </row>
    <row r="2696" spans="1:9" x14ac:dyDescent="0.25">
      <c r="A2696" t="str">
        <f t="shared" si="55"/>
        <v>89301000</v>
      </c>
      <c r="B2696" t="str">
        <f>"2307190699"</f>
        <v>2307190699</v>
      </c>
      <c r="C2696" s="1">
        <v>45126</v>
      </c>
      <c r="D2696" s="1">
        <v>45130</v>
      </c>
      <c r="E2696">
        <v>1</v>
      </c>
      <c r="F2696" t="str">
        <f t="shared" si="57"/>
        <v>15-K05-04</v>
      </c>
      <c r="G2696">
        <v>0.27139999999999997</v>
      </c>
      <c r="H2696" t="s">
        <v>13</v>
      </c>
      <c r="I2696" t="s">
        <v>10</v>
      </c>
    </row>
    <row r="2697" spans="1:9" x14ac:dyDescent="0.25">
      <c r="A2697" t="str">
        <f t="shared" si="55"/>
        <v>89301000</v>
      </c>
      <c r="B2697" t="str">
        <f>"2307210741"</f>
        <v>2307210741</v>
      </c>
      <c r="C2697" s="1">
        <v>45128</v>
      </c>
      <c r="D2697" s="1">
        <v>45132</v>
      </c>
      <c r="E2697">
        <v>1</v>
      </c>
      <c r="F2697" t="str">
        <f t="shared" si="57"/>
        <v>15-K05-04</v>
      </c>
      <c r="G2697">
        <v>0.27139999999999997</v>
      </c>
      <c r="H2697" t="s">
        <v>13</v>
      </c>
      <c r="I2697" t="s">
        <v>10</v>
      </c>
    </row>
    <row r="2698" spans="1:9" x14ac:dyDescent="0.25">
      <c r="A2698" t="str">
        <f t="shared" si="55"/>
        <v>89301000</v>
      </c>
      <c r="B2698" t="str">
        <f>"2307230354"</f>
        <v>2307230354</v>
      </c>
      <c r="C2698" s="1">
        <v>45130</v>
      </c>
      <c r="D2698" s="1">
        <v>45264</v>
      </c>
      <c r="E2698">
        <v>1</v>
      </c>
      <c r="F2698" t="str">
        <f>"15-I03-01"</f>
        <v>15-I03-01</v>
      </c>
      <c r="G2698">
        <v>39.128799999999998</v>
      </c>
      <c r="H2698" t="s">
        <v>17</v>
      </c>
      <c r="I2698" t="s">
        <v>10</v>
      </c>
    </row>
    <row r="2699" spans="1:9" x14ac:dyDescent="0.25">
      <c r="A2699" t="str">
        <f t="shared" si="55"/>
        <v>89301000</v>
      </c>
      <c r="B2699" t="str">
        <f>"2307230354"</f>
        <v>2307230354</v>
      </c>
      <c r="C2699" s="1">
        <v>45278</v>
      </c>
      <c r="D2699" s="1">
        <v>45281</v>
      </c>
      <c r="E2699">
        <v>1</v>
      </c>
      <c r="F2699" t="str">
        <f>"04-K02-03"</f>
        <v>04-K02-03</v>
      </c>
      <c r="G2699">
        <v>1.298</v>
      </c>
      <c r="H2699" t="s">
        <v>11</v>
      </c>
      <c r="I2699" t="s">
        <v>10</v>
      </c>
    </row>
    <row r="2700" spans="1:9" x14ac:dyDescent="0.25">
      <c r="A2700" t="str">
        <f t="shared" si="55"/>
        <v>89301000</v>
      </c>
      <c r="B2700" t="str">
        <f>"2307230431"</f>
        <v>2307230431</v>
      </c>
      <c r="C2700" s="1">
        <v>45130</v>
      </c>
      <c r="D2700" s="1">
        <v>45150</v>
      </c>
      <c r="E2700">
        <v>1</v>
      </c>
      <c r="F2700" t="str">
        <f>"15-K04-01"</f>
        <v>15-K04-01</v>
      </c>
      <c r="G2700">
        <v>2.1480000000000001</v>
      </c>
      <c r="H2700" t="s">
        <v>18</v>
      </c>
      <c r="I2700" t="s">
        <v>10</v>
      </c>
    </row>
    <row r="2701" spans="1:9" x14ac:dyDescent="0.25">
      <c r="A2701" t="str">
        <f t="shared" si="55"/>
        <v>89301000</v>
      </c>
      <c r="B2701" t="str">
        <f>"2307240078"</f>
        <v>2307240078</v>
      </c>
      <c r="C2701" s="1">
        <v>45131</v>
      </c>
      <c r="D2701" s="1">
        <v>45134</v>
      </c>
      <c r="E2701">
        <v>1</v>
      </c>
      <c r="F2701" t="str">
        <f>"15-K05-04"</f>
        <v>15-K05-04</v>
      </c>
      <c r="G2701">
        <v>0.27139999999999997</v>
      </c>
      <c r="H2701" t="s">
        <v>13</v>
      </c>
      <c r="I2701" t="s">
        <v>10</v>
      </c>
    </row>
    <row r="2702" spans="1:9" x14ac:dyDescent="0.25">
      <c r="A2702" t="str">
        <f t="shared" si="55"/>
        <v>89301000</v>
      </c>
      <c r="B2702" t="str">
        <f>"2307240089"</f>
        <v>2307240089</v>
      </c>
      <c r="C2702" s="1">
        <v>45131</v>
      </c>
      <c r="D2702" s="1">
        <v>45134</v>
      </c>
      <c r="E2702">
        <v>1</v>
      </c>
      <c r="F2702" t="str">
        <f>"15-K05-04"</f>
        <v>15-K05-04</v>
      </c>
      <c r="G2702">
        <v>0.27139999999999997</v>
      </c>
      <c r="H2702" t="s">
        <v>13</v>
      </c>
      <c r="I2702" t="s">
        <v>10</v>
      </c>
    </row>
    <row r="2703" spans="1:9" x14ac:dyDescent="0.25">
      <c r="A2703" t="str">
        <f t="shared" si="55"/>
        <v>89301000</v>
      </c>
      <c r="B2703" t="str">
        <f>"2307240584"</f>
        <v>2307240584</v>
      </c>
      <c r="C2703" s="1">
        <v>45131</v>
      </c>
      <c r="D2703" s="1">
        <v>45135</v>
      </c>
      <c r="E2703">
        <v>1</v>
      </c>
      <c r="F2703" t="str">
        <f>"15-K05-02"</f>
        <v>15-K05-02</v>
      </c>
      <c r="G2703">
        <v>0.53290000000000004</v>
      </c>
      <c r="H2703" t="s">
        <v>13</v>
      </c>
      <c r="I2703" t="s">
        <v>10</v>
      </c>
    </row>
    <row r="2704" spans="1:9" x14ac:dyDescent="0.25">
      <c r="A2704" t="str">
        <f t="shared" si="55"/>
        <v>89301000</v>
      </c>
      <c r="B2704" t="str">
        <f>"2307240606"</f>
        <v>2307240606</v>
      </c>
      <c r="C2704" s="1">
        <v>45131</v>
      </c>
      <c r="D2704" s="1">
        <v>45134</v>
      </c>
      <c r="E2704">
        <v>1</v>
      </c>
      <c r="F2704" t="str">
        <f>"15-K05-04"</f>
        <v>15-K05-04</v>
      </c>
      <c r="G2704">
        <v>0.27139999999999997</v>
      </c>
      <c r="H2704" t="s">
        <v>13</v>
      </c>
      <c r="I2704" t="s">
        <v>10</v>
      </c>
    </row>
    <row r="2705" spans="1:9" x14ac:dyDescent="0.25">
      <c r="A2705" t="str">
        <f t="shared" si="55"/>
        <v>89301000</v>
      </c>
      <c r="B2705" t="str">
        <f>"2307260714"</f>
        <v>2307260714</v>
      </c>
      <c r="C2705" s="1">
        <v>45133</v>
      </c>
      <c r="D2705" s="1">
        <v>45137</v>
      </c>
      <c r="E2705">
        <v>1</v>
      </c>
      <c r="F2705" t="str">
        <f>"15-K05-04"</f>
        <v>15-K05-04</v>
      </c>
      <c r="G2705">
        <v>0.27139999999999997</v>
      </c>
      <c r="H2705" t="s">
        <v>13</v>
      </c>
      <c r="I2705" t="s">
        <v>10</v>
      </c>
    </row>
    <row r="2706" spans="1:9" x14ac:dyDescent="0.25">
      <c r="A2706" t="str">
        <f t="shared" si="55"/>
        <v>89301000</v>
      </c>
      <c r="B2706" t="str">
        <f>"2307260747"</f>
        <v>2307260747</v>
      </c>
      <c r="C2706" s="1">
        <v>45133</v>
      </c>
      <c r="D2706" s="1">
        <v>45138</v>
      </c>
      <c r="E2706">
        <v>1</v>
      </c>
      <c r="F2706" t="str">
        <f>"15-K05-04"</f>
        <v>15-K05-04</v>
      </c>
      <c r="G2706">
        <v>0.27139999999999997</v>
      </c>
      <c r="H2706" t="s">
        <v>13</v>
      </c>
      <c r="I2706" t="s">
        <v>10</v>
      </c>
    </row>
    <row r="2707" spans="1:9" x14ac:dyDescent="0.25">
      <c r="A2707" t="str">
        <f t="shared" si="55"/>
        <v>89301000</v>
      </c>
      <c r="B2707" t="str">
        <f>"2307270647"</f>
        <v>2307270647</v>
      </c>
      <c r="C2707" s="1">
        <v>45134</v>
      </c>
      <c r="D2707" s="1">
        <v>45149</v>
      </c>
      <c r="E2707">
        <v>1</v>
      </c>
      <c r="F2707" t="str">
        <f>"15-M01-05"</f>
        <v>15-M01-05</v>
      </c>
      <c r="G2707">
        <v>4.4471999999999996</v>
      </c>
      <c r="H2707" t="s">
        <v>17</v>
      </c>
      <c r="I2707" t="s">
        <v>10</v>
      </c>
    </row>
    <row r="2708" spans="1:9" x14ac:dyDescent="0.25">
      <c r="A2708" t="str">
        <f t="shared" si="55"/>
        <v>89301000</v>
      </c>
      <c r="B2708" t="str">
        <f>"2307280063"</f>
        <v>2307280063</v>
      </c>
      <c r="C2708" s="1">
        <v>45135</v>
      </c>
      <c r="D2708" s="1">
        <v>45138</v>
      </c>
      <c r="E2708">
        <v>1</v>
      </c>
      <c r="F2708" t="str">
        <f>"15-K05-04"</f>
        <v>15-K05-04</v>
      </c>
      <c r="G2708">
        <v>0.27139999999999997</v>
      </c>
      <c r="H2708" t="s">
        <v>13</v>
      </c>
      <c r="I2708" t="s">
        <v>10</v>
      </c>
    </row>
    <row r="2709" spans="1:9" x14ac:dyDescent="0.25">
      <c r="A2709" t="str">
        <f t="shared" si="55"/>
        <v>89301000</v>
      </c>
      <c r="B2709" t="str">
        <f>"2307280074"</f>
        <v>2307280074</v>
      </c>
      <c r="C2709" s="1">
        <v>45135</v>
      </c>
      <c r="D2709" s="1">
        <v>45138</v>
      </c>
      <c r="E2709">
        <v>1</v>
      </c>
      <c r="F2709" t="str">
        <f>"15-K05-04"</f>
        <v>15-K05-04</v>
      </c>
      <c r="G2709">
        <v>0.27139999999999997</v>
      </c>
      <c r="H2709" t="s">
        <v>13</v>
      </c>
      <c r="I2709" t="s">
        <v>10</v>
      </c>
    </row>
    <row r="2710" spans="1:9" x14ac:dyDescent="0.25">
      <c r="A2710" t="str">
        <f t="shared" si="55"/>
        <v>89301000</v>
      </c>
      <c r="B2710" t="str">
        <f>"2307280525"</f>
        <v>2307280525</v>
      </c>
      <c r="C2710" s="1">
        <v>45135</v>
      </c>
      <c r="D2710" s="1">
        <v>45139</v>
      </c>
      <c r="E2710">
        <v>1</v>
      </c>
      <c r="F2710" t="str">
        <f>"15-K05-04"</f>
        <v>15-K05-04</v>
      </c>
      <c r="G2710">
        <v>0.27139999999999997</v>
      </c>
      <c r="H2710" t="s">
        <v>13</v>
      </c>
      <c r="I2710" t="s">
        <v>10</v>
      </c>
    </row>
    <row r="2711" spans="1:9" x14ac:dyDescent="0.25">
      <c r="A2711" t="str">
        <f t="shared" si="55"/>
        <v>89301000</v>
      </c>
      <c r="B2711" t="str">
        <f>"2307290348"</f>
        <v>2307290348</v>
      </c>
      <c r="C2711" s="1">
        <v>45136</v>
      </c>
      <c r="D2711" s="1">
        <v>45139</v>
      </c>
      <c r="E2711">
        <v>1</v>
      </c>
      <c r="F2711" t="str">
        <f>"15-K05-04"</f>
        <v>15-K05-04</v>
      </c>
      <c r="G2711">
        <v>0.27139999999999997</v>
      </c>
      <c r="H2711" t="s">
        <v>13</v>
      </c>
      <c r="I2711" t="s">
        <v>10</v>
      </c>
    </row>
    <row r="2712" spans="1:9" x14ac:dyDescent="0.25">
      <c r="A2712" t="str">
        <f t="shared" si="55"/>
        <v>89301000</v>
      </c>
      <c r="B2712" t="str">
        <f>"2307300358"</f>
        <v>2307300358</v>
      </c>
      <c r="C2712" s="1">
        <v>45137</v>
      </c>
      <c r="D2712" s="1">
        <v>45139</v>
      </c>
      <c r="E2712">
        <v>1</v>
      </c>
      <c r="F2712" t="str">
        <f>"15-K05-04"</f>
        <v>15-K05-04</v>
      </c>
      <c r="G2712">
        <v>0.27139999999999997</v>
      </c>
      <c r="H2712" t="s">
        <v>13</v>
      </c>
      <c r="I2712" t="s">
        <v>10</v>
      </c>
    </row>
    <row r="2713" spans="1:9" x14ac:dyDescent="0.25">
      <c r="A2713" t="str">
        <f t="shared" si="55"/>
        <v>89301000</v>
      </c>
      <c r="B2713" t="str">
        <f>"2307310038"</f>
        <v>2307310038</v>
      </c>
      <c r="C2713" s="1">
        <v>45138</v>
      </c>
      <c r="D2713" s="1">
        <v>45142</v>
      </c>
      <c r="E2713">
        <v>1</v>
      </c>
      <c r="F2713" t="str">
        <f>"15-K04-02"</f>
        <v>15-K04-02</v>
      </c>
      <c r="G2713">
        <v>1.0172000000000001</v>
      </c>
      <c r="H2713" t="s">
        <v>18</v>
      </c>
      <c r="I2713" t="s">
        <v>10</v>
      </c>
    </row>
    <row r="2714" spans="1:9" x14ac:dyDescent="0.25">
      <c r="A2714" t="str">
        <f t="shared" si="55"/>
        <v>89301000</v>
      </c>
      <c r="B2714" t="str">
        <f>"2307310643"</f>
        <v>2307310643</v>
      </c>
      <c r="C2714" s="1">
        <v>45254</v>
      </c>
      <c r="D2714" s="1">
        <v>45256</v>
      </c>
      <c r="E2714">
        <v>1</v>
      </c>
      <c r="F2714" t="str">
        <f>"03-K02-03"</f>
        <v>03-K02-03</v>
      </c>
      <c r="G2714">
        <v>0.33960000000000001</v>
      </c>
      <c r="H2714" t="s">
        <v>11</v>
      </c>
      <c r="I2714" t="s">
        <v>10</v>
      </c>
    </row>
    <row r="2715" spans="1:9" x14ac:dyDescent="0.25">
      <c r="A2715" t="str">
        <f t="shared" si="55"/>
        <v>89301000</v>
      </c>
      <c r="B2715" t="str">
        <f>"2307310643"</f>
        <v>2307310643</v>
      </c>
      <c r="C2715" s="1">
        <v>45138</v>
      </c>
      <c r="D2715" s="1">
        <v>45150</v>
      </c>
      <c r="E2715">
        <v>1</v>
      </c>
      <c r="F2715" t="str">
        <f>"15-K05-02"</f>
        <v>15-K05-02</v>
      </c>
      <c r="G2715">
        <v>0.62429999999999997</v>
      </c>
      <c r="H2715" t="s">
        <v>13</v>
      </c>
      <c r="I2715" t="s">
        <v>10</v>
      </c>
    </row>
    <row r="2716" spans="1:9" x14ac:dyDescent="0.25">
      <c r="A2716" t="str">
        <f t="shared" si="55"/>
        <v>89301000</v>
      </c>
      <c r="B2716" t="str">
        <f>"2307310643"</f>
        <v>2307310643</v>
      </c>
      <c r="C2716" s="1">
        <v>45166</v>
      </c>
      <c r="D2716" s="1">
        <v>45175</v>
      </c>
      <c r="E2716">
        <v>1</v>
      </c>
      <c r="F2716" t="str">
        <f>"15-K06-03"</f>
        <v>15-K06-03</v>
      </c>
      <c r="G2716">
        <v>0.70520000000000005</v>
      </c>
      <c r="H2716" t="s">
        <v>13</v>
      </c>
      <c r="I2716" t="s">
        <v>10</v>
      </c>
    </row>
    <row r="2717" spans="1:9" x14ac:dyDescent="0.25">
      <c r="A2717" t="str">
        <f t="shared" si="55"/>
        <v>89301000</v>
      </c>
      <c r="B2717" t="str">
        <f>"2308010650"</f>
        <v>2308010650</v>
      </c>
      <c r="C2717" s="1">
        <v>45139</v>
      </c>
      <c r="D2717" s="1">
        <v>45141</v>
      </c>
      <c r="E2717">
        <v>1</v>
      </c>
      <c r="F2717" t="str">
        <f>"15-K05-04"</f>
        <v>15-K05-04</v>
      </c>
      <c r="G2717">
        <v>0.27139999999999997</v>
      </c>
      <c r="H2717" t="s">
        <v>13</v>
      </c>
      <c r="I2717" t="s">
        <v>10</v>
      </c>
    </row>
    <row r="2718" spans="1:9" x14ac:dyDescent="0.25">
      <c r="A2718" t="str">
        <f t="shared" si="55"/>
        <v>89301000</v>
      </c>
      <c r="B2718" t="str">
        <f>"2308010661"</f>
        <v>2308010661</v>
      </c>
      <c r="C2718" s="1">
        <v>45139</v>
      </c>
      <c r="D2718" s="1">
        <v>45142</v>
      </c>
      <c r="E2718">
        <v>1</v>
      </c>
      <c r="F2718" t="str">
        <f>"15-K05-04"</f>
        <v>15-K05-04</v>
      </c>
      <c r="G2718">
        <v>0.27139999999999997</v>
      </c>
      <c r="H2718" t="s">
        <v>13</v>
      </c>
      <c r="I2718" t="s">
        <v>10</v>
      </c>
    </row>
    <row r="2719" spans="1:9" x14ac:dyDescent="0.25">
      <c r="A2719" t="str">
        <f t="shared" si="55"/>
        <v>89301000</v>
      </c>
      <c r="B2719" t="str">
        <f>"2308030659"</f>
        <v>2308030659</v>
      </c>
      <c r="C2719" s="1">
        <v>45141</v>
      </c>
      <c r="D2719" s="1">
        <v>45144</v>
      </c>
      <c r="E2719">
        <v>1</v>
      </c>
      <c r="F2719" t="str">
        <f>"15-K05-04"</f>
        <v>15-K05-04</v>
      </c>
      <c r="G2719">
        <v>0.27139999999999997</v>
      </c>
      <c r="H2719" t="s">
        <v>13</v>
      </c>
      <c r="I2719" t="s">
        <v>10</v>
      </c>
    </row>
    <row r="2720" spans="1:9" x14ac:dyDescent="0.25">
      <c r="A2720" t="str">
        <f t="shared" si="55"/>
        <v>89301000</v>
      </c>
      <c r="B2720" t="str">
        <f>"2308030659"</f>
        <v>2308030659</v>
      </c>
      <c r="C2720" s="1">
        <v>45153</v>
      </c>
      <c r="D2720" s="1">
        <v>45156</v>
      </c>
      <c r="E2720">
        <v>1</v>
      </c>
      <c r="F2720" t="str">
        <f>"15-K06-04"</f>
        <v>15-K06-04</v>
      </c>
      <c r="G2720">
        <v>0.55400000000000005</v>
      </c>
      <c r="H2720" t="s">
        <v>13</v>
      </c>
      <c r="I2720" t="s">
        <v>10</v>
      </c>
    </row>
    <row r="2721" spans="1:9" x14ac:dyDescent="0.25">
      <c r="A2721" t="str">
        <f t="shared" si="55"/>
        <v>89301000</v>
      </c>
      <c r="B2721" t="str">
        <f>"2308040779"</f>
        <v>2308040779</v>
      </c>
      <c r="C2721" s="1">
        <v>45142</v>
      </c>
      <c r="D2721" s="1">
        <v>45144</v>
      </c>
      <c r="E2721">
        <v>1</v>
      </c>
      <c r="F2721" t="str">
        <f>"15-K05-04"</f>
        <v>15-K05-04</v>
      </c>
      <c r="G2721">
        <v>0.27139999999999997</v>
      </c>
      <c r="H2721" t="s">
        <v>13</v>
      </c>
      <c r="I2721" t="s">
        <v>10</v>
      </c>
    </row>
    <row r="2722" spans="1:9" x14ac:dyDescent="0.25">
      <c r="A2722" t="str">
        <f t="shared" si="55"/>
        <v>89301000</v>
      </c>
      <c r="B2722" t="str">
        <f>"2308080082"</f>
        <v>2308080082</v>
      </c>
      <c r="C2722" s="1">
        <v>45146</v>
      </c>
      <c r="D2722" s="1">
        <v>45148</v>
      </c>
      <c r="E2722">
        <v>1</v>
      </c>
      <c r="F2722" t="str">
        <f>"15-K05-04"</f>
        <v>15-K05-04</v>
      </c>
      <c r="G2722">
        <v>0.27139999999999997</v>
      </c>
      <c r="H2722" t="s">
        <v>13</v>
      </c>
      <c r="I2722" t="s">
        <v>10</v>
      </c>
    </row>
    <row r="2723" spans="1:9" x14ac:dyDescent="0.25">
      <c r="A2723" t="str">
        <f t="shared" si="55"/>
        <v>89301000</v>
      </c>
      <c r="B2723" t="str">
        <f>"2308080093"</f>
        <v>2308080093</v>
      </c>
      <c r="C2723" s="1">
        <v>45146</v>
      </c>
      <c r="D2723" s="1">
        <v>45150</v>
      </c>
      <c r="E2723">
        <v>1</v>
      </c>
      <c r="F2723" t="str">
        <f>"15-K05-04"</f>
        <v>15-K05-04</v>
      </c>
      <c r="G2723">
        <v>0.27139999999999997</v>
      </c>
      <c r="H2723" t="s">
        <v>13</v>
      </c>
      <c r="I2723" t="s">
        <v>10</v>
      </c>
    </row>
    <row r="2724" spans="1:9" x14ac:dyDescent="0.25">
      <c r="A2724" t="str">
        <f t="shared" si="55"/>
        <v>89301000</v>
      </c>
      <c r="B2724" t="str">
        <f>"2308080423"</f>
        <v>2308080423</v>
      </c>
      <c r="C2724" s="1">
        <v>45196</v>
      </c>
      <c r="D2724" s="1">
        <v>45203</v>
      </c>
      <c r="E2724">
        <v>1</v>
      </c>
      <c r="F2724" t="str">
        <f>"07-K11-02"</f>
        <v>07-K11-02</v>
      </c>
      <c r="G2724">
        <v>0.64419999999999999</v>
      </c>
      <c r="H2724" t="s">
        <v>11</v>
      </c>
      <c r="I2724" t="s">
        <v>10</v>
      </c>
    </row>
    <row r="2725" spans="1:9" x14ac:dyDescent="0.25">
      <c r="A2725" t="str">
        <f t="shared" si="55"/>
        <v>89301000</v>
      </c>
      <c r="B2725" t="str">
        <f>"2308080698"</f>
        <v>2308080698</v>
      </c>
      <c r="C2725" s="1">
        <v>45146</v>
      </c>
      <c r="D2725" s="1">
        <v>45149</v>
      </c>
      <c r="E2725">
        <v>1</v>
      </c>
      <c r="F2725" t="str">
        <f>"15-K05-04"</f>
        <v>15-K05-04</v>
      </c>
      <c r="G2725">
        <v>0.27139999999999997</v>
      </c>
      <c r="H2725" t="s">
        <v>13</v>
      </c>
      <c r="I2725" t="s">
        <v>10</v>
      </c>
    </row>
    <row r="2726" spans="1:9" x14ac:dyDescent="0.25">
      <c r="A2726" t="str">
        <f t="shared" si="55"/>
        <v>89301000</v>
      </c>
      <c r="B2726" t="str">
        <f>"2308090708"</f>
        <v>2308090708</v>
      </c>
      <c r="C2726" s="1">
        <v>45147</v>
      </c>
      <c r="D2726" s="1">
        <v>45149</v>
      </c>
      <c r="E2726">
        <v>1</v>
      </c>
      <c r="F2726" t="str">
        <f>"15-K05-04"</f>
        <v>15-K05-04</v>
      </c>
      <c r="G2726">
        <v>0.27139999999999997</v>
      </c>
      <c r="H2726" t="s">
        <v>13</v>
      </c>
      <c r="I2726" t="s">
        <v>10</v>
      </c>
    </row>
    <row r="2727" spans="1:9" x14ac:dyDescent="0.25">
      <c r="A2727" t="str">
        <f t="shared" si="55"/>
        <v>89301000</v>
      </c>
      <c r="B2727" t="str">
        <f>"2308110079"</f>
        <v>2308110079</v>
      </c>
      <c r="C2727" s="1">
        <v>45149</v>
      </c>
      <c r="D2727" s="1">
        <v>45161</v>
      </c>
      <c r="E2727">
        <v>1</v>
      </c>
      <c r="F2727" t="str">
        <f>"15-K04-01"</f>
        <v>15-K04-01</v>
      </c>
      <c r="G2727">
        <v>2.1480000000000001</v>
      </c>
      <c r="H2727" t="s">
        <v>18</v>
      </c>
      <c r="I2727" t="s">
        <v>10</v>
      </c>
    </row>
    <row r="2728" spans="1:9" x14ac:dyDescent="0.25">
      <c r="A2728" t="str">
        <f t="shared" si="55"/>
        <v>89301000</v>
      </c>
      <c r="B2728" t="str">
        <f>"2308120221"</f>
        <v>2308120221</v>
      </c>
      <c r="C2728" s="1">
        <v>45150</v>
      </c>
      <c r="D2728" s="1">
        <v>45152</v>
      </c>
      <c r="E2728">
        <v>1</v>
      </c>
      <c r="F2728" t="str">
        <f t="shared" ref="F2728:F2737" si="58">"15-K05-04"</f>
        <v>15-K05-04</v>
      </c>
      <c r="G2728">
        <v>0.27139999999999997</v>
      </c>
      <c r="H2728" t="s">
        <v>13</v>
      </c>
      <c r="I2728" t="s">
        <v>10</v>
      </c>
    </row>
    <row r="2729" spans="1:9" x14ac:dyDescent="0.25">
      <c r="A2729" t="str">
        <f t="shared" si="55"/>
        <v>89301000</v>
      </c>
      <c r="B2729" t="str">
        <f>"2308120254"</f>
        <v>2308120254</v>
      </c>
      <c r="C2729" s="1">
        <v>45150</v>
      </c>
      <c r="D2729" s="1">
        <v>45155</v>
      </c>
      <c r="E2729">
        <v>1</v>
      </c>
      <c r="F2729" t="str">
        <f t="shared" si="58"/>
        <v>15-K05-04</v>
      </c>
      <c r="G2729">
        <v>0.27139999999999997</v>
      </c>
      <c r="H2729" t="s">
        <v>13</v>
      </c>
      <c r="I2729" t="s">
        <v>10</v>
      </c>
    </row>
    <row r="2730" spans="1:9" x14ac:dyDescent="0.25">
      <c r="A2730" t="str">
        <f t="shared" si="55"/>
        <v>89301000</v>
      </c>
      <c r="B2730" t="str">
        <f>"2308130132"</f>
        <v>2308130132</v>
      </c>
      <c r="C2730" s="1">
        <v>45151</v>
      </c>
      <c r="D2730" s="1">
        <v>45154</v>
      </c>
      <c r="E2730">
        <v>1</v>
      </c>
      <c r="F2730" t="str">
        <f t="shared" si="58"/>
        <v>15-K05-04</v>
      </c>
      <c r="G2730">
        <v>0.27139999999999997</v>
      </c>
      <c r="H2730" t="s">
        <v>13</v>
      </c>
      <c r="I2730" t="s">
        <v>10</v>
      </c>
    </row>
    <row r="2731" spans="1:9" x14ac:dyDescent="0.25">
      <c r="A2731" t="str">
        <f t="shared" si="55"/>
        <v>89301000</v>
      </c>
      <c r="B2731" t="str">
        <f>"2308130154"</f>
        <v>2308130154</v>
      </c>
      <c r="C2731" s="1">
        <v>45151</v>
      </c>
      <c r="D2731" s="1">
        <v>45153</v>
      </c>
      <c r="E2731">
        <v>1</v>
      </c>
      <c r="F2731" t="str">
        <f t="shared" si="58"/>
        <v>15-K05-04</v>
      </c>
      <c r="G2731">
        <v>0.27139999999999997</v>
      </c>
      <c r="H2731" t="s">
        <v>13</v>
      </c>
      <c r="I2731" t="s">
        <v>10</v>
      </c>
    </row>
    <row r="2732" spans="1:9" x14ac:dyDescent="0.25">
      <c r="A2732" t="str">
        <f t="shared" si="55"/>
        <v>89301000</v>
      </c>
      <c r="B2732" t="str">
        <f>"2308140505"</f>
        <v>2308140505</v>
      </c>
      <c r="C2732" s="1">
        <v>45152</v>
      </c>
      <c r="D2732" s="1">
        <v>45157</v>
      </c>
      <c r="E2732">
        <v>1</v>
      </c>
      <c r="F2732" t="str">
        <f t="shared" si="58"/>
        <v>15-K05-04</v>
      </c>
      <c r="G2732">
        <v>0.27139999999999997</v>
      </c>
      <c r="H2732" t="s">
        <v>13</v>
      </c>
      <c r="I2732" t="s">
        <v>10</v>
      </c>
    </row>
    <row r="2733" spans="1:9" x14ac:dyDescent="0.25">
      <c r="A2733" t="str">
        <f t="shared" si="55"/>
        <v>89301000</v>
      </c>
      <c r="B2733" t="str">
        <f>"2308150405"</f>
        <v>2308150405</v>
      </c>
      <c r="C2733" s="1">
        <v>45153</v>
      </c>
      <c r="D2733" s="1">
        <v>45156</v>
      </c>
      <c r="E2733">
        <v>1</v>
      </c>
      <c r="F2733" t="str">
        <f t="shared" si="58"/>
        <v>15-K05-04</v>
      </c>
      <c r="G2733">
        <v>0.27139999999999997</v>
      </c>
      <c r="H2733" t="s">
        <v>13</v>
      </c>
      <c r="I2733" t="s">
        <v>10</v>
      </c>
    </row>
    <row r="2734" spans="1:9" x14ac:dyDescent="0.25">
      <c r="A2734" t="str">
        <f t="shared" si="55"/>
        <v>89301000</v>
      </c>
      <c r="B2734" t="str">
        <f>"2308160767"</f>
        <v>2308160767</v>
      </c>
      <c r="C2734" s="1">
        <v>45154</v>
      </c>
      <c r="D2734" s="1">
        <v>45156</v>
      </c>
      <c r="E2734">
        <v>1</v>
      </c>
      <c r="F2734" t="str">
        <f t="shared" si="58"/>
        <v>15-K05-04</v>
      </c>
      <c r="G2734">
        <v>0.27139999999999997</v>
      </c>
      <c r="H2734" t="s">
        <v>13</v>
      </c>
      <c r="I2734" t="s">
        <v>10</v>
      </c>
    </row>
    <row r="2735" spans="1:9" x14ac:dyDescent="0.25">
      <c r="A2735" t="str">
        <f t="shared" si="55"/>
        <v>89301000</v>
      </c>
      <c r="B2735" t="str">
        <f>"2308160778"</f>
        <v>2308160778</v>
      </c>
      <c r="C2735" s="1">
        <v>45154</v>
      </c>
      <c r="D2735" s="1">
        <v>45157</v>
      </c>
      <c r="E2735">
        <v>1</v>
      </c>
      <c r="F2735" t="str">
        <f t="shared" si="58"/>
        <v>15-K05-04</v>
      </c>
      <c r="G2735">
        <v>0.27139999999999997</v>
      </c>
      <c r="H2735" t="s">
        <v>13</v>
      </c>
      <c r="I2735" t="s">
        <v>10</v>
      </c>
    </row>
    <row r="2736" spans="1:9" x14ac:dyDescent="0.25">
      <c r="A2736" t="str">
        <f t="shared" si="55"/>
        <v>89301000</v>
      </c>
      <c r="B2736" t="str">
        <f>"2308170601"</f>
        <v>2308170601</v>
      </c>
      <c r="C2736" s="1">
        <v>45155</v>
      </c>
      <c r="D2736" s="1">
        <v>45158</v>
      </c>
      <c r="E2736">
        <v>1</v>
      </c>
      <c r="F2736" t="str">
        <f t="shared" si="58"/>
        <v>15-K05-04</v>
      </c>
      <c r="G2736">
        <v>0.27139999999999997</v>
      </c>
      <c r="H2736" t="s">
        <v>13</v>
      </c>
      <c r="I2736" t="s">
        <v>10</v>
      </c>
    </row>
    <row r="2737" spans="1:9" x14ac:dyDescent="0.25">
      <c r="A2737" t="str">
        <f t="shared" si="55"/>
        <v>89301000</v>
      </c>
      <c r="B2737" t="str">
        <f>"2308200290"</f>
        <v>2308200290</v>
      </c>
      <c r="C2737" s="1">
        <v>45158</v>
      </c>
      <c r="D2737" s="1">
        <v>45161</v>
      </c>
      <c r="E2737">
        <v>1</v>
      </c>
      <c r="F2737" t="str">
        <f t="shared" si="58"/>
        <v>15-K05-04</v>
      </c>
      <c r="G2737">
        <v>0.27139999999999997</v>
      </c>
      <c r="H2737" t="s">
        <v>13</v>
      </c>
      <c r="I2737" t="s">
        <v>10</v>
      </c>
    </row>
    <row r="2738" spans="1:9" x14ac:dyDescent="0.25">
      <c r="A2738" t="str">
        <f t="shared" si="55"/>
        <v>89301000</v>
      </c>
      <c r="B2738" t="str">
        <f>"2308200290"</f>
        <v>2308200290</v>
      </c>
      <c r="C2738" s="1">
        <v>45210</v>
      </c>
      <c r="D2738" s="1">
        <v>45211</v>
      </c>
      <c r="E2738">
        <v>1</v>
      </c>
      <c r="F2738" t="str">
        <f>"23-K03-02"</f>
        <v>23-K03-02</v>
      </c>
      <c r="G2738">
        <v>0.32540000000000002</v>
      </c>
      <c r="H2738" t="s">
        <v>11</v>
      </c>
      <c r="I2738" t="s">
        <v>10</v>
      </c>
    </row>
    <row r="2739" spans="1:9" x14ac:dyDescent="0.25">
      <c r="A2739" t="str">
        <f t="shared" si="55"/>
        <v>89301000</v>
      </c>
      <c r="B2739" t="str">
        <f>"2308200301"</f>
        <v>2308200301</v>
      </c>
      <c r="C2739" s="1">
        <v>45158</v>
      </c>
      <c r="D2739" s="1">
        <v>45160</v>
      </c>
      <c r="E2739">
        <v>1</v>
      </c>
      <c r="F2739" t="str">
        <f>"15-K05-04"</f>
        <v>15-K05-04</v>
      </c>
      <c r="G2739">
        <v>0.27139999999999997</v>
      </c>
      <c r="H2739" t="s">
        <v>13</v>
      </c>
      <c r="I2739" t="s">
        <v>10</v>
      </c>
    </row>
    <row r="2740" spans="1:9" x14ac:dyDescent="0.25">
      <c r="A2740" t="str">
        <f t="shared" si="55"/>
        <v>89301000</v>
      </c>
      <c r="B2740" t="str">
        <f>"2308200323"</f>
        <v>2308200323</v>
      </c>
      <c r="C2740" s="1">
        <v>45158</v>
      </c>
      <c r="D2740" s="1">
        <v>45161</v>
      </c>
      <c r="E2740">
        <v>1</v>
      </c>
      <c r="F2740" t="str">
        <f>"15-K05-02"</f>
        <v>15-K05-02</v>
      </c>
      <c r="G2740">
        <v>0.53290000000000004</v>
      </c>
      <c r="H2740" t="s">
        <v>13</v>
      </c>
      <c r="I2740" t="s">
        <v>10</v>
      </c>
    </row>
    <row r="2741" spans="1:9" x14ac:dyDescent="0.25">
      <c r="A2741" t="str">
        <f t="shared" si="55"/>
        <v>89301000</v>
      </c>
      <c r="B2741" t="str">
        <f>"2308210014"</f>
        <v>2308210014</v>
      </c>
      <c r="C2741" s="1">
        <v>45159</v>
      </c>
      <c r="D2741" s="1">
        <v>45162</v>
      </c>
      <c r="E2741">
        <v>1</v>
      </c>
      <c r="F2741" t="str">
        <f>"15-K04-04"</f>
        <v>15-K04-04</v>
      </c>
      <c r="G2741">
        <v>0.38179999999999997</v>
      </c>
      <c r="H2741" t="s">
        <v>18</v>
      </c>
      <c r="I2741" t="s">
        <v>10</v>
      </c>
    </row>
    <row r="2742" spans="1:9" x14ac:dyDescent="0.25">
      <c r="A2742" t="str">
        <f t="shared" ref="A2742:A2805" si="59">"89301000"</f>
        <v>89301000</v>
      </c>
      <c r="B2742" t="str">
        <f>"2308210608"</f>
        <v>2308210608</v>
      </c>
      <c r="C2742" s="1">
        <v>45159</v>
      </c>
      <c r="D2742" s="1">
        <v>45162</v>
      </c>
      <c r="E2742">
        <v>1</v>
      </c>
      <c r="F2742" t="str">
        <f>"15-K05-04"</f>
        <v>15-K05-04</v>
      </c>
      <c r="G2742">
        <v>0.27139999999999997</v>
      </c>
      <c r="H2742" t="s">
        <v>13</v>
      </c>
      <c r="I2742" t="s">
        <v>10</v>
      </c>
    </row>
    <row r="2743" spans="1:9" x14ac:dyDescent="0.25">
      <c r="A2743" t="str">
        <f t="shared" si="59"/>
        <v>89301000</v>
      </c>
      <c r="B2743" t="str">
        <f>"2308210630"</f>
        <v>2308210630</v>
      </c>
      <c r="C2743" s="1">
        <v>45159</v>
      </c>
      <c r="D2743" s="1">
        <v>45161</v>
      </c>
      <c r="E2743">
        <v>1</v>
      </c>
      <c r="F2743" t="str">
        <f>"15-K05-04"</f>
        <v>15-K05-04</v>
      </c>
      <c r="G2743">
        <v>0.27139999999999997</v>
      </c>
      <c r="H2743" t="s">
        <v>13</v>
      </c>
      <c r="I2743" t="s">
        <v>10</v>
      </c>
    </row>
    <row r="2744" spans="1:9" x14ac:dyDescent="0.25">
      <c r="A2744" t="str">
        <f t="shared" si="59"/>
        <v>89301000</v>
      </c>
      <c r="B2744" t="str">
        <f>"2308210652"</f>
        <v>2308210652</v>
      </c>
      <c r="C2744" s="1">
        <v>45159</v>
      </c>
      <c r="D2744" s="1">
        <v>45162</v>
      </c>
      <c r="E2744">
        <v>1</v>
      </c>
      <c r="F2744" t="str">
        <f>"15-K05-04"</f>
        <v>15-K05-04</v>
      </c>
      <c r="G2744">
        <v>0.27139999999999997</v>
      </c>
      <c r="H2744" t="s">
        <v>13</v>
      </c>
      <c r="I2744" t="s">
        <v>10</v>
      </c>
    </row>
    <row r="2745" spans="1:9" x14ac:dyDescent="0.25">
      <c r="A2745" t="str">
        <f t="shared" si="59"/>
        <v>89301000</v>
      </c>
      <c r="B2745" t="str">
        <f>"2308220673"</f>
        <v>2308220673</v>
      </c>
      <c r="C2745" s="1">
        <v>45160</v>
      </c>
      <c r="D2745" s="1">
        <v>45169</v>
      </c>
      <c r="E2745">
        <v>1</v>
      </c>
      <c r="F2745" t="str">
        <f>"15-I03-05"</f>
        <v>15-I03-05</v>
      </c>
      <c r="G2745">
        <v>5.1215000000000002</v>
      </c>
      <c r="H2745" t="s">
        <v>17</v>
      </c>
      <c r="I2745" t="s">
        <v>10</v>
      </c>
    </row>
    <row r="2746" spans="1:9" x14ac:dyDescent="0.25">
      <c r="A2746" t="str">
        <f t="shared" si="59"/>
        <v>89301000</v>
      </c>
      <c r="B2746" t="str">
        <f>"2308260273"</f>
        <v>2308260273</v>
      </c>
      <c r="C2746" s="1">
        <v>45164</v>
      </c>
      <c r="D2746" s="1">
        <v>45170</v>
      </c>
      <c r="E2746">
        <v>1</v>
      </c>
      <c r="F2746" t="str">
        <f>"15-K05-01"</f>
        <v>15-K05-01</v>
      </c>
      <c r="G2746">
        <v>1.1777</v>
      </c>
      <c r="H2746" t="s">
        <v>13</v>
      </c>
      <c r="I2746" t="s">
        <v>10</v>
      </c>
    </row>
    <row r="2747" spans="1:9" x14ac:dyDescent="0.25">
      <c r="A2747" t="str">
        <f t="shared" si="59"/>
        <v>89301000</v>
      </c>
      <c r="B2747" t="str">
        <f>"2308260295"</f>
        <v>2308260295</v>
      </c>
      <c r="C2747" s="1">
        <v>45164</v>
      </c>
      <c r="D2747" s="1">
        <v>45168</v>
      </c>
      <c r="E2747">
        <v>1</v>
      </c>
      <c r="F2747" t="str">
        <f t="shared" ref="F2747:F2767" si="60">"15-K05-04"</f>
        <v>15-K05-04</v>
      </c>
      <c r="G2747">
        <v>0.27139999999999997</v>
      </c>
      <c r="H2747" t="s">
        <v>13</v>
      </c>
      <c r="I2747" t="s">
        <v>10</v>
      </c>
    </row>
    <row r="2748" spans="1:9" x14ac:dyDescent="0.25">
      <c r="A2748" t="str">
        <f t="shared" si="59"/>
        <v>89301000</v>
      </c>
      <c r="B2748" t="str">
        <f>"2308270217"</f>
        <v>2308270217</v>
      </c>
      <c r="C2748" s="1">
        <v>45165</v>
      </c>
      <c r="D2748" s="1">
        <v>45169</v>
      </c>
      <c r="E2748">
        <v>1</v>
      </c>
      <c r="F2748" t="str">
        <f t="shared" si="60"/>
        <v>15-K05-04</v>
      </c>
      <c r="G2748">
        <v>0.27139999999999997</v>
      </c>
      <c r="H2748" t="s">
        <v>13</v>
      </c>
      <c r="I2748" t="s">
        <v>10</v>
      </c>
    </row>
    <row r="2749" spans="1:9" x14ac:dyDescent="0.25">
      <c r="A2749" t="str">
        <f t="shared" si="59"/>
        <v>89301000</v>
      </c>
      <c r="B2749" t="str">
        <f>"2308270250"</f>
        <v>2308270250</v>
      </c>
      <c r="C2749" s="1">
        <v>45165</v>
      </c>
      <c r="D2749" s="1">
        <v>45168</v>
      </c>
      <c r="E2749">
        <v>1</v>
      </c>
      <c r="F2749" t="str">
        <f t="shared" si="60"/>
        <v>15-K05-04</v>
      </c>
      <c r="G2749">
        <v>0.27139999999999997</v>
      </c>
      <c r="H2749" t="s">
        <v>13</v>
      </c>
      <c r="I2749" t="s">
        <v>10</v>
      </c>
    </row>
    <row r="2750" spans="1:9" x14ac:dyDescent="0.25">
      <c r="A2750" t="str">
        <f t="shared" si="59"/>
        <v>89301000</v>
      </c>
      <c r="B2750" t="str">
        <f>"2308280458"</f>
        <v>2308280458</v>
      </c>
      <c r="C2750" s="1">
        <v>45166</v>
      </c>
      <c r="D2750" s="1">
        <v>45170</v>
      </c>
      <c r="E2750">
        <v>1</v>
      </c>
      <c r="F2750" t="str">
        <f t="shared" si="60"/>
        <v>15-K05-04</v>
      </c>
      <c r="G2750">
        <v>0.27139999999999997</v>
      </c>
      <c r="H2750" t="s">
        <v>13</v>
      </c>
      <c r="I2750" t="s">
        <v>10</v>
      </c>
    </row>
    <row r="2751" spans="1:9" x14ac:dyDescent="0.25">
      <c r="A2751" t="str">
        <f t="shared" si="59"/>
        <v>89301000</v>
      </c>
      <c r="B2751" t="str">
        <f>"2308290534"</f>
        <v>2308290534</v>
      </c>
      <c r="C2751" s="1">
        <v>45167</v>
      </c>
      <c r="D2751" s="1">
        <v>45169</v>
      </c>
      <c r="E2751">
        <v>1</v>
      </c>
      <c r="F2751" t="str">
        <f t="shared" si="60"/>
        <v>15-K05-04</v>
      </c>
      <c r="G2751">
        <v>0.27139999999999997</v>
      </c>
      <c r="H2751" t="s">
        <v>13</v>
      </c>
      <c r="I2751" t="s">
        <v>10</v>
      </c>
    </row>
    <row r="2752" spans="1:9" x14ac:dyDescent="0.25">
      <c r="A2752" t="str">
        <f t="shared" si="59"/>
        <v>89301000</v>
      </c>
      <c r="B2752" t="str">
        <f>"2308300555"</f>
        <v>2308300555</v>
      </c>
      <c r="C2752" s="1">
        <v>45168</v>
      </c>
      <c r="D2752" s="1">
        <v>45170</v>
      </c>
      <c r="E2752">
        <v>1</v>
      </c>
      <c r="F2752" t="str">
        <f t="shared" si="60"/>
        <v>15-K05-04</v>
      </c>
      <c r="G2752">
        <v>0.27139999999999997</v>
      </c>
      <c r="H2752" t="s">
        <v>13</v>
      </c>
      <c r="I2752" t="s">
        <v>10</v>
      </c>
    </row>
    <row r="2753" spans="1:9" x14ac:dyDescent="0.25">
      <c r="A2753" t="str">
        <f t="shared" si="59"/>
        <v>89301000</v>
      </c>
      <c r="B2753" t="str">
        <f>"2309010495"</f>
        <v>2309010495</v>
      </c>
      <c r="C2753" s="1">
        <v>45170</v>
      </c>
      <c r="D2753" s="1">
        <v>45173</v>
      </c>
      <c r="E2753">
        <v>1</v>
      </c>
      <c r="F2753" t="str">
        <f t="shared" si="60"/>
        <v>15-K05-04</v>
      </c>
      <c r="G2753">
        <v>0.27139999999999997</v>
      </c>
      <c r="H2753" t="s">
        <v>13</v>
      </c>
      <c r="I2753" t="s">
        <v>10</v>
      </c>
    </row>
    <row r="2754" spans="1:9" x14ac:dyDescent="0.25">
      <c r="A2754" t="str">
        <f t="shared" si="59"/>
        <v>89301000</v>
      </c>
      <c r="B2754" t="str">
        <f>"2309020263"</f>
        <v>2309020263</v>
      </c>
      <c r="C2754" s="1">
        <v>45171</v>
      </c>
      <c r="D2754" s="1">
        <v>45174</v>
      </c>
      <c r="E2754">
        <v>1</v>
      </c>
      <c r="F2754" t="str">
        <f t="shared" si="60"/>
        <v>15-K05-04</v>
      </c>
      <c r="G2754">
        <v>0.27139999999999997</v>
      </c>
      <c r="H2754" t="s">
        <v>13</v>
      </c>
      <c r="I2754" t="s">
        <v>10</v>
      </c>
    </row>
    <row r="2755" spans="1:9" x14ac:dyDescent="0.25">
      <c r="A2755" t="str">
        <f t="shared" si="59"/>
        <v>89301000</v>
      </c>
      <c r="B2755" t="str">
        <f>"2309020274"</f>
        <v>2309020274</v>
      </c>
      <c r="C2755" s="1">
        <v>45171</v>
      </c>
      <c r="D2755" s="1">
        <v>45172</v>
      </c>
      <c r="E2755">
        <v>1</v>
      </c>
      <c r="F2755" t="str">
        <f t="shared" si="60"/>
        <v>15-K05-04</v>
      </c>
      <c r="G2755">
        <v>0.27139999999999997</v>
      </c>
      <c r="H2755" t="s">
        <v>13</v>
      </c>
      <c r="I2755" t="s">
        <v>10</v>
      </c>
    </row>
    <row r="2756" spans="1:9" x14ac:dyDescent="0.25">
      <c r="A2756" t="str">
        <f t="shared" si="59"/>
        <v>89301000</v>
      </c>
      <c r="B2756" t="str">
        <f>"2309030284"</f>
        <v>2309030284</v>
      </c>
      <c r="C2756" s="1">
        <v>45172</v>
      </c>
      <c r="D2756" s="1">
        <v>45175</v>
      </c>
      <c r="E2756">
        <v>1</v>
      </c>
      <c r="F2756" t="str">
        <f t="shared" si="60"/>
        <v>15-K05-04</v>
      </c>
      <c r="G2756">
        <v>0.27139999999999997</v>
      </c>
      <c r="H2756" t="s">
        <v>13</v>
      </c>
      <c r="I2756" t="s">
        <v>10</v>
      </c>
    </row>
    <row r="2757" spans="1:9" x14ac:dyDescent="0.25">
      <c r="A2757" t="str">
        <f t="shared" si="59"/>
        <v>89301000</v>
      </c>
      <c r="B2757" t="str">
        <f>"2309030317"</f>
        <v>2309030317</v>
      </c>
      <c r="C2757" s="1">
        <v>45172</v>
      </c>
      <c r="D2757" s="1">
        <v>45175</v>
      </c>
      <c r="E2757">
        <v>1</v>
      </c>
      <c r="F2757" t="str">
        <f t="shared" si="60"/>
        <v>15-K05-04</v>
      </c>
      <c r="G2757">
        <v>0.27139999999999997</v>
      </c>
      <c r="H2757" t="s">
        <v>13</v>
      </c>
      <c r="I2757" t="s">
        <v>10</v>
      </c>
    </row>
    <row r="2758" spans="1:9" x14ac:dyDescent="0.25">
      <c r="A2758" t="str">
        <f t="shared" si="59"/>
        <v>89301000</v>
      </c>
      <c r="B2758" t="str">
        <f>"2309050436"</f>
        <v>2309050436</v>
      </c>
      <c r="C2758" s="1">
        <v>45174</v>
      </c>
      <c r="D2758" s="1">
        <v>45177</v>
      </c>
      <c r="E2758">
        <v>1</v>
      </c>
      <c r="F2758" t="str">
        <f t="shared" si="60"/>
        <v>15-K05-04</v>
      </c>
      <c r="G2758">
        <v>0.27139999999999997</v>
      </c>
      <c r="H2758" t="s">
        <v>13</v>
      </c>
      <c r="I2758" t="s">
        <v>10</v>
      </c>
    </row>
    <row r="2759" spans="1:9" x14ac:dyDescent="0.25">
      <c r="A2759" t="str">
        <f t="shared" si="59"/>
        <v>89301000</v>
      </c>
      <c r="B2759" t="str">
        <f>"2309090168"</f>
        <v>2309090168</v>
      </c>
      <c r="C2759" s="1">
        <v>45178</v>
      </c>
      <c r="D2759" s="1">
        <v>45181</v>
      </c>
      <c r="E2759">
        <v>1</v>
      </c>
      <c r="F2759" t="str">
        <f t="shared" si="60"/>
        <v>15-K05-04</v>
      </c>
      <c r="G2759">
        <v>0.27139999999999997</v>
      </c>
      <c r="H2759" t="s">
        <v>13</v>
      </c>
      <c r="I2759" t="s">
        <v>10</v>
      </c>
    </row>
    <row r="2760" spans="1:9" x14ac:dyDescent="0.25">
      <c r="A2760" t="str">
        <f t="shared" si="59"/>
        <v>89301000</v>
      </c>
      <c r="B2760" t="str">
        <f>"2309090179"</f>
        <v>2309090179</v>
      </c>
      <c r="C2760" s="1">
        <v>45178</v>
      </c>
      <c r="D2760" s="1">
        <v>45181</v>
      </c>
      <c r="E2760">
        <v>1</v>
      </c>
      <c r="F2760" t="str">
        <f t="shared" si="60"/>
        <v>15-K05-04</v>
      </c>
      <c r="G2760">
        <v>0.27139999999999997</v>
      </c>
      <c r="H2760" t="s">
        <v>13</v>
      </c>
      <c r="I2760" t="s">
        <v>10</v>
      </c>
    </row>
    <row r="2761" spans="1:9" x14ac:dyDescent="0.25">
      <c r="A2761" t="str">
        <f t="shared" si="59"/>
        <v>89301000</v>
      </c>
      <c r="B2761" t="str">
        <f>"2309090190"</f>
        <v>2309090190</v>
      </c>
      <c r="C2761" s="1">
        <v>45178</v>
      </c>
      <c r="D2761" s="1">
        <v>45181</v>
      </c>
      <c r="E2761">
        <v>1</v>
      </c>
      <c r="F2761" t="str">
        <f t="shared" si="60"/>
        <v>15-K05-04</v>
      </c>
      <c r="G2761">
        <v>0.27139999999999997</v>
      </c>
      <c r="H2761" t="s">
        <v>13</v>
      </c>
      <c r="I2761" t="s">
        <v>10</v>
      </c>
    </row>
    <row r="2762" spans="1:9" x14ac:dyDescent="0.25">
      <c r="A2762" t="str">
        <f t="shared" si="59"/>
        <v>89301000</v>
      </c>
      <c r="B2762" t="str">
        <f>"2309090201"</f>
        <v>2309090201</v>
      </c>
      <c r="C2762" s="1">
        <v>45178</v>
      </c>
      <c r="D2762" s="1">
        <v>45181</v>
      </c>
      <c r="E2762">
        <v>1</v>
      </c>
      <c r="F2762" t="str">
        <f t="shared" si="60"/>
        <v>15-K05-04</v>
      </c>
      <c r="G2762">
        <v>0.27139999999999997</v>
      </c>
      <c r="H2762" t="s">
        <v>13</v>
      </c>
      <c r="I2762" t="s">
        <v>10</v>
      </c>
    </row>
    <row r="2763" spans="1:9" x14ac:dyDescent="0.25">
      <c r="A2763" t="str">
        <f t="shared" si="59"/>
        <v>89301000</v>
      </c>
      <c r="B2763" t="str">
        <f>"2309110507"</f>
        <v>2309110507</v>
      </c>
      <c r="C2763" s="1">
        <v>45180</v>
      </c>
      <c r="D2763" s="1">
        <v>45183</v>
      </c>
      <c r="E2763">
        <v>1</v>
      </c>
      <c r="F2763" t="str">
        <f t="shared" si="60"/>
        <v>15-K05-04</v>
      </c>
      <c r="G2763">
        <v>0.27139999999999997</v>
      </c>
      <c r="H2763" t="s">
        <v>13</v>
      </c>
      <c r="I2763" t="s">
        <v>10</v>
      </c>
    </row>
    <row r="2764" spans="1:9" x14ac:dyDescent="0.25">
      <c r="A2764" t="str">
        <f t="shared" si="59"/>
        <v>89301000</v>
      </c>
      <c r="B2764" t="str">
        <f>"2309110518"</f>
        <v>2309110518</v>
      </c>
      <c r="C2764" s="1">
        <v>45180</v>
      </c>
      <c r="D2764" s="1">
        <v>45184</v>
      </c>
      <c r="E2764">
        <v>1</v>
      </c>
      <c r="F2764" t="str">
        <f t="shared" si="60"/>
        <v>15-K05-04</v>
      </c>
      <c r="G2764">
        <v>0.27139999999999997</v>
      </c>
      <c r="H2764" t="s">
        <v>13</v>
      </c>
      <c r="I2764" t="s">
        <v>10</v>
      </c>
    </row>
    <row r="2765" spans="1:9" x14ac:dyDescent="0.25">
      <c r="A2765" t="str">
        <f t="shared" si="59"/>
        <v>89301000</v>
      </c>
      <c r="B2765" t="str">
        <f>"2309120572"</f>
        <v>2309120572</v>
      </c>
      <c r="C2765" s="1">
        <v>45181</v>
      </c>
      <c r="D2765" s="1">
        <v>45184</v>
      </c>
      <c r="E2765">
        <v>1</v>
      </c>
      <c r="F2765" t="str">
        <f t="shared" si="60"/>
        <v>15-K05-04</v>
      </c>
      <c r="G2765">
        <v>0.27139999999999997</v>
      </c>
      <c r="H2765" t="s">
        <v>13</v>
      </c>
      <c r="I2765" t="s">
        <v>10</v>
      </c>
    </row>
    <row r="2766" spans="1:9" x14ac:dyDescent="0.25">
      <c r="A2766" t="str">
        <f t="shared" si="59"/>
        <v>89301000</v>
      </c>
      <c r="B2766" t="str">
        <f>"2309130626"</f>
        <v>2309130626</v>
      </c>
      <c r="C2766" s="1">
        <v>45182</v>
      </c>
      <c r="D2766" s="1">
        <v>45185</v>
      </c>
      <c r="E2766">
        <v>1</v>
      </c>
      <c r="F2766" t="str">
        <f t="shared" si="60"/>
        <v>15-K05-04</v>
      </c>
      <c r="G2766">
        <v>0.27139999999999997</v>
      </c>
      <c r="H2766" t="s">
        <v>13</v>
      </c>
      <c r="I2766" t="s">
        <v>10</v>
      </c>
    </row>
    <row r="2767" spans="1:9" x14ac:dyDescent="0.25">
      <c r="A2767" t="str">
        <f t="shared" si="59"/>
        <v>89301000</v>
      </c>
      <c r="B2767" t="str">
        <f>"2309150349"</f>
        <v>2309150349</v>
      </c>
      <c r="C2767" s="1">
        <v>45184</v>
      </c>
      <c r="D2767" s="1">
        <v>45188</v>
      </c>
      <c r="E2767">
        <v>1</v>
      </c>
      <c r="F2767" t="str">
        <f t="shared" si="60"/>
        <v>15-K05-04</v>
      </c>
      <c r="G2767">
        <v>0.27139999999999997</v>
      </c>
      <c r="H2767" t="s">
        <v>13</v>
      </c>
      <c r="I2767" t="s">
        <v>10</v>
      </c>
    </row>
    <row r="2768" spans="1:9" x14ac:dyDescent="0.25">
      <c r="A2768" t="str">
        <f t="shared" si="59"/>
        <v>89301000</v>
      </c>
      <c r="B2768" t="str">
        <f>"2309150382"</f>
        <v>2309150382</v>
      </c>
      <c r="C2768" s="1">
        <v>45184</v>
      </c>
      <c r="D2768" s="1">
        <v>45217</v>
      </c>
      <c r="E2768">
        <v>1</v>
      </c>
      <c r="F2768" t="str">
        <f>"15-K03-01"</f>
        <v>15-K03-01</v>
      </c>
      <c r="G2768">
        <v>3.0916000000000001</v>
      </c>
      <c r="H2768" t="s">
        <v>18</v>
      </c>
      <c r="I2768" t="s">
        <v>10</v>
      </c>
    </row>
    <row r="2769" spans="1:9" x14ac:dyDescent="0.25">
      <c r="A2769" t="str">
        <f t="shared" si="59"/>
        <v>89301000</v>
      </c>
      <c r="B2769" t="str">
        <f>"2309150393"</f>
        <v>2309150393</v>
      </c>
      <c r="C2769" s="1">
        <v>45184</v>
      </c>
      <c r="D2769" s="1">
        <v>45188</v>
      </c>
      <c r="E2769">
        <v>1</v>
      </c>
      <c r="F2769" t="str">
        <f>"15-K05-04"</f>
        <v>15-K05-04</v>
      </c>
      <c r="G2769">
        <v>0.27139999999999997</v>
      </c>
      <c r="H2769" t="s">
        <v>13</v>
      </c>
      <c r="I2769" t="s">
        <v>10</v>
      </c>
    </row>
    <row r="2770" spans="1:9" x14ac:dyDescent="0.25">
      <c r="A2770" t="str">
        <f t="shared" si="59"/>
        <v>89301000</v>
      </c>
      <c r="B2770" t="str">
        <f>"2309160271"</f>
        <v>2309160271</v>
      </c>
      <c r="C2770" s="1">
        <v>45185</v>
      </c>
      <c r="D2770" s="1">
        <v>45189</v>
      </c>
      <c r="E2770">
        <v>1</v>
      </c>
      <c r="F2770" t="str">
        <f>"15-K05-04"</f>
        <v>15-K05-04</v>
      </c>
      <c r="G2770">
        <v>0.27139999999999997</v>
      </c>
      <c r="H2770" t="s">
        <v>13</v>
      </c>
      <c r="I2770" t="s">
        <v>10</v>
      </c>
    </row>
    <row r="2771" spans="1:9" x14ac:dyDescent="0.25">
      <c r="A2771" t="str">
        <f t="shared" si="59"/>
        <v>89301000</v>
      </c>
      <c r="B2771" t="str">
        <f>"2309160370"</f>
        <v>2309160370</v>
      </c>
      <c r="C2771" s="1">
        <v>45185</v>
      </c>
      <c r="D2771" s="1">
        <v>45190</v>
      </c>
      <c r="E2771">
        <v>1</v>
      </c>
      <c r="F2771" t="str">
        <f>"15-K05-04"</f>
        <v>15-K05-04</v>
      </c>
      <c r="G2771">
        <v>0.27139999999999997</v>
      </c>
      <c r="H2771" t="s">
        <v>13</v>
      </c>
      <c r="I2771" t="s">
        <v>10</v>
      </c>
    </row>
    <row r="2772" spans="1:9" x14ac:dyDescent="0.25">
      <c r="A2772" t="str">
        <f t="shared" si="59"/>
        <v>89301000</v>
      </c>
      <c r="B2772" t="str">
        <f>"2309190741"</f>
        <v>2309190741</v>
      </c>
      <c r="C2772" s="1">
        <v>45188</v>
      </c>
      <c r="D2772" s="1">
        <v>45190</v>
      </c>
      <c r="E2772">
        <v>1</v>
      </c>
      <c r="F2772" t="str">
        <f>"15-K05-04"</f>
        <v>15-K05-04</v>
      </c>
      <c r="G2772">
        <v>0.27139999999999997</v>
      </c>
      <c r="H2772" t="s">
        <v>13</v>
      </c>
      <c r="I2772" t="s">
        <v>10</v>
      </c>
    </row>
    <row r="2773" spans="1:9" x14ac:dyDescent="0.25">
      <c r="A2773" t="str">
        <f t="shared" si="59"/>
        <v>89301000</v>
      </c>
      <c r="B2773" t="str">
        <f>"2309210618"</f>
        <v>2309210618</v>
      </c>
      <c r="C2773" s="1">
        <v>45190</v>
      </c>
      <c r="D2773" s="1">
        <v>45195</v>
      </c>
      <c r="E2773">
        <v>1</v>
      </c>
      <c r="F2773" t="str">
        <f>"15-K05-02"</f>
        <v>15-K05-02</v>
      </c>
      <c r="G2773">
        <v>0.53290000000000004</v>
      </c>
      <c r="H2773" t="s">
        <v>13</v>
      </c>
      <c r="I2773" t="s">
        <v>10</v>
      </c>
    </row>
    <row r="2774" spans="1:9" x14ac:dyDescent="0.25">
      <c r="A2774" t="str">
        <f t="shared" si="59"/>
        <v>89301000</v>
      </c>
      <c r="B2774" t="str">
        <f>"2309210629"</f>
        <v>2309210629</v>
      </c>
      <c r="C2774" s="1">
        <v>45190</v>
      </c>
      <c r="D2774" s="1">
        <v>45195</v>
      </c>
      <c r="E2774">
        <v>1</v>
      </c>
      <c r="F2774" t="str">
        <f>"15-K05-02"</f>
        <v>15-K05-02</v>
      </c>
      <c r="G2774">
        <v>0.53290000000000004</v>
      </c>
      <c r="H2774" t="s">
        <v>13</v>
      </c>
      <c r="I2774" t="s">
        <v>10</v>
      </c>
    </row>
    <row r="2775" spans="1:9" x14ac:dyDescent="0.25">
      <c r="A2775" t="str">
        <f t="shared" si="59"/>
        <v>89301000</v>
      </c>
      <c r="B2775" t="str">
        <f>"2309210640"</f>
        <v>2309210640</v>
      </c>
      <c r="C2775" s="1">
        <v>45190</v>
      </c>
      <c r="D2775" s="1">
        <v>45194</v>
      </c>
      <c r="E2775">
        <v>1</v>
      </c>
      <c r="F2775" t="str">
        <f>"15-K05-04"</f>
        <v>15-K05-04</v>
      </c>
      <c r="G2775">
        <v>0.27139999999999997</v>
      </c>
      <c r="H2775" t="s">
        <v>13</v>
      </c>
      <c r="I2775" t="s">
        <v>10</v>
      </c>
    </row>
    <row r="2776" spans="1:9" x14ac:dyDescent="0.25">
      <c r="A2776" t="str">
        <f t="shared" si="59"/>
        <v>89301000</v>
      </c>
      <c r="B2776" t="str">
        <f>"2309210673"</f>
        <v>2309210673</v>
      </c>
      <c r="C2776" s="1">
        <v>45190</v>
      </c>
      <c r="D2776" s="1">
        <v>45193</v>
      </c>
      <c r="E2776">
        <v>1</v>
      </c>
      <c r="F2776" t="str">
        <f>"15-K05-04"</f>
        <v>15-K05-04</v>
      </c>
      <c r="G2776">
        <v>0.27139999999999997</v>
      </c>
      <c r="H2776" t="s">
        <v>13</v>
      </c>
      <c r="I2776" t="s">
        <v>10</v>
      </c>
    </row>
    <row r="2777" spans="1:9" x14ac:dyDescent="0.25">
      <c r="A2777" t="str">
        <f t="shared" si="59"/>
        <v>89301000</v>
      </c>
      <c r="B2777" t="str">
        <f>"2309210684"</f>
        <v>2309210684</v>
      </c>
      <c r="C2777" s="1">
        <v>45190</v>
      </c>
      <c r="D2777" s="1">
        <v>45212</v>
      </c>
      <c r="E2777">
        <v>1</v>
      </c>
      <c r="F2777" t="str">
        <f>"15-K06-01"</f>
        <v>15-K06-01</v>
      </c>
      <c r="G2777">
        <v>1.9396</v>
      </c>
      <c r="H2777" t="s">
        <v>13</v>
      </c>
      <c r="I2777" t="s">
        <v>10</v>
      </c>
    </row>
    <row r="2778" spans="1:9" x14ac:dyDescent="0.25">
      <c r="A2778" t="str">
        <f t="shared" si="59"/>
        <v>89301000</v>
      </c>
      <c r="B2778" t="str">
        <f>"2309220606"</f>
        <v>2309220606</v>
      </c>
      <c r="C2778" s="1">
        <v>45251</v>
      </c>
      <c r="D2778" s="1">
        <v>45252</v>
      </c>
      <c r="E2778">
        <v>1</v>
      </c>
      <c r="F2778" t="str">
        <f>"03-K02-03"</f>
        <v>03-K02-03</v>
      </c>
      <c r="G2778">
        <v>0.33960000000000001</v>
      </c>
      <c r="H2778" t="s">
        <v>11</v>
      </c>
      <c r="I2778" t="s">
        <v>10</v>
      </c>
    </row>
    <row r="2779" spans="1:9" x14ac:dyDescent="0.25">
      <c r="A2779" t="str">
        <f t="shared" si="59"/>
        <v>89301000</v>
      </c>
      <c r="B2779" t="str">
        <f>"2309230165"</f>
        <v>2309230165</v>
      </c>
      <c r="C2779" s="1">
        <v>45192</v>
      </c>
      <c r="D2779" s="1">
        <v>45195</v>
      </c>
      <c r="E2779">
        <v>1</v>
      </c>
      <c r="F2779" t="str">
        <f t="shared" ref="F2779:F2784" si="61">"15-K05-04"</f>
        <v>15-K05-04</v>
      </c>
      <c r="G2779">
        <v>0.27139999999999997</v>
      </c>
      <c r="H2779" t="s">
        <v>13</v>
      </c>
      <c r="I2779" t="s">
        <v>10</v>
      </c>
    </row>
    <row r="2780" spans="1:9" x14ac:dyDescent="0.25">
      <c r="A2780" t="str">
        <f t="shared" si="59"/>
        <v>89301000</v>
      </c>
      <c r="B2780" t="str">
        <f>"2309240263"</f>
        <v>2309240263</v>
      </c>
      <c r="C2780" s="1">
        <v>45193</v>
      </c>
      <c r="D2780" s="1">
        <v>45199</v>
      </c>
      <c r="E2780">
        <v>1</v>
      </c>
      <c r="F2780" t="str">
        <f t="shared" si="61"/>
        <v>15-K05-04</v>
      </c>
      <c r="G2780">
        <v>0.30399999999999999</v>
      </c>
      <c r="H2780" t="s">
        <v>13</v>
      </c>
      <c r="I2780" t="s">
        <v>10</v>
      </c>
    </row>
    <row r="2781" spans="1:9" x14ac:dyDescent="0.25">
      <c r="A2781" t="str">
        <f t="shared" si="59"/>
        <v>89301000</v>
      </c>
      <c r="B2781" t="str">
        <f>"2309240274"</f>
        <v>2309240274</v>
      </c>
      <c r="C2781" s="1">
        <v>45193</v>
      </c>
      <c r="D2781" s="1">
        <v>45195</v>
      </c>
      <c r="E2781">
        <v>1</v>
      </c>
      <c r="F2781" t="str">
        <f t="shared" si="61"/>
        <v>15-K05-04</v>
      </c>
      <c r="G2781">
        <v>0.27139999999999997</v>
      </c>
      <c r="H2781" t="s">
        <v>13</v>
      </c>
      <c r="I2781" t="s">
        <v>10</v>
      </c>
    </row>
    <row r="2782" spans="1:9" x14ac:dyDescent="0.25">
      <c r="A2782" t="str">
        <f t="shared" si="59"/>
        <v>89301000</v>
      </c>
      <c r="B2782" t="str">
        <f>"2309250746"</f>
        <v>2309250746</v>
      </c>
      <c r="C2782" s="1">
        <v>45194</v>
      </c>
      <c r="D2782" s="1">
        <v>45198</v>
      </c>
      <c r="E2782">
        <v>1</v>
      </c>
      <c r="F2782" t="str">
        <f t="shared" si="61"/>
        <v>15-K05-04</v>
      </c>
      <c r="G2782">
        <v>0.27139999999999997</v>
      </c>
      <c r="H2782" t="s">
        <v>13</v>
      </c>
      <c r="I2782" t="s">
        <v>10</v>
      </c>
    </row>
    <row r="2783" spans="1:9" x14ac:dyDescent="0.25">
      <c r="A2783" t="str">
        <f t="shared" si="59"/>
        <v>89301000</v>
      </c>
      <c r="B2783" t="str">
        <f>"2309250757"</f>
        <v>2309250757</v>
      </c>
      <c r="C2783" s="1">
        <v>45194</v>
      </c>
      <c r="D2783" s="1">
        <v>45198</v>
      </c>
      <c r="E2783">
        <v>1</v>
      </c>
      <c r="F2783" t="str">
        <f t="shared" si="61"/>
        <v>15-K05-04</v>
      </c>
      <c r="G2783">
        <v>0.27139999999999997</v>
      </c>
      <c r="H2783" t="s">
        <v>13</v>
      </c>
      <c r="I2783" t="s">
        <v>10</v>
      </c>
    </row>
    <row r="2784" spans="1:9" x14ac:dyDescent="0.25">
      <c r="A2784" t="str">
        <f t="shared" si="59"/>
        <v>89301000</v>
      </c>
      <c r="B2784" t="str">
        <f>"2309250801"</f>
        <v>2309250801</v>
      </c>
      <c r="C2784" s="1">
        <v>45194</v>
      </c>
      <c r="D2784" s="1">
        <v>45198</v>
      </c>
      <c r="E2784">
        <v>1</v>
      </c>
      <c r="F2784" t="str">
        <f t="shared" si="61"/>
        <v>15-K05-04</v>
      </c>
      <c r="G2784">
        <v>0.27139999999999997</v>
      </c>
      <c r="H2784" t="s">
        <v>13</v>
      </c>
      <c r="I2784" t="s">
        <v>10</v>
      </c>
    </row>
    <row r="2785" spans="1:9" x14ac:dyDescent="0.25">
      <c r="A2785" t="str">
        <f t="shared" si="59"/>
        <v>89301000</v>
      </c>
      <c r="B2785" t="str">
        <f>"2309260492"</f>
        <v>2309260492</v>
      </c>
      <c r="C2785" s="1">
        <v>45205</v>
      </c>
      <c r="D2785" s="1">
        <v>45215</v>
      </c>
      <c r="E2785">
        <v>1</v>
      </c>
      <c r="F2785" t="str">
        <f>"15-K06-02"</f>
        <v>15-K06-02</v>
      </c>
      <c r="G2785">
        <v>1.4557</v>
      </c>
      <c r="H2785" t="s">
        <v>13</v>
      </c>
      <c r="I2785" t="s">
        <v>10</v>
      </c>
    </row>
    <row r="2786" spans="1:9" x14ac:dyDescent="0.25">
      <c r="A2786" t="str">
        <f t="shared" si="59"/>
        <v>89301000</v>
      </c>
      <c r="B2786" t="str">
        <f>"2309260492"</f>
        <v>2309260492</v>
      </c>
      <c r="C2786" s="1">
        <v>45195</v>
      </c>
      <c r="D2786" s="1">
        <v>45200</v>
      </c>
      <c r="E2786">
        <v>1</v>
      </c>
      <c r="F2786" t="str">
        <f>"15-K04-02"</f>
        <v>15-K04-02</v>
      </c>
      <c r="G2786">
        <v>1.0172000000000001</v>
      </c>
      <c r="H2786" t="s">
        <v>18</v>
      </c>
      <c r="I2786" t="s">
        <v>10</v>
      </c>
    </row>
    <row r="2787" spans="1:9" x14ac:dyDescent="0.25">
      <c r="A2787" t="str">
        <f t="shared" si="59"/>
        <v>89301000</v>
      </c>
      <c r="B2787" t="str">
        <f>"2309260503"</f>
        <v>2309260503</v>
      </c>
      <c r="C2787" s="1">
        <v>45195</v>
      </c>
      <c r="D2787" s="1">
        <v>45200</v>
      </c>
      <c r="E2787">
        <v>1</v>
      </c>
      <c r="F2787" t="str">
        <f>"15-K04-02"</f>
        <v>15-K04-02</v>
      </c>
      <c r="G2787">
        <v>1.0172000000000001</v>
      </c>
      <c r="H2787" t="s">
        <v>18</v>
      </c>
      <c r="I2787" t="s">
        <v>10</v>
      </c>
    </row>
    <row r="2788" spans="1:9" x14ac:dyDescent="0.25">
      <c r="A2788" t="str">
        <f t="shared" si="59"/>
        <v>89301000</v>
      </c>
      <c r="B2788" t="str">
        <f>"2309260503"</f>
        <v>2309260503</v>
      </c>
      <c r="C2788" s="1">
        <v>45205</v>
      </c>
      <c r="D2788" s="1">
        <v>45215</v>
      </c>
      <c r="E2788">
        <v>1</v>
      </c>
      <c r="F2788" t="str">
        <f>"15-K06-02"</f>
        <v>15-K06-02</v>
      </c>
      <c r="G2788">
        <v>1.4557</v>
      </c>
      <c r="H2788" t="s">
        <v>13</v>
      </c>
      <c r="I2788" t="s">
        <v>10</v>
      </c>
    </row>
    <row r="2789" spans="1:9" x14ac:dyDescent="0.25">
      <c r="A2789" t="str">
        <f t="shared" si="59"/>
        <v>89301000</v>
      </c>
      <c r="B2789" t="str">
        <f>"2309270414"</f>
        <v>2309270414</v>
      </c>
      <c r="C2789" s="1">
        <v>45196</v>
      </c>
      <c r="D2789" s="1">
        <v>45201</v>
      </c>
      <c r="E2789">
        <v>1</v>
      </c>
      <c r="F2789" t="str">
        <f>"15-K05-01"</f>
        <v>15-K05-01</v>
      </c>
      <c r="G2789">
        <v>1.1777</v>
      </c>
      <c r="H2789" t="s">
        <v>13</v>
      </c>
      <c r="I2789" t="s">
        <v>10</v>
      </c>
    </row>
    <row r="2790" spans="1:9" x14ac:dyDescent="0.25">
      <c r="A2790" t="str">
        <f t="shared" si="59"/>
        <v>89301000</v>
      </c>
      <c r="B2790" t="str">
        <f>"2309270458"</f>
        <v>2309270458</v>
      </c>
      <c r="C2790" s="1">
        <v>45196</v>
      </c>
      <c r="D2790" s="1">
        <v>45199</v>
      </c>
      <c r="E2790">
        <v>1</v>
      </c>
      <c r="F2790" t="str">
        <f>"15-K05-04"</f>
        <v>15-K05-04</v>
      </c>
      <c r="G2790">
        <v>0.27139999999999997</v>
      </c>
      <c r="H2790" t="s">
        <v>13</v>
      </c>
      <c r="I2790" t="s">
        <v>10</v>
      </c>
    </row>
    <row r="2791" spans="1:9" x14ac:dyDescent="0.25">
      <c r="A2791" t="str">
        <f t="shared" si="59"/>
        <v>89301000</v>
      </c>
      <c r="B2791" t="str">
        <f>"2309270469"</f>
        <v>2309270469</v>
      </c>
      <c r="C2791" s="1">
        <v>45196</v>
      </c>
      <c r="D2791" s="1">
        <v>45200</v>
      </c>
      <c r="E2791">
        <v>1</v>
      </c>
      <c r="F2791" t="str">
        <f>"15-K05-04"</f>
        <v>15-K05-04</v>
      </c>
      <c r="G2791">
        <v>0.27139999999999997</v>
      </c>
      <c r="H2791" t="s">
        <v>13</v>
      </c>
      <c r="I2791" t="s">
        <v>10</v>
      </c>
    </row>
    <row r="2792" spans="1:9" x14ac:dyDescent="0.25">
      <c r="A2792" t="str">
        <f t="shared" si="59"/>
        <v>89301000</v>
      </c>
      <c r="B2792" t="str">
        <f>"2309290390"</f>
        <v>2309290390</v>
      </c>
      <c r="C2792" s="1">
        <v>45257</v>
      </c>
      <c r="D2792" s="1">
        <v>45259</v>
      </c>
      <c r="E2792">
        <v>1</v>
      </c>
      <c r="F2792" t="str">
        <f>"03-K02-03"</f>
        <v>03-K02-03</v>
      </c>
      <c r="G2792">
        <v>0.34050000000000002</v>
      </c>
      <c r="H2792" t="s">
        <v>11</v>
      </c>
      <c r="I2792" t="s">
        <v>10</v>
      </c>
    </row>
    <row r="2793" spans="1:9" x14ac:dyDescent="0.25">
      <c r="A2793" t="str">
        <f t="shared" si="59"/>
        <v>89301000</v>
      </c>
      <c r="B2793" t="str">
        <f>"2309290577"</f>
        <v>2309290577</v>
      </c>
      <c r="C2793" s="1">
        <v>45198</v>
      </c>
      <c r="D2793" s="1">
        <v>45201</v>
      </c>
      <c r="E2793">
        <v>1</v>
      </c>
      <c r="F2793" t="str">
        <f>"15-K05-04"</f>
        <v>15-K05-04</v>
      </c>
      <c r="G2793">
        <v>0.27139999999999997</v>
      </c>
      <c r="H2793" t="s">
        <v>13</v>
      </c>
      <c r="I2793" t="s">
        <v>10</v>
      </c>
    </row>
    <row r="2794" spans="1:9" x14ac:dyDescent="0.25">
      <c r="A2794" t="str">
        <f t="shared" si="59"/>
        <v>89301000</v>
      </c>
      <c r="B2794" t="str">
        <f>"2309300433"</f>
        <v>2309300433</v>
      </c>
      <c r="C2794" s="1">
        <v>45199</v>
      </c>
      <c r="D2794" s="1">
        <v>45199</v>
      </c>
      <c r="E2794">
        <v>1</v>
      </c>
      <c r="F2794" t="str">
        <f>"15-K05-04"</f>
        <v>15-K05-04</v>
      </c>
      <c r="G2794">
        <v>0.13569999999999999</v>
      </c>
      <c r="H2794" t="s">
        <v>13</v>
      </c>
      <c r="I2794" t="s">
        <v>10</v>
      </c>
    </row>
    <row r="2795" spans="1:9" x14ac:dyDescent="0.25">
      <c r="A2795" t="str">
        <f t="shared" si="59"/>
        <v>89301000</v>
      </c>
      <c r="B2795" t="str">
        <f>"2309300444"</f>
        <v>2309300444</v>
      </c>
      <c r="C2795" s="1">
        <v>45199</v>
      </c>
      <c r="D2795" s="1">
        <v>45202</v>
      </c>
      <c r="E2795">
        <v>1</v>
      </c>
      <c r="F2795" t="str">
        <f>"15-K05-04"</f>
        <v>15-K05-04</v>
      </c>
      <c r="G2795">
        <v>0.27139999999999997</v>
      </c>
      <c r="H2795" t="s">
        <v>13</v>
      </c>
      <c r="I2795" t="s">
        <v>10</v>
      </c>
    </row>
    <row r="2796" spans="1:9" x14ac:dyDescent="0.25">
      <c r="A2796" t="str">
        <f t="shared" si="59"/>
        <v>89301000</v>
      </c>
      <c r="B2796" t="str">
        <f>"2310010439"</f>
        <v>2310010439</v>
      </c>
      <c r="C2796" s="1">
        <v>45200</v>
      </c>
      <c r="D2796" s="1">
        <v>45203</v>
      </c>
      <c r="E2796">
        <v>1</v>
      </c>
      <c r="F2796" t="str">
        <f>"15-K05-04"</f>
        <v>15-K05-04</v>
      </c>
      <c r="G2796">
        <v>0.27139999999999997</v>
      </c>
      <c r="H2796" t="s">
        <v>13</v>
      </c>
      <c r="I2796" t="s">
        <v>10</v>
      </c>
    </row>
    <row r="2797" spans="1:9" x14ac:dyDescent="0.25">
      <c r="A2797" t="str">
        <f t="shared" si="59"/>
        <v>89301000</v>
      </c>
      <c r="B2797" t="str">
        <f>"2310010461"</f>
        <v>2310010461</v>
      </c>
      <c r="C2797" s="1">
        <v>45200</v>
      </c>
      <c r="D2797" s="1">
        <v>45203</v>
      </c>
      <c r="E2797">
        <v>1</v>
      </c>
      <c r="F2797" t="str">
        <f>"15-K05-02"</f>
        <v>15-K05-02</v>
      </c>
      <c r="G2797">
        <v>0.53290000000000004</v>
      </c>
      <c r="H2797" t="s">
        <v>13</v>
      </c>
      <c r="I2797" t="s">
        <v>10</v>
      </c>
    </row>
    <row r="2798" spans="1:9" x14ac:dyDescent="0.25">
      <c r="A2798" t="str">
        <f t="shared" si="59"/>
        <v>89301000</v>
      </c>
      <c r="B2798" t="str">
        <f>"2310010472"</f>
        <v>2310010472</v>
      </c>
      <c r="C2798" s="1">
        <v>45200</v>
      </c>
      <c r="D2798" s="1">
        <v>45204</v>
      </c>
      <c r="E2798">
        <v>1</v>
      </c>
      <c r="F2798" t="str">
        <f>"15-K05-04"</f>
        <v>15-K05-04</v>
      </c>
      <c r="G2798">
        <v>0.27139999999999997</v>
      </c>
      <c r="H2798" t="s">
        <v>13</v>
      </c>
      <c r="I2798" t="s">
        <v>10</v>
      </c>
    </row>
    <row r="2799" spans="1:9" x14ac:dyDescent="0.25">
      <c r="A2799" t="str">
        <f t="shared" si="59"/>
        <v>89301000</v>
      </c>
      <c r="B2799" t="str">
        <f>"2310030481"</f>
        <v>2310030481</v>
      </c>
      <c r="C2799" s="1">
        <v>45202</v>
      </c>
      <c r="D2799" s="1">
        <v>45204</v>
      </c>
      <c r="E2799">
        <v>1</v>
      </c>
      <c r="F2799" t="str">
        <f>"15-K05-04"</f>
        <v>15-K05-04</v>
      </c>
      <c r="G2799">
        <v>0.27139999999999997</v>
      </c>
      <c r="H2799" t="s">
        <v>13</v>
      </c>
      <c r="I2799" t="s">
        <v>10</v>
      </c>
    </row>
    <row r="2800" spans="1:9" x14ac:dyDescent="0.25">
      <c r="A2800" t="str">
        <f t="shared" si="59"/>
        <v>89301000</v>
      </c>
      <c r="B2800" t="str">
        <f>"2310040117"</f>
        <v>2310040117</v>
      </c>
      <c r="C2800" s="1">
        <v>45203</v>
      </c>
      <c r="D2800" s="1">
        <v>45205</v>
      </c>
      <c r="E2800">
        <v>1</v>
      </c>
      <c r="F2800" t="str">
        <f>"15-K05-04"</f>
        <v>15-K05-04</v>
      </c>
      <c r="G2800">
        <v>0.27139999999999997</v>
      </c>
      <c r="H2800" t="s">
        <v>13</v>
      </c>
      <c r="I2800" t="s">
        <v>10</v>
      </c>
    </row>
    <row r="2801" spans="1:9" x14ac:dyDescent="0.25">
      <c r="A2801" t="str">
        <f t="shared" si="59"/>
        <v>89301000</v>
      </c>
      <c r="B2801" t="str">
        <f>"2310050589"</f>
        <v>2310050589</v>
      </c>
      <c r="C2801" s="1">
        <v>45204</v>
      </c>
      <c r="D2801" s="1">
        <v>45223</v>
      </c>
      <c r="E2801">
        <v>1</v>
      </c>
      <c r="F2801" t="str">
        <f>"15-K04-02"</f>
        <v>15-K04-02</v>
      </c>
      <c r="G2801">
        <v>1.1393</v>
      </c>
      <c r="H2801" t="s">
        <v>18</v>
      </c>
      <c r="I2801" t="s">
        <v>10</v>
      </c>
    </row>
    <row r="2802" spans="1:9" x14ac:dyDescent="0.25">
      <c r="A2802" t="str">
        <f t="shared" si="59"/>
        <v>89301000</v>
      </c>
      <c r="B2802" t="str">
        <f>"2310060764"</f>
        <v>2310060764</v>
      </c>
      <c r="C2802" s="1">
        <v>45205</v>
      </c>
      <c r="D2802" s="1">
        <v>45209</v>
      </c>
      <c r="E2802">
        <v>1</v>
      </c>
      <c r="F2802" t="str">
        <f t="shared" ref="F2802:F2812" si="62">"15-K05-04"</f>
        <v>15-K05-04</v>
      </c>
      <c r="G2802">
        <v>0.27139999999999997</v>
      </c>
      <c r="H2802" t="s">
        <v>13</v>
      </c>
      <c r="I2802" t="s">
        <v>10</v>
      </c>
    </row>
    <row r="2803" spans="1:9" x14ac:dyDescent="0.25">
      <c r="A2803" t="str">
        <f t="shared" si="59"/>
        <v>89301000</v>
      </c>
      <c r="B2803" t="str">
        <f>"2310070411"</f>
        <v>2310070411</v>
      </c>
      <c r="C2803" s="1">
        <v>45206</v>
      </c>
      <c r="D2803" s="1">
        <v>45209</v>
      </c>
      <c r="E2803">
        <v>1</v>
      </c>
      <c r="F2803" t="str">
        <f t="shared" si="62"/>
        <v>15-K05-04</v>
      </c>
      <c r="G2803">
        <v>0.27139999999999997</v>
      </c>
      <c r="H2803" t="s">
        <v>13</v>
      </c>
      <c r="I2803" t="s">
        <v>10</v>
      </c>
    </row>
    <row r="2804" spans="1:9" x14ac:dyDescent="0.25">
      <c r="A2804" t="str">
        <f t="shared" si="59"/>
        <v>89301000</v>
      </c>
      <c r="B2804" t="str">
        <f>"2310100100"</f>
        <v>2310100100</v>
      </c>
      <c r="C2804" s="1">
        <v>45209</v>
      </c>
      <c r="D2804" s="1">
        <v>45211</v>
      </c>
      <c r="E2804">
        <v>1</v>
      </c>
      <c r="F2804" t="str">
        <f t="shared" si="62"/>
        <v>15-K05-04</v>
      </c>
      <c r="G2804">
        <v>0.27139999999999997</v>
      </c>
      <c r="H2804" t="s">
        <v>13</v>
      </c>
      <c r="I2804" t="s">
        <v>10</v>
      </c>
    </row>
    <row r="2805" spans="1:9" x14ac:dyDescent="0.25">
      <c r="A2805" t="str">
        <f t="shared" si="59"/>
        <v>89301000</v>
      </c>
      <c r="B2805" t="str">
        <f>"2310100716"</f>
        <v>2310100716</v>
      </c>
      <c r="C2805" s="1">
        <v>45209</v>
      </c>
      <c r="D2805" s="1">
        <v>45212</v>
      </c>
      <c r="E2805">
        <v>1</v>
      </c>
      <c r="F2805" t="str">
        <f t="shared" si="62"/>
        <v>15-K05-04</v>
      </c>
      <c r="G2805">
        <v>0.27139999999999997</v>
      </c>
      <c r="H2805" t="s">
        <v>13</v>
      </c>
      <c r="I2805" t="s">
        <v>10</v>
      </c>
    </row>
    <row r="2806" spans="1:9" x14ac:dyDescent="0.25">
      <c r="A2806" t="str">
        <f t="shared" ref="A2806:A2867" si="63">"89301000"</f>
        <v>89301000</v>
      </c>
      <c r="B2806" t="str">
        <f>"2310120604"</f>
        <v>2310120604</v>
      </c>
      <c r="C2806" s="1">
        <v>45211</v>
      </c>
      <c r="D2806" s="1">
        <v>45214</v>
      </c>
      <c r="E2806">
        <v>1</v>
      </c>
      <c r="F2806" t="str">
        <f t="shared" si="62"/>
        <v>15-K05-04</v>
      </c>
      <c r="G2806">
        <v>0.27139999999999997</v>
      </c>
      <c r="H2806" t="s">
        <v>13</v>
      </c>
      <c r="I2806" t="s">
        <v>10</v>
      </c>
    </row>
    <row r="2807" spans="1:9" x14ac:dyDescent="0.25">
      <c r="A2807" t="str">
        <f t="shared" si="63"/>
        <v>89301000</v>
      </c>
      <c r="B2807" t="str">
        <f>"2310120615"</f>
        <v>2310120615</v>
      </c>
      <c r="C2807" s="1">
        <v>45211</v>
      </c>
      <c r="D2807" s="1">
        <v>45214</v>
      </c>
      <c r="E2807">
        <v>1</v>
      </c>
      <c r="F2807" t="str">
        <f t="shared" si="62"/>
        <v>15-K05-04</v>
      </c>
      <c r="G2807">
        <v>0.27139999999999997</v>
      </c>
      <c r="H2807" t="s">
        <v>13</v>
      </c>
      <c r="I2807" t="s">
        <v>10</v>
      </c>
    </row>
    <row r="2808" spans="1:9" x14ac:dyDescent="0.25">
      <c r="A2808" t="str">
        <f t="shared" si="63"/>
        <v>89301000</v>
      </c>
      <c r="B2808" t="str">
        <f>"2310130636"</f>
        <v>2310130636</v>
      </c>
      <c r="C2808" s="1">
        <v>45212</v>
      </c>
      <c r="D2808" s="1">
        <v>45213</v>
      </c>
      <c r="E2808">
        <v>6</v>
      </c>
      <c r="F2808" t="str">
        <f t="shared" si="62"/>
        <v>15-K05-04</v>
      </c>
      <c r="G2808">
        <v>0.27139999999999997</v>
      </c>
      <c r="H2808" t="s">
        <v>13</v>
      </c>
      <c r="I2808" t="s">
        <v>10</v>
      </c>
    </row>
    <row r="2809" spans="1:9" x14ac:dyDescent="0.25">
      <c r="A2809" t="str">
        <f t="shared" si="63"/>
        <v>89301000</v>
      </c>
      <c r="B2809" t="str">
        <f>"2310130647"</f>
        <v>2310130647</v>
      </c>
      <c r="C2809" s="1">
        <v>45212</v>
      </c>
      <c r="D2809" s="1">
        <v>45217</v>
      </c>
      <c r="E2809">
        <v>1</v>
      </c>
      <c r="F2809" t="str">
        <f t="shared" si="62"/>
        <v>15-K05-04</v>
      </c>
      <c r="G2809">
        <v>0.27139999999999997</v>
      </c>
      <c r="H2809" t="s">
        <v>13</v>
      </c>
      <c r="I2809" t="s">
        <v>10</v>
      </c>
    </row>
    <row r="2810" spans="1:9" x14ac:dyDescent="0.25">
      <c r="A2810" t="str">
        <f t="shared" si="63"/>
        <v>89301000</v>
      </c>
      <c r="B2810" t="str">
        <f>"2310140195"</f>
        <v>2310140195</v>
      </c>
      <c r="C2810" s="1">
        <v>45213</v>
      </c>
      <c r="D2810" s="1">
        <v>45216</v>
      </c>
      <c r="E2810">
        <v>1</v>
      </c>
      <c r="F2810" t="str">
        <f t="shared" si="62"/>
        <v>15-K05-04</v>
      </c>
      <c r="G2810">
        <v>0.27139999999999997</v>
      </c>
      <c r="H2810" t="s">
        <v>13</v>
      </c>
      <c r="I2810" t="s">
        <v>10</v>
      </c>
    </row>
    <row r="2811" spans="1:9" x14ac:dyDescent="0.25">
      <c r="A2811" t="str">
        <f t="shared" si="63"/>
        <v>89301000</v>
      </c>
      <c r="B2811" t="str">
        <f>"2310160897"</f>
        <v>2310160897</v>
      </c>
      <c r="C2811" s="1">
        <v>45215</v>
      </c>
      <c r="D2811" s="1">
        <v>45219</v>
      </c>
      <c r="E2811">
        <v>1</v>
      </c>
      <c r="F2811" t="str">
        <f t="shared" si="62"/>
        <v>15-K05-04</v>
      </c>
      <c r="G2811">
        <v>0.27139999999999997</v>
      </c>
      <c r="H2811" t="s">
        <v>13</v>
      </c>
      <c r="I2811" t="s">
        <v>10</v>
      </c>
    </row>
    <row r="2812" spans="1:9" x14ac:dyDescent="0.25">
      <c r="A2812" t="str">
        <f t="shared" si="63"/>
        <v>89301000</v>
      </c>
      <c r="B2812" t="str">
        <f>"2310180411"</f>
        <v>2310180411</v>
      </c>
      <c r="C2812" s="1">
        <v>45217</v>
      </c>
      <c r="D2812" s="1">
        <v>45221</v>
      </c>
      <c r="E2812">
        <v>1</v>
      </c>
      <c r="F2812" t="str">
        <f t="shared" si="62"/>
        <v>15-K05-04</v>
      </c>
      <c r="G2812">
        <v>0.27139999999999997</v>
      </c>
      <c r="H2812" t="s">
        <v>13</v>
      </c>
      <c r="I2812" t="s">
        <v>10</v>
      </c>
    </row>
    <row r="2813" spans="1:9" x14ac:dyDescent="0.25">
      <c r="A2813" t="str">
        <f t="shared" si="63"/>
        <v>89301000</v>
      </c>
      <c r="B2813" t="str">
        <f>"2310190058"</f>
        <v>2310190058</v>
      </c>
      <c r="C2813" s="1">
        <v>45218</v>
      </c>
      <c r="D2813" s="1">
        <v>45229</v>
      </c>
      <c r="E2813">
        <v>1</v>
      </c>
      <c r="F2813" t="str">
        <f>"15-K04-02"</f>
        <v>15-K04-02</v>
      </c>
      <c r="G2813">
        <v>1.0172000000000001</v>
      </c>
      <c r="H2813" t="s">
        <v>18</v>
      </c>
      <c r="I2813" t="s">
        <v>10</v>
      </c>
    </row>
    <row r="2814" spans="1:9" x14ac:dyDescent="0.25">
      <c r="A2814" t="str">
        <f t="shared" si="63"/>
        <v>89301000</v>
      </c>
      <c r="B2814" t="str">
        <f>"2310190069"</f>
        <v>2310190069</v>
      </c>
      <c r="C2814" s="1">
        <v>45218</v>
      </c>
      <c r="D2814" s="1">
        <v>45229</v>
      </c>
      <c r="E2814">
        <v>1</v>
      </c>
      <c r="F2814" t="str">
        <f>"15-K06-01"</f>
        <v>15-K06-01</v>
      </c>
      <c r="G2814">
        <v>1.7487999999999999</v>
      </c>
      <c r="H2814" t="s">
        <v>13</v>
      </c>
      <c r="I2814" t="s">
        <v>10</v>
      </c>
    </row>
    <row r="2815" spans="1:9" x14ac:dyDescent="0.25">
      <c r="A2815" t="str">
        <f t="shared" si="63"/>
        <v>89301000</v>
      </c>
      <c r="B2815" t="str">
        <f>"2310190124"</f>
        <v>2310190124</v>
      </c>
      <c r="C2815" s="1">
        <v>45265</v>
      </c>
      <c r="D2815" s="1">
        <v>45267</v>
      </c>
      <c r="E2815">
        <v>1</v>
      </c>
      <c r="F2815" t="str">
        <f>"08-I26-03"</f>
        <v>08-I26-03</v>
      </c>
      <c r="G2815">
        <v>0.47699999999999998</v>
      </c>
      <c r="H2815" t="s">
        <v>11</v>
      </c>
      <c r="I2815" t="s">
        <v>10</v>
      </c>
    </row>
    <row r="2816" spans="1:9" x14ac:dyDescent="0.25">
      <c r="A2816" t="str">
        <f t="shared" si="63"/>
        <v>89301000</v>
      </c>
      <c r="B2816" t="str">
        <f>"2310200563"</f>
        <v>2310200563</v>
      </c>
      <c r="C2816" s="1">
        <v>45219</v>
      </c>
      <c r="D2816" s="1">
        <v>45224</v>
      </c>
      <c r="E2816">
        <v>1</v>
      </c>
      <c r="F2816" t="str">
        <f>"15-K05-04"</f>
        <v>15-K05-04</v>
      </c>
      <c r="G2816">
        <v>0.27139999999999997</v>
      </c>
      <c r="H2816" t="s">
        <v>13</v>
      </c>
      <c r="I2816" t="s">
        <v>10</v>
      </c>
    </row>
    <row r="2817" spans="1:9" x14ac:dyDescent="0.25">
      <c r="A2817" t="str">
        <f t="shared" si="63"/>
        <v>89301000</v>
      </c>
      <c r="B2817" t="str">
        <f>"2310200574"</f>
        <v>2310200574</v>
      </c>
      <c r="C2817" s="1">
        <v>45219</v>
      </c>
      <c r="D2817" s="1">
        <v>45271</v>
      </c>
      <c r="E2817">
        <v>1</v>
      </c>
      <c r="F2817" t="str">
        <f>"15-M01-02"</f>
        <v>15-M01-02</v>
      </c>
      <c r="G2817">
        <v>14.266299999999999</v>
      </c>
      <c r="H2817" t="s">
        <v>17</v>
      </c>
      <c r="I2817" t="s">
        <v>10</v>
      </c>
    </row>
    <row r="2818" spans="1:9" x14ac:dyDescent="0.25">
      <c r="A2818" t="str">
        <f t="shared" si="63"/>
        <v>89301000</v>
      </c>
      <c r="B2818" t="str">
        <f>"2310210375"</f>
        <v>2310210375</v>
      </c>
      <c r="C2818" s="1">
        <v>45220</v>
      </c>
      <c r="D2818" s="1">
        <v>45223</v>
      </c>
      <c r="E2818">
        <v>1</v>
      </c>
      <c r="F2818" t="str">
        <f t="shared" ref="F2818:F2828" si="64">"15-K05-04"</f>
        <v>15-K05-04</v>
      </c>
      <c r="G2818">
        <v>0.27139999999999997</v>
      </c>
      <c r="H2818" t="s">
        <v>13</v>
      </c>
      <c r="I2818" t="s">
        <v>10</v>
      </c>
    </row>
    <row r="2819" spans="1:9" x14ac:dyDescent="0.25">
      <c r="A2819" t="str">
        <f t="shared" si="63"/>
        <v>89301000</v>
      </c>
      <c r="B2819" t="str">
        <f>"2310210386"</f>
        <v>2310210386</v>
      </c>
      <c r="C2819" s="1">
        <v>45220</v>
      </c>
      <c r="D2819" s="1">
        <v>45223</v>
      </c>
      <c r="E2819">
        <v>1</v>
      </c>
      <c r="F2819" t="str">
        <f t="shared" si="64"/>
        <v>15-K05-04</v>
      </c>
      <c r="G2819">
        <v>0.27139999999999997</v>
      </c>
      <c r="H2819" t="s">
        <v>13</v>
      </c>
      <c r="I2819" t="s">
        <v>10</v>
      </c>
    </row>
    <row r="2820" spans="1:9" x14ac:dyDescent="0.25">
      <c r="A2820" t="str">
        <f t="shared" si="63"/>
        <v>89301000</v>
      </c>
      <c r="B2820" t="str">
        <f>"2310220286"</f>
        <v>2310220286</v>
      </c>
      <c r="C2820" s="1">
        <v>45221</v>
      </c>
      <c r="D2820" s="1">
        <v>45224</v>
      </c>
      <c r="E2820">
        <v>1</v>
      </c>
      <c r="F2820" t="str">
        <f t="shared" si="64"/>
        <v>15-K05-04</v>
      </c>
      <c r="G2820">
        <v>0.27139999999999997</v>
      </c>
      <c r="H2820" t="s">
        <v>13</v>
      </c>
      <c r="I2820" t="s">
        <v>10</v>
      </c>
    </row>
    <row r="2821" spans="1:9" x14ac:dyDescent="0.25">
      <c r="A2821" t="str">
        <f t="shared" si="63"/>
        <v>89301000</v>
      </c>
      <c r="B2821" t="str">
        <f>"2310220297"</f>
        <v>2310220297</v>
      </c>
      <c r="C2821" s="1">
        <v>45221</v>
      </c>
      <c r="D2821" s="1">
        <v>45224</v>
      </c>
      <c r="E2821">
        <v>1</v>
      </c>
      <c r="F2821" t="str">
        <f t="shared" si="64"/>
        <v>15-K05-04</v>
      </c>
      <c r="G2821">
        <v>0.27139999999999997</v>
      </c>
      <c r="H2821" t="s">
        <v>13</v>
      </c>
      <c r="I2821" t="s">
        <v>10</v>
      </c>
    </row>
    <row r="2822" spans="1:9" x14ac:dyDescent="0.25">
      <c r="A2822" t="str">
        <f t="shared" si="63"/>
        <v>89301000</v>
      </c>
      <c r="B2822" t="str">
        <f>"2310240504"</f>
        <v>2310240504</v>
      </c>
      <c r="C2822" s="1">
        <v>45223</v>
      </c>
      <c r="D2822" s="1">
        <v>45228</v>
      </c>
      <c r="E2822">
        <v>1</v>
      </c>
      <c r="F2822" t="str">
        <f t="shared" si="64"/>
        <v>15-K05-04</v>
      </c>
      <c r="G2822">
        <v>0.27139999999999997</v>
      </c>
      <c r="H2822" t="s">
        <v>13</v>
      </c>
      <c r="I2822" t="s">
        <v>10</v>
      </c>
    </row>
    <row r="2823" spans="1:9" x14ac:dyDescent="0.25">
      <c r="A2823" t="str">
        <f t="shared" si="63"/>
        <v>89301000</v>
      </c>
      <c r="B2823" t="str">
        <f>"2310250448"</f>
        <v>2310250448</v>
      </c>
      <c r="C2823" s="1">
        <v>45224</v>
      </c>
      <c r="D2823" s="1">
        <v>45226</v>
      </c>
      <c r="E2823">
        <v>1</v>
      </c>
      <c r="F2823" t="str">
        <f t="shared" si="64"/>
        <v>15-K05-04</v>
      </c>
      <c r="G2823">
        <v>0.27139999999999997</v>
      </c>
      <c r="H2823" t="s">
        <v>13</v>
      </c>
      <c r="I2823" t="s">
        <v>10</v>
      </c>
    </row>
    <row r="2824" spans="1:9" x14ac:dyDescent="0.25">
      <c r="A2824" t="str">
        <f t="shared" si="63"/>
        <v>89301000</v>
      </c>
      <c r="B2824" t="str">
        <f>"2310260579"</f>
        <v>2310260579</v>
      </c>
      <c r="C2824" s="1">
        <v>45225</v>
      </c>
      <c r="D2824" s="1">
        <v>45227</v>
      </c>
      <c r="E2824">
        <v>1</v>
      </c>
      <c r="F2824" t="str">
        <f t="shared" si="64"/>
        <v>15-K05-04</v>
      </c>
      <c r="G2824">
        <v>0.27139999999999997</v>
      </c>
      <c r="H2824" t="s">
        <v>13</v>
      </c>
      <c r="I2824" t="s">
        <v>10</v>
      </c>
    </row>
    <row r="2825" spans="1:9" x14ac:dyDescent="0.25">
      <c r="A2825" t="str">
        <f t="shared" si="63"/>
        <v>89301000</v>
      </c>
      <c r="B2825" t="str">
        <f>"2310260601"</f>
        <v>2310260601</v>
      </c>
      <c r="C2825" s="1">
        <v>45225</v>
      </c>
      <c r="D2825" s="1">
        <v>45228</v>
      </c>
      <c r="E2825">
        <v>1</v>
      </c>
      <c r="F2825" t="str">
        <f t="shared" si="64"/>
        <v>15-K05-04</v>
      </c>
      <c r="G2825">
        <v>0.27139999999999997</v>
      </c>
      <c r="H2825" t="s">
        <v>13</v>
      </c>
      <c r="I2825" t="s">
        <v>10</v>
      </c>
    </row>
    <row r="2826" spans="1:9" x14ac:dyDescent="0.25">
      <c r="A2826" t="str">
        <f t="shared" si="63"/>
        <v>89301000</v>
      </c>
      <c r="B2826" t="str">
        <f>"2310270567"</f>
        <v>2310270567</v>
      </c>
      <c r="C2826" s="1">
        <v>45226</v>
      </c>
      <c r="D2826" s="1">
        <v>45230</v>
      </c>
      <c r="E2826">
        <v>1</v>
      </c>
      <c r="F2826" t="str">
        <f t="shared" si="64"/>
        <v>15-K05-04</v>
      </c>
      <c r="G2826">
        <v>0.27139999999999997</v>
      </c>
      <c r="H2826" t="s">
        <v>13</v>
      </c>
      <c r="I2826" t="s">
        <v>10</v>
      </c>
    </row>
    <row r="2827" spans="1:9" x14ac:dyDescent="0.25">
      <c r="A2827" t="str">
        <f t="shared" si="63"/>
        <v>89301000</v>
      </c>
      <c r="B2827" t="str">
        <f>"2310280412"</f>
        <v>2310280412</v>
      </c>
      <c r="C2827" s="1">
        <v>45227</v>
      </c>
      <c r="D2827" s="1">
        <v>45230</v>
      </c>
      <c r="E2827">
        <v>1</v>
      </c>
      <c r="F2827" t="str">
        <f t="shared" si="64"/>
        <v>15-K05-04</v>
      </c>
      <c r="G2827">
        <v>0.27139999999999997</v>
      </c>
      <c r="H2827" t="s">
        <v>13</v>
      </c>
      <c r="I2827" t="s">
        <v>10</v>
      </c>
    </row>
    <row r="2828" spans="1:9" x14ac:dyDescent="0.25">
      <c r="A2828" t="str">
        <f t="shared" si="63"/>
        <v>89301000</v>
      </c>
      <c r="B2828" t="str">
        <f>"2310310574"</f>
        <v>2310310574</v>
      </c>
      <c r="C2828" s="1">
        <v>45230</v>
      </c>
      <c r="D2828" s="1">
        <v>45234</v>
      </c>
      <c r="E2828">
        <v>1</v>
      </c>
      <c r="F2828" t="str">
        <f t="shared" si="64"/>
        <v>15-K05-04</v>
      </c>
      <c r="G2828">
        <v>0.27139999999999997</v>
      </c>
      <c r="H2828" t="s">
        <v>13</v>
      </c>
      <c r="I2828" t="s">
        <v>10</v>
      </c>
    </row>
    <row r="2829" spans="1:9" x14ac:dyDescent="0.25">
      <c r="A2829" t="str">
        <f t="shared" si="63"/>
        <v>89301000</v>
      </c>
      <c r="B2829" t="str">
        <f>"2310310574"</f>
        <v>2310310574</v>
      </c>
      <c r="C2829" s="1">
        <v>45281</v>
      </c>
      <c r="D2829" s="1">
        <v>45282</v>
      </c>
      <c r="E2829">
        <v>1</v>
      </c>
      <c r="F2829" t="str">
        <f>"09-K12-00"</f>
        <v>09-K12-00</v>
      </c>
      <c r="G2829">
        <v>0.26040000000000002</v>
      </c>
      <c r="H2829" t="s">
        <v>11</v>
      </c>
      <c r="I2829" t="s">
        <v>10</v>
      </c>
    </row>
    <row r="2830" spans="1:9" x14ac:dyDescent="0.25">
      <c r="A2830" t="str">
        <f t="shared" si="63"/>
        <v>89301000</v>
      </c>
      <c r="B2830" t="str">
        <f>"2311010086"</f>
        <v>2311010086</v>
      </c>
      <c r="C2830" s="1">
        <v>45231</v>
      </c>
      <c r="D2830" s="1">
        <v>45233</v>
      </c>
      <c r="E2830">
        <v>1</v>
      </c>
      <c r="F2830" t="str">
        <f>"15-K05-04"</f>
        <v>15-K05-04</v>
      </c>
      <c r="G2830">
        <v>0.27139999999999997</v>
      </c>
      <c r="H2830" t="s">
        <v>13</v>
      </c>
      <c r="I2830" t="s">
        <v>10</v>
      </c>
    </row>
    <row r="2831" spans="1:9" x14ac:dyDescent="0.25">
      <c r="A2831" t="str">
        <f t="shared" si="63"/>
        <v>89301000</v>
      </c>
      <c r="B2831" t="str">
        <f>"2311020635"</f>
        <v>2311020635</v>
      </c>
      <c r="C2831" s="1">
        <v>45232</v>
      </c>
      <c r="D2831" s="1">
        <v>45235</v>
      </c>
      <c r="E2831">
        <v>1</v>
      </c>
      <c r="F2831" t="str">
        <f>"15-K05-04"</f>
        <v>15-K05-04</v>
      </c>
      <c r="G2831">
        <v>0.27139999999999997</v>
      </c>
      <c r="H2831" t="s">
        <v>13</v>
      </c>
      <c r="I2831" t="s">
        <v>10</v>
      </c>
    </row>
    <row r="2832" spans="1:9" x14ac:dyDescent="0.25">
      <c r="A2832" t="str">
        <f t="shared" si="63"/>
        <v>89301000</v>
      </c>
      <c r="B2832" t="str">
        <f>"2311020668"</f>
        <v>2311020668</v>
      </c>
      <c r="C2832" s="1">
        <v>45232</v>
      </c>
      <c r="D2832" s="1">
        <v>45237</v>
      </c>
      <c r="E2832">
        <v>1</v>
      </c>
      <c r="F2832" t="str">
        <f>"15-K05-04"</f>
        <v>15-K05-04</v>
      </c>
      <c r="G2832">
        <v>0.27139999999999997</v>
      </c>
      <c r="H2832" t="s">
        <v>13</v>
      </c>
      <c r="I2832" t="s">
        <v>10</v>
      </c>
    </row>
    <row r="2833" spans="1:9" x14ac:dyDescent="0.25">
      <c r="A2833" t="str">
        <f t="shared" si="63"/>
        <v>89301000</v>
      </c>
      <c r="B2833" t="str">
        <f>"2311030667"</f>
        <v>2311030667</v>
      </c>
      <c r="C2833" s="1">
        <v>45233</v>
      </c>
      <c r="D2833" s="1">
        <v>45238</v>
      </c>
      <c r="E2833">
        <v>1</v>
      </c>
      <c r="F2833" t="str">
        <f>"15-K05-04"</f>
        <v>15-K05-04</v>
      </c>
      <c r="G2833">
        <v>0.27139999999999997</v>
      </c>
      <c r="H2833" t="s">
        <v>13</v>
      </c>
      <c r="I2833" t="s">
        <v>10</v>
      </c>
    </row>
    <row r="2834" spans="1:9" x14ac:dyDescent="0.25">
      <c r="A2834" t="str">
        <f t="shared" si="63"/>
        <v>89301000</v>
      </c>
      <c r="B2834" t="str">
        <f>"2311030678"</f>
        <v>2311030678</v>
      </c>
      <c r="C2834" s="1">
        <v>45233</v>
      </c>
      <c r="D2834" s="1">
        <v>45238</v>
      </c>
      <c r="E2834">
        <v>1</v>
      </c>
      <c r="F2834" t="str">
        <f>"15-K05-04"</f>
        <v>15-K05-04</v>
      </c>
      <c r="G2834">
        <v>0.27139999999999997</v>
      </c>
      <c r="H2834" t="s">
        <v>13</v>
      </c>
      <c r="I2834" t="s">
        <v>10</v>
      </c>
    </row>
    <row r="2835" spans="1:9" x14ac:dyDescent="0.25">
      <c r="A2835" t="str">
        <f t="shared" si="63"/>
        <v>89301000</v>
      </c>
      <c r="B2835" t="str">
        <f>"2311050269"</f>
        <v>2311050269</v>
      </c>
      <c r="C2835" s="1">
        <v>45235</v>
      </c>
      <c r="D2835" s="1">
        <v>45235</v>
      </c>
      <c r="E2835">
        <v>8</v>
      </c>
      <c r="F2835" t="str">
        <f>"15-K02-01"</f>
        <v>15-K02-01</v>
      </c>
      <c r="G2835">
        <v>0.32079999999999997</v>
      </c>
      <c r="H2835" t="s">
        <v>18</v>
      </c>
      <c r="I2835" t="s">
        <v>10</v>
      </c>
    </row>
    <row r="2836" spans="1:9" x14ac:dyDescent="0.25">
      <c r="A2836" t="str">
        <f t="shared" si="63"/>
        <v>89301000</v>
      </c>
      <c r="B2836" t="str">
        <f>"2311070608"</f>
        <v>2311070608</v>
      </c>
      <c r="C2836" s="1">
        <v>45237</v>
      </c>
      <c r="D2836" s="1">
        <v>45240</v>
      </c>
      <c r="E2836">
        <v>1</v>
      </c>
      <c r="F2836" t="str">
        <f>"15-K05-04"</f>
        <v>15-K05-04</v>
      </c>
      <c r="G2836">
        <v>0.27139999999999997</v>
      </c>
      <c r="H2836" t="s">
        <v>13</v>
      </c>
      <c r="I2836" t="s">
        <v>10</v>
      </c>
    </row>
    <row r="2837" spans="1:9" x14ac:dyDescent="0.25">
      <c r="A2837" t="str">
        <f t="shared" si="63"/>
        <v>89301000</v>
      </c>
      <c r="B2837" t="str">
        <f>"2311070608"</f>
        <v>2311070608</v>
      </c>
      <c r="C2837" s="1">
        <v>45243</v>
      </c>
      <c r="D2837" s="1">
        <v>45244</v>
      </c>
      <c r="E2837">
        <v>1</v>
      </c>
      <c r="F2837" t="str">
        <f>"15-K06-04"</f>
        <v>15-K06-04</v>
      </c>
      <c r="G2837">
        <v>0.55330000000000001</v>
      </c>
      <c r="H2837" t="s">
        <v>13</v>
      </c>
      <c r="I2837" t="s">
        <v>10</v>
      </c>
    </row>
    <row r="2838" spans="1:9" x14ac:dyDescent="0.25">
      <c r="A2838" t="str">
        <f t="shared" si="63"/>
        <v>89301000</v>
      </c>
      <c r="B2838" t="str">
        <f>"2311090650"</f>
        <v>2311090650</v>
      </c>
      <c r="C2838" s="1">
        <v>45239</v>
      </c>
      <c r="D2838" s="1">
        <v>45242</v>
      </c>
      <c r="E2838">
        <v>1</v>
      </c>
      <c r="F2838" t="str">
        <f>"15-K05-04"</f>
        <v>15-K05-04</v>
      </c>
      <c r="G2838">
        <v>0.27139999999999997</v>
      </c>
      <c r="H2838" t="s">
        <v>13</v>
      </c>
      <c r="I2838" t="s">
        <v>10</v>
      </c>
    </row>
    <row r="2839" spans="1:9" x14ac:dyDescent="0.25">
      <c r="A2839" t="str">
        <f t="shared" si="63"/>
        <v>89301000</v>
      </c>
      <c r="B2839" t="str">
        <f>"2311100627"</f>
        <v>2311100627</v>
      </c>
      <c r="C2839" s="1">
        <v>45240</v>
      </c>
      <c r="D2839" s="1">
        <v>45243</v>
      </c>
      <c r="E2839">
        <v>1</v>
      </c>
      <c r="F2839" t="str">
        <f>"15-K05-04"</f>
        <v>15-K05-04</v>
      </c>
      <c r="G2839">
        <v>0.27139999999999997</v>
      </c>
      <c r="H2839" t="s">
        <v>13</v>
      </c>
      <c r="I2839" t="s">
        <v>10</v>
      </c>
    </row>
    <row r="2840" spans="1:9" x14ac:dyDescent="0.25">
      <c r="A2840" t="str">
        <f t="shared" si="63"/>
        <v>89301000</v>
      </c>
      <c r="B2840" t="str">
        <f>"2311100649"</f>
        <v>2311100649</v>
      </c>
      <c r="C2840" s="1">
        <v>45240</v>
      </c>
      <c r="D2840" s="1">
        <v>45243</v>
      </c>
      <c r="E2840">
        <v>1</v>
      </c>
      <c r="F2840" t="str">
        <f>"15-K05-04"</f>
        <v>15-K05-04</v>
      </c>
      <c r="G2840">
        <v>0.27139999999999997</v>
      </c>
      <c r="H2840" t="s">
        <v>13</v>
      </c>
      <c r="I2840" t="s">
        <v>10</v>
      </c>
    </row>
    <row r="2841" spans="1:9" x14ac:dyDescent="0.25">
      <c r="A2841" t="str">
        <f t="shared" si="63"/>
        <v>89301000</v>
      </c>
      <c r="B2841" t="str">
        <f>"2311110571"</f>
        <v>2311110571</v>
      </c>
      <c r="C2841" s="1">
        <v>45241</v>
      </c>
      <c r="D2841" s="1">
        <v>45249</v>
      </c>
      <c r="E2841">
        <v>1</v>
      </c>
      <c r="F2841" t="str">
        <f>"15-K05-01"</f>
        <v>15-K05-01</v>
      </c>
      <c r="G2841">
        <v>1.1791</v>
      </c>
      <c r="H2841" t="s">
        <v>13</v>
      </c>
      <c r="I2841" t="s">
        <v>10</v>
      </c>
    </row>
    <row r="2842" spans="1:9" x14ac:dyDescent="0.25">
      <c r="A2842" t="str">
        <f t="shared" si="63"/>
        <v>89301000</v>
      </c>
      <c r="B2842" t="str">
        <f>"2311120295"</f>
        <v>2311120295</v>
      </c>
      <c r="C2842" s="1">
        <v>45242</v>
      </c>
      <c r="D2842" s="1">
        <v>45246</v>
      </c>
      <c r="E2842">
        <v>1</v>
      </c>
      <c r="F2842" t="str">
        <f>"15-K05-04"</f>
        <v>15-K05-04</v>
      </c>
      <c r="G2842">
        <v>0.27139999999999997</v>
      </c>
      <c r="H2842" t="s">
        <v>13</v>
      </c>
      <c r="I2842" t="s">
        <v>10</v>
      </c>
    </row>
    <row r="2843" spans="1:9" x14ac:dyDescent="0.25">
      <c r="A2843" t="str">
        <f t="shared" si="63"/>
        <v>89301000</v>
      </c>
      <c r="B2843" t="str">
        <f>"2311120339"</f>
        <v>2311120339</v>
      </c>
      <c r="C2843" s="1">
        <v>45242</v>
      </c>
      <c r="D2843" s="1">
        <v>45245</v>
      </c>
      <c r="E2843">
        <v>1</v>
      </c>
      <c r="F2843" t="str">
        <f>"15-K05-04"</f>
        <v>15-K05-04</v>
      </c>
      <c r="G2843">
        <v>0.27139999999999997</v>
      </c>
      <c r="H2843" t="s">
        <v>13</v>
      </c>
      <c r="I2843" t="s">
        <v>10</v>
      </c>
    </row>
    <row r="2844" spans="1:9" x14ac:dyDescent="0.25">
      <c r="A2844" t="str">
        <f t="shared" si="63"/>
        <v>89301000</v>
      </c>
      <c r="B2844" t="str">
        <f>"2311120955"</f>
        <v>2311120955</v>
      </c>
      <c r="C2844" s="1">
        <v>45242</v>
      </c>
      <c r="D2844" s="1">
        <v>45262</v>
      </c>
      <c r="E2844">
        <v>1</v>
      </c>
      <c r="F2844" t="str">
        <f>"15-K03-01"</f>
        <v>15-K03-01</v>
      </c>
      <c r="G2844">
        <v>3.0916000000000001</v>
      </c>
      <c r="H2844" t="s">
        <v>18</v>
      </c>
      <c r="I2844" t="s">
        <v>10</v>
      </c>
    </row>
    <row r="2845" spans="1:9" x14ac:dyDescent="0.25">
      <c r="A2845" t="str">
        <f t="shared" si="63"/>
        <v>89301000</v>
      </c>
      <c r="B2845" t="str">
        <f>"2311140073"</f>
        <v>2311140073</v>
      </c>
      <c r="C2845" s="1">
        <v>45244</v>
      </c>
      <c r="D2845" s="1">
        <v>45246</v>
      </c>
      <c r="E2845">
        <v>1</v>
      </c>
      <c r="F2845" t="str">
        <f>"15-K05-04"</f>
        <v>15-K05-04</v>
      </c>
      <c r="G2845">
        <v>0.27139999999999997</v>
      </c>
      <c r="H2845" t="s">
        <v>13</v>
      </c>
      <c r="I2845" t="s">
        <v>10</v>
      </c>
    </row>
    <row r="2846" spans="1:9" x14ac:dyDescent="0.25">
      <c r="A2846" t="str">
        <f t="shared" si="63"/>
        <v>89301000</v>
      </c>
      <c r="B2846" t="str">
        <f>"2311140084"</f>
        <v>2311140084</v>
      </c>
      <c r="C2846" s="1">
        <v>45244</v>
      </c>
      <c r="D2846" s="1">
        <v>45246</v>
      </c>
      <c r="E2846">
        <v>1</v>
      </c>
      <c r="F2846" t="str">
        <f>"15-K05-04"</f>
        <v>15-K05-04</v>
      </c>
      <c r="G2846">
        <v>0.27139999999999997</v>
      </c>
      <c r="H2846" t="s">
        <v>13</v>
      </c>
      <c r="I2846" t="s">
        <v>10</v>
      </c>
    </row>
    <row r="2847" spans="1:9" x14ac:dyDescent="0.25">
      <c r="A2847" t="str">
        <f t="shared" si="63"/>
        <v>89301000</v>
      </c>
      <c r="B2847" t="str">
        <f>"2311140667"</f>
        <v>2311140667</v>
      </c>
      <c r="C2847" s="1">
        <v>45244</v>
      </c>
      <c r="D2847" s="1">
        <v>45250</v>
      </c>
      <c r="E2847">
        <v>1</v>
      </c>
      <c r="F2847" t="str">
        <f>"15-K05-04"</f>
        <v>15-K05-04</v>
      </c>
      <c r="G2847">
        <v>0.30399999999999999</v>
      </c>
      <c r="H2847" t="s">
        <v>13</v>
      </c>
      <c r="I2847" t="s">
        <v>10</v>
      </c>
    </row>
    <row r="2848" spans="1:9" x14ac:dyDescent="0.25">
      <c r="A2848" t="str">
        <f t="shared" si="63"/>
        <v>89301000</v>
      </c>
      <c r="B2848" t="str">
        <f>"2311150017"</f>
        <v>2311150017</v>
      </c>
      <c r="C2848" s="1">
        <v>45245</v>
      </c>
      <c r="D2848" s="1">
        <v>45248</v>
      </c>
      <c r="E2848">
        <v>1</v>
      </c>
      <c r="F2848" t="str">
        <f>"15-K05-04"</f>
        <v>15-K05-04</v>
      </c>
      <c r="G2848">
        <v>0.27139999999999997</v>
      </c>
      <c r="H2848" t="s">
        <v>13</v>
      </c>
      <c r="I2848" t="s">
        <v>10</v>
      </c>
    </row>
    <row r="2849" spans="1:9" x14ac:dyDescent="0.25">
      <c r="A2849" t="str">
        <f t="shared" si="63"/>
        <v>89301000</v>
      </c>
      <c r="B2849" t="str">
        <f>"2311150017"</f>
        <v>2311150017</v>
      </c>
      <c r="C2849" s="1">
        <v>45270</v>
      </c>
      <c r="D2849" s="1">
        <v>45271</v>
      </c>
      <c r="E2849">
        <v>1</v>
      </c>
      <c r="F2849" t="str">
        <f>"15-K06-04"</f>
        <v>15-K06-04</v>
      </c>
      <c r="G2849">
        <v>0.55400000000000005</v>
      </c>
      <c r="H2849" t="s">
        <v>13</v>
      </c>
      <c r="I2849" t="s">
        <v>10</v>
      </c>
    </row>
    <row r="2850" spans="1:9" x14ac:dyDescent="0.25">
      <c r="A2850" t="str">
        <f t="shared" si="63"/>
        <v>89301000</v>
      </c>
      <c r="B2850" t="str">
        <f>"2311160456"</f>
        <v>2311160456</v>
      </c>
      <c r="C2850" s="1">
        <v>45246</v>
      </c>
      <c r="D2850" s="1">
        <v>45249</v>
      </c>
      <c r="E2850">
        <v>1</v>
      </c>
      <c r="F2850" t="str">
        <f t="shared" ref="F2850:F2862" si="65">"15-K05-04"</f>
        <v>15-K05-04</v>
      </c>
      <c r="G2850">
        <v>0.27139999999999997</v>
      </c>
      <c r="H2850" t="s">
        <v>13</v>
      </c>
      <c r="I2850" t="s">
        <v>10</v>
      </c>
    </row>
    <row r="2851" spans="1:9" x14ac:dyDescent="0.25">
      <c r="A2851" t="str">
        <f t="shared" si="63"/>
        <v>89301000</v>
      </c>
      <c r="B2851" t="str">
        <f>"2311170345"</f>
        <v>2311170345</v>
      </c>
      <c r="C2851" s="1">
        <v>45247</v>
      </c>
      <c r="D2851" s="1">
        <v>45250</v>
      </c>
      <c r="E2851">
        <v>1</v>
      </c>
      <c r="F2851" t="str">
        <f t="shared" si="65"/>
        <v>15-K05-04</v>
      </c>
      <c r="G2851">
        <v>0.27139999999999997</v>
      </c>
      <c r="H2851" t="s">
        <v>13</v>
      </c>
      <c r="I2851" t="s">
        <v>10</v>
      </c>
    </row>
    <row r="2852" spans="1:9" x14ac:dyDescent="0.25">
      <c r="A2852" t="str">
        <f t="shared" si="63"/>
        <v>89301000</v>
      </c>
      <c r="B2852" t="str">
        <f>"2311210396"</f>
        <v>2311210396</v>
      </c>
      <c r="C2852" s="1">
        <v>45251</v>
      </c>
      <c r="D2852" s="1">
        <v>45255</v>
      </c>
      <c r="E2852">
        <v>1</v>
      </c>
      <c r="F2852" t="str">
        <f t="shared" si="65"/>
        <v>15-K05-04</v>
      </c>
      <c r="G2852">
        <v>0.27139999999999997</v>
      </c>
      <c r="H2852" t="s">
        <v>13</v>
      </c>
      <c r="I2852" t="s">
        <v>10</v>
      </c>
    </row>
    <row r="2853" spans="1:9" x14ac:dyDescent="0.25">
      <c r="A2853" t="str">
        <f t="shared" si="63"/>
        <v>89301000</v>
      </c>
      <c r="B2853" t="str">
        <f>"2311210462"</f>
        <v>2311210462</v>
      </c>
      <c r="C2853" s="1">
        <v>45251</v>
      </c>
      <c r="D2853" s="1">
        <v>45255</v>
      </c>
      <c r="E2853">
        <v>1</v>
      </c>
      <c r="F2853" t="str">
        <f t="shared" si="65"/>
        <v>15-K05-04</v>
      </c>
      <c r="G2853">
        <v>0.27139999999999997</v>
      </c>
      <c r="H2853" t="s">
        <v>13</v>
      </c>
      <c r="I2853" t="s">
        <v>10</v>
      </c>
    </row>
    <row r="2854" spans="1:9" x14ac:dyDescent="0.25">
      <c r="A2854" t="str">
        <f t="shared" si="63"/>
        <v>89301000</v>
      </c>
      <c r="B2854" t="str">
        <f>"2311250238"</f>
        <v>2311250238</v>
      </c>
      <c r="C2854" s="1">
        <v>45255</v>
      </c>
      <c r="D2854" s="1">
        <v>45258</v>
      </c>
      <c r="E2854">
        <v>1</v>
      </c>
      <c r="F2854" t="str">
        <f t="shared" si="65"/>
        <v>15-K05-04</v>
      </c>
      <c r="G2854">
        <v>0.27139999999999997</v>
      </c>
      <c r="H2854" t="s">
        <v>13</v>
      </c>
      <c r="I2854" t="s">
        <v>10</v>
      </c>
    </row>
    <row r="2855" spans="1:9" x14ac:dyDescent="0.25">
      <c r="A2855" t="str">
        <f t="shared" si="63"/>
        <v>89301000</v>
      </c>
      <c r="B2855" t="str">
        <f>"2311260160"</f>
        <v>2311260160</v>
      </c>
      <c r="C2855" s="1">
        <v>45256</v>
      </c>
      <c r="D2855" s="1">
        <v>45259</v>
      </c>
      <c r="E2855">
        <v>1</v>
      </c>
      <c r="F2855" t="str">
        <f t="shared" si="65"/>
        <v>15-K05-04</v>
      </c>
      <c r="G2855">
        <v>0.27139999999999997</v>
      </c>
      <c r="H2855" t="s">
        <v>13</v>
      </c>
      <c r="I2855" t="s">
        <v>10</v>
      </c>
    </row>
    <row r="2856" spans="1:9" x14ac:dyDescent="0.25">
      <c r="A2856" t="str">
        <f t="shared" si="63"/>
        <v>89301000</v>
      </c>
      <c r="B2856" t="str">
        <f>"2311270027"</f>
        <v>2311270027</v>
      </c>
      <c r="C2856" s="1">
        <v>45257</v>
      </c>
      <c r="D2856" s="1">
        <v>45259</v>
      </c>
      <c r="E2856">
        <v>1</v>
      </c>
      <c r="F2856" t="str">
        <f t="shared" si="65"/>
        <v>15-K05-04</v>
      </c>
      <c r="G2856">
        <v>0.27139999999999997</v>
      </c>
      <c r="H2856" t="s">
        <v>13</v>
      </c>
      <c r="I2856" t="s">
        <v>10</v>
      </c>
    </row>
    <row r="2857" spans="1:9" x14ac:dyDescent="0.25">
      <c r="A2857" t="str">
        <f t="shared" si="63"/>
        <v>89301000</v>
      </c>
      <c r="B2857" t="str">
        <f>"2311280576"</f>
        <v>2311280576</v>
      </c>
      <c r="C2857" s="1">
        <v>45258</v>
      </c>
      <c r="D2857" s="1">
        <v>45261</v>
      </c>
      <c r="E2857">
        <v>1</v>
      </c>
      <c r="F2857" t="str">
        <f t="shared" si="65"/>
        <v>15-K05-04</v>
      </c>
      <c r="G2857">
        <v>0.27139999999999997</v>
      </c>
      <c r="H2857" t="s">
        <v>13</v>
      </c>
      <c r="I2857" t="s">
        <v>10</v>
      </c>
    </row>
    <row r="2858" spans="1:9" x14ac:dyDescent="0.25">
      <c r="A2858" t="str">
        <f t="shared" si="63"/>
        <v>89301000</v>
      </c>
      <c r="B2858" t="str">
        <f>"2311290520"</f>
        <v>2311290520</v>
      </c>
      <c r="C2858" s="1">
        <v>45259</v>
      </c>
      <c r="D2858" s="1">
        <v>45262</v>
      </c>
      <c r="E2858">
        <v>1</v>
      </c>
      <c r="F2858" t="str">
        <f t="shared" si="65"/>
        <v>15-K05-04</v>
      </c>
      <c r="G2858">
        <v>0.27139999999999997</v>
      </c>
      <c r="H2858" t="s">
        <v>13</v>
      </c>
      <c r="I2858" t="s">
        <v>10</v>
      </c>
    </row>
    <row r="2859" spans="1:9" x14ac:dyDescent="0.25">
      <c r="A2859" t="str">
        <f t="shared" si="63"/>
        <v>89301000</v>
      </c>
      <c r="B2859" t="str">
        <f>"2311300409"</f>
        <v>2311300409</v>
      </c>
      <c r="C2859" s="1">
        <v>45260</v>
      </c>
      <c r="D2859" s="1">
        <v>45264</v>
      </c>
      <c r="E2859">
        <v>1</v>
      </c>
      <c r="F2859" t="str">
        <f t="shared" si="65"/>
        <v>15-K05-04</v>
      </c>
      <c r="G2859">
        <v>0.27139999999999997</v>
      </c>
      <c r="H2859" t="s">
        <v>13</v>
      </c>
      <c r="I2859" t="s">
        <v>10</v>
      </c>
    </row>
    <row r="2860" spans="1:9" x14ac:dyDescent="0.25">
      <c r="A2860" t="str">
        <f t="shared" si="63"/>
        <v>89301000</v>
      </c>
      <c r="B2860" t="str">
        <f>"2311300420"</f>
        <v>2311300420</v>
      </c>
      <c r="C2860" s="1">
        <v>45260</v>
      </c>
      <c r="D2860" s="1">
        <v>45264</v>
      </c>
      <c r="E2860">
        <v>1</v>
      </c>
      <c r="F2860" t="str">
        <f t="shared" si="65"/>
        <v>15-K05-04</v>
      </c>
      <c r="G2860">
        <v>0.27139999999999997</v>
      </c>
      <c r="H2860" t="s">
        <v>13</v>
      </c>
      <c r="I2860" t="s">
        <v>10</v>
      </c>
    </row>
    <row r="2861" spans="1:9" x14ac:dyDescent="0.25">
      <c r="A2861" t="str">
        <f t="shared" si="63"/>
        <v>89301000</v>
      </c>
      <c r="B2861" t="str">
        <f>"2312010327"</f>
        <v>2312010327</v>
      </c>
      <c r="C2861" s="1">
        <v>45261</v>
      </c>
      <c r="D2861" s="1">
        <v>45263</v>
      </c>
      <c r="E2861">
        <v>1</v>
      </c>
      <c r="F2861" t="str">
        <f t="shared" si="65"/>
        <v>15-K05-04</v>
      </c>
      <c r="G2861">
        <v>0.27139999999999997</v>
      </c>
      <c r="H2861" t="s">
        <v>13</v>
      </c>
      <c r="I2861" t="s">
        <v>10</v>
      </c>
    </row>
    <row r="2862" spans="1:9" x14ac:dyDescent="0.25">
      <c r="A2862" t="str">
        <f t="shared" si="63"/>
        <v>89301000</v>
      </c>
      <c r="B2862" t="str">
        <f>"2312040357"</f>
        <v>2312040357</v>
      </c>
      <c r="C2862" s="1">
        <v>45264</v>
      </c>
      <c r="D2862" s="1">
        <v>45268</v>
      </c>
      <c r="E2862">
        <v>1</v>
      </c>
      <c r="F2862" t="str">
        <f t="shared" si="65"/>
        <v>15-K05-04</v>
      </c>
      <c r="G2862">
        <v>0.27139999999999997</v>
      </c>
      <c r="H2862" t="s">
        <v>13</v>
      </c>
      <c r="I2862" t="s">
        <v>10</v>
      </c>
    </row>
    <row r="2863" spans="1:9" x14ac:dyDescent="0.25">
      <c r="A2863" t="str">
        <f t="shared" si="63"/>
        <v>89301000</v>
      </c>
      <c r="B2863" t="str">
        <f>"2312050323"</f>
        <v>2312050323</v>
      </c>
      <c r="C2863" s="1">
        <v>45265</v>
      </c>
      <c r="D2863" s="1">
        <v>45277</v>
      </c>
      <c r="E2863">
        <v>1</v>
      </c>
      <c r="F2863" t="str">
        <f>"15-M01-05"</f>
        <v>15-M01-05</v>
      </c>
      <c r="G2863">
        <v>4.4471999999999996</v>
      </c>
      <c r="H2863" t="s">
        <v>17</v>
      </c>
      <c r="I2863" t="s">
        <v>10</v>
      </c>
    </row>
    <row r="2864" spans="1:9" x14ac:dyDescent="0.25">
      <c r="A2864" t="str">
        <f t="shared" si="63"/>
        <v>89301000</v>
      </c>
      <c r="B2864" t="str">
        <f>"2312050345"</f>
        <v>2312050345</v>
      </c>
      <c r="C2864" s="1">
        <v>45265</v>
      </c>
      <c r="D2864" s="1">
        <v>45267</v>
      </c>
      <c r="E2864">
        <v>1</v>
      </c>
      <c r="F2864" t="str">
        <f>"15-K05-04"</f>
        <v>15-K05-04</v>
      </c>
      <c r="G2864">
        <v>0.27139999999999997</v>
      </c>
      <c r="H2864" t="s">
        <v>13</v>
      </c>
      <c r="I2864" t="s">
        <v>10</v>
      </c>
    </row>
    <row r="2865" spans="1:9" x14ac:dyDescent="0.25">
      <c r="A2865" t="str">
        <f t="shared" si="63"/>
        <v>89301000</v>
      </c>
      <c r="B2865" t="str">
        <f>"2312070299"</f>
        <v>2312070299</v>
      </c>
      <c r="C2865" s="1">
        <v>45267</v>
      </c>
      <c r="D2865" s="1">
        <v>45269</v>
      </c>
      <c r="E2865">
        <v>1</v>
      </c>
      <c r="F2865" t="str">
        <f>"15-K05-04"</f>
        <v>15-K05-04</v>
      </c>
      <c r="G2865">
        <v>0.27139999999999997</v>
      </c>
      <c r="H2865" t="s">
        <v>13</v>
      </c>
      <c r="I2865" t="s">
        <v>10</v>
      </c>
    </row>
    <row r="2866" spans="1:9" x14ac:dyDescent="0.25">
      <c r="A2866" t="str">
        <f t="shared" si="63"/>
        <v>89301000</v>
      </c>
      <c r="B2866" t="str">
        <f>"2312090187"</f>
        <v>2312090187</v>
      </c>
      <c r="C2866" s="1">
        <v>45269</v>
      </c>
      <c r="D2866" s="1">
        <v>45273</v>
      </c>
      <c r="E2866">
        <v>1</v>
      </c>
      <c r="F2866" t="str">
        <f>"15-K05-04"</f>
        <v>15-K05-04</v>
      </c>
      <c r="G2866">
        <v>0.27139999999999997</v>
      </c>
      <c r="H2866" t="s">
        <v>13</v>
      </c>
      <c r="I2866" t="s">
        <v>10</v>
      </c>
    </row>
    <row r="2867" spans="1:9" x14ac:dyDescent="0.25">
      <c r="A2867" t="str">
        <f t="shared" si="63"/>
        <v>89301000</v>
      </c>
      <c r="B2867" t="str">
        <f>"2312120371"</f>
        <v>2312120371</v>
      </c>
      <c r="C2867" s="1">
        <v>45272</v>
      </c>
      <c r="D2867" s="1">
        <v>45276</v>
      </c>
      <c r="E2867">
        <v>1</v>
      </c>
      <c r="F2867" t="str">
        <f>"15-K05-04"</f>
        <v>15-K05-04</v>
      </c>
      <c r="G2867">
        <v>0.27139999999999997</v>
      </c>
      <c r="H2867" t="s">
        <v>13</v>
      </c>
      <c r="I2867" t="s">
        <v>10</v>
      </c>
    </row>
    <row r="2868" spans="1:9" x14ac:dyDescent="0.25">
      <c r="A2868" t="str">
        <f t="shared" ref="A2868:A2929" si="66">"89301000"</f>
        <v>89301000</v>
      </c>
      <c r="B2868" t="str">
        <f>"2312120382"</f>
        <v>2312120382</v>
      </c>
      <c r="C2868" s="1">
        <v>45272</v>
      </c>
      <c r="D2868" s="1">
        <v>45276</v>
      </c>
      <c r="E2868">
        <v>1</v>
      </c>
      <c r="F2868" t="str">
        <f>"15-K05-04"</f>
        <v>15-K05-04</v>
      </c>
      <c r="G2868">
        <v>0.27139999999999997</v>
      </c>
      <c r="H2868" t="s">
        <v>13</v>
      </c>
      <c r="I2868" t="s">
        <v>10</v>
      </c>
    </row>
    <row r="2869" spans="1:9" x14ac:dyDescent="0.25">
      <c r="A2869" t="str">
        <f t="shared" si="66"/>
        <v>89301000</v>
      </c>
      <c r="B2869" t="str">
        <f>"2312120393"</f>
        <v>2312120393</v>
      </c>
      <c r="C2869" s="1">
        <v>45272</v>
      </c>
      <c r="D2869" s="1">
        <v>45278</v>
      </c>
      <c r="E2869">
        <v>1</v>
      </c>
      <c r="F2869" t="str">
        <f>"15-K05-01"</f>
        <v>15-K05-01</v>
      </c>
      <c r="G2869">
        <v>1.1777</v>
      </c>
      <c r="H2869" t="s">
        <v>13</v>
      </c>
      <c r="I2869" t="s">
        <v>10</v>
      </c>
    </row>
    <row r="2870" spans="1:9" x14ac:dyDescent="0.25">
      <c r="A2870" t="str">
        <f t="shared" si="66"/>
        <v>89301000</v>
      </c>
      <c r="B2870" t="str">
        <f>"2312130018"</f>
        <v>2312130018</v>
      </c>
      <c r="C2870" s="1">
        <v>45273</v>
      </c>
      <c r="D2870" s="1">
        <v>45276</v>
      </c>
      <c r="E2870">
        <v>1</v>
      </c>
      <c r="F2870" t="str">
        <f>"15-K05-04"</f>
        <v>15-K05-04</v>
      </c>
      <c r="G2870">
        <v>0.27139999999999997</v>
      </c>
      <c r="H2870" t="s">
        <v>13</v>
      </c>
      <c r="I2870" t="s">
        <v>10</v>
      </c>
    </row>
    <row r="2871" spans="1:9" x14ac:dyDescent="0.25">
      <c r="A2871" t="str">
        <f t="shared" si="66"/>
        <v>89301000</v>
      </c>
      <c r="B2871" t="str">
        <f>"2312130436"</f>
        <v>2312130436</v>
      </c>
      <c r="C2871" s="1">
        <v>45273</v>
      </c>
      <c r="D2871" s="1">
        <v>45276</v>
      </c>
      <c r="E2871">
        <v>1</v>
      </c>
      <c r="F2871" t="str">
        <f>"15-K05-04"</f>
        <v>15-K05-04</v>
      </c>
      <c r="G2871">
        <v>0.27139999999999997</v>
      </c>
      <c r="H2871" t="s">
        <v>13</v>
      </c>
      <c r="I2871" t="s">
        <v>10</v>
      </c>
    </row>
    <row r="2872" spans="1:9" x14ac:dyDescent="0.25">
      <c r="A2872" t="str">
        <f t="shared" si="66"/>
        <v>89301000</v>
      </c>
      <c r="B2872" t="str">
        <f>"2312140358"</f>
        <v>2312140358</v>
      </c>
      <c r="C2872" s="1">
        <v>45274</v>
      </c>
      <c r="D2872" s="1">
        <v>45287</v>
      </c>
      <c r="E2872">
        <v>5</v>
      </c>
      <c r="F2872" t="str">
        <f>"15-K03-01"</f>
        <v>15-K03-01</v>
      </c>
      <c r="G2872">
        <v>3.0924999999999998</v>
      </c>
      <c r="H2872" t="s">
        <v>18</v>
      </c>
      <c r="I2872" t="s">
        <v>10</v>
      </c>
    </row>
    <row r="2873" spans="1:9" x14ac:dyDescent="0.25">
      <c r="A2873" t="str">
        <f t="shared" si="66"/>
        <v>89301000</v>
      </c>
      <c r="B2873" t="str">
        <f>"2312170124"</f>
        <v>2312170124</v>
      </c>
      <c r="C2873" s="1">
        <v>45277</v>
      </c>
      <c r="D2873" s="1">
        <v>45280</v>
      </c>
      <c r="E2873">
        <v>1</v>
      </c>
      <c r="F2873" t="str">
        <f>"15-K05-04"</f>
        <v>15-K05-04</v>
      </c>
      <c r="G2873">
        <v>0.27139999999999997</v>
      </c>
      <c r="H2873" t="s">
        <v>13</v>
      </c>
      <c r="I2873" t="s">
        <v>10</v>
      </c>
    </row>
    <row r="2874" spans="1:9" x14ac:dyDescent="0.25">
      <c r="A2874" t="str">
        <f t="shared" si="66"/>
        <v>89301000</v>
      </c>
      <c r="B2874" t="str">
        <f>"2312220416"</f>
        <v>2312220416</v>
      </c>
      <c r="C2874" s="1">
        <v>45282</v>
      </c>
      <c r="D2874" s="1">
        <v>45284</v>
      </c>
      <c r="E2874">
        <v>1</v>
      </c>
      <c r="F2874" t="str">
        <f>"15-K05-04"</f>
        <v>15-K05-04</v>
      </c>
      <c r="G2874">
        <v>0.27139999999999997</v>
      </c>
      <c r="H2874" t="s">
        <v>13</v>
      </c>
      <c r="I2874" t="s">
        <v>10</v>
      </c>
    </row>
    <row r="2875" spans="1:9" x14ac:dyDescent="0.25">
      <c r="A2875" t="str">
        <f t="shared" si="66"/>
        <v>89301000</v>
      </c>
      <c r="B2875" t="str">
        <f>"2312250094"</f>
        <v>2312250094</v>
      </c>
      <c r="C2875" s="1">
        <v>45285</v>
      </c>
      <c r="D2875" s="1">
        <v>45288</v>
      </c>
      <c r="E2875">
        <v>1</v>
      </c>
      <c r="F2875" t="str">
        <f>"15-K05-04"</f>
        <v>15-K05-04</v>
      </c>
      <c r="G2875">
        <v>0.27139999999999997</v>
      </c>
      <c r="H2875" t="s">
        <v>13</v>
      </c>
      <c r="I2875" t="s">
        <v>10</v>
      </c>
    </row>
    <row r="2876" spans="1:9" x14ac:dyDescent="0.25">
      <c r="A2876" t="str">
        <f t="shared" si="66"/>
        <v>89301000</v>
      </c>
      <c r="B2876" t="str">
        <f>"2312260137"</f>
        <v>2312260137</v>
      </c>
      <c r="C2876" s="1">
        <v>45286</v>
      </c>
      <c r="D2876" s="1">
        <v>45288</v>
      </c>
      <c r="E2876">
        <v>1</v>
      </c>
      <c r="F2876" t="str">
        <f>"15-K05-04"</f>
        <v>15-K05-04</v>
      </c>
      <c r="G2876">
        <v>0.27139999999999997</v>
      </c>
      <c r="H2876" t="s">
        <v>13</v>
      </c>
      <c r="I2876" t="s">
        <v>10</v>
      </c>
    </row>
    <row r="2877" spans="1:9" x14ac:dyDescent="0.25">
      <c r="A2877" t="str">
        <f t="shared" si="66"/>
        <v>89301000</v>
      </c>
      <c r="B2877" t="str">
        <f>"2351020012"</f>
        <v>2351020012</v>
      </c>
      <c r="C2877" s="1">
        <v>44928</v>
      </c>
      <c r="D2877" s="1">
        <v>44931</v>
      </c>
      <c r="E2877">
        <v>1</v>
      </c>
      <c r="F2877" t="str">
        <f>"15-K05-04"</f>
        <v>15-K05-04</v>
      </c>
      <c r="G2877">
        <v>0.27139999999999997</v>
      </c>
      <c r="H2877" t="s">
        <v>13</v>
      </c>
      <c r="I2877" t="s">
        <v>10</v>
      </c>
    </row>
    <row r="2878" spans="1:9" x14ac:dyDescent="0.25">
      <c r="A2878" t="str">
        <f t="shared" si="66"/>
        <v>89301000</v>
      </c>
      <c r="B2878" t="str">
        <f>"2351020441"</f>
        <v>2351020441</v>
      </c>
      <c r="C2878" s="1">
        <v>44928</v>
      </c>
      <c r="D2878" s="1">
        <v>44934</v>
      </c>
      <c r="E2878">
        <v>1</v>
      </c>
      <c r="F2878" t="str">
        <f>"15-K04-02"</f>
        <v>15-K04-02</v>
      </c>
      <c r="G2878">
        <v>1.0172000000000001</v>
      </c>
      <c r="H2878" t="s">
        <v>18</v>
      </c>
      <c r="I2878" t="s">
        <v>10</v>
      </c>
    </row>
    <row r="2879" spans="1:9" x14ac:dyDescent="0.25">
      <c r="A2879" t="str">
        <f t="shared" si="66"/>
        <v>89301000</v>
      </c>
      <c r="B2879" t="str">
        <f>"2351020452"</f>
        <v>2351020452</v>
      </c>
      <c r="C2879" s="1">
        <v>44928</v>
      </c>
      <c r="D2879" s="1">
        <v>44934</v>
      </c>
      <c r="E2879">
        <v>1</v>
      </c>
      <c r="F2879" t="str">
        <f>"15-K06-03"</f>
        <v>15-K06-03</v>
      </c>
      <c r="G2879">
        <v>0.70520000000000005</v>
      </c>
      <c r="H2879" t="s">
        <v>13</v>
      </c>
      <c r="I2879" t="s">
        <v>10</v>
      </c>
    </row>
    <row r="2880" spans="1:9" x14ac:dyDescent="0.25">
      <c r="A2880" t="str">
        <f t="shared" si="66"/>
        <v>89301000</v>
      </c>
      <c r="B2880" t="str">
        <f>"2351030484"</f>
        <v>2351030484</v>
      </c>
      <c r="C2880" s="1">
        <v>44929</v>
      </c>
      <c r="D2880" s="1">
        <v>44932</v>
      </c>
      <c r="E2880">
        <v>1</v>
      </c>
      <c r="F2880" t="str">
        <f>"15-K05-04"</f>
        <v>15-K05-04</v>
      </c>
      <c r="G2880">
        <v>0.27139999999999997</v>
      </c>
      <c r="H2880" t="s">
        <v>13</v>
      </c>
      <c r="I2880" t="s">
        <v>10</v>
      </c>
    </row>
    <row r="2881" spans="1:9" x14ac:dyDescent="0.25">
      <c r="A2881" t="str">
        <f t="shared" si="66"/>
        <v>89301000</v>
      </c>
      <c r="B2881" t="str">
        <f>"2351031331"</f>
        <v>2351031331</v>
      </c>
      <c r="C2881" s="1">
        <v>45132</v>
      </c>
      <c r="D2881" s="1">
        <v>45142</v>
      </c>
      <c r="E2881">
        <v>1</v>
      </c>
      <c r="F2881" t="str">
        <f>"18-K01-03"</f>
        <v>18-K01-03</v>
      </c>
      <c r="G2881">
        <v>1.5416000000000001</v>
      </c>
      <c r="H2881" t="s">
        <v>11</v>
      </c>
      <c r="I2881" t="s">
        <v>10</v>
      </c>
    </row>
    <row r="2882" spans="1:9" x14ac:dyDescent="0.25">
      <c r="A2882" t="str">
        <f t="shared" si="66"/>
        <v>89301000</v>
      </c>
      <c r="B2882" t="str">
        <f>"2351050537"</f>
        <v>2351050537</v>
      </c>
      <c r="C2882" s="1">
        <v>44931</v>
      </c>
      <c r="D2882" s="1">
        <v>44933</v>
      </c>
      <c r="E2882">
        <v>1</v>
      </c>
      <c r="F2882" t="str">
        <f>"15-K05-04"</f>
        <v>15-K05-04</v>
      </c>
      <c r="G2882">
        <v>0.27139999999999997</v>
      </c>
      <c r="H2882" t="s">
        <v>13</v>
      </c>
      <c r="I2882" t="s">
        <v>10</v>
      </c>
    </row>
    <row r="2883" spans="1:9" x14ac:dyDescent="0.25">
      <c r="A2883" t="str">
        <f t="shared" si="66"/>
        <v>89301000</v>
      </c>
      <c r="B2883" t="str">
        <f>"2351050570"</f>
        <v>2351050570</v>
      </c>
      <c r="C2883" s="1">
        <v>44931</v>
      </c>
      <c r="D2883" s="1">
        <v>44934</v>
      </c>
      <c r="E2883">
        <v>1</v>
      </c>
      <c r="F2883" t="str">
        <f>"15-K05-04"</f>
        <v>15-K05-04</v>
      </c>
      <c r="G2883">
        <v>0.27139999999999997</v>
      </c>
      <c r="H2883" t="s">
        <v>13</v>
      </c>
      <c r="I2883" t="s">
        <v>10</v>
      </c>
    </row>
    <row r="2884" spans="1:9" x14ac:dyDescent="0.25">
      <c r="A2884" t="str">
        <f t="shared" si="66"/>
        <v>89301000</v>
      </c>
      <c r="B2884" t="str">
        <f>"2351060657"</f>
        <v>2351060657</v>
      </c>
      <c r="C2884" s="1">
        <v>44932</v>
      </c>
      <c r="D2884" s="1">
        <v>44935</v>
      </c>
      <c r="E2884">
        <v>1</v>
      </c>
      <c r="F2884" t="str">
        <f>"15-K05-04"</f>
        <v>15-K05-04</v>
      </c>
      <c r="G2884">
        <v>0.27139999999999997</v>
      </c>
      <c r="H2884" t="s">
        <v>13</v>
      </c>
      <c r="I2884" t="s">
        <v>10</v>
      </c>
    </row>
    <row r="2885" spans="1:9" x14ac:dyDescent="0.25">
      <c r="A2885" t="str">
        <f t="shared" si="66"/>
        <v>89301000</v>
      </c>
      <c r="B2885" t="str">
        <f>"2351080556"</f>
        <v>2351080556</v>
      </c>
      <c r="C2885" s="1">
        <v>44934</v>
      </c>
      <c r="D2885" s="1">
        <v>44942</v>
      </c>
      <c r="E2885">
        <v>5</v>
      </c>
      <c r="F2885" t="str">
        <f>"15-M01-06"</f>
        <v>15-M01-06</v>
      </c>
      <c r="G2885">
        <v>4.4470999999999998</v>
      </c>
      <c r="H2885" t="s">
        <v>17</v>
      </c>
      <c r="I2885" t="s">
        <v>10</v>
      </c>
    </row>
    <row r="2886" spans="1:9" x14ac:dyDescent="0.25">
      <c r="A2886" t="str">
        <f t="shared" si="66"/>
        <v>89301000</v>
      </c>
      <c r="B2886" t="str">
        <f>"2351090588"</f>
        <v>2351090588</v>
      </c>
      <c r="C2886" s="1">
        <v>44935</v>
      </c>
      <c r="D2886" s="1">
        <v>44937</v>
      </c>
      <c r="E2886">
        <v>1</v>
      </c>
      <c r="F2886" t="str">
        <f>"15-K05-04"</f>
        <v>15-K05-04</v>
      </c>
      <c r="G2886">
        <v>0.27139999999999997</v>
      </c>
      <c r="H2886" t="s">
        <v>13</v>
      </c>
      <c r="I2886" t="s">
        <v>10</v>
      </c>
    </row>
    <row r="2887" spans="1:9" x14ac:dyDescent="0.25">
      <c r="A2887" t="str">
        <f t="shared" si="66"/>
        <v>89301000</v>
      </c>
      <c r="B2887" t="str">
        <f>"2351090599"</f>
        <v>2351090599</v>
      </c>
      <c r="C2887" s="1">
        <v>44935</v>
      </c>
      <c r="D2887" s="1">
        <v>44937</v>
      </c>
      <c r="E2887">
        <v>1</v>
      </c>
      <c r="F2887" t="str">
        <f>"15-K05-04"</f>
        <v>15-K05-04</v>
      </c>
      <c r="G2887">
        <v>0.27139999999999997</v>
      </c>
      <c r="H2887" t="s">
        <v>13</v>
      </c>
      <c r="I2887" t="s">
        <v>10</v>
      </c>
    </row>
    <row r="2888" spans="1:9" x14ac:dyDescent="0.25">
      <c r="A2888" t="str">
        <f t="shared" si="66"/>
        <v>89301000</v>
      </c>
      <c r="B2888" t="str">
        <f>"2351100510"</f>
        <v>2351100510</v>
      </c>
      <c r="C2888" s="1">
        <v>44936</v>
      </c>
      <c r="D2888" s="1">
        <v>44940</v>
      </c>
      <c r="E2888">
        <v>1</v>
      </c>
      <c r="F2888" t="str">
        <f>"15-K04-02"</f>
        <v>15-K04-02</v>
      </c>
      <c r="G2888">
        <v>1.0172000000000001</v>
      </c>
      <c r="H2888" t="s">
        <v>18</v>
      </c>
      <c r="I2888" t="s">
        <v>10</v>
      </c>
    </row>
    <row r="2889" spans="1:9" x14ac:dyDescent="0.25">
      <c r="A2889" t="str">
        <f t="shared" si="66"/>
        <v>89301000</v>
      </c>
      <c r="B2889" t="str">
        <f>"2351101621"</f>
        <v>2351101621</v>
      </c>
      <c r="C2889" s="1">
        <v>44936</v>
      </c>
      <c r="D2889" s="1">
        <v>44943</v>
      </c>
      <c r="E2889">
        <v>1</v>
      </c>
      <c r="F2889" t="str">
        <f>"15-K05-04"</f>
        <v>15-K05-04</v>
      </c>
      <c r="G2889">
        <v>0.33650000000000002</v>
      </c>
      <c r="H2889" t="s">
        <v>13</v>
      </c>
      <c r="I2889" t="s">
        <v>10</v>
      </c>
    </row>
    <row r="2890" spans="1:9" x14ac:dyDescent="0.25">
      <c r="A2890" t="str">
        <f t="shared" si="66"/>
        <v>89301000</v>
      </c>
      <c r="B2890" t="str">
        <f>"2351120530"</f>
        <v>2351120530</v>
      </c>
      <c r="C2890" s="1">
        <v>44938</v>
      </c>
      <c r="D2890" s="1">
        <v>44939</v>
      </c>
      <c r="E2890">
        <v>5</v>
      </c>
      <c r="F2890" t="str">
        <f>"15-K01-00"</f>
        <v>15-K01-00</v>
      </c>
      <c r="G2890">
        <v>0.18229999999999999</v>
      </c>
      <c r="H2890" t="s">
        <v>11</v>
      </c>
      <c r="I2890" t="s">
        <v>10</v>
      </c>
    </row>
    <row r="2891" spans="1:9" x14ac:dyDescent="0.25">
      <c r="A2891" t="str">
        <f t="shared" si="66"/>
        <v>89301000</v>
      </c>
      <c r="B2891" t="str">
        <f>"2351120717"</f>
        <v>2351120717</v>
      </c>
      <c r="C2891" s="1">
        <v>44938</v>
      </c>
      <c r="D2891" s="1">
        <v>44940</v>
      </c>
      <c r="E2891">
        <v>1</v>
      </c>
      <c r="F2891" t="str">
        <f>"15-K05-04"</f>
        <v>15-K05-04</v>
      </c>
      <c r="G2891">
        <v>0.27139999999999997</v>
      </c>
      <c r="H2891" t="s">
        <v>13</v>
      </c>
      <c r="I2891" t="s">
        <v>10</v>
      </c>
    </row>
    <row r="2892" spans="1:9" x14ac:dyDescent="0.25">
      <c r="A2892" t="str">
        <f t="shared" si="66"/>
        <v>89301000</v>
      </c>
      <c r="B2892" t="str">
        <f>"2351120728"</f>
        <v>2351120728</v>
      </c>
      <c r="C2892" s="1">
        <v>44964</v>
      </c>
      <c r="D2892" s="1">
        <v>44964</v>
      </c>
      <c r="E2892">
        <v>1</v>
      </c>
      <c r="F2892" t="str">
        <f>"15-K06-04"</f>
        <v>15-K06-04</v>
      </c>
      <c r="G2892">
        <v>0.2767</v>
      </c>
      <c r="H2892" t="s">
        <v>13</v>
      </c>
      <c r="I2892" t="s">
        <v>10</v>
      </c>
    </row>
    <row r="2893" spans="1:9" x14ac:dyDescent="0.25">
      <c r="A2893" t="str">
        <f t="shared" si="66"/>
        <v>89301000</v>
      </c>
      <c r="B2893" t="str">
        <f>"2351120728"</f>
        <v>2351120728</v>
      </c>
      <c r="C2893" s="1">
        <v>44938</v>
      </c>
      <c r="D2893" s="1">
        <v>44941</v>
      </c>
      <c r="E2893">
        <v>1</v>
      </c>
      <c r="F2893" t="str">
        <f>"15-K05-04"</f>
        <v>15-K05-04</v>
      </c>
      <c r="G2893">
        <v>0.27139999999999997</v>
      </c>
      <c r="H2893" t="s">
        <v>13</v>
      </c>
      <c r="I2893" t="s">
        <v>10</v>
      </c>
    </row>
    <row r="2894" spans="1:9" x14ac:dyDescent="0.25">
      <c r="A2894" t="str">
        <f t="shared" si="66"/>
        <v>89301000</v>
      </c>
      <c r="B2894" t="str">
        <f>"2351120739"</f>
        <v>2351120739</v>
      </c>
      <c r="C2894" s="1">
        <v>44938</v>
      </c>
      <c r="D2894" s="1">
        <v>44942</v>
      </c>
      <c r="E2894">
        <v>1</v>
      </c>
      <c r="F2894" t="str">
        <f>"15-K05-04"</f>
        <v>15-K05-04</v>
      </c>
      <c r="G2894">
        <v>0.27139999999999997</v>
      </c>
      <c r="H2894" t="s">
        <v>13</v>
      </c>
      <c r="I2894" t="s">
        <v>10</v>
      </c>
    </row>
    <row r="2895" spans="1:9" x14ac:dyDescent="0.25">
      <c r="A2895" t="str">
        <f t="shared" si="66"/>
        <v>89301000</v>
      </c>
      <c r="B2895" t="str">
        <f>"2351130628"</f>
        <v>2351130628</v>
      </c>
      <c r="C2895" s="1">
        <v>44939</v>
      </c>
      <c r="D2895" s="1">
        <v>44943</v>
      </c>
      <c r="E2895">
        <v>1</v>
      </c>
      <c r="F2895" t="str">
        <f>"15-K06-04"</f>
        <v>15-K06-04</v>
      </c>
      <c r="G2895">
        <v>0.55330000000000001</v>
      </c>
      <c r="H2895" t="s">
        <v>13</v>
      </c>
      <c r="I2895" t="s">
        <v>10</v>
      </c>
    </row>
    <row r="2896" spans="1:9" x14ac:dyDescent="0.25">
      <c r="A2896" t="str">
        <f t="shared" si="66"/>
        <v>89301000</v>
      </c>
      <c r="B2896" t="str">
        <f>"2351140264"</f>
        <v>2351140264</v>
      </c>
      <c r="C2896" s="1">
        <v>44940</v>
      </c>
      <c r="D2896" s="1">
        <v>44943</v>
      </c>
      <c r="E2896">
        <v>1</v>
      </c>
      <c r="F2896" t="str">
        <f>"15-K05-04"</f>
        <v>15-K05-04</v>
      </c>
      <c r="G2896">
        <v>0.27139999999999997</v>
      </c>
      <c r="H2896" t="s">
        <v>13</v>
      </c>
      <c r="I2896" t="s">
        <v>10</v>
      </c>
    </row>
    <row r="2897" spans="1:9" x14ac:dyDescent="0.25">
      <c r="A2897" t="str">
        <f t="shared" si="66"/>
        <v>89301000</v>
      </c>
      <c r="B2897" t="str">
        <f>"2351140275"</f>
        <v>2351140275</v>
      </c>
      <c r="C2897" s="1">
        <v>44940</v>
      </c>
      <c r="D2897" s="1">
        <v>44943</v>
      </c>
      <c r="E2897">
        <v>1</v>
      </c>
      <c r="F2897" t="str">
        <f>"15-K05-04"</f>
        <v>15-K05-04</v>
      </c>
      <c r="G2897">
        <v>0.27139999999999997</v>
      </c>
      <c r="H2897" t="s">
        <v>13</v>
      </c>
      <c r="I2897" t="s">
        <v>10</v>
      </c>
    </row>
    <row r="2898" spans="1:9" x14ac:dyDescent="0.25">
      <c r="A2898" t="str">
        <f t="shared" si="66"/>
        <v>89301000</v>
      </c>
      <c r="B2898" t="str">
        <f>"2351170129"</f>
        <v>2351170129</v>
      </c>
      <c r="C2898" s="1">
        <v>44943</v>
      </c>
      <c r="D2898" s="1">
        <v>44998</v>
      </c>
      <c r="E2898">
        <v>1</v>
      </c>
      <c r="F2898" t="str">
        <f>"15-M01-06"</f>
        <v>15-M01-06</v>
      </c>
      <c r="G2898">
        <v>5.6464999999999996</v>
      </c>
      <c r="H2898" t="s">
        <v>17</v>
      </c>
      <c r="I2898" t="s">
        <v>10</v>
      </c>
    </row>
    <row r="2899" spans="1:9" x14ac:dyDescent="0.25">
      <c r="A2899" t="str">
        <f t="shared" si="66"/>
        <v>89301000</v>
      </c>
      <c r="B2899" t="str">
        <f>"2351170723"</f>
        <v>2351170723</v>
      </c>
      <c r="C2899" s="1">
        <v>44943</v>
      </c>
      <c r="D2899" s="1">
        <v>44946</v>
      </c>
      <c r="E2899">
        <v>1</v>
      </c>
      <c r="F2899" t="str">
        <f>"15-K05-04"</f>
        <v>15-K05-04</v>
      </c>
      <c r="G2899">
        <v>0.27139999999999997</v>
      </c>
      <c r="H2899" t="s">
        <v>13</v>
      </c>
      <c r="I2899" t="s">
        <v>10</v>
      </c>
    </row>
    <row r="2900" spans="1:9" x14ac:dyDescent="0.25">
      <c r="A2900" t="str">
        <f t="shared" si="66"/>
        <v>89301000</v>
      </c>
      <c r="B2900" t="str">
        <f>"2351190292"</f>
        <v>2351190292</v>
      </c>
      <c r="C2900" s="1">
        <v>44946</v>
      </c>
      <c r="D2900" s="1">
        <v>44949</v>
      </c>
      <c r="E2900">
        <v>5</v>
      </c>
      <c r="F2900" t="str">
        <f>"15-K06-04"</f>
        <v>15-K06-04</v>
      </c>
      <c r="G2900">
        <v>0.55330000000000001</v>
      </c>
      <c r="H2900" t="s">
        <v>13</v>
      </c>
      <c r="I2900" t="s">
        <v>10</v>
      </c>
    </row>
    <row r="2901" spans="1:9" x14ac:dyDescent="0.25">
      <c r="A2901" t="str">
        <f t="shared" si="66"/>
        <v>89301000</v>
      </c>
      <c r="B2901" t="str">
        <f>"2351190710"</f>
        <v>2351190710</v>
      </c>
      <c r="C2901" s="1">
        <v>44945</v>
      </c>
      <c r="D2901" s="1">
        <v>44952</v>
      </c>
      <c r="E2901">
        <v>1</v>
      </c>
      <c r="F2901" t="str">
        <f t="shared" ref="F2901:F2913" si="67">"15-K05-04"</f>
        <v>15-K05-04</v>
      </c>
      <c r="G2901">
        <v>0.33650000000000002</v>
      </c>
      <c r="H2901" t="s">
        <v>13</v>
      </c>
      <c r="I2901" t="s">
        <v>10</v>
      </c>
    </row>
    <row r="2902" spans="1:9" x14ac:dyDescent="0.25">
      <c r="A2902" t="str">
        <f t="shared" si="66"/>
        <v>89301000</v>
      </c>
      <c r="B2902" t="str">
        <f>"2351190754"</f>
        <v>2351190754</v>
      </c>
      <c r="C2902" s="1">
        <v>44945</v>
      </c>
      <c r="D2902" s="1">
        <v>44950</v>
      </c>
      <c r="E2902">
        <v>1</v>
      </c>
      <c r="F2902" t="str">
        <f t="shared" si="67"/>
        <v>15-K05-04</v>
      </c>
      <c r="G2902">
        <v>0.27139999999999997</v>
      </c>
      <c r="H2902" t="s">
        <v>13</v>
      </c>
      <c r="I2902" t="s">
        <v>10</v>
      </c>
    </row>
    <row r="2903" spans="1:9" x14ac:dyDescent="0.25">
      <c r="A2903" t="str">
        <f t="shared" si="66"/>
        <v>89301000</v>
      </c>
      <c r="B2903" t="str">
        <f>"2351200082"</f>
        <v>2351200082</v>
      </c>
      <c r="C2903" s="1">
        <v>44946</v>
      </c>
      <c r="D2903" s="1">
        <v>44948</v>
      </c>
      <c r="E2903">
        <v>1</v>
      </c>
      <c r="F2903" t="str">
        <f t="shared" si="67"/>
        <v>15-K05-04</v>
      </c>
      <c r="G2903">
        <v>0.27139999999999997</v>
      </c>
      <c r="H2903" t="s">
        <v>13</v>
      </c>
      <c r="I2903" t="s">
        <v>10</v>
      </c>
    </row>
    <row r="2904" spans="1:9" x14ac:dyDescent="0.25">
      <c r="A2904" t="str">
        <f t="shared" si="66"/>
        <v>89301000</v>
      </c>
      <c r="B2904" t="str">
        <f>"2351210312"</f>
        <v>2351210312</v>
      </c>
      <c r="C2904" s="1">
        <v>44947</v>
      </c>
      <c r="D2904" s="1">
        <v>44951</v>
      </c>
      <c r="E2904">
        <v>1</v>
      </c>
      <c r="F2904" t="str">
        <f t="shared" si="67"/>
        <v>15-K05-04</v>
      </c>
      <c r="G2904">
        <v>0.27139999999999997</v>
      </c>
      <c r="H2904" t="s">
        <v>13</v>
      </c>
      <c r="I2904" t="s">
        <v>10</v>
      </c>
    </row>
    <row r="2905" spans="1:9" x14ac:dyDescent="0.25">
      <c r="A2905" t="str">
        <f t="shared" si="66"/>
        <v>89301000</v>
      </c>
      <c r="B2905" t="str">
        <f>"2351210334"</f>
        <v>2351210334</v>
      </c>
      <c r="C2905" s="1">
        <v>44947</v>
      </c>
      <c r="D2905" s="1">
        <v>44950</v>
      </c>
      <c r="E2905">
        <v>1</v>
      </c>
      <c r="F2905" t="str">
        <f t="shared" si="67"/>
        <v>15-K05-04</v>
      </c>
      <c r="G2905">
        <v>0.27139999999999997</v>
      </c>
      <c r="H2905" t="s">
        <v>13</v>
      </c>
      <c r="I2905" t="s">
        <v>10</v>
      </c>
    </row>
    <row r="2906" spans="1:9" x14ac:dyDescent="0.25">
      <c r="A2906" t="str">
        <f t="shared" si="66"/>
        <v>89301000</v>
      </c>
      <c r="B2906" t="str">
        <f>"2351240485"</f>
        <v>2351240485</v>
      </c>
      <c r="C2906" s="1">
        <v>44950</v>
      </c>
      <c r="D2906" s="1">
        <v>44953</v>
      </c>
      <c r="E2906">
        <v>1</v>
      </c>
      <c r="F2906" t="str">
        <f t="shared" si="67"/>
        <v>15-K05-04</v>
      </c>
      <c r="G2906">
        <v>0.27139999999999997</v>
      </c>
      <c r="H2906" t="s">
        <v>13</v>
      </c>
      <c r="I2906" t="s">
        <v>10</v>
      </c>
    </row>
    <row r="2907" spans="1:9" x14ac:dyDescent="0.25">
      <c r="A2907" t="str">
        <f t="shared" si="66"/>
        <v>89301000</v>
      </c>
      <c r="B2907" t="str">
        <f>"2351240518"</f>
        <v>2351240518</v>
      </c>
      <c r="C2907" s="1">
        <v>44950</v>
      </c>
      <c r="D2907" s="1">
        <v>44951</v>
      </c>
      <c r="E2907">
        <v>1</v>
      </c>
      <c r="F2907" t="str">
        <f t="shared" si="67"/>
        <v>15-K05-04</v>
      </c>
      <c r="G2907">
        <v>0.27139999999999997</v>
      </c>
      <c r="H2907" t="s">
        <v>13</v>
      </c>
      <c r="I2907" t="s">
        <v>10</v>
      </c>
    </row>
    <row r="2908" spans="1:9" x14ac:dyDescent="0.25">
      <c r="A2908" t="str">
        <f t="shared" si="66"/>
        <v>89301000</v>
      </c>
      <c r="B2908" t="str">
        <f>"2351250715"</f>
        <v>2351250715</v>
      </c>
      <c r="C2908" s="1">
        <v>44951</v>
      </c>
      <c r="D2908" s="1">
        <v>44954</v>
      </c>
      <c r="E2908">
        <v>1</v>
      </c>
      <c r="F2908" t="str">
        <f t="shared" si="67"/>
        <v>15-K05-04</v>
      </c>
      <c r="G2908">
        <v>0.27139999999999997</v>
      </c>
      <c r="H2908" t="s">
        <v>13</v>
      </c>
      <c r="I2908" t="s">
        <v>10</v>
      </c>
    </row>
    <row r="2909" spans="1:9" x14ac:dyDescent="0.25">
      <c r="A2909" t="str">
        <f t="shared" si="66"/>
        <v>89301000</v>
      </c>
      <c r="B2909" t="str">
        <f>"2351270614"</f>
        <v>2351270614</v>
      </c>
      <c r="C2909" s="1">
        <v>44953</v>
      </c>
      <c r="D2909" s="1">
        <v>44955</v>
      </c>
      <c r="E2909">
        <v>1</v>
      </c>
      <c r="F2909" t="str">
        <f t="shared" si="67"/>
        <v>15-K05-04</v>
      </c>
      <c r="G2909">
        <v>0.27139999999999997</v>
      </c>
      <c r="H2909" t="s">
        <v>13</v>
      </c>
      <c r="I2909" t="s">
        <v>10</v>
      </c>
    </row>
    <row r="2910" spans="1:9" x14ac:dyDescent="0.25">
      <c r="A2910" t="str">
        <f t="shared" si="66"/>
        <v>89301000</v>
      </c>
      <c r="B2910" t="str">
        <f>"2351280338"</f>
        <v>2351280338</v>
      </c>
      <c r="C2910" s="1">
        <v>44954</v>
      </c>
      <c r="D2910" s="1">
        <v>44957</v>
      </c>
      <c r="E2910">
        <v>1</v>
      </c>
      <c r="F2910" t="str">
        <f t="shared" si="67"/>
        <v>15-K05-04</v>
      </c>
      <c r="G2910">
        <v>0.27139999999999997</v>
      </c>
      <c r="H2910" t="s">
        <v>13</v>
      </c>
      <c r="I2910" t="s">
        <v>10</v>
      </c>
    </row>
    <row r="2911" spans="1:9" x14ac:dyDescent="0.25">
      <c r="A2911" t="str">
        <f t="shared" si="66"/>
        <v>89301000</v>
      </c>
      <c r="B2911" t="str">
        <f>"2351280360"</f>
        <v>2351280360</v>
      </c>
      <c r="C2911" s="1">
        <v>44954</v>
      </c>
      <c r="D2911" s="1">
        <v>44956</v>
      </c>
      <c r="E2911">
        <v>1</v>
      </c>
      <c r="F2911" t="str">
        <f t="shared" si="67"/>
        <v>15-K05-04</v>
      </c>
      <c r="G2911">
        <v>0.27139999999999997</v>
      </c>
      <c r="H2911" t="s">
        <v>13</v>
      </c>
      <c r="I2911" t="s">
        <v>10</v>
      </c>
    </row>
    <row r="2912" spans="1:9" x14ac:dyDescent="0.25">
      <c r="A2912" t="str">
        <f t="shared" si="66"/>
        <v>89301000</v>
      </c>
      <c r="B2912" t="str">
        <f>"2351300589"</f>
        <v>2351300589</v>
      </c>
      <c r="C2912" s="1">
        <v>44956</v>
      </c>
      <c r="D2912" s="1">
        <v>44960</v>
      </c>
      <c r="E2912">
        <v>1</v>
      </c>
      <c r="F2912" t="str">
        <f t="shared" si="67"/>
        <v>15-K05-04</v>
      </c>
      <c r="G2912">
        <v>0.27139999999999997</v>
      </c>
      <c r="H2912" t="s">
        <v>13</v>
      </c>
      <c r="I2912" t="s">
        <v>10</v>
      </c>
    </row>
    <row r="2913" spans="1:9" x14ac:dyDescent="0.25">
      <c r="A2913" t="str">
        <f t="shared" si="66"/>
        <v>89301000</v>
      </c>
      <c r="B2913" t="str">
        <f>"2352010397"</f>
        <v>2352010397</v>
      </c>
      <c r="C2913" s="1">
        <v>44958</v>
      </c>
      <c r="D2913" s="1">
        <v>44961</v>
      </c>
      <c r="E2913">
        <v>1</v>
      </c>
      <c r="F2913" t="str">
        <f t="shared" si="67"/>
        <v>15-K05-04</v>
      </c>
      <c r="G2913">
        <v>0.27139999999999997</v>
      </c>
      <c r="H2913" t="s">
        <v>13</v>
      </c>
      <c r="I2913" t="s">
        <v>10</v>
      </c>
    </row>
    <row r="2914" spans="1:9" x14ac:dyDescent="0.25">
      <c r="A2914" t="str">
        <f t="shared" si="66"/>
        <v>89301000</v>
      </c>
      <c r="B2914" t="str">
        <f>"2352020077"</f>
        <v>2352020077</v>
      </c>
      <c r="C2914" s="1">
        <v>44976</v>
      </c>
      <c r="D2914" s="1">
        <v>44981</v>
      </c>
      <c r="E2914">
        <v>1</v>
      </c>
      <c r="F2914" t="str">
        <f>"15-K06-01"</f>
        <v>15-K06-01</v>
      </c>
      <c r="G2914">
        <v>1.7487999999999999</v>
      </c>
      <c r="H2914" t="s">
        <v>13</v>
      </c>
      <c r="I2914" t="s">
        <v>10</v>
      </c>
    </row>
    <row r="2915" spans="1:9" x14ac:dyDescent="0.25">
      <c r="A2915" t="str">
        <f t="shared" si="66"/>
        <v>89301000</v>
      </c>
      <c r="B2915" t="str">
        <f>"2352020077"</f>
        <v>2352020077</v>
      </c>
      <c r="C2915" s="1">
        <v>44959</v>
      </c>
      <c r="D2915" s="1">
        <v>44961</v>
      </c>
      <c r="E2915">
        <v>1</v>
      </c>
      <c r="F2915" t="str">
        <f>"15-K05-04"</f>
        <v>15-K05-04</v>
      </c>
      <c r="G2915">
        <v>0.27139999999999997</v>
      </c>
      <c r="H2915" t="s">
        <v>13</v>
      </c>
      <c r="I2915" t="s">
        <v>10</v>
      </c>
    </row>
    <row r="2916" spans="1:9" x14ac:dyDescent="0.25">
      <c r="A2916" t="str">
        <f t="shared" si="66"/>
        <v>89301000</v>
      </c>
      <c r="B2916" t="str">
        <f>"2352040306"</f>
        <v>2352040306</v>
      </c>
      <c r="C2916" s="1">
        <v>45026</v>
      </c>
      <c r="D2916" s="1">
        <v>45028</v>
      </c>
      <c r="E2916">
        <v>1</v>
      </c>
      <c r="F2916" t="str">
        <f>"03-K02-03"</f>
        <v>03-K02-03</v>
      </c>
      <c r="G2916">
        <v>0.33960000000000001</v>
      </c>
      <c r="H2916" t="s">
        <v>11</v>
      </c>
      <c r="I2916" t="s">
        <v>10</v>
      </c>
    </row>
    <row r="2917" spans="1:9" x14ac:dyDescent="0.25">
      <c r="A2917" t="str">
        <f t="shared" si="66"/>
        <v>89301000</v>
      </c>
      <c r="B2917" t="str">
        <f>"2352040306"</f>
        <v>2352040306</v>
      </c>
      <c r="C2917" s="1">
        <v>44961</v>
      </c>
      <c r="D2917" s="1">
        <v>44963</v>
      </c>
      <c r="E2917">
        <v>1</v>
      </c>
      <c r="F2917" t="str">
        <f t="shared" ref="F2917:F2923" si="68">"15-K05-04"</f>
        <v>15-K05-04</v>
      </c>
      <c r="G2917">
        <v>0.27139999999999997</v>
      </c>
      <c r="H2917" t="s">
        <v>13</v>
      </c>
      <c r="I2917" t="s">
        <v>10</v>
      </c>
    </row>
    <row r="2918" spans="1:9" x14ac:dyDescent="0.25">
      <c r="A2918" t="str">
        <f t="shared" si="66"/>
        <v>89301000</v>
      </c>
      <c r="B2918" t="str">
        <f>"2352040328"</f>
        <v>2352040328</v>
      </c>
      <c r="C2918" s="1">
        <v>44961</v>
      </c>
      <c r="D2918" s="1">
        <v>44964</v>
      </c>
      <c r="E2918">
        <v>1</v>
      </c>
      <c r="F2918" t="str">
        <f t="shared" si="68"/>
        <v>15-K05-04</v>
      </c>
      <c r="G2918">
        <v>0.27139999999999997</v>
      </c>
      <c r="H2918" t="s">
        <v>13</v>
      </c>
      <c r="I2918" t="s">
        <v>10</v>
      </c>
    </row>
    <row r="2919" spans="1:9" x14ac:dyDescent="0.25">
      <c r="A2919" t="str">
        <f t="shared" si="66"/>
        <v>89301000</v>
      </c>
      <c r="B2919" t="str">
        <f>"2352060073"</f>
        <v>2352060073</v>
      </c>
      <c r="C2919" s="1">
        <v>44963</v>
      </c>
      <c r="D2919" s="1">
        <v>44965</v>
      </c>
      <c r="E2919">
        <v>1</v>
      </c>
      <c r="F2919" t="str">
        <f t="shared" si="68"/>
        <v>15-K05-04</v>
      </c>
      <c r="G2919">
        <v>0.27139999999999997</v>
      </c>
      <c r="H2919" t="s">
        <v>13</v>
      </c>
      <c r="I2919" t="s">
        <v>10</v>
      </c>
    </row>
    <row r="2920" spans="1:9" x14ac:dyDescent="0.25">
      <c r="A2920" t="str">
        <f t="shared" si="66"/>
        <v>89301000</v>
      </c>
      <c r="B2920" t="str">
        <f>"2352060590"</f>
        <v>2352060590</v>
      </c>
      <c r="C2920" s="1">
        <v>44963</v>
      </c>
      <c r="D2920" s="1">
        <v>44967</v>
      </c>
      <c r="E2920">
        <v>1</v>
      </c>
      <c r="F2920" t="str">
        <f t="shared" si="68"/>
        <v>15-K05-04</v>
      </c>
      <c r="G2920">
        <v>0.27139999999999997</v>
      </c>
      <c r="H2920" t="s">
        <v>13</v>
      </c>
      <c r="I2920" t="s">
        <v>10</v>
      </c>
    </row>
    <row r="2921" spans="1:9" x14ac:dyDescent="0.25">
      <c r="A2921" t="str">
        <f t="shared" si="66"/>
        <v>89301000</v>
      </c>
      <c r="B2921" t="str">
        <f>"2352080709"</f>
        <v>2352080709</v>
      </c>
      <c r="C2921" s="1">
        <v>44965</v>
      </c>
      <c r="D2921" s="1">
        <v>44967</v>
      </c>
      <c r="E2921">
        <v>1</v>
      </c>
      <c r="F2921" t="str">
        <f t="shared" si="68"/>
        <v>15-K05-04</v>
      </c>
      <c r="G2921">
        <v>0.27139999999999997</v>
      </c>
      <c r="H2921" t="s">
        <v>13</v>
      </c>
      <c r="I2921" t="s">
        <v>10</v>
      </c>
    </row>
    <row r="2922" spans="1:9" x14ac:dyDescent="0.25">
      <c r="A2922" t="str">
        <f t="shared" si="66"/>
        <v>89301000</v>
      </c>
      <c r="B2922" t="str">
        <f>"2352120331"</f>
        <v>2352120331</v>
      </c>
      <c r="C2922" s="1">
        <v>44969</v>
      </c>
      <c r="D2922" s="1">
        <v>44972</v>
      </c>
      <c r="E2922">
        <v>1</v>
      </c>
      <c r="F2922" t="str">
        <f t="shared" si="68"/>
        <v>15-K05-04</v>
      </c>
      <c r="G2922">
        <v>0.27139999999999997</v>
      </c>
      <c r="H2922" t="s">
        <v>13</v>
      </c>
      <c r="I2922" t="s">
        <v>10</v>
      </c>
    </row>
    <row r="2923" spans="1:9" x14ac:dyDescent="0.25">
      <c r="A2923" t="str">
        <f t="shared" si="66"/>
        <v>89301000</v>
      </c>
      <c r="B2923" t="str">
        <f>"2352130990"</f>
        <v>2352130990</v>
      </c>
      <c r="C2923" s="1">
        <v>44970</v>
      </c>
      <c r="D2923" s="1">
        <v>44974</v>
      </c>
      <c r="E2923">
        <v>1</v>
      </c>
      <c r="F2923" t="str">
        <f t="shared" si="68"/>
        <v>15-K05-04</v>
      </c>
      <c r="G2923">
        <v>0.27139999999999997</v>
      </c>
      <c r="H2923" t="s">
        <v>13</v>
      </c>
      <c r="I2923" t="s">
        <v>10</v>
      </c>
    </row>
    <row r="2924" spans="1:9" x14ac:dyDescent="0.25">
      <c r="A2924" t="str">
        <f t="shared" si="66"/>
        <v>89301000</v>
      </c>
      <c r="B2924" t="str">
        <f>"2352170590"</f>
        <v>2352170590</v>
      </c>
      <c r="C2924" s="1">
        <v>44974</v>
      </c>
      <c r="D2924" s="1">
        <v>44977</v>
      </c>
      <c r="E2924">
        <v>1</v>
      </c>
      <c r="F2924" t="str">
        <f>"99-K03-00"</f>
        <v>99-K03-00</v>
      </c>
      <c r="G2924">
        <v>0.1268</v>
      </c>
      <c r="H2924" t="s">
        <v>11</v>
      </c>
      <c r="I2924" t="s">
        <v>10</v>
      </c>
    </row>
    <row r="2925" spans="1:9" x14ac:dyDescent="0.25">
      <c r="A2925" t="str">
        <f t="shared" si="66"/>
        <v>89301000</v>
      </c>
      <c r="B2925" t="str">
        <f>"2352180413"</f>
        <v>2352180413</v>
      </c>
      <c r="C2925" s="1">
        <v>44975</v>
      </c>
      <c r="D2925" s="1">
        <v>44978</v>
      </c>
      <c r="E2925">
        <v>1</v>
      </c>
      <c r="F2925" t="str">
        <f>"15-K05-04"</f>
        <v>15-K05-04</v>
      </c>
      <c r="G2925">
        <v>0.27139999999999997</v>
      </c>
      <c r="H2925" t="s">
        <v>13</v>
      </c>
      <c r="I2925" t="s">
        <v>10</v>
      </c>
    </row>
    <row r="2926" spans="1:9" x14ac:dyDescent="0.25">
      <c r="A2926" t="str">
        <f t="shared" si="66"/>
        <v>89301000</v>
      </c>
      <c r="B2926" t="str">
        <f>"2352190335"</f>
        <v>2352190335</v>
      </c>
      <c r="C2926" s="1">
        <v>44976</v>
      </c>
      <c r="D2926" s="1">
        <v>44979</v>
      </c>
      <c r="E2926">
        <v>1</v>
      </c>
      <c r="F2926" t="str">
        <f>"15-K05-04"</f>
        <v>15-K05-04</v>
      </c>
      <c r="G2926">
        <v>0.27139999999999997</v>
      </c>
      <c r="H2926" t="s">
        <v>13</v>
      </c>
      <c r="I2926" t="s">
        <v>10</v>
      </c>
    </row>
    <row r="2927" spans="1:9" x14ac:dyDescent="0.25">
      <c r="A2927" t="str">
        <f t="shared" si="66"/>
        <v>89301000</v>
      </c>
      <c r="B2927" t="str">
        <f>"2352190335"</f>
        <v>2352190335</v>
      </c>
      <c r="C2927" s="1">
        <v>45035</v>
      </c>
      <c r="D2927" s="1">
        <v>45036</v>
      </c>
      <c r="E2927">
        <v>1</v>
      </c>
      <c r="F2927" t="str">
        <f>"23-K03-02"</f>
        <v>23-K03-02</v>
      </c>
      <c r="G2927">
        <v>0.32540000000000002</v>
      </c>
      <c r="H2927" t="s">
        <v>11</v>
      </c>
      <c r="I2927" t="s">
        <v>10</v>
      </c>
    </row>
    <row r="2928" spans="1:9" x14ac:dyDescent="0.25">
      <c r="A2928" t="str">
        <f t="shared" si="66"/>
        <v>89301000</v>
      </c>
      <c r="B2928" t="str">
        <f>"2352210564"</f>
        <v>2352210564</v>
      </c>
      <c r="C2928" s="1">
        <v>44978</v>
      </c>
      <c r="D2928" s="1">
        <v>44980</v>
      </c>
      <c r="E2928">
        <v>1</v>
      </c>
      <c r="F2928" t="str">
        <f t="shared" ref="F2928:F2933" si="69">"15-K05-04"</f>
        <v>15-K05-04</v>
      </c>
      <c r="G2928">
        <v>0.27139999999999997</v>
      </c>
      <c r="H2928" t="s">
        <v>13</v>
      </c>
      <c r="I2928" t="s">
        <v>10</v>
      </c>
    </row>
    <row r="2929" spans="1:9" x14ac:dyDescent="0.25">
      <c r="A2929" t="str">
        <f t="shared" si="66"/>
        <v>89301000</v>
      </c>
      <c r="B2929" t="str">
        <f>"2352220497"</f>
        <v>2352220497</v>
      </c>
      <c r="C2929" s="1">
        <v>44979</v>
      </c>
      <c r="D2929" s="1">
        <v>44982</v>
      </c>
      <c r="E2929">
        <v>1</v>
      </c>
      <c r="F2929" t="str">
        <f t="shared" si="69"/>
        <v>15-K05-04</v>
      </c>
      <c r="G2929">
        <v>0.27139999999999997</v>
      </c>
      <c r="H2929" t="s">
        <v>13</v>
      </c>
      <c r="I2929" t="s">
        <v>10</v>
      </c>
    </row>
    <row r="2930" spans="1:9" x14ac:dyDescent="0.25">
      <c r="A2930" t="str">
        <f t="shared" ref="A2930:A2993" si="70">"89301000"</f>
        <v>89301000</v>
      </c>
      <c r="B2930" t="str">
        <f>"2352230672"</f>
        <v>2352230672</v>
      </c>
      <c r="C2930" s="1">
        <v>44980</v>
      </c>
      <c r="D2930" s="1">
        <v>44983</v>
      </c>
      <c r="E2930">
        <v>1</v>
      </c>
      <c r="F2930" t="str">
        <f t="shared" si="69"/>
        <v>15-K05-04</v>
      </c>
      <c r="G2930">
        <v>0.27139999999999997</v>
      </c>
      <c r="H2930" t="s">
        <v>13</v>
      </c>
      <c r="I2930" t="s">
        <v>10</v>
      </c>
    </row>
    <row r="2931" spans="1:9" x14ac:dyDescent="0.25">
      <c r="A2931" t="str">
        <f t="shared" si="70"/>
        <v>89301000</v>
      </c>
      <c r="B2931" t="str">
        <f>"2352230683"</f>
        <v>2352230683</v>
      </c>
      <c r="C2931" s="1">
        <v>44980</v>
      </c>
      <c r="D2931" s="1">
        <v>44983</v>
      </c>
      <c r="E2931">
        <v>1</v>
      </c>
      <c r="F2931" t="str">
        <f t="shared" si="69"/>
        <v>15-K05-04</v>
      </c>
      <c r="G2931">
        <v>0.27139999999999997</v>
      </c>
      <c r="H2931" t="s">
        <v>13</v>
      </c>
      <c r="I2931" t="s">
        <v>10</v>
      </c>
    </row>
    <row r="2932" spans="1:9" x14ac:dyDescent="0.25">
      <c r="A2932" t="str">
        <f t="shared" si="70"/>
        <v>89301000</v>
      </c>
      <c r="B2932" t="str">
        <f>"2352240539"</f>
        <v>2352240539</v>
      </c>
      <c r="C2932" s="1">
        <v>44981</v>
      </c>
      <c r="D2932" s="1">
        <v>44984</v>
      </c>
      <c r="E2932">
        <v>1</v>
      </c>
      <c r="F2932" t="str">
        <f t="shared" si="69"/>
        <v>15-K05-04</v>
      </c>
      <c r="G2932">
        <v>0.27139999999999997</v>
      </c>
      <c r="H2932" t="s">
        <v>13</v>
      </c>
      <c r="I2932" t="s">
        <v>10</v>
      </c>
    </row>
    <row r="2933" spans="1:9" x14ac:dyDescent="0.25">
      <c r="A2933" t="str">
        <f t="shared" si="70"/>
        <v>89301000</v>
      </c>
      <c r="B2933" t="str">
        <f>"2352250285"</f>
        <v>2352250285</v>
      </c>
      <c r="C2933" s="1">
        <v>44982</v>
      </c>
      <c r="D2933" s="1">
        <v>44984</v>
      </c>
      <c r="E2933">
        <v>1</v>
      </c>
      <c r="F2933" t="str">
        <f t="shared" si="69"/>
        <v>15-K05-04</v>
      </c>
      <c r="G2933">
        <v>0.27139999999999997</v>
      </c>
      <c r="H2933" t="s">
        <v>13</v>
      </c>
      <c r="I2933" t="s">
        <v>10</v>
      </c>
    </row>
    <row r="2934" spans="1:9" x14ac:dyDescent="0.25">
      <c r="A2934" t="str">
        <f t="shared" si="70"/>
        <v>89301000</v>
      </c>
      <c r="B2934" t="str">
        <f>"2352270393"</f>
        <v>2352270393</v>
      </c>
      <c r="C2934" s="1">
        <v>45018</v>
      </c>
      <c r="D2934" s="1">
        <v>45020</v>
      </c>
      <c r="E2934">
        <v>1</v>
      </c>
      <c r="F2934" t="str">
        <f>"09-K04-02"</f>
        <v>09-K04-02</v>
      </c>
      <c r="G2934">
        <v>0.64870000000000005</v>
      </c>
      <c r="H2934" t="s">
        <v>11</v>
      </c>
      <c r="I2934" t="s">
        <v>10</v>
      </c>
    </row>
    <row r="2935" spans="1:9" x14ac:dyDescent="0.25">
      <c r="A2935" t="str">
        <f t="shared" si="70"/>
        <v>89301000</v>
      </c>
      <c r="B2935" t="str">
        <f>"2352270393"</f>
        <v>2352270393</v>
      </c>
      <c r="C2935" s="1">
        <v>44984</v>
      </c>
      <c r="D2935" s="1">
        <v>44987</v>
      </c>
      <c r="E2935">
        <v>1</v>
      </c>
      <c r="F2935" t="str">
        <f>"15-K05-04"</f>
        <v>15-K05-04</v>
      </c>
      <c r="G2935">
        <v>0.27139999999999997</v>
      </c>
      <c r="H2935" t="s">
        <v>13</v>
      </c>
      <c r="I2935" t="s">
        <v>10</v>
      </c>
    </row>
    <row r="2936" spans="1:9" x14ac:dyDescent="0.25">
      <c r="A2936" t="str">
        <f t="shared" si="70"/>
        <v>89301000</v>
      </c>
      <c r="B2936" t="str">
        <f>"2352280546"</f>
        <v>2352280546</v>
      </c>
      <c r="C2936" s="1">
        <v>45022</v>
      </c>
      <c r="D2936" s="1">
        <v>45028</v>
      </c>
      <c r="E2936">
        <v>1</v>
      </c>
      <c r="F2936" t="str">
        <f>"11-K01-03"</f>
        <v>11-K01-03</v>
      </c>
      <c r="G2936">
        <v>0.68789999999999996</v>
      </c>
      <c r="H2936" t="s">
        <v>11</v>
      </c>
      <c r="I2936" t="s">
        <v>10</v>
      </c>
    </row>
    <row r="2937" spans="1:9" x14ac:dyDescent="0.25">
      <c r="A2937" t="str">
        <f t="shared" si="70"/>
        <v>89301000</v>
      </c>
      <c r="B2937" t="str">
        <f>"2352280546"</f>
        <v>2352280546</v>
      </c>
      <c r="C2937" s="1">
        <v>45058</v>
      </c>
      <c r="D2937" s="1">
        <v>45061</v>
      </c>
      <c r="E2937">
        <v>1</v>
      </c>
      <c r="F2937" t="str">
        <f>"11-K11-00"</f>
        <v>11-K11-00</v>
      </c>
      <c r="G2937">
        <v>0.49370000000000003</v>
      </c>
      <c r="H2937" t="s">
        <v>11</v>
      </c>
      <c r="I2937" t="s">
        <v>10</v>
      </c>
    </row>
    <row r="2938" spans="1:9" x14ac:dyDescent="0.25">
      <c r="A2938" t="str">
        <f t="shared" si="70"/>
        <v>89301000</v>
      </c>
      <c r="B2938" t="str">
        <f>"2352280546"</f>
        <v>2352280546</v>
      </c>
      <c r="C2938" s="1">
        <v>45105</v>
      </c>
      <c r="D2938" s="1">
        <v>45107</v>
      </c>
      <c r="E2938">
        <v>1</v>
      </c>
      <c r="F2938" t="str">
        <f>"11-K01-03"</f>
        <v>11-K01-03</v>
      </c>
      <c r="G2938">
        <v>0.68389999999999995</v>
      </c>
      <c r="H2938" t="s">
        <v>11</v>
      </c>
      <c r="I2938" t="s">
        <v>10</v>
      </c>
    </row>
    <row r="2939" spans="1:9" x14ac:dyDescent="0.25">
      <c r="A2939" t="str">
        <f t="shared" si="70"/>
        <v>89301000</v>
      </c>
      <c r="B2939" t="str">
        <f>"2352280546"</f>
        <v>2352280546</v>
      </c>
      <c r="C2939" s="1">
        <v>44985</v>
      </c>
      <c r="D2939" s="1">
        <v>44988</v>
      </c>
      <c r="E2939">
        <v>1</v>
      </c>
      <c r="F2939" t="str">
        <f>"15-K05-04"</f>
        <v>15-K05-04</v>
      </c>
      <c r="G2939">
        <v>0.27139999999999997</v>
      </c>
      <c r="H2939" t="s">
        <v>13</v>
      </c>
      <c r="I2939" t="s">
        <v>10</v>
      </c>
    </row>
    <row r="2940" spans="1:9" x14ac:dyDescent="0.25">
      <c r="A2940" t="str">
        <f t="shared" si="70"/>
        <v>89301000</v>
      </c>
      <c r="B2940" t="str">
        <f>"2352530510"</f>
        <v>2352530510</v>
      </c>
      <c r="C2940" s="1">
        <v>44960</v>
      </c>
      <c r="D2940" s="1">
        <v>44963</v>
      </c>
      <c r="E2940">
        <v>1</v>
      </c>
      <c r="F2940" t="str">
        <f>"15-K05-04"</f>
        <v>15-K05-04</v>
      </c>
      <c r="G2940">
        <v>0.27139999999999997</v>
      </c>
      <c r="H2940" t="s">
        <v>13</v>
      </c>
      <c r="I2940" t="s">
        <v>10</v>
      </c>
    </row>
    <row r="2941" spans="1:9" x14ac:dyDescent="0.25">
      <c r="A2941" t="str">
        <f t="shared" si="70"/>
        <v>89301000</v>
      </c>
      <c r="B2941" t="str">
        <f>"2353010528"</f>
        <v>2353010528</v>
      </c>
      <c r="C2941" s="1">
        <v>44986</v>
      </c>
      <c r="D2941" s="1">
        <v>44989</v>
      </c>
      <c r="E2941">
        <v>1</v>
      </c>
      <c r="F2941" t="str">
        <f>"15-K05-04"</f>
        <v>15-K05-04</v>
      </c>
      <c r="G2941">
        <v>0.27139999999999997</v>
      </c>
      <c r="H2941" t="s">
        <v>13</v>
      </c>
      <c r="I2941" t="s">
        <v>10</v>
      </c>
    </row>
    <row r="2942" spans="1:9" x14ac:dyDescent="0.25">
      <c r="A2942" t="str">
        <f t="shared" si="70"/>
        <v>89301000</v>
      </c>
      <c r="B2942" t="str">
        <f>"2353030064"</f>
        <v>2353030064</v>
      </c>
      <c r="C2942" s="1">
        <v>44988</v>
      </c>
      <c r="D2942" s="1">
        <v>44990</v>
      </c>
      <c r="E2942">
        <v>1</v>
      </c>
      <c r="F2942" t="str">
        <f>"15-K05-04"</f>
        <v>15-K05-04</v>
      </c>
      <c r="G2942">
        <v>0.27139999999999997</v>
      </c>
      <c r="H2942" t="s">
        <v>13</v>
      </c>
      <c r="I2942" t="s">
        <v>10</v>
      </c>
    </row>
    <row r="2943" spans="1:9" x14ac:dyDescent="0.25">
      <c r="A2943" t="str">
        <f t="shared" si="70"/>
        <v>89301000</v>
      </c>
      <c r="B2943" t="str">
        <f>"2353040327"</f>
        <v>2353040327</v>
      </c>
      <c r="C2943" s="1">
        <v>44989</v>
      </c>
      <c r="D2943" s="1">
        <v>44992</v>
      </c>
      <c r="E2943">
        <v>1</v>
      </c>
      <c r="F2943" t="str">
        <f>"15-K04-02"</f>
        <v>15-K04-02</v>
      </c>
      <c r="G2943">
        <v>1.0172000000000001</v>
      </c>
      <c r="H2943" t="s">
        <v>18</v>
      </c>
      <c r="I2943" t="s">
        <v>10</v>
      </c>
    </row>
    <row r="2944" spans="1:9" x14ac:dyDescent="0.25">
      <c r="A2944" t="str">
        <f t="shared" si="70"/>
        <v>89301000</v>
      </c>
      <c r="B2944" t="str">
        <f>"2353040360"</f>
        <v>2353040360</v>
      </c>
      <c r="C2944" s="1">
        <v>44989</v>
      </c>
      <c r="D2944" s="1">
        <v>44992</v>
      </c>
      <c r="E2944">
        <v>1</v>
      </c>
      <c r="F2944" t="str">
        <f t="shared" ref="F2944:F2949" si="71">"15-K05-04"</f>
        <v>15-K05-04</v>
      </c>
      <c r="G2944">
        <v>0.27139999999999997</v>
      </c>
      <c r="H2944" t="s">
        <v>13</v>
      </c>
      <c r="I2944" t="s">
        <v>10</v>
      </c>
    </row>
    <row r="2945" spans="1:9" x14ac:dyDescent="0.25">
      <c r="A2945" t="str">
        <f t="shared" si="70"/>
        <v>89301000</v>
      </c>
      <c r="B2945" t="str">
        <f>"2353060039"</f>
        <v>2353060039</v>
      </c>
      <c r="C2945" s="1">
        <v>44991</v>
      </c>
      <c r="D2945" s="1">
        <v>44993</v>
      </c>
      <c r="E2945">
        <v>1</v>
      </c>
      <c r="F2945" t="str">
        <f t="shared" si="71"/>
        <v>15-K05-04</v>
      </c>
      <c r="G2945">
        <v>0.27139999999999997</v>
      </c>
      <c r="H2945" t="s">
        <v>13</v>
      </c>
      <c r="I2945" t="s">
        <v>10</v>
      </c>
    </row>
    <row r="2946" spans="1:9" x14ac:dyDescent="0.25">
      <c r="A2946" t="str">
        <f t="shared" si="70"/>
        <v>89301000</v>
      </c>
      <c r="B2946" t="str">
        <f>"2353060501"</f>
        <v>2353060501</v>
      </c>
      <c r="C2946" s="1">
        <v>44991</v>
      </c>
      <c r="D2946" s="1">
        <v>44995</v>
      </c>
      <c r="E2946">
        <v>1</v>
      </c>
      <c r="F2946" t="str">
        <f t="shared" si="71"/>
        <v>15-K05-04</v>
      </c>
      <c r="G2946">
        <v>0.27139999999999997</v>
      </c>
      <c r="H2946" t="s">
        <v>13</v>
      </c>
      <c r="I2946" t="s">
        <v>10</v>
      </c>
    </row>
    <row r="2947" spans="1:9" x14ac:dyDescent="0.25">
      <c r="A2947" t="str">
        <f t="shared" si="70"/>
        <v>89301000</v>
      </c>
      <c r="B2947" t="str">
        <f>"2353080125"</f>
        <v>2353080125</v>
      </c>
      <c r="C2947" s="1">
        <v>44993</v>
      </c>
      <c r="D2947" s="1">
        <v>44996</v>
      </c>
      <c r="E2947">
        <v>1</v>
      </c>
      <c r="F2947" t="str">
        <f t="shared" si="71"/>
        <v>15-K05-04</v>
      </c>
      <c r="G2947">
        <v>0.27139999999999997</v>
      </c>
      <c r="H2947" t="s">
        <v>13</v>
      </c>
      <c r="I2947" t="s">
        <v>10</v>
      </c>
    </row>
    <row r="2948" spans="1:9" x14ac:dyDescent="0.25">
      <c r="A2948" t="str">
        <f t="shared" si="70"/>
        <v>89301000</v>
      </c>
      <c r="B2948" t="str">
        <f>"2353080785"</f>
        <v>2353080785</v>
      </c>
      <c r="C2948" s="1">
        <v>44993</v>
      </c>
      <c r="D2948" s="1">
        <v>44995</v>
      </c>
      <c r="E2948">
        <v>1</v>
      </c>
      <c r="F2948" t="str">
        <f t="shared" si="71"/>
        <v>15-K05-04</v>
      </c>
      <c r="G2948">
        <v>0.27139999999999997</v>
      </c>
      <c r="H2948" t="s">
        <v>13</v>
      </c>
      <c r="I2948" t="s">
        <v>10</v>
      </c>
    </row>
    <row r="2949" spans="1:9" x14ac:dyDescent="0.25">
      <c r="A2949" t="str">
        <f t="shared" si="70"/>
        <v>89301000</v>
      </c>
      <c r="B2949" t="str">
        <f>"2353100695"</f>
        <v>2353100695</v>
      </c>
      <c r="C2949" s="1">
        <v>44995</v>
      </c>
      <c r="D2949" s="1">
        <v>44998</v>
      </c>
      <c r="E2949">
        <v>1</v>
      </c>
      <c r="F2949" t="str">
        <f t="shared" si="71"/>
        <v>15-K05-04</v>
      </c>
      <c r="G2949">
        <v>0.27139999999999997</v>
      </c>
      <c r="H2949" t="s">
        <v>13</v>
      </c>
      <c r="I2949" t="s">
        <v>10</v>
      </c>
    </row>
    <row r="2950" spans="1:9" x14ac:dyDescent="0.25">
      <c r="A2950" t="str">
        <f t="shared" si="70"/>
        <v>89301000</v>
      </c>
      <c r="B2950" t="str">
        <f>"2353150096"</f>
        <v>2353150096</v>
      </c>
      <c r="C2950" s="1">
        <v>45000</v>
      </c>
      <c r="D2950" s="1">
        <v>45002</v>
      </c>
      <c r="E2950">
        <v>1</v>
      </c>
      <c r="F2950" t="str">
        <f>"15-K04-04"</f>
        <v>15-K04-04</v>
      </c>
      <c r="G2950">
        <v>0.38179999999999997</v>
      </c>
      <c r="H2950" t="s">
        <v>18</v>
      </c>
      <c r="I2950" t="s">
        <v>10</v>
      </c>
    </row>
    <row r="2951" spans="1:9" x14ac:dyDescent="0.25">
      <c r="A2951" t="str">
        <f t="shared" si="70"/>
        <v>89301000</v>
      </c>
      <c r="B2951" t="str">
        <f>"2353150569"</f>
        <v>2353150569</v>
      </c>
      <c r="C2951" s="1">
        <v>45000</v>
      </c>
      <c r="D2951" s="1">
        <v>45003</v>
      </c>
      <c r="E2951">
        <v>1</v>
      </c>
      <c r="F2951" t="str">
        <f>"15-K05-04"</f>
        <v>15-K05-04</v>
      </c>
      <c r="G2951">
        <v>0.27139999999999997</v>
      </c>
      <c r="H2951" t="s">
        <v>13</v>
      </c>
      <c r="I2951" t="s">
        <v>10</v>
      </c>
    </row>
    <row r="2952" spans="1:9" x14ac:dyDescent="0.25">
      <c r="A2952" t="str">
        <f t="shared" si="70"/>
        <v>89301000</v>
      </c>
      <c r="B2952" t="str">
        <f>"2353170083"</f>
        <v>2353170083</v>
      </c>
      <c r="C2952" s="1">
        <v>45002</v>
      </c>
      <c r="D2952" s="1">
        <v>45026</v>
      </c>
      <c r="E2952">
        <v>1</v>
      </c>
      <c r="F2952" t="str">
        <f>"15-K02-02"</f>
        <v>15-K02-02</v>
      </c>
      <c r="G2952">
        <v>4.5713999999999997</v>
      </c>
      <c r="H2952" t="s">
        <v>18</v>
      </c>
      <c r="I2952" t="s">
        <v>10</v>
      </c>
    </row>
    <row r="2953" spans="1:9" x14ac:dyDescent="0.25">
      <c r="A2953" t="str">
        <f t="shared" si="70"/>
        <v>89301000</v>
      </c>
      <c r="B2953" t="str">
        <f>"2353170094"</f>
        <v>2353170094</v>
      </c>
      <c r="C2953" s="1">
        <v>45002</v>
      </c>
      <c r="D2953" s="1">
        <v>45026</v>
      </c>
      <c r="E2953">
        <v>1</v>
      </c>
      <c r="F2953" t="str">
        <f>"15-K03-01"</f>
        <v>15-K03-01</v>
      </c>
      <c r="G2953">
        <v>3.0916000000000001</v>
      </c>
      <c r="H2953" t="s">
        <v>18</v>
      </c>
      <c r="I2953" t="s">
        <v>10</v>
      </c>
    </row>
    <row r="2954" spans="1:9" x14ac:dyDescent="0.25">
      <c r="A2954" t="str">
        <f t="shared" si="70"/>
        <v>89301000</v>
      </c>
      <c r="B2954" t="str">
        <f>"2353170369"</f>
        <v>2353170369</v>
      </c>
      <c r="C2954" s="1">
        <v>45026</v>
      </c>
      <c r="D2954" s="1">
        <v>45029</v>
      </c>
      <c r="E2954">
        <v>5</v>
      </c>
      <c r="F2954" t="str">
        <f>"15-K06-04"</f>
        <v>15-K06-04</v>
      </c>
      <c r="G2954">
        <v>0.55330000000000001</v>
      </c>
      <c r="H2954" t="s">
        <v>13</v>
      </c>
      <c r="I2954" t="s">
        <v>10</v>
      </c>
    </row>
    <row r="2955" spans="1:9" x14ac:dyDescent="0.25">
      <c r="A2955" t="str">
        <f t="shared" si="70"/>
        <v>89301000</v>
      </c>
      <c r="B2955" t="str">
        <f>"2353170688"</f>
        <v>2353170688</v>
      </c>
      <c r="C2955" s="1">
        <v>45002</v>
      </c>
      <c r="D2955" s="1">
        <v>45005</v>
      </c>
      <c r="E2955">
        <v>1</v>
      </c>
      <c r="F2955" t="str">
        <f>"15-K05-04"</f>
        <v>15-K05-04</v>
      </c>
      <c r="G2955">
        <v>0.27139999999999997</v>
      </c>
      <c r="H2955" t="s">
        <v>13</v>
      </c>
      <c r="I2955" t="s">
        <v>10</v>
      </c>
    </row>
    <row r="2956" spans="1:9" x14ac:dyDescent="0.25">
      <c r="A2956" t="str">
        <f t="shared" si="70"/>
        <v>89301000</v>
      </c>
      <c r="B2956" t="str">
        <f>"2353180302"</f>
        <v>2353180302</v>
      </c>
      <c r="C2956" s="1">
        <v>45003</v>
      </c>
      <c r="D2956" s="1">
        <v>45024</v>
      </c>
      <c r="E2956">
        <v>1</v>
      </c>
      <c r="F2956" t="str">
        <f>"15-K03-01"</f>
        <v>15-K03-01</v>
      </c>
      <c r="G2956">
        <v>3.0916000000000001</v>
      </c>
      <c r="H2956" t="s">
        <v>18</v>
      </c>
      <c r="I2956" t="s">
        <v>10</v>
      </c>
    </row>
    <row r="2957" spans="1:9" x14ac:dyDescent="0.25">
      <c r="A2957" t="str">
        <f t="shared" si="70"/>
        <v>89301000</v>
      </c>
      <c r="B2957" t="str">
        <f>"2353180313"</f>
        <v>2353180313</v>
      </c>
      <c r="C2957" s="1">
        <v>45003</v>
      </c>
      <c r="D2957" s="1">
        <v>45024</v>
      </c>
      <c r="E2957">
        <v>1</v>
      </c>
      <c r="F2957" t="str">
        <f>"15-M01-06"</f>
        <v>15-M01-06</v>
      </c>
      <c r="G2957">
        <v>4.4470999999999998</v>
      </c>
      <c r="H2957" t="s">
        <v>17</v>
      </c>
      <c r="I2957" t="s">
        <v>10</v>
      </c>
    </row>
    <row r="2958" spans="1:9" x14ac:dyDescent="0.25">
      <c r="A2958" t="str">
        <f t="shared" si="70"/>
        <v>89301000</v>
      </c>
      <c r="B2958" t="str">
        <f>"2353180335"</f>
        <v>2353180335</v>
      </c>
      <c r="C2958" s="1">
        <v>45003</v>
      </c>
      <c r="D2958" s="1">
        <v>45006</v>
      </c>
      <c r="E2958">
        <v>1</v>
      </c>
      <c r="F2958" t="str">
        <f>"15-K05-04"</f>
        <v>15-K05-04</v>
      </c>
      <c r="G2958">
        <v>0.27139999999999997</v>
      </c>
      <c r="H2958" t="s">
        <v>13</v>
      </c>
      <c r="I2958" t="s">
        <v>10</v>
      </c>
    </row>
    <row r="2959" spans="1:9" x14ac:dyDescent="0.25">
      <c r="A2959" t="str">
        <f t="shared" si="70"/>
        <v>89301000</v>
      </c>
      <c r="B2959" t="str">
        <f>"2353180335"</f>
        <v>2353180335</v>
      </c>
      <c r="C2959" s="1">
        <v>45061</v>
      </c>
      <c r="D2959" s="1">
        <v>45063</v>
      </c>
      <c r="E2959">
        <v>1</v>
      </c>
      <c r="F2959" t="str">
        <f>"03-K02-03"</f>
        <v>03-K02-03</v>
      </c>
      <c r="G2959">
        <v>0.33960000000000001</v>
      </c>
      <c r="H2959" t="s">
        <v>11</v>
      </c>
      <c r="I2959" t="s">
        <v>10</v>
      </c>
    </row>
    <row r="2960" spans="1:9" x14ac:dyDescent="0.25">
      <c r="A2960" t="str">
        <f t="shared" si="70"/>
        <v>89301000</v>
      </c>
      <c r="B2960" t="str">
        <f>"2353190411"</f>
        <v>2353190411</v>
      </c>
      <c r="C2960" s="1">
        <v>45004</v>
      </c>
      <c r="D2960" s="1">
        <v>45007</v>
      </c>
      <c r="E2960">
        <v>1</v>
      </c>
      <c r="F2960" t="str">
        <f>"15-K05-04"</f>
        <v>15-K05-04</v>
      </c>
      <c r="G2960">
        <v>0.27139999999999997</v>
      </c>
      <c r="H2960" t="s">
        <v>13</v>
      </c>
      <c r="I2960" t="s">
        <v>10</v>
      </c>
    </row>
    <row r="2961" spans="1:9" x14ac:dyDescent="0.25">
      <c r="A2961" t="str">
        <f t="shared" si="70"/>
        <v>89301000</v>
      </c>
      <c r="B2961" t="str">
        <f>"2353200058"</f>
        <v>2353200058</v>
      </c>
      <c r="C2961" s="1">
        <v>45005</v>
      </c>
      <c r="D2961" s="1">
        <v>45085</v>
      </c>
      <c r="E2961">
        <v>1</v>
      </c>
      <c r="F2961" t="str">
        <f>"15-M01-02"</f>
        <v>15-M01-02</v>
      </c>
      <c r="G2961">
        <v>16.855899999999998</v>
      </c>
      <c r="H2961" t="s">
        <v>17</v>
      </c>
      <c r="I2961" t="s">
        <v>10</v>
      </c>
    </row>
    <row r="2962" spans="1:9" x14ac:dyDescent="0.25">
      <c r="A2962" t="str">
        <f t="shared" si="70"/>
        <v>89301000</v>
      </c>
      <c r="B2962" t="str">
        <f>"2353210112"</f>
        <v>2353210112</v>
      </c>
      <c r="C2962" s="1">
        <v>45246</v>
      </c>
      <c r="D2962" s="1">
        <v>45248</v>
      </c>
      <c r="E2962">
        <v>1</v>
      </c>
      <c r="F2962" t="str">
        <f>"03-K02-03"</f>
        <v>03-K02-03</v>
      </c>
      <c r="G2962">
        <v>0.33960000000000001</v>
      </c>
      <c r="H2962" t="s">
        <v>11</v>
      </c>
      <c r="I2962" t="s">
        <v>10</v>
      </c>
    </row>
    <row r="2963" spans="1:9" x14ac:dyDescent="0.25">
      <c r="A2963" t="str">
        <f t="shared" si="70"/>
        <v>89301000</v>
      </c>
      <c r="B2963" t="str">
        <f>"2353210112"</f>
        <v>2353210112</v>
      </c>
      <c r="C2963" s="1">
        <v>45006</v>
      </c>
      <c r="D2963" s="1">
        <v>45009</v>
      </c>
      <c r="E2963">
        <v>1</v>
      </c>
      <c r="F2963" t="str">
        <f t="shared" ref="F2963:F2977" si="72">"15-K05-04"</f>
        <v>15-K05-04</v>
      </c>
      <c r="G2963">
        <v>0.27139999999999997</v>
      </c>
      <c r="H2963" t="s">
        <v>13</v>
      </c>
      <c r="I2963" t="s">
        <v>10</v>
      </c>
    </row>
    <row r="2964" spans="1:9" x14ac:dyDescent="0.25">
      <c r="A2964" t="str">
        <f t="shared" si="70"/>
        <v>89301000</v>
      </c>
      <c r="B2964" t="str">
        <f>"2353210596"</f>
        <v>2353210596</v>
      </c>
      <c r="C2964" s="1">
        <v>45006</v>
      </c>
      <c r="D2964" s="1">
        <v>45010</v>
      </c>
      <c r="E2964">
        <v>1</v>
      </c>
      <c r="F2964" t="str">
        <f t="shared" si="72"/>
        <v>15-K05-04</v>
      </c>
      <c r="G2964">
        <v>0.27139999999999997</v>
      </c>
      <c r="H2964" t="s">
        <v>13</v>
      </c>
      <c r="I2964" t="s">
        <v>10</v>
      </c>
    </row>
    <row r="2965" spans="1:9" x14ac:dyDescent="0.25">
      <c r="A2965" t="str">
        <f t="shared" si="70"/>
        <v>89301000</v>
      </c>
      <c r="B2965" t="str">
        <f>"2353230682"</f>
        <v>2353230682</v>
      </c>
      <c r="C2965" s="1">
        <v>45008</v>
      </c>
      <c r="D2965" s="1">
        <v>45011</v>
      </c>
      <c r="E2965">
        <v>1</v>
      </c>
      <c r="F2965" t="str">
        <f t="shared" si="72"/>
        <v>15-K05-04</v>
      </c>
      <c r="G2965">
        <v>0.27139999999999997</v>
      </c>
      <c r="H2965" t="s">
        <v>13</v>
      </c>
      <c r="I2965" t="s">
        <v>10</v>
      </c>
    </row>
    <row r="2966" spans="1:9" x14ac:dyDescent="0.25">
      <c r="A2966" t="str">
        <f t="shared" si="70"/>
        <v>89301000</v>
      </c>
      <c r="B2966" t="str">
        <f>"2353230726"</f>
        <v>2353230726</v>
      </c>
      <c r="C2966" s="1">
        <v>45008</v>
      </c>
      <c r="D2966" s="1">
        <v>45011</v>
      </c>
      <c r="E2966">
        <v>1</v>
      </c>
      <c r="F2966" t="str">
        <f t="shared" si="72"/>
        <v>15-K05-04</v>
      </c>
      <c r="G2966">
        <v>0.27139999999999997</v>
      </c>
      <c r="H2966" t="s">
        <v>13</v>
      </c>
      <c r="I2966" t="s">
        <v>10</v>
      </c>
    </row>
    <row r="2967" spans="1:9" x14ac:dyDescent="0.25">
      <c r="A2967" t="str">
        <f t="shared" si="70"/>
        <v>89301000</v>
      </c>
      <c r="B2967" t="str">
        <f>"2353240571"</f>
        <v>2353240571</v>
      </c>
      <c r="C2967" s="1">
        <v>45009</v>
      </c>
      <c r="D2967" s="1">
        <v>45011</v>
      </c>
      <c r="E2967">
        <v>1</v>
      </c>
      <c r="F2967" t="str">
        <f t="shared" si="72"/>
        <v>15-K05-04</v>
      </c>
      <c r="G2967">
        <v>0.27139999999999997</v>
      </c>
      <c r="H2967" t="s">
        <v>13</v>
      </c>
      <c r="I2967" t="s">
        <v>10</v>
      </c>
    </row>
    <row r="2968" spans="1:9" x14ac:dyDescent="0.25">
      <c r="A2968" t="str">
        <f t="shared" si="70"/>
        <v>89301000</v>
      </c>
      <c r="B2968" t="str">
        <f>"2353250317"</f>
        <v>2353250317</v>
      </c>
      <c r="C2968" s="1">
        <v>45010</v>
      </c>
      <c r="D2968" s="1">
        <v>45013</v>
      </c>
      <c r="E2968">
        <v>1</v>
      </c>
      <c r="F2968" t="str">
        <f t="shared" si="72"/>
        <v>15-K05-04</v>
      </c>
      <c r="G2968">
        <v>0.27139999999999997</v>
      </c>
      <c r="H2968" t="s">
        <v>13</v>
      </c>
      <c r="I2968" t="s">
        <v>10</v>
      </c>
    </row>
    <row r="2969" spans="1:9" x14ac:dyDescent="0.25">
      <c r="A2969" t="str">
        <f t="shared" si="70"/>
        <v>89301000</v>
      </c>
      <c r="B2969" t="str">
        <f>"2353280083"</f>
        <v>2353280083</v>
      </c>
      <c r="C2969" s="1">
        <v>45013</v>
      </c>
      <c r="D2969" s="1">
        <v>45016</v>
      </c>
      <c r="E2969">
        <v>1</v>
      </c>
      <c r="F2969" t="str">
        <f t="shared" si="72"/>
        <v>15-K05-04</v>
      </c>
      <c r="G2969">
        <v>0.27139999999999997</v>
      </c>
      <c r="H2969" t="s">
        <v>13</v>
      </c>
      <c r="I2969" t="s">
        <v>10</v>
      </c>
    </row>
    <row r="2970" spans="1:9" x14ac:dyDescent="0.25">
      <c r="A2970" t="str">
        <f t="shared" si="70"/>
        <v>89301000</v>
      </c>
      <c r="B2970" t="str">
        <f>"2353280699"</f>
        <v>2353280699</v>
      </c>
      <c r="C2970" s="1">
        <v>45013</v>
      </c>
      <c r="D2970" s="1">
        <v>45015</v>
      </c>
      <c r="E2970">
        <v>1</v>
      </c>
      <c r="F2970" t="str">
        <f t="shared" si="72"/>
        <v>15-K05-04</v>
      </c>
      <c r="G2970">
        <v>0.27139999999999997</v>
      </c>
      <c r="H2970" t="s">
        <v>13</v>
      </c>
      <c r="I2970" t="s">
        <v>10</v>
      </c>
    </row>
    <row r="2971" spans="1:9" x14ac:dyDescent="0.25">
      <c r="A2971" t="str">
        <f t="shared" si="70"/>
        <v>89301000</v>
      </c>
      <c r="B2971" t="str">
        <f>"2353290071"</f>
        <v>2353290071</v>
      </c>
      <c r="C2971" s="1">
        <v>45014</v>
      </c>
      <c r="D2971" s="1">
        <v>45016</v>
      </c>
      <c r="E2971">
        <v>1</v>
      </c>
      <c r="F2971" t="str">
        <f t="shared" si="72"/>
        <v>15-K05-04</v>
      </c>
      <c r="G2971">
        <v>0.27139999999999997</v>
      </c>
      <c r="H2971" t="s">
        <v>13</v>
      </c>
      <c r="I2971" t="s">
        <v>10</v>
      </c>
    </row>
    <row r="2972" spans="1:9" x14ac:dyDescent="0.25">
      <c r="A2972" t="str">
        <f t="shared" si="70"/>
        <v>89301000</v>
      </c>
      <c r="B2972" t="str">
        <f>"2353310531"</f>
        <v>2353310531</v>
      </c>
      <c r="C2972" s="1">
        <v>45016</v>
      </c>
      <c r="D2972" s="1">
        <v>45020</v>
      </c>
      <c r="E2972">
        <v>1</v>
      </c>
      <c r="F2972" t="str">
        <f t="shared" si="72"/>
        <v>15-K05-04</v>
      </c>
      <c r="G2972">
        <v>0.27139999999999997</v>
      </c>
      <c r="H2972" t="s">
        <v>13</v>
      </c>
      <c r="I2972" t="s">
        <v>10</v>
      </c>
    </row>
    <row r="2973" spans="1:9" x14ac:dyDescent="0.25">
      <c r="A2973" t="str">
        <f t="shared" si="70"/>
        <v>89301000</v>
      </c>
      <c r="B2973" t="str">
        <f>"2354010340"</f>
        <v>2354010340</v>
      </c>
      <c r="C2973" s="1">
        <v>45017</v>
      </c>
      <c r="D2973" s="1">
        <v>45021</v>
      </c>
      <c r="E2973">
        <v>1</v>
      </c>
      <c r="F2973" t="str">
        <f t="shared" si="72"/>
        <v>15-K05-04</v>
      </c>
      <c r="G2973">
        <v>0.27139999999999997</v>
      </c>
      <c r="H2973" t="s">
        <v>13</v>
      </c>
      <c r="I2973" t="s">
        <v>10</v>
      </c>
    </row>
    <row r="2974" spans="1:9" x14ac:dyDescent="0.25">
      <c r="A2974" t="str">
        <f t="shared" si="70"/>
        <v>89301000</v>
      </c>
      <c r="B2974" t="str">
        <f>"2354040084"</f>
        <v>2354040084</v>
      </c>
      <c r="C2974" s="1">
        <v>45020</v>
      </c>
      <c r="D2974" s="1">
        <v>45023</v>
      </c>
      <c r="E2974">
        <v>1</v>
      </c>
      <c r="F2974" t="str">
        <f t="shared" si="72"/>
        <v>15-K05-04</v>
      </c>
      <c r="G2974">
        <v>0.27139999999999997</v>
      </c>
      <c r="H2974" t="s">
        <v>13</v>
      </c>
      <c r="I2974" t="s">
        <v>10</v>
      </c>
    </row>
    <row r="2975" spans="1:9" x14ac:dyDescent="0.25">
      <c r="A2975" t="str">
        <f t="shared" si="70"/>
        <v>89301000</v>
      </c>
      <c r="B2975" t="str">
        <f>"2354040711"</f>
        <v>2354040711</v>
      </c>
      <c r="C2975" s="1">
        <v>45020</v>
      </c>
      <c r="D2975" s="1">
        <v>45023</v>
      </c>
      <c r="E2975">
        <v>1</v>
      </c>
      <c r="F2975" t="str">
        <f t="shared" si="72"/>
        <v>15-K05-04</v>
      </c>
      <c r="G2975">
        <v>0.27139999999999997</v>
      </c>
      <c r="H2975" t="s">
        <v>13</v>
      </c>
      <c r="I2975" t="s">
        <v>10</v>
      </c>
    </row>
    <row r="2976" spans="1:9" x14ac:dyDescent="0.25">
      <c r="A2976" t="str">
        <f t="shared" si="70"/>
        <v>89301000</v>
      </c>
      <c r="B2976" t="str">
        <f>"2354050083"</f>
        <v>2354050083</v>
      </c>
      <c r="C2976" s="1">
        <v>45021</v>
      </c>
      <c r="D2976" s="1">
        <v>45023</v>
      </c>
      <c r="E2976">
        <v>1</v>
      </c>
      <c r="F2976" t="str">
        <f t="shared" si="72"/>
        <v>15-K05-04</v>
      </c>
      <c r="G2976">
        <v>0.27139999999999997</v>
      </c>
      <c r="H2976" t="s">
        <v>13</v>
      </c>
      <c r="I2976" t="s">
        <v>10</v>
      </c>
    </row>
    <row r="2977" spans="1:9" x14ac:dyDescent="0.25">
      <c r="A2977" t="str">
        <f t="shared" si="70"/>
        <v>89301000</v>
      </c>
      <c r="B2977" t="str">
        <f>"2354070323"</f>
        <v>2354070323</v>
      </c>
      <c r="C2977" s="1">
        <v>45023</v>
      </c>
      <c r="D2977" s="1">
        <v>45026</v>
      </c>
      <c r="E2977">
        <v>1</v>
      </c>
      <c r="F2977" t="str">
        <f t="shared" si="72"/>
        <v>15-K05-04</v>
      </c>
      <c r="G2977">
        <v>0.27139999999999997</v>
      </c>
      <c r="H2977" t="s">
        <v>13</v>
      </c>
      <c r="I2977" t="s">
        <v>10</v>
      </c>
    </row>
    <row r="2978" spans="1:9" x14ac:dyDescent="0.25">
      <c r="A2978" t="str">
        <f t="shared" si="70"/>
        <v>89301000</v>
      </c>
      <c r="B2978" t="str">
        <f>"2354070334"</f>
        <v>2354070334</v>
      </c>
      <c r="C2978" s="1">
        <v>45023</v>
      </c>
      <c r="D2978" s="1">
        <v>45026</v>
      </c>
      <c r="E2978">
        <v>1</v>
      </c>
      <c r="F2978" t="str">
        <f>"15-K04-04"</f>
        <v>15-K04-04</v>
      </c>
      <c r="G2978">
        <v>0.38179999999999997</v>
      </c>
      <c r="H2978" t="s">
        <v>18</v>
      </c>
      <c r="I2978" t="s">
        <v>10</v>
      </c>
    </row>
    <row r="2979" spans="1:9" x14ac:dyDescent="0.25">
      <c r="A2979" t="str">
        <f t="shared" si="70"/>
        <v>89301000</v>
      </c>
      <c r="B2979" t="str">
        <f>"2354090255"</f>
        <v>2354090255</v>
      </c>
      <c r="C2979" s="1">
        <v>45025</v>
      </c>
      <c r="D2979" s="1">
        <v>45028</v>
      </c>
      <c r="E2979">
        <v>1</v>
      </c>
      <c r="F2979" t="str">
        <f t="shared" ref="F2979:F2985" si="73">"15-K05-04"</f>
        <v>15-K05-04</v>
      </c>
      <c r="G2979">
        <v>0.27139999999999997</v>
      </c>
      <c r="H2979" t="s">
        <v>13</v>
      </c>
      <c r="I2979" t="s">
        <v>10</v>
      </c>
    </row>
    <row r="2980" spans="1:9" x14ac:dyDescent="0.25">
      <c r="A2980" t="str">
        <f t="shared" si="70"/>
        <v>89301000</v>
      </c>
      <c r="B2980" t="str">
        <f>"2354090266"</f>
        <v>2354090266</v>
      </c>
      <c r="C2980" s="1">
        <v>45025</v>
      </c>
      <c r="D2980" s="1">
        <v>45028</v>
      </c>
      <c r="E2980">
        <v>1</v>
      </c>
      <c r="F2980" t="str">
        <f t="shared" si="73"/>
        <v>15-K05-04</v>
      </c>
      <c r="G2980">
        <v>0.27139999999999997</v>
      </c>
      <c r="H2980" t="s">
        <v>13</v>
      </c>
      <c r="I2980" t="s">
        <v>10</v>
      </c>
    </row>
    <row r="2981" spans="1:9" x14ac:dyDescent="0.25">
      <c r="A2981" t="str">
        <f t="shared" si="70"/>
        <v>89301000</v>
      </c>
      <c r="B2981" t="str">
        <f>"2354100309"</f>
        <v>2354100309</v>
      </c>
      <c r="C2981" s="1">
        <v>45026</v>
      </c>
      <c r="D2981" s="1">
        <v>45029</v>
      </c>
      <c r="E2981">
        <v>1</v>
      </c>
      <c r="F2981" t="str">
        <f t="shared" si="73"/>
        <v>15-K05-04</v>
      </c>
      <c r="G2981">
        <v>0.27139999999999997</v>
      </c>
      <c r="H2981" t="s">
        <v>13</v>
      </c>
      <c r="I2981" t="s">
        <v>10</v>
      </c>
    </row>
    <row r="2982" spans="1:9" x14ac:dyDescent="0.25">
      <c r="A2982" t="str">
        <f t="shared" si="70"/>
        <v>89301000</v>
      </c>
      <c r="B2982" t="str">
        <f>"2354110627"</f>
        <v>2354110627</v>
      </c>
      <c r="C2982" s="1">
        <v>45027</v>
      </c>
      <c r="D2982" s="1">
        <v>45030</v>
      </c>
      <c r="E2982">
        <v>1</v>
      </c>
      <c r="F2982" t="str">
        <f t="shared" si="73"/>
        <v>15-K05-04</v>
      </c>
      <c r="G2982">
        <v>0.27139999999999997</v>
      </c>
      <c r="H2982" t="s">
        <v>13</v>
      </c>
      <c r="I2982" t="s">
        <v>10</v>
      </c>
    </row>
    <row r="2983" spans="1:9" x14ac:dyDescent="0.25">
      <c r="A2983" t="str">
        <f t="shared" si="70"/>
        <v>89301000</v>
      </c>
      <c r="B2983" t="str">
        <f>"2354120043"</f>
        <v>2354120043</v>
      </c>
      <c r="C2983" s="1">
        <v>45028</v>
      </c>
      <c r="D2983" s="1">
        <v>45030</v>
      </c>
      <c r="E2983">
        <v>1</v>
      </c>
      <c r="F2983" t="str">
        <f t="shared" si="73"/>
        <v>15-K05-04</v>
      </c>
      <c r="G2983">
        <v>0.27139999999999997</v>
      </c>
      <c r="H2983" t="s">
        <v>13</v>
      </c>
      <c r="I2983" t="s">
        <v>10</v>
      </c>
    </row>
    <row r="2984" spans="1:9" x14ac:dyDescent="0.25">
      <c r="A2984" t="str">
        <f t="shared" si="70"/>
        <v>89301000</v>
      </c>
      <c r="B2984" t="str">
        <f>"2354120626"</f>
        <v>2354120626</v>
      </c>
      <c r="C2984" s="1">
        <v>45028</v>
      </c>
      <c r="D2984" s="1">
        <v>45031</v>
      </c>
      <c r="E2984">
        <v>1</v>
      </c>
      <c r="F2984" t="str">
        <f t="shared" si="73"/>
        <v>15-K05-04</v>
      </c>
      <c r="G2984">
        <v>0.27139999999999997</v>
      </c>
      <c r="H2984" t="s">
        <v>13</v>
      </c>
      <c r="I2984" t="s">
        <v>10</v>
      </c>
    </row>
    <row r="2985" spans="1:9" x14ac:dyDescent="0.25">
      <c r="A2985" t="str">
        <f t="shared" si="70"/>
        <v>89301000</v>
      </c>
      <c r="B2985" t="str">
        <f>"2354120637"</f>
        <v>2354120637</v>
      </c>
      <c r="C2985" s="1">
        <v>45028</v>
      </c>
      <c r="D2985" s="1">
        <v>45031</v>
      </c>
      <c r="E2985">
        <v>1</v>
      </c>
      <c r="F2985" t="str">
        <f t="shared" si="73"/>
        <v>15-K05-04</v>
      </c>
      <c r="G2985">
        <v>0.27139999999999997</v>
      </c>
      <c r="H2985" t="s">
        <v>13</v>
      </c>
      <c r="I2985" t="s">
        <v>10</v>
      </c>
    </row>
    <row r="2986" spans="1:9" x14ac:dyDescent="0.25">
      <c r="A2986" t="str">
        <f t="shared" si="70"/>
        <v>89301000</v>
      </c>
      <c r="B2986" t="str">
        <f>"2354120648"</f>
        <v>2354120648</v>
      </c>
      <c r="C2986" s="1">
        <v>45028</v>
      </c>
      <c r="D2986" s="1">
        <v>45034</v>
      </c>
      <c r="E2986">
        <v>1</v>
      </c>
      <c r="F2986" t="str">
        <f>"15-K05-01"</f>
        <v>15-K05-01</v>
      </c>
      <c r="G2986">
        <v>1.1791</v>
      </c>
      <c r="H2986" t="s">
        <v>13</v>
      </c>
      <c r="I2986" t="s">
        <v>10</v>
      </c>
    </row>
    <row r="2987" spans="1:9" x14ac:dyDescent="0.25">
      <c r="A2987" t="str">
        <f t="shared" si="70"/>
        <v>89301000</v>
      </c>
      <c r="B2987" t="str">
        <f>"2354130636"</f>
        <v>2354130636</v>
      </c>
      <c r="C2987" s="1">
        <v>45029</v>
      </c>
      <c r="D2987" s="1">
        <v>45031</v>
      </c>
      <c r="E2987">
        <v>1</v>
      </c>
      <c r="F2987" t="str">
        <f>"15-K05-04"</f>
        <v>15-K05-04</v>
      </c>
      <c r="G2987">
        <v>0.27139999999999997</v>
      </c>
      <c r="H2987" t="s">
        <v>13</v>
      </c>
      <c r="I2987" t="s">
        <v>10</v>
      </c>
    </row>
    <row r="2988" spans="1:9" x14ac:dyDescent="0.25">
      <c r="A2988" t="str">
        <f t="shared" si="70"/>
        <v>89301000</v>
      </c>
      <c r="B2988" t="str">
        <f>"2354130658"</f>
        <v>2354130658</v>
      </c>
      <c r="C2988" s="1">
        <v>45029</v>
      </c>
      <c r="D2988" s="1">
        <v>45032</v>
      </c>
      <c r="E2988">
        <v>1</v>
      </c>
      <c r="F2988" t="str">
        <f>"15-K05-04"</f>
        <v>15-K05-04</v>
      </c>
      <c r="G2988">
        <v>0.27139999999999997</v>
      </c>
      <c r="H2988" t="s">
        <v>13</v>
      </c>
      <c r="I2988" t="s">
        <v>10</v>
      </c>
    </row>
    <row r="2989" spans="1:9" x14ac:dyDescent="0.25">
      <c r="A2989" t="str">
        <f t="shared" si="70"/>
        <v>89301000</v>
      </c>
      <c r="B2989" t="str">
        <f>"2354150172"</f>
        <v>2354150172</v>
      </c>
      <c r="C2989" s="1">
        <v>45031</v>
      </c>
      <c r="D2989" s="1">
        <v>45034</v>
      </c>
      <c r="E2989">
        <v>1</v>
      </c>
      <c r="F2989" t="str">
        <f>"15-K04-04"</f>
        <v>15-K04-04</v>
      </c>
      <c r="G2989">
        <v>0.38179999999999997</v>
      </c>
      <c r="H2989" t="s">
        <v>18</v>
      </c>
      <c r="I2989" t="s">
        <v>10</v>
      </c>
    </row>
    <row r="2990" spans="1:9" x14ac:dyDescent="0.25">
      <c r="A2990" t="str">
        <f t="shared" si="70"/>
        <v>89301000</v>
      </c>
      <c r="B2990" t="str">
        <f>"2354150194"</f>
        <v>2354150194</v>
      </c>
      <c r="C2990" s="1">
        <v>45031</v>
      </c>
      <c r="D2990" s="1">
        <v>45033</v>
      </c>
      <c r="E2990">
        <v>1</v>
      </c>
      <c r="F2990" t="str">
        <f>"15-K05-04"</f>
        <v>15-K05-04</v>
      </c>
      <c r="G2990">
        <v>0.27139999999999997</v>
      </c>
      <c r="H2990" t="s">
        <v>13</v>
      </c>
      <c r="I2990" t="s">
        <v>10</v>
      </c>
    </row>
    <row r="2991" spans="1:9" x14ac:dyDescent="0.25">
      <c r="A2991" t="str">
        <f t="shared" si="70"/>
        <v>89301000</v>
      </c>
      <c r="B2991" t="str">
        <f>"2354170522"</f>
        <v>2354170522</v>
      </c>
      <c r="C2991" s="1">
        <v>45033</v>
      </c>
      <c r="D2991" s="1">
        <v>45040</v>
      </c>
      <c r="E2991">
        <v>1</v>
      </c>
      <c r="F2991" t="str">
        <f>"15-K05-04"</f>
        <v>15-K05-04</v>
      </c>
      <c r="G2991">
        <v>0.33650000000000002</v>
      </c>
      <c r="H2991" t="s">
        <v>13</v>
      </c>
      <c r="I2991" t="s">
        <v>10</v>
      </c>
    </row>
    <row r="2992" spans="1:9" x14ac:dyDescent="0.25">
      <c r="A2992" t="str">
        <f t="shared" si="70"/>
        <v>89301000</v>
      </c>
      <c r="B2992" t="str">
        <f>"2354170533"</f>
        <v>2354170533</v>
      </c>
      <c r="C2992" s="1">
        <v>45033</v>
      </c>
      <c r="D2992" s="1">
        <v>45037</v>
      </c>
      <c r="E2992">
        <v>1</v>
      </c>
      <c r="F2992" t="str">
        <f>"15-M01-07"</f>
        <v>15-M01-07</v>
      </c>
      <c r="G2992">
        <v>2.3370000000000002</v>
      </c>
      <c r="H2992" t="s">
        <v>17</v>
      </c>
      <c r="I2992" t="s">
        <v>10</v>
      </c>
    </row>
    <row r="2993" spans="1:9" x14ac:dyDescent="0.25">
      <c r="A2993" t="str">
        <f t="shared" si="70"/>
        <v>89301000</v>
      </c>
      <c r="B2993" t="str">
        <f>"2354180609"</f>
        <v>2354180609</v>
      </c>
      <c r="C2993" s="1">
        <v>45034</v>
      </c>
      <c r="D2993" s="1">
        <v>45037</v>
      </c>
      <c r="E2993">
        <v>1</v>
      </c>
      <c r="F2993" t="str">
        <f>"15-K05-04"</f>
        <v>15-K05-04</v>
      </c>
      <c r="G2993">
        <v>0.27139999999999997</v>
      </c>
      <c r="H2993" t="s">
        <v>13</v>
      </c>
      <c r="I2993" t="s">
        <v>10</v>
      </c>
    </row>
    <row r="2994" spans="1:9" x14ac:dyDescent="0.25">
      <c r="A2994" t="str">
        <f t="shared" ref="A2994:A3056" si="74">"89301000"</f>
        <v>89301000</v>
      </c>
      <c r="B2994" t="str">
        <f>"2354180631"</f>
        <v>2354180631</v>
      </c>
      <c r="C2994" s="1">
        <v>45034</v>
      </c>
      <c r="D2994" s="1">
        <v>45037</v>
      </c>
      <c r="E2994">
        <v>1</v>
      </c>
      <c r="F2994" t="str">
        <f>"15-K05-04"</f>
        <v>15-K05-04</v>
      </c>
      <c r="G2994">
        <v>0.27139999999999997</v>
      </c>
      <c r="H2994" t="s">
        <v>13</v>
      </c>
      <c r="I2994" t="s">
        <v>10</v>
      </c>
    </row>
    <row r="2995" spans="1:9" x14ac:dyDescent="0.25">
      <c r="A2995" t="str">
        <f t="shared" si="74"/>
        <v>89301000</v>
      </c>
      <c r="B2995" t="str">
        <f>"2354190091"</f>
        <v>2354190091</v>
      </c>
      <c r="C2995" s="1">
        <v>45035</v>
      </c>
      <c r="D2995" s="1">
        <v>45037</v>
      </c>
      <c r="E2995">
        <v>1</v>
      </c>
      <c r="F2995" t="str">
        <f>"15-K05-04"</f>
        <v>15-K05-04</v>
      </c>
      <c r="G2995">
        <v>0.27139999999999997</v>
      </c>
      <c r="H2995" t="s">
        <v>13</v>
      </c>
      <c r="I2995" t="s">
        <v>10</v>
      </c>
    </row>
    <row r="2996" spans="1:9" x14ac:dyDescent="0.25">
      <c r="A2996" t="str">
        <f t="shared" si="74"/>
        <v>89301000</v>
      </c>
      <c r="B2996" t="str">
        <f>"2354190586"</f>
        <v>2354190586</v>
      </c>
      <c r="C2996" s="1">
        <v>45035</v>
      </c>
      <c r="D2996" s="1">
        <v>45038</v>
      </c>
      <c r="E2996">
        <v>1</v>
      </c>
      <c r="F2996" t="str">
        <f>"15-K05-04"</f>
        <v>15-K05-04</v>
      </c>
      <c r="G2996">
        <v>0.27139999999999997</v>
      </c>
      <c r="H2996" t="s">
        <v>13</v>
      </c>
      <c r="I2996" t="s">
        <v>10</v>
      </c>
    </row>
    <row r="2997" spans="1:9" x14ac:dyDescent="0.25">
      <c r="A2997" t="str">
        <f t="shared" si="74"/>
        <v>89301000</v>
      </c>
      <c r="B2997" t="str">
        <f>"2354190619"</f>
        <v>2354190619</v>
      </c>
      <c r="C2997" s="1">
        <v>45035</v>
      </c>
      <c r="D2997" s="1">
        <v>45040</v>
      </c>
      <c r="E2997">
        <v>1</v>
      </c>
      <c r="F2997" t="str">
        <f>"15-K04-02"</f>
        <v>15-K04-02</v>
      </c>
      <c r="G2997">
        <v>1.0172000000000001</v>
      </c>
      <c r="H2997" t="s">
        <v>18</v>
      </c>
      <c r="I2997" t="s">
        <v>10</v>
      </c>
    </row>
    <row r="2998" spans="1:9" x14ac:dyDescent="0.25">
      <c r="A2998" t="str">
        <f t="shared" si="74"/>
        <v>89301000</v>
      </c>
      <c r="B2998" t="str">
        <f>"2354191334"</f>
        <v>2354191334</v>
      </c>
      <c r="C2998" s="1">
        <v>45035</v>
      </c>
      <c r="D2998" s="1">
        <v>45041</v>
      </c>
      <c r="E2998">
        <v>1</v>
      </c>
      <c r="F2998" t="str">
        <f>"15-K06-04"</f>
        <v>15-K06-04</v>
      </c>
      <c r="G2998">
        <v>0.55330000000000001</v>
      </c>
      <c r="H2998" t="s">
        <v>13</v>
      </c>
      <c r="I2998" t="s">
        <v>10</v>
      </c>
    </row>
    <row r="2999" spans="1:9" x14ac:dyDescent="0.25">
      <c r="A2999" t="str">
        <f t="shared" si="74"/>
        <v>89301000</v>
      </c>
      <c r="B2999" t="str">
        <f>"2354200497"</f>
        <v>2354200497</v>
      </c>
      <c r="C2999" s="1">
        <v>45039</v>
      </c>
      <c r="D2999" s="1">
        <v>45041</v>
      </c>
      <c r="E2999">
        <v>1</v>
      </c>
      <c r="F2999" t="str">
        <f>"99-K03-00"</f>
        <v>99-K03-00</v>
      </c>
      <c r="G2999">
        <v>0.1268</v>
      </c>
      <c r="H2999" t="s">
        <v>11</v>
      </c>
      <c r="I2999" t="s">
        <v>10</v>
      </c>
    </row>
    <row r="3000" spans="1:9" x14ac:dyDescent="0.25">
      <c r="A3000" t="str">
        <f t="shared" si="74"/>
        <v>89301000</v>
      </c>
      <c r="B3000" t="str">
        <f>"2354200519"</f>
        <v>2354200519</v>
      </c>
      <c r="C3000" s="1">
        <v>45036</v>
      </c>
      <c r="D3000" s="1">
        <v>45039</v>
      </c>
      <c r="E3000">
        <v>1</v>
      </c>
      <c r="F3000" t="str">
        <f>"15-K05-04"</f>
        <v>15-K05-04</v>
      </c>
      <c r="G3000">
        <v>0.27139999999999997</v>
      </c>
      <c r="H3000" t="s">
        <v>13</v>
      </c>
      <c r="I3000" t="s">
        <v>10</v>
      </c>
    </row>
    <row r="3001" spans="1:9" x14ac:dyDescent="0.25">
      <c r="A3001" t="str">
        <f t="shared" si="74"/>
        <v>89301000</v>
      </c>
      <c r="B3001" t="str">
        <f>"2354230197"</f>
        <v>2354230197</v>
      </c>
      <c r="C3001" s="1">
        <v>45039</v>
      </c>
      <c r="D3001" s="1">
        <v>45042</v>
      </c>
      <c r="E3001">
        <v>1</v>
      </c>
      <c r="F3001" t="str">
        <f>"15-K05-04"</f>
        <v>15-K05-04</v>
      </c>
      <c r="G3001">
        <v>0.27139999999999997</v>
      </c>
      <c r="H3001" t="s">
        <v>13</v>
      </c>
      <c r="I3001" t="s">
        <v>10</v>
      </c>
    </row>
    <row r="3002" spans="1:9" x14ac:dyDescent="0.25">
      <c r="A3002" t="str">
        <f t="shared" si="74"/>
        <v>89301000</v>
      </c>
      <c r="B3002" t="str">
        <f>"2354230230"</f>
        <v>2354230230</v>
      </c>
      <c r="C3002" s="1">
        <v>45039</v>
      </c>
      <c r="D3002" s="1">
        <v>45041</v>
      </c>
      <c r="E3002">
        <v>1</v>
      </c>
      <c r="F3002" t="str">
        <f>"15-K05-04"</f>
        <v>15-K05-04</v>
      </c>
      <c r="G3002">
        <v>0.27139999999999997</v>
      </c>
      <c r="H3002" t="s">
        <v>13</v>
      </c>
      <c r="I3002" t="s">
        <v>10</v>
      </c>
    </row>
    <row r="3003" spans="1:9" x14ac:dyDescent="0.25">
      <c r="A3003" t="str">
        <f t="shared" si="74"/>
        <v>89301000</v>
      </c>
      <c r="B3003" t="str">
        <f>"2354230285"</f>
        <v>2354230285</v>
      </c>
      <c r="C3003" s="1">
        <v>45039</v>
      </c>
      <c r="D3003" s="1">
        <v>45041</v>
      </c>
      <c r="E3003">
        <v>1</v>
      </c>
      <c r="F3003" t="str">
        <f>"15-K05-04"</f>
        <v>15-K05-04</v>
      </c>
      <c r="G3003">
        <v>0.27139999999999997</v>
      </c>
      <c r="H3003" t="s">
        <v>13</v>
      </c>
      <c r="I3003" t="s">
        <v>10</v>
      </c>
    </row>
    <row r="3004" spans="1:9" x14ac:dyDescent="0.25">
      <c r="A3004" t="str">
        <f t="shared" si="74"/>
        <v>89301000</v>
      </c>
      <c r="B3004" t="str">
        <f>"2354230296"</f>
        <v>2354230296</v>
      </c>
      <c r="C3004" s="1">
        <v>45039</v>
      </c>
      <c r="D3004" s="1">
        <v>45041</v>
      </c>
      <c r="E3004">
        <v>1</v>
      </c>
      <c r="F3004" t="str">
        <f>"15-K04-04"</f>
        <v>15-K04-04</v>
      </c>
      <c r="G3004">
        <v>0.38179999999999997</v>
      </c>
      <c r="H3004" t="s">
        <v>18</v>
      </c>
      <c r="I3004" t="s">
        <v>10</v>
      </c>
    </row>
    <row r="3005" spans="1:9" x14ac:dyDescent="0.25">
      <c r="A3005" t="str">
        <f t="shared" si="74"/>
        <v>89301000</v>
      </c>
      <c r="B3005" t="str">
        <f>"2354230307"</f>
        <v>2354230307</v>
      </c>
      <c r="C3005" s="1">
        <v>45039</v>
      </c>
      <c r="D3005" s="1">
        <v>45040</v>
      </c>
      <c r="E3005">
        <v>1</v>
      </c>
      <c r="F3005" t="str">
        <f>"15-K05-04"</f>
        <v>15-K05-04</v>
      </c>
      <c r="G3005">
        <v>0.27139999999999997</v>
      </c>
      <c r="H3005" t="s">
        <v>13</v>
      </c>
      <c r="I3005" t="s">
        <v>10</v>
      </c>
    </row>
    <row r="3006" spans="1:9" x14ac:dyDescent="0.25">
      <c r="A3006" t="str">
        <f t="shared" si="74"/>
        <v>89301000</v>
      </c>
      <c r="B3006" t="str">
        <f>"2354230329"</f>
        <v>2354230329</v>
      </c>
      <c r="C3006" s="1">
        <v>45039</v>
      </c>
      <c r="D3006" s="1">
        <v>45042</v>
      </c>
      <c r="E3006">
        <v>1</v>
      </c>
      <c r="F3006" t="str">
        <f>"15-K05-04"</f>
        <v>15-K05-04</v>
      </c>
      <c r="G3006">
        <v>0.27139999999999997</v>
      </c>
      <c r="H3006" t="s">
        <v>13</v>
      </c>
      <c r="I3006" t="s">
        <v>10</v>
      </c>
    </row>
    <row r="3007" spans="1:9" x14ac:dyDescent="0.25">
      <c r="A3007" t="str">
        <f t="shared" si="74"/>
        <v>89301000</v>
      </c>
      <c r="B3007" t="str">
        <f>"2354240493"</f>
        <v>2354240493</v>
      </c>
      <c r="C3007" s="1">
        <v>45040</v>
      </c>
      <c r="D3007" s="1">
        <v>45070</v>
      </c>
      <c r="E3007">
        <v>1</v>
      </c>
      <c r="F3007" t="str">
        <f>"15-K02-03"</f>
        <v>15-K02-03</v>
      </c>
      <c r="G3007">
        <v>3.4693000000000001</v>
      </c>
      <c r="H3007" t="s">
        <v>18</v>
      </c>
      <c r="I3007" t="s">
        <v>10</v>
      </c>
    </row>
    <row r="3008" spans="1:9" x14ac:dyDescent="0.25">
      <c r="A3008" t="str">
        <f t="shared" si="74"/>
        <v>89301000</v>
      </c>
      <c r="B3008" t="str">
        <f>"2354240504"</f>
        <v>2354240504</v>
      </c>
      <c r="C3008" s="1">
        <v>45040</v>
      </c>
      <c r="D3008" s="1">
        <v>45041</v>
      </c>
      <c r="E3008">
        <v>1</v>
      </c>
      <c r="F3008" t="str">
        <f>"15-K05-04"</f>
        <v>15-K05-04</v>
      </c>
      <c r="G3008">
        <v>0.27139999999999997</v>
      </c>
      <c r="H3008" t="s">
        <v>13</v>
      </c>
      <c r="I3008" t="s">
        <v>10</v>
      </c>
    </row>
    <row r="3009" spans="1:9" x14ac:dyDescent="0.25">
      <c r="A3009" t="str">
        <f t="shared" si="74"/>
        <v>89301000</v>
      </c>
      <c r="B3009" t="str">
        <f>"2354250063"</f>
        <v>2354250063</v>
      </c>
      <c r="C3009" s="1">
        <v>45041</v>
      </c>
      <c r="D3009" s="1">
        <v>45044</v>
      </c>
      <c r="E3009">
        <v>1</v>
      </c>
      <c r="F3009" t="str">
        <f>"15-K05-04"</f>
        <v>15-K05-04</v>
      </c>
      <c r="G3009">
        <v>0.27139999999999997</v>
      </c>
      <c r="H3009" t="s">
        <v>13</v>
      </c>
      <c r="I3009" t="s">
        <v>10</v>
      </c>
    </row>
    <row r="3010" spans="1:9" x14ac:dyDescent="0.25">
      <c r="A3010" t="str">
        <f t="shared" si="74"/>
        <v>89301000</v>
      </c>
      <c r="B3010" t="str">
        <f>"2354250448"</f>
        <v>2354250448</v>
      </c>
      <c r="C3010" s="1">
        <v>45041</v>
      </c>
      <c r="D3010" s="1">
        <v>45045</v>
      </c>
      <c r="E3010">
        <v>1</v>
      </c>
      <c r="F3010" t="str">
        <f>"15-K05-04"</f>
        <v>15-K05-04</v>
      </c>
      <c r="G3010">
        <v>0.27139999999999997</v>
      </c>
      <c r="H3010" t="s">
        <v>13</v>
      </c>
      <c r="I3010" t="s">
        <v>10</v>
      </c>
    </row>
    <row r="3011" spans="1:9" x14ac:dyDescent="0.25">
      <c r="A3011" t="str">
        <f t="shared" si="74"/>
        <v>89301000</v>
      </c>
      <c r="B3011" t="str">
        <f>"2354260656"</f>
        <v>2354260656</v>
      </c>
      <c r="C3011" s="1">
        <v>45042</v>
      </c>
      <c r="D3011" s="1">
        <v>45063</v>
      </c>
      <c r="E3011">
        <v>1</v>
      </c>
      <c r="F3011" t="str">
        <f>"15-M01-03"</f>
        <v>15-M01-03</v>
      </c>
      <c r="G3011">
        <v>8.0404999999999998</v>
      </c>
      <c r="H3011" t="s">
        <v>17</v>
      </c>
      <c r="I3011" t="s">
        <v>10</v>
      </c>
    </row>
    <row r="3012" spans="1:9" x14ac:dyDescent="0.25">
      <c r="A3012" t="str">
        <f t="shared" si="74"/>
        <v>89301000</v>
      </c>
      <c r="B3012" t="str">
        <f>"2354270523"</f>
        <v>2354270523</v>
      </c>
      <c r="C3012" s="1">
        <v>45043</v>
      </c>
      <c r="D3012" s="1">
        <v>45046</v>
      </c>
      <c r="E3012">
        <v>1</v>
      </c>
      <c r="F3012" t="str">
        <f>"15-K05-04"</f>
        <v>15-K05-04</v>
      </c>
      <c r="G3012">
        <v>0.27139999999999997</v>
      </c>
      <c r="H3012" t="s">
        <v>13</v>
      </c>
      <c r="I3012" t="s">
        <v>10</v>
      </c>
    </row>
    <row r="3013" spans="1:9" x14ac:dyDescent="0.25">
      <c r="A3013" t="str">
        <f t="shared" si="74"/>
        <v>89301000</v>
      </c>
      <c r="B3013" t="str">
        <f>"2354280720"</f>
        <v>2354280720</v>
      </c>
      <c r="C3013" s="1">
        <v>45044</v>
      </c>
      <c r="D3013" s="1">
        <v>45047</v>
      </c>
      <c r="E3013">
        <v>1</v>
      </c>
      <c r="F3013" t="str">
        <f>"15-K05-04"</f>
        <v>15-K05-04</v>
      </c>
      <c r="G3013">
        <v>0.27139999999999997</v>
      </c>
      <c r="H3013" t="s">
        <v>13</v>
      </c>
      <c r="I3013" t="s">
        <v>10</v>
      </c>
    </row>
    <row r="3014" spans="1:9" x14ac:dyDescent="0.25">
      <c r="A3014" t="str">
        <f t="shared" si="74"/>
        <v>89301000</v>
      </c>
      <c r="B3014" t="str">
        <f>"2354280764"</f>
        <v>2354280764</v>
      </c>
      <c r="C3014" s="1">
        <v>45044</v>
      </c>
      <c r="D3014" s="1">
        <v>45047</v>
      </c>
      <c r="E3014">
        <v>1</v>
      </c>
      <c r="F3014" t="str">
        <f>"15-K05-04"</f>
        <v>15-K05-04</v>
      </c>
      <c r="G3014">
        <v>0.27139999999999997</v>
      </c>
      <c r="H3014" t="s">
        <v>13</v>
      </c>
      <c r="I3014" t="s">
        <v>10</v>
      </c>
    </row>
    <row r="3015" spans="1:9" x14ac:dyDescent="0.25">
      <c r="A3015" t="str">
        <f t="shared" si="74"/>
        <v>89301000</v>
      </c>
      <c r="B3015" t="str">
        <f>"2355010284"</f>
        <v>2355010284</v>
      </c>
      <c r="C3015" s="1">
        <v>45047</v>
      </c>
      <c r="D3015" s="1">
        <v>45077</v>
      </c>
      <c r="E3015">
        <v>1</v>
      </c>
      <c r="F3015" t="str">
        <f>"15-K02-03"</f>
        <v>15-K02-03</v>
      </c>
      <c r="G3015">
        <v>3.4693000000000001</v>
      </c>
      <c r="H3015" t="s">
        <v>18</v>
      </c>
      <c r="I3015" t="s">
        <v>10</v>
      </c>
    </row>
    <row r="3016" spans="1:9" x14ac:dyDescent="0.25">
      <c r="A3016" t="str">
        <f t="shared" si="74"/>
        <v>89301000</v>
      </c>
      <c r="B3016" t="str">
        <f>"2355010317"</f>
        <v>2355010317</v>
      </c>
      <c r="C3016" s="1">
        <v>45047</v>
      </c>
      <c r="D3016" s="1">
        <v>45050</v>
      </c>
      <c r="E3016">
        <v>1</v>
      </c>
      <c r="F3016" t="str">
        <f>"15-K05-04"</f>
        <v>15-K05-04</v>
      </c>
      <c r="G3016">
        <v>0.27139999999999997</v>
      </c>
      <c r="H3016" t="s">
        <v>13</v>
      </c>
      <c r="I3016" t="s">
        <v>10</v>
      </c>
    </row>
    <row r="3017" spans="1:9" x14ac:dyDescent="0.25">
      <c r="A3017" t="str">
        <f t="shared" si="74"/>
        <v>89301000</v>
      </c>
      <c r="B3017" t="str">
        <f>"2355020602"</f>
        <v>2355020602</v>
      </c>
      <c r="C3017" s="1">
        <v>45048</v>
      </c>
      <c r="D3017" s="1">
        <v>45052</v>
      </c>
      <c r="E3017">
        <v>1</v>
      </c>
      <c r="F3017" t="str">
        <f>"15-K05-04"</f>
        <v>15-K05-04</v>
      </c>
      <c r="G3017">
        <v>0.27139999999999997</v>
      </c>
      <c r="H3017" t="s">
        <v>13</v>
      </c>
      <c r="I3017" t="s">
        <v>10</v>
      </c>
    </row>
    <row r="3018" spans="1:9" x14ac:dyDescent="0.25">
      <c r="A3018" t="str">
        <f t="shared" si="74"/>
        <v>89301000</v>
      </c>
      <c r="B3018" t="str">
        <f>"2355020613"</f>
        <v>2355020613</v>
      </c>
      <c r="C3018" s="1">
        <v>45048</v>
      </c>
      <c r="D3018" s="1">
        <v>45052</v>
      </c>
      <c r="E3018">
        <v>1</v>
      </c>
      <c r="F3018" t="str">
        <f>"15-K05-04"</f>
        <v>15-K05-04</v>
      </c>
      <c r="G3018">
        <v>0.27139999999999997</v>
      </c>
      <c r="H3018" t="s">
        <v>13</v>
      </c>
      <c r="I3018" t="s">
        <v>10</v>
      </c>
    </row>
    <row r="3019" spans="1:9" x14ac:dyDescent="0.25">
      <c r="A3019" t="str">
        <f t="shared" si="74"/>
        <v>89301000</v>
      </c>
      <c r="B3019" t="str">
        <f>"2355020624"</f>
        <v>2355020624</v>
      </c>
      <c r="C3019" s="1">
        <v>45048</v>
      </c>
      <c r="D3019" s="1">
        <v>45052</v>
      </c>
      <c r="E3019">
        <v>1</v>
      </c>
      <c r="F3019" t="str">
        <f>"15-K05-04"</f>
        <v>15-K05-04</v>
      </c>
      <c r="G3019">
        <v>0.27139999999999997</v>
      </c>
      <c r="H3019" t="s">
        <v>13</v>
      </c>
      <c r="I3019" t="s">
        <v>10</v>
      </c>
    </row>
    <row r="3020" spans="1:9" x14ac:dyDescent="0.25">
      <c r="A3020" t="str">
        <f t="shared" si="74"/>
        <v>89301000</v>
      </c>
      <c r="B3020" t="str">
        <f>"2355040512"</f>
        <v>2355040512</v>
      </c>
      <c r="C3020" s="1">
        <v>45050</v>
      </c>
      <c r="D3020" s="1">
        <v>45055</v>
      </c>
      <c r="E3020">
        <v>8</v>
      </c>
      <c r="F3020" t="str">
        <f>"15-M01-04"</f>
        <v>15-M01-04</v>
      </c>
      <c r="G3020">
        <v>3.6804999999999999</v>
      </c>
      <c r="H3020" t="s">
        <v>17</v>
      </c>
      <c r="I3020" t="s">
        <v>10</v>
      </c>
    </row>
    <row r="3021" spans="1:9" x14ac:dyDescent="0.25">
      <c r="A3021" t="str">
        <f t="shared" si="74"/>
        <v>89301000</v>
      </c>
      <c r="B3021" t="str">
        <f>"2355040545"</f>
        <v>2355040545</v>
      </c>
      <c r="C3021" s="1">
        <v>45050</v>
      </c>
      <c r="D3021" s="1">
        <v>45053</v>
      </c>
      <c r="E3021">
        <v>1</v>
      </c>
      <c r="F3021" t="str">
        <f>"15-K05-04"</f>
        <v>15-K05-04</v>
      </c>
      <c r="G3021">
        <v>0.27139999999999997</v>
      </c>
      <c r="H3021" t="s">
        <v>13</v>
      </c>
      <c r="I3021" t="s">
        <v>10</v>
      </c>
    </row>
    <row r="3022" spans="1:9" x14ac:dyDescent="0.25">
      <c r="A3022" t="str">
        <f t="shared" si="74"/>
        <v>89301000</v>
      </c>
      <c r="B3022" t="str">
        <f>"2355040556"</f>
        <v>2355040556</v>
      </c>
      <c r="C3022" s="1">
        <v>45050</v>
      </c>
      <c r="D3022" s="1">
        <v>45052</v>
      </c>
      <c r="E3022">
        <v>5</v>
      </c>
      <c r="F3022" t="str">
        <f>"15-K06-03"</f>
        <v>15-K06-03</v>
      </c>
      <c r="G3022">
        <v>0.70520000000000005</v>
      </c>
      <c r="H3022" t="s">
        <v>13</v>
      </c>
      <c r="I3022" t="s">
        <v>10</v>
      </c>
    </row>
    <row r="3023" spans="1:9" x14ac:dyDescent="0.25">
      <c r="A3023" t="str">
        <f t="shared" si="74"/>
        <v>89301000</v>
      </c>
      <c r="B3023" t="str">
        <f>"2355050709"</f>
        <v>2355050709</v>
      </c>
      <c r="C3023" s="1">
        <v>45051</v>
      </c>
      <c r="D3023" s="1">
        <v>45053</v>
      </c>
      <c r="E3023">
        <v>1</v>
      </c>
      <c r="F3023" t="str">
        <f>"15-K05-04"</f>
        <v>15-K05-04</v>
      </c>
      <c r="G3023">
        <v>0.27139999999999997</v>
      </c>
      <c r="H3023" t="s">
        <v>13</v>
      </c>
      <c r="I3023" t="s">
        <v>10</v>
      </c>
    </row>
    <row r="3024" spans="1:9" x14ac:dyDescent="0.25">
      <c r="A3024" t="str">
        <f t="shared" si="74"/>
        <v>89301000</v>
      </c>
      <c r="B3024" t="str">
        <f>"2355060367"</f>
        <v>2355060367</v>
      </c>
      <c r="C3024" s="1">
        <v>45052</v>
      </c>
      <c r="D3024" s="1">
        <v>45054</v>
      </c>
      <c r="E3024">
        <v>1</v>
      </c>
      <c r="F3024" t="str">
        <f>"15-K05-04"</f>
        <v>15-K05-04</v>
      </c>
      <c r="G3024">
        <v>0.27139999999999997</v>
      </c>
      <c r="H3024" t="s">
        <v>13</v>
      </c>
      <c r="I3024" t="s">
        <v>10</v>
      </c>
    </row>
    <row r="3025" spans="1:9" x14ac:dyDescent="0.25">
      <c r="A3025" t="str">
        <f t="shared" si="74"/>
        <v>89301000</v>
      </c>
      <c r="B3025" t="str">
        <f>"2355070311"</f>
        <v>2355070311</v>
      </c>
      <c r="C3025" s="1">
        <v>45053</v>
      </c>
      <c r="D3025" s="1">
        <v>45056</v>
      </c>
      <c r="E3025">
        <v>1</v>
      </c>
      <c r="F3025" t="str">
        <f>"15-K05-04"</f>
        <v>15-K05-04</v>
      </c>
      <c r="G3025">
        <v>0.27139999999999997</v>
      </c>
      <c r="H3025" t="s">
        <v>13</v>
      </c>
      <c r="I3025" t="s">
        <v>10</v>
      </c>
    </row>
    <row r="3026" spans="1:9" x14ac:dyDescent="0.25">
      <c r="A3026" t="str">
        <f t="shared" si="74"/>
        <v>89301000</v>
      </c>
      <c r="B3026" t="str">
        <f>"2355070344"</f>
        <v>2355070344</v>
      </c>
      <c r="C3026" s="1">
        <v>45053</v>
      </c>
      <c r="D3026" s="1">
        <v>45056</v>
      </c>
      <c r="E3026">
        <v>1</v>
      </c>
      <c r="F3026" t="str">
        <f>"15-K05-04"</f>
        <v>15-K05-04</v>
      </c>
      <c r="G3026">
        <v>0.27139999999999997</v>
      </c>
      <c r="H3026" t="s">
        <v>13</v>
      </c>
      <c r="I3026" t="s">
        <v>10</v>
      </c>
    </row>
    <row r="3027" spans="1:9" x14ac:dyDescent="0.25">
      <c r="A3027" t="str">
        <f t="shared" si="74"/>
        <v>89301000</v>
      </c>
      <c r="B3027" t="str">
        <f>"2355090045"</f>
        <v>2355090045</v>
      </c>
      <c r="C3027" s="1">
        <v>45055</v>
      </c>
      <c r="D3027" s="1">
        <v>45058</v>
      </c>
      <c r="E3027">
        <v>1</v>
      </c>
      <c r="F3027" t="str">
        <f>"15-K05-04"</f>
        <v>15-K05-04</v>
      </c>
      <c r="G3027">
        <v>0.27139999999999997</v>
      </c>
      <c r="H3027" t="s">
        <v>13</v>
      </c>
      <c r="I3027" t="s">
        <v>10</v>
      </c>
    </row>
    <row r="3028" spans="1:9" x14ac:dyDescent="0.25">
      <c r="A3028" t="str">
        <f t="shared" si="74"/>
        <v>89301000</v>
      </c>
      <c r="B3028" t="str">
        <f>"2355090551"</f>
        <v>2355090551</v>
      </c>
      <c r="C3028" s="1">
        <v>45055</v>
      </c>
      <c r="D3028" s="1">
        <v>45059</v>
      </c>
      <c r="E3028">
        <v>1</v>
      </c>
      <c r="F3028" t="str">
        <f>"15-K05-01"</f>
        <v>15-K05-01</v>
      </c>
      <c r="G3028">
        <v>1.1777</v>
      </c>
      <c r="H3028" t="s">
        <v>13</v>
      </c>
      <c r="I3028" t="s">
        <v>10</v>
      </c>
    </row>
    <row r="3029" spans="1:9" x14ac:dyDescent="0.25">
      <c r="A3029" t="str">
        <f t="shared" si="74"/>
        <v>89301000</v>
      </c>
      <c r="B3029" t="str">
        <f>"2355090573"</f>
        <v>2355090573</v>
      </c>
      <c r="C3029" s="1">
        <v>45055</v>
      </c>
      <c r="D3029" s="1">
        <v>45058</v>
      </c>
      <c r="E3029">
        <v>1</v>
      </c>
      <c r="F3029" t="str">
        <f t="shared" ref="F3029:F3039" si="75">"15-K05-04"</f>
        <v>15-K05-04</v>
      </c>
      <c r="G3029">
        <v>0.27139999999999997</v>
      </c>
      <c r="H3029" t="s">
        <v>13</v>
      </c>
      <c r="I3029" t="s">
        <v>10</v>
      </c>
    </row>
    <row r="3030" spans="1:9" x14ac:dyDescent="0.25">
      <c r="A3030" t="str">
        <f t="shared" si="74"/>
        <v>89301000</v>
      </c>
      <c r="B3030" t="str">
        <f>"2355090584"</f>
        <v>2355090584</v>
      </c>
      <c r="C3030" s="1">
        <v>45055</v>
      </c>
      <c r="D3030" s="1">
        <v>45062</v>
      </c>
      <c r="E3030">
        <v>1</v>
      </c>
      <c r="F3030" t="str">
        <f t="shared" si="75"/>
        <v>15-K05-04</v>
      </c>
      <c r="G3030">
        <v>0.33650000000000002</v>
      </c>
      <c r="H3030" t="s">
        <v>13</v>
      </c>
      <c r="I3030" t="s">
        <v>10</v>
      </c>
    </row>
    <row r="3031" spans="1:9" x14ac:dyDescent="0.25">
      <c r="A3031" t="str">
        <f t="shared" si="74"/>
        <v>89301000</v>
      </c>
      <c r="B3031" t="str">
        <f>"2355110109"</f>
        <v>2355110109</v>
      </c>
      <c r="C3031" s="1">
        <v>45057</v>
      </c>
      <c r="D3031" s="1">
        <v>45059</v>
      </c>
      <c r="E3031">
        <v>1</v>
      </c>
      <c r="F3031" t="str">
        <f t="shared" si="75"/>
        <v>15-K05-04</v>
      </c>
      <c r="G3031">
        <v>0.27139999999999997</v>
      </c>
      <c r="H3031" t="s">
        <v>13</v>
      </c>
      <c r="I3031" t="s">
        <v>10</v>
      </c>
    </row>
    <row r="3032" spans="1:9" x14ac:dyDescent="0.25">
      <c r="A3032" t="str">
        <f t="shared" si="74"/>
        <v>89301000</v>
      </c>
      <c r="B3032" t="str">
        <f>"2355110571"</f>
        <v>2355110571</v>
      </c>
      <c r="C3032" s="1">
        <v>45057</v>
      </c>
      <c r="D3032" s="1">
        <v>45060</v>
      </c>
      <c r="E3032">
        <v>1</v>
      </c>
      <c r="F3032" t="str">
        <f t="shared" si="75"/>
        <v>15-K05-04</v>
      </c>
      <c r="G3032">
        <v>0.27139999999999997</v>
      </c>
      <c r="H3032" t="s">
        <v>13</v>
      </c>
      <c r="I3032" t="s">
        <v>10</v>
      </c>
    </row>
    <row r="3033" spans="1:9" x14ac:dyDescent="0.25">
      <c r="A3033" t="str">
        <f t="shared" si="74"/>
        <v>89301000</v>
      </c>
      <c r="B3033" t="str">
        <f>"2355150446"</f>
        <v>2355150446</v>
      </c>
      <c r="C3033" s="1">
        <v>45061</v>
      </c>
      <c r="D3033" s="1">
        <v>45064</v>
      </c>
      <c r="E3033">
        <v>1</v>
      </c>
      <c r="F3033" t="str">
        <f t="shared" si="75"/>
        <v>15-K05-04</v>
      </c>
      <c r="G3033">
        <v>0.27139999999999997</v>
      </c>
      <c r="H3033" t="s">
        <v>13</v>
      </c>
      <c r="I3033" t="s">
        <v>10</v>
      </c>
    </row>
    <row r="3034" spans="1:9" x14ac:dyDescent="0.25">
      <c r="A3034" t="str">
        <f t="shared" si="74"/>
        <v>89301000</v>
      </c>
      <c r="B3034" t="str">
        <f>"2355170642"</f>
        <v>2355170642</v>
      </c>
      <c r="C3034" s="1">
        <v>45063</v>
      </c>
      <c r="D3034" s="1">
        <v>45068</v>
      </c>
      <c r="E3034">
        <v>1</v>
      </c>
      <c r="F3034" t="str">
        <f t="shared" si="75"/>
        <v>15-K05-04</v>
      </c>
      <c r="G3034">
        <v>0.27139999999999997</v>
      </c>
      <c r="H3034" t="s">
        <v>13</v>
      </c>
      <c r="I3034" t="s">
        <v>10</v>
      </c>
    </row>
    <row r="3035" spans="1:9" x14ac:dyDescent="0.25">
      <c r="A3035" t="str">
        <f t="shared" si="74"/>
        <v>89301000</v>
      </c>
      <c r="B3035" t="str">
        <f>"2355170686"</f>
        <v>2355170686</v>
      </c>
      <c r="C3035" s="1">
        <v>45063</v>
      </c>
      <c r="D3035" s="1">
        <v>45066</v>
      </c>
      <c r="E3035">
        <v>1</v>
      </c>
      <c r="F3035" t="str">
        <f t="shared" si="75"/>
        <v>15-K05-04</v>
      </c>
      <c r="G3035">
        <v>0.27139999999999997</v>
      </c>
      <c r="H3035" t="s">
        <v>13</v>
      </c>
      <c r="I3035" t="s">
        <v>10</v>
      </c>
    </row>
    <row r="3036" spans="1:9" x14ac:dyDescent="0.25">
      <c r="A3036" t="str">
        <f t="shared" si="74"/>
        <v>89301000</v>
      </c>
      <c r="B3036" t="str">
        <f>"2355220637"</f>
        <v>2355220637</v>
      </c>
      <c r="C3036" s="1">
        <v>45068</v>
      </c>
      <c r="D3036" s="1">
        <v>45070</v>
      </c>
      <c r="E3036">
        <v>1</v>
      </c>
      <c r="F3036" t="str">
        <f t="shared" si="75"/>
        <v>15-K05-04</v>
      </c>
      <c r="G3036">
        <v>0.27139999999999997</v>
      </c>
      <c r="H3036" t="s">
        <v>13</v>
      </c>
      <c r="I3036" t="s">
        <v>10</v>
      </c>
    </row>
    <row r="3037" spans="1:9" x14ac:dyDescent="0.25">
      <c r="A3037" t="str">
        <f t="shared" si="74"/>
        <v>89301000</v>
      </c>
      <c r="B3037" t="str">
        <f>"2355250524"</f>
        <v>2355250524</v>
      </c>
      <c r="C3037" s="1">
        <v>45071</v>
      </c>
      <c r="D3037" s="1">
        <v>45074</v>
      </c>
      <c r="E3037">
        <v>1</v>
      </c>
      <c r="F3037" t="str">
        <f t="shared" si="75"/>
        <v>15-K05-04</v>
      </c>
      <c r="G3037">
        <v>0.27139999999999997</v>
      </c>
      <c r="H3037" t="s">
        <v>13</v>
      </c>
      <c r="I3037" t="s">
        <v>10</v>
      </c>
    </row>
    <row r="3038" spans="1:9" x14ac:dyDescent="0.25">
      <c r="A3038" t="str">
        <f t="shared" si="74"/>
        <v>89301000</v>
      </c>
      <c r="B3038" t="str">
        <f>"2355250535"</f>
        <v>2355250535</v>
      </c>
      <c r="C3038" s="1">
        <v>45071</v>
      </c>
      <c r="D3038" s="1">
        <v>45075</v>
      </c>
      <c r="E3038">
        <v>1</v>
      </c>
      <c r="F3038" t="str">
        <f t="shared" si="75"/>
        <v>15-K05-04</v>
      </c>
      <c r="G3038">
        <v>0.27139999999999997</v>
      </c>
      <c r="H3038" t="s">
        <v>13</v>
      </c>
      <c r="I3038" t="s">
        <v>10</v>
      </c>
    </row>
    <row r="3039" spans="1:9" x14ac:dyDescent="0.25">
      <c r="A3039" t="str">
        <f t="shared" si="74"/>
        <v>89301000</v>
      </c>
      <c r="B3039" t="str">
        <f>"2355250557"</f>
        <v>2355250557</v>
      </c>
      <c r="C3039" s="1">
        <v>45071</v>
      </c>
      <c r="D3039" s="1">
        <v>45074</v>
      </c>
      <c r="E3039">
        <v>1</v>
      </c>
      <c r="F3039" t="str">
        <f t="shared" si="75"/>
        <v>15-K05-04</v>
      </c>
      <c r="G3039">
        <v>0.27139999999999997</v>
      </c>
      <c r="H3039" t="s">
        <v>13</v>
      </c>
      <c r="I3039" t="s">
        <v>10</v>
      </c>
    </row>
    <row r="3040" spans="1:9" x14ac:dyDescent="0.25">
      <c r="A3040" t="str">
        <f t="shared" si="74"/>
        <v>89301000</v>
      </c>
      <c r="B3040" t="str">
        <f>"2355260072"</f>
        <v>2355260072</v>
      </c>
      <c r="C3040" s="1">
        <v>45072</v>
      </c>
      <c r="D3040" s="1">
        <v>45075</v>
      </c>
      <c r="E3040">
        <v>1</v>
      </c>
      <c r="F3040" t="str">
        <f>"15-K04-04"</f>
        <v>15-K04-04</v>
      </c>
      <c r="G3040">
        <v>0.38179999999999997</v>
      </c>
      <c r="H3040" t="s">
        <v>18</v>
      </c>
      <c r="I3040" t="s">
        <v>10</v>
      </c>
    </row>
    <row r="3041" spans="1:9" x14ac:dyDescent="0.25">
      <c r="A3041" t="str">
        <f t="shared" si="74"/>
        <v>89301000</v>
      </c>
      <c r="B3041" t="str">
        <f>"2355280444"</f>
        <v>2355280444</v>
      </c>
      <c r="C3041" s="1">
        <v>45074</v>
      </c>
      <c r="D3041" s="1">
        <v>45077</v>
      </c>
      <c r="E3041">
        <v>1</v>
      </c>
      <c r="F3041" t="str">
        <f>"15-K05-04"</f>
        <v>15-K05-04</v>
      </c>
      <c r="G3041">
        <v>0.27139999999999997</v>
      </c>
      <c r="H3041" t="s">
        <v>13</v>
      </c>
      <c r="I3041" t="s">
        <v>10</v>
      </c>
    </row>
    <row r="3042" spans="1:9" x14ac:dyDescent="0.25">
      <c r="A3042" t="str">
        <f t="shared" si="74"/>
        <v>89301000</v>
      </c>
      <c r="B3042" t="str">
        <f>"2355280466"</f>
        <v>2355280466</v>
      </c>
      <c r="C3042" s="1">
        <v>45074</v>
      </c>
      <c r="D3042" s="1">
        <v>45078</v>
      </c>
      <c r="E3042">
        <v>1</v>
      </c>
      <c r="F3042" t="str">
        <f>"15-K05-04"</f>
        <v>15-K05-04</v>
      </c>
      <c r="G3042">
        <v>0.27139999999999997</v>
      </c>
      <c r="H3042" t="s">
        <v>13</v>
      </c>
      <c r="I3042" t="s">
        <v>10</v>
      </c>
    </row>
    <row r="3043" spans="1:9" x14ac:dyDescent="0.25">
      <c r="A3043" t="str">
        <f t="shared" si="74"/>
        <v>89301000</v>
      </c>
      <c r="B3043" t="str">
        <f>"2355290454"</f>
        <v>2355290454</v>
      </c>
      <c r="C3043" s="1">
        <v>45075</v>
      </c>
      <c r="D3043" s="1">
        <v>45078</v>
      </c>
      <c r="E3043">
        <v>1</v>
      </c>
      <c r="F3043" t="str">
        <f>"15-K05-04"</f>
        <v>15-K05-04</v>
      </c>
      <c r="G3043">
        <v>0.27139999999999997</v>
      </c>
      <c r="H3043" t="s">
        <v>13</v>
      </c>
      <c r="I3043" t="s">
        <v>10</v>
      </c>
    </row>
    <row r="3044" spans="1:9" x14ac:dyDescent="0.25">
      <c r="A3044" t="str">
        <f t="shared" si="74"/>
        <v>89301000</v>
      </c>
      <c r="B3044" t="str">
        <f>"2356010569"</f>
        <v>2356010569</v>
      </c>
      <c r="C3044" s="1">
        <v>45078</v>
      </c>
      <c r="D3044" s="1">
        <v>45081</v>
      </c>
      <c r="E3044">
        <v>1</v>
      </c>
      <c r="F3044" t="str">
        <f>"15-K05-04"</f>
        <v>15-K05-04</v>
      </c>
      <c r="G3044">
        <v>0.27139999999999997</v>
      </c>
      <c r="H3044" t="s">
        <v>13</v>
      </c>
      <c r="I3044" t="s">
        <v>10</v>
      </c>
    </row>
    <row r="3045" spans="1:9" x14ac:dyDescent="0.25">
      <c r="A3045" t="str">
        <f t="shared" si="74"/>
        <v>89301000</v>
      </c>
      <c r="B3045" t="str">
        <f>"2356020480"</f>
        <v>2356020480</v>
      </c>
      <c r="C3045" s="1">
        <v>45085</v>
      </c>
      <c r="D3045" s="1">
        <v>45091</v>
      </c>
      <c r="E3045">
        <v>1</v>
      </c>
      <c r="F3045" t="str">
        <f>"15-K06-04"</f>
        <v>15-K06-04</v>
      </c>
      <c r="G3045">
        <v>0.55330000000000001</v>
      </c>
      <c r="H3045" t="s">
        <v>13</v>
      </c>
      <c r="I3045" t="s">
        <v>10</v>
      </c>
    </row>
    <row r="3046" spans="1:9" x14ac:dyDescent="0.25">
      <c r="A3046" t="str">
        <f t="shared" si="74"/>
        <v>89301000</v>
      </c>
      <c r="B3046" t="str">
        <f>"2356020480"</f>
        <v>2356020480</v>
      </c>
      <c r="C3046" s="1">
        <v>45079</v>
      </c>
      <c r="D3046" s="1">
        <v>45082</v>
      </c>
      <c r="E3046">
        <v>1</v>
      </c>
      <c r="F3046" t="str">
        <f t="shared" ref="F3046:F3055" si="76">"15-K05-04"</f>
        <v>15-K05-04</v>
      </c>
      <c r="G3046">
        <v>0.27139999999999997</v>
      </c>
      <c r="H3046" t="s">
        <v>13</v>
      </c>
      <c r="I3046" t="s">
        <v>10</v>
      </c>
    </row>
    <row r="3047" spans="1:9" x14ac:dyDescent="0.25">
      <c r="A3047" t="str">
        <f t="shared" si="74"/>
        <v>89301000</v>
      </c>
      <c r="B3047" t="str">
        <f>"2356030490"</f>
        <v>2356030490</v>
      </c>
      <c r="C3047" s="1">
        <v>45080</v>
      </c>
      <c r="D3047" s="1">
        <v>45083</v>
      </c>
      <c r="E3047">
        <v>1</v>
      </c>
      <c r="F3047" t="str">
        <f t="shared" si="76"/>
        <v>15-K05-04</v>
      </c>
      <c r="G3047">
        <v>0.27139999999999997</v>
      </c>
      <c r="H3047" t="s">
        <v>13</v>
      </c>
      <c r="I3047" t="s">
        <v>10</v>
      </c>
    </row>
    <row r="3048" spans="1:9" x14ac:dyDescent="0.25">
      <c r="A3048" t="str">
        <f t="shared" si="74"/>
        <v>89301000</v>
      </c>
      <c r="B3048" t="str">
        <f>"2356060531"</f>
        <v>2356060531</v>
      </c>
      <c r="C3048" s="1">
        <v>45083</v>
      </c>
      <c r="D3048" s="1">
        <v>45086</v>
      </c>
      <c r="E3048">
        <v>1</v>
      </c>
      <c r="F3048" t="str">
        <f t="shared" si="76"/>
        <v>15-K05-04</v>
      </c>
      <c r="G3048">
        <v>0.27139999999999997</v>
      </c>
      <c r="H3048" t="s">
        <v>13</v>
      </c>
      <c r="I3048" t="s">
        <v>10</v>
      </c>
    </row>
    <row r="3049" spans="1:9" x14ac:dyDescent="0.25">
      <c r="A3049" t="str">
        <f t="shared" si="74"/>
        <v>89301000</v>
      </c>
      <c r="B3049" t="str">
        <f>"2356060542"</f>
        <v>2356060542</v>
      </c>
      <c r="C3049" s="1">
        <v>45083</v>
      </c>
      <c r="D3049" s="1">
        <v>45086</v>
      </c>
      <c r="E3049">
        <v>1</v>
      </c>
      <c r="F3049" t="str">
        <f t="shared" si="76"/>
        <v>15-K05-04</v>
      </c>
      <c r="G3049">
        <v>0.27139999999999997</v>
      </c>
      <c r="H3049" t="s">
        <v>13</v>
      </c>
      <c r="I3049" t="s">
        <v>10</v>
      </c>
    </row>
    <row r="3050" spans="1:9" x14ac:dyDescent="0.25">
      <c r="A3050" t="str">
        <f t="shared" si="74"/>
        <v>89301000</v>
      </c>
      <c r="B3050" t="str">
        <f>"2356070057"</f>
        <v>2356070057</v>
      </c>
      <c r="C3050" s="1">
        <v>45084</v>
      </c>
      <c r="D3050" s="1">
        <v>45086</v>
      </c>
      <c r="E3050">
        <v>1</v>
      </c>
      <c r="F3050" t="str">
        <f t="shared" si="76"/>
        <v>15-K05-04</v>
      </c>
      <c r="G3050">
        <v>0.27139999999999997</v>
      </c>
      <c r="H3050" t="s">
        <v>13</v>
      </c>
      <c r="I3050" t="s">
        <v>10</v>
      </c>
    </row>
    <row r="3051" spans="1:9" x14ac:dyDescent="0.25">
      <c r="A3051" t="str">
        <f t="shared" si="74"/>
        <v>89301000</v>
      </c>
      <c r="B3051" t="str">
        <f>"2356070717"</f>
        <v>2356070717</v>
      </c>
      <c r="C3051" s="1">
        <v>45084</v>
      </c>
      <c r="D3051" s="1">
        <v>45086</v>
      </c>
      <c r="E3051">
        <v>1</v>
      </c>
      <c r="F3051" t="str">
        <f t="shared" si="76"/>
        <v>15-K05-04</v>
      </c>
      <c r="G3051">
        <v>0.27139999999999997</v>
      </c>
      <c r="H3051" t="s">
        <v>13</v>
      </c>
      <c r="I3051" t="s">
        <v>10</v>
      </c>
    </row>
    <row r="3052" spans="1:9" x14ac:dyDescent="0.25">
      <c r="A3052" t="str">
        <f t="shared" si="74"/>
        <v>89301000</v>
      </c>
      <c r="B3052" t="str">
        <f>"2356080320"</f>
        <v>2356080320</v>
      </c>
      <c r="C3052" s="1">
        <v>45085</v>
      </c>
      <c r="D3052" s="1">
        <v>45087</v>
      </c>
      <c r="E3052">
        <v>1</v>
      </c>
      <c r="F3052" t="str">
        <f t="shared" si="76"/>
        <v>15-K05-04</v>
      </c>
      <c r="G3052">
        <v>0.27139999999999997</v>
      </c>
      <c r="H3052" t="s">
        <v>13</v>
      </c>
      <c r="I3052" t="s">
        <v>10</v>
      </c>
    </row>
    <row r="3053" spans="1:9" x14ac:dyDescent="0.25">
      <c r="A3053" t="str">
        <f t="shared" si="74"/>
        <v>89301000</v>
      </c>
      <c r="B3053" t="str">
        <f>"2356100252"</f>
        <v>2356100252</v>
      </c>
      <c r="C3053" s="1">
        <v>45087</v>
      </c>
      <c r="D3053" s="1">
        <v>45089</v>
      </c>
      <c r="E3053">
        <v>1</v>
      </c>
      <c r="F3053" t="str">
        <f t="shared" si="76"/>
        <v>15-K05-04</v>
      </c>
      <c r="G3053">
        <v>0.27139999999999997</v>
      </c>
      <c r="H3053" t="s">
        <v>13</v>
      </c>
      <c r="I3053" t="s">
        <v>10</v>
      </c>
    </row>
    <row r="3054" spans="1:9" x14ac:dyDescent="0.25">
      <c r="A3054" t="str">
        <f t="shared" si="74"/>
        <v>89301000</v>
      </c>
      <c r="B3054" t="str">
        <f>"2356110240"</f>
        <v>2356110240</v>
      </c>
      <c r="C3054" s="1">
        <v>45088</v>
      </c>
      <c r="D3054" s="1">
        <v>45091</v>
      </c>
      <c r="E3054">
        <v>1</v>
      </c>
      <c r="F3054" t="str">
        <f t="shared" si="76"/>
        <v>15-K05-04</v>
      </c>
      <c r="G3054">
        <v>0.27139999999999997</v>
      </c>
      <c r="H3054" t="s">
        <v>13</v>
      </c>
      <c r="I3054" t="s">
        <v>10</v>
      </c>
    </row>
    <row r="3055" spans="1:9" x14ac:dyDescent="0.25">
      <c r="A3055" t="str">
        <f t="shared" si="74"/>
        <v>89301000</v>
      </c>
      <c r="B3055" t="str">
        <f>"2356170201"</f>
        <v>2356170201</v>
      </c>
      <c r="C3055" s="1">
        <v>45094</v>
      </c>
      <c r="D3055" s="1">
        <v>45097</v>
      </c>
      <c r="E3055">
        <v>1</v>
      </c>
      <c r="F3055" t="str">
        <f t="shared" si="76"/>
        <v>15-K05-04</v>
      </c>
      <c r="G3055">
        <v>0.27139999999999997</v>
      </c>
      <c r="H3055" t="s">
        <v>13</v>
      </c>
      <c r="I3055" t="s">
        <v>10</v>
      </c>
    </row>
    <row r="3056" spans="1:9" x14ac:dyDescent="0.25">
      <c r="A3056" t="str">
        <f t="shared" si="74"/>
        <v>89301000</v>
      </c>
      <c r="B3056" t="str">
        <f>"2356190309"</f>
        <v>2356190309</v>
      </c>
      <c r="C3056" s="1">
        <v>45124</v>
      </c>
      <c r="D3056" s="1">
        <v>45127</v>
      </c>
      <c r="E3056">
        <v>1</v>
      </c>
      <c r="F3056" t="str">
        <f>"15-K06-04"</f>
        <v>15-K06-04</v>
      </c>
      <c r="G3056">
        <v>0.55330000000000001</v>
      </c>
      <c r="H3056" t="s">
        <v>13</v>
      </c>
      <c r="I3056" t="s">
        <v>10</v>
      </c>
    </row>
    <row r="3057" spans="1:9" x14ac:dyDescent="0.25">
      <c r="A3057" t="str">
        <f t="shared" ref="A3057:A3119" si="77">"89301000"</f>
        <v>89301000</v>
      </c>
      <c r="B3057" t="str">
        <f>"2356190507"</f>
        <v>2356190507</v>
      </c>
      <c r="C3057" s="1">
        <v>45096</v>
      </c>
      <c r="D3057" s="1">
        <v>45103</v>
      </c>
      <c r="E3057">
        <v>1</v>
      </c>
      <c r="F3057" t="str">
        <f>"15-K05-02"</f>
        <v>15-K05-02</v>
      </c>
      <c r="G3057">
        <v>0.53290000000000004</v>
      </c>
      <c r="H3057" t="s">
        <v>13</v>
      </c>
      <c r="I3057" t="s">
        <v>10</v>
      </c>
    </row>
    <row r="3058" spans="1:9" x14ac:dyDescent="0.25">
      <c r="A3058" t="str">
        <f t="shared" si="77"/>
        <v>89301000</v>
      </c>
      <c r="B3058" t="str">
        <f>"2356200583"</f>
        <v>2356200583</v>
      </c>
      <c r="C3058" s="1">
        <v>45097</v>
      </c>
      <c r="D3058" s="1">
        <v>45101</v>
      </c>
      <c r="E3058">
        <v>1</v>
      </c>
      <c r="F3058" t="str">
        <f>"15-K05-04"</f>
        <v>15-K05-04</v>
      </c>
      <c r="G3058">
        <v>0.27139999999999997</v>
      </c>
      <c r="H3058" t="s">
        <v>13</v>
      </c>
      <c r="I3058" t="s">
        <v>10</v>
      </c>
    </row>
    <row r="3059" spans="1:9" x14ac:dyDescent="0.25">
      <c r="A3059" t="str">
        <f t="shared" si="77"/>
        <v>89301000</v>
      </c>
      <c r="B3059" t="str">
        <f>"2356220603"</f>
        <v>2356220603</v>
      </c>
      <c r="C3059" s="1">
        <v>45099</v>
      </c>
      <c r="D3059" s="1">
        <v>45102</v>
      </c>
      <c r="E3059">
        <v>1</v>
      </c>
      <c r="F3059" t="str">
        <f>"15-K05-04"</f>
        <v>15-K05-04</v>
      </c>
      <c r="G3059">
        <v>0.27139999999999997</v>
      </c>
      <c r="H3059" t="s">
        <v>13</v>
      </c>
      <c r="I3059" t="s">
        <v>10</v>
      </c>
    </row>
    <row r="3060" spans="1:9" x14ac:dyDescent="0.25">
      <c r="A3060" t="str">
        <f t="shared" si="77"/>
        <v>89301000</v>
      </c>
      <c r="B3060" t="str">
        <f>"2356230085"</f>
        <v>2356230085</v>
      </c>
      <c r="C3060" s="1">
        <v>45100</v>
      </c>
      <c r="D3060" s="1">
        <v>45106</v>
      </c>
      <c r="E3060">
        <v>1</v>
      </c>
      <c r="F3060" t="str">
        <f>"15-K06-03"</f>
        <v>15-K06-03</v>
      </c>
      <c r="G3060">
        <v>0.70520000000000005</v>
      </c>
      <c r="H3060" t="s">
        <v>13</v>
      </c>
      <c r="I3060" t="s">
        <v>10</v>
      </c>
    </row>
    <row r="3061" spans="1:9" x14ac:dyDescent="0.25">
      <c r="A3061" t="str">
        <f t="shared" si="77"/>
        <v>89301000</v>
      </c>
      <c r="B3061" t="str">
        <f>"2356230525"</f>
        <v>2356230525</v>
      </c>
      <c r="C3061" s="1">
        <v>45100</v>
      </c>
      <c r="D3061" s="1">
        <v>45103</v>
      </c>
      <c r="E3061">
        <v>1</v>
      </c>
      <c r="F3061" t="str">
        <f>"15-K05-04"</f>
        <v>15-K05-04</v>
      </c>
      <c r="G3061">
        <v>0.27139999999999997</v>
      </c>
      <c r="H3061" t="s">
        <v>13</v>
      </c>
      <c r="I3061" t="s">
        <v>10</v>
      </c>
    </row>
    <row r="3062" spans="1:9" x14ac:dyDescent="0.25">
      <c r="A3062" t="str">
        <f t="shared" si="77"/>
        <v>89301000</v>
      </c>
      <c r="B3062" t="str">
        <f>"2356250193"</f>
        <v>2356250193</v>
      </c>
      <c r="C3062" s="1">
        <v>45146</v>
      </c>
      <c r="D3062" s="1">
        <v>45147</v>
      </c>
      <c r="E3062">
        <v>1</v>
      </c>
      <c r="F3062" t="str">
        <f>"06-K16-00"</f>
        <v>06-K16-00</v>
      </c>
      <c r="G3062">
        <v>0.57450000000000001</v>
      </c>
      <c r="H3062" t="s">
        <v>11</v>
      </c>
      <c r="I3062" t="s">
        <v>10</v>
      </c>
    </row>
    <row r="3063" spans="1:9" x14ac:dyDescent="0.25">
      <c r="A3063" t="str">
        <f t="shared" si="77"/>
        <v>89301000</v>
      </c>
      <c r="B3063" t="str">
        <f>"2356250237"</f>
        <v>2356250237</v>
      </c>
      <c r="C3063" s="1">
        <v>45166</v>
      </c>
      <c r="D3063" s="1">
        <v>45171</v>
      </c>
      <c r="E3063">
        <v>1</v>
      </c>
      <c r="F3063" t="str">
        <f>"11-K01-03"</f>
        <v>11-K01-03</v>
      </c>
      <c r="G3063">
        <v>0.68789999999999996</v>
      </c>
      <c r="H3063" t="s">
        <v>11</v>
      </c>
      <c r="I3063" t="s">
        <v>10</v>
      </c>
    </row>
    <row r="3064" spans="1:9" x14ac:dyDescent="0.25">
      <c r="A3064" t="str">
        <f t="shared" si="77"/>
        <v>89301000</v>
      </c>
      <c r="B3064" t="str">
        <f>"2356250237"</f>
        <v>2356250237</v>
      </c>
      <c r="C3064" s="1">
        <v>45102</v>
      </c>
      <c r="D3064" s="1">
        <v>45104</v>
      </c>
      <c r="E3064">
        <v>1</v>
      </c>
      <c r="F3064" t="str">
        <f t="shared" ref="F3064:F3070" si="78">"15-K05-04"</f>
        <v>15-K05-04</v>
      </c>
      <c r="G3064">
        <v>0.27139999999999997</v>
      </c>
      <c r="H3064" t="s">
        <v>13</v>
      </c>
      <c r="I3064" t="s">
        <v>10</v>
      </c>
    </row>
    <row r="3065" spans="1:9" x14ac:dyDescent="0.25">
      <c r="A3065" t="str">
        <f t="shared" si="77"/>
        <v>89301000</v>
      </c>
      <c r="B3065" t="str">
        <f>"2356250259"</f>
        <v>2356250259</v>
      </c>
      <c r="C3065" s="1">
        <v>45102</v>
      </c>
      <c r="D3065" s="1">
        <v>45105</v>
      </c>
      <c r="E3065">
        <v>1</v>
      </c>
      <c r="F3065" t="str">
        <f t="shared" si="78"/>
        <v>15-K05-04</v>
      </c>
      <c r="G3065">
        <v>0.27139999999999997</v>
      </c>
      <c r="H3065" t="s">
        <v>13</v>
      </c>
      <c r="I3065" t="s">
        <v>10</v>
      </c>
    </row>
    <row r="3066" spans="1:9" x14ac:dyDescent="0.25">
      <c r="A3066" t="str">
        <f t="shared" si="77"/>
        <v>89301000</v>
      </c>
      <c r="B3066" t="str">
        <f>"2356260610"</f>
        <v>2356260610</v>
      </c>
      <c r="C3066" s="1">
        <v>45103</v>
      </c>
      <c r="D3066" s="1">
        <v>45105</v>
      </c>
      <c r="E3066">
        <v>1</v>
      </c>
      <c r="F3066" t="str">
        <f t="shared" si="78"/>
        <v>15-K05-04</v>
      </c>
      <c r="G3066">
        <v>0.27139999999999997</v>
      </c>
      <c r="H3066" t="s">
        <v>13</v>
      </c>
      <c r="I3066" t="s">
        <v>10</v>
      </c>
    </row>
    <row r="3067" spans="1:9" x14ac:dyDescent="0.25">
      <c r="A3067" t="str">
        <f t="shared" si="77"/>
        <v>89301000</v>
      </c>
      <c r="B3067" t="str">
        <f>"2356260621"</f>
        <v>2356260621</v>
      </c>
      <c r="C3067" s="1">
        <v>45103</v>
      </c>
      <c r="D3067" s="1">
        <v>45106</v>
      </c>
      <c r="E3067">
        <v>1</v>
      </c>
      <c r="F3067" t="str">
        <f t="shared" si="78"/>
        <v>15-K05-04</v>
      </c>
      <c r="G3067">
        <v>0.27139999999999997</v>
      </c>
      <c r="H3067" t="s">
        <v>13</v>
      </c>
      <c r="I3067" t="s">
        <v>10</v>
      </c>
    </row>
    <row r="3068" spans="1:9" x14ac:dyDescent="0.25">
      <c r="A3068" t="str">
        <f t="shared" si="77"/>
        <v>89301000</v>
      </c>
      <c r="B3068" t="str">
        <f>"2356270631"</f>
        <v>2356270631</v>
      </c>
      <c r="C3068" s="1">
        <v>45104</v>
      </c>
      <c r="D3068" s="1">
        <v>45107</v>
      </c>
      <c r="E3068">
        <v>1</v>
      </c>
      <c r="F3068" t="str">
        <f t="shared" si="78"/>
        <v>15-K05-04</v>
      </c>
      <c r="G3068">
        <v>0.27139999999999997</v>
      </c>
      <c r="H3068" t="s">
        <v>13</v>
      </c>
      <c r="I3068" t="s">
        <v>10</v>
      </c>
    </row>
    <row r="3069" spans="1:9" x14ac:dyDescent="0.25">
      <c r="A3069" t="str">
        <f t="shared" si="77"/>
        <v>89301000</v>
      </c>
      <c r="B3069" t="str">
        <f>"2356280487"</f>
        <v>2356280487</v>
      </c>
      <c r="C3069" s="1">
        <v>45105</v>
      </c>
      <c r="D3069" s="1">
        <v>45108</v>
      </c>
      <c r="E3069">
        <v>1</v>
      </c>
      <c r="F3069" t="str">
        <f t="shared" si="78"/>
        <v>15-K05-04</v>
      </c>
      <c r="G3069">
        <v>0.27139999999999997</v>
      </c>
      <c r="H3069" t="s">
        <v>13</v>
      </c>
      <c r="I3069" t="s">
        <v>10</v>
      </c>
    </row>
    <row r="3070" spans="1:9" x14ac:dyDescent="0.25">
      <c r="A3070" t="str">
        <f t="shared" si="77"/>
        <v>89301000</v>
      </c>
      <c r="B3070" t="str">
        <f>"2356290596"</f>
        <v>2356290596</v>
      </c>
      <c r="C3070" s="1">
        <v>45106</v>
      </c>
      <c r="D3070" s="1">
        <v>45109</v>
      </c>
      <c r="E3070">
        <v>1</v>
      </c>
      <c r="F3070" t="str">
        <f t="shared" si="78"/>
        <v>15-K05-04</v>
      </c>
      <c r="G3070">
        <v>0.27139999999999997</v>
      </c>
      <c r="H3070" t="s">
        <v>13</v>
      </c>
      <c r="I3070" t="s">
        <v>10</v>
      </c>
    </row>
    <row r="3071" spans="1:9" x14ac:dyDescent="0.25">
      <c r="A3071" t="str">
        <f t="shared" si="77"/>
        <v>89301000</v>
      </c>
      <c r="B3071" t="str">
        <f>"2356300243"</f>
        <v>2356300243</v>
      </c>
      <c r="C3071" s="1">
        <v>45187</v>
      </c>
      <c r="D3071" s="1">
        <v>45189</v>
      </c>
      <c r="E3071">
        <v>1</v>
      </c>
      <c r="F3071" t="str">
        <f>"11-K01-03"</f>
        <v>11-K01-03</v>
      </c>
      <c r="G3071">
        <v>0.68789999999999996</v>
      </c>
      <c r="H3071" t="s">
        <v>11</v>
      </c>
      <c r="I3071" t="s">
        <v>10</v>
      </c>
    </row>
    <row r="3072" spans="1:9" x14ac:dyDescent="0.25">
      <c r="A3072" t="str">
        <f t="shared" si="77"/>
        <v>89301000</v>
      </c>
      <c r="B3072" t="str">
        <f>"2356300386"</f>
        <v>2356300386</v>
      </c>
      <c r="C3072" s="1">
        <v>45107</v>
      </c>
      <c r="D3072" s="1">
        <v>45110</v>
      </c>
      <c r="E3072">
        <v>1</v>
      </c>
      <c r="F3072" t="str">
        <f t="shared" ref="F3072:F3082" si="79">"15-K05-04"</f>
        <v>15-K05-04</v>
      </c>
      <c r="G3072">
        <v>0.27139999999999997</v>
      </c>
      <c r="H3072" t="s">
        <v>13</v>
      </c>
      <c r="I3072" t="s">
        <v>10</v>
      </c>
    </row>
    <row r="3073" spans="1:9" x14ac:dyDescent="0.25">
      <c r="A3073" t="str">
        <f t="shared" si="77"/>
        <v>89301000</v>
      </c>
      <c r="B3073" t="str">
        <f>"2356300408"</f>
        <v>2356300408</v>
      </c>
      <c r="C3073" s="1">
        <v>45107</v>
      </c>
      <c r="D3073" s="1">
        <v>45110</v>
      </c>
      <c r="E3073">
        <v>1</v>
      </c>
      <c r="F3073" t="str">
        <f t="shared" si="79"/>
        <v>15-K05-04</v>
      </c>
      <c r="G3073">
        <v>0.27139999999999997</v>
      </c>
      <c r="H3073" t="s">
        <v>13</v>
      </c>
      <c r="I3073" t="s">
        <v>10</v>
      </c>
    </row>
    <row r="3074" spans="1:9" x14ac:dyDescent="0.25">
      <c r="A3074" t="str">
        <f t="shared" si="77"/>
        <v>89301000</v>
      </c>
      <c r="B3074" t="str">
        <f>"2356300441"</f>
        <v>2356300441</v>
      </c>
      <c r="C3074" s="1">
        <v>45107</v>
      </c>
      <c r="D3074" s="1">
        <v>45110</v>
      </c>
      <c r="E3074">
        <v>1</v>
      </c>
      <c r="F3074" t="str">
        <f t="shared" si="79"/>
        <v>15-K05-04</v>
      </c>
      <c r="G3074">
        <v>0.27139999999999997</v>
      </c>
      <c r="H3074" t="s">
        <v>13</v>
      </c>
      <c r="I3074" t="s">
        <v>10</v>
      </c>
    </row>
    <row r="3075" spans="1:9" x14ac:dyDescent="0.25">
      <c r="A3075" t="str">
        <f t="shared" si="77"/>
        <v>89301000</v>
      </c>
      <c r="B3075" t="str">
        <f>"2357010315"</f>
        <v>2357010315</v>
      </c>
      <c r="C3075" s="1">
        <v>45108</v>
      </c>
      <c r="D3075" s="1">
        <v>45111</v>
      </c>
      <c r="E3075">
        <v>1</v>
      </c>
      <c r="F3075" t="str">
        <f t="shared" si="79"/>
        <v>15-K05-04</v>
      </c>
      <c r="G3075">
        <v>0.27139999999999997</v>
      </c>
      <c r="H3075" t="s">
        <v>13</v>
      </c>
      <c r="I3075" t="s">
        <v>10</v>
      </c>
    </row>
    <row r="3076" spans="1:9" x14ac:dyDescent="0.25">
      <c r="A3076" t="str">
        <f t="shared" si="77"/>
        <v>89301000</v>
      </c>
      <c r="B3076" t="str">
        <f>"2357020413"</f>
        <v>2357020413</v>
      </c>
      <c r="C3076" s="1">
        <v>45109</v>
      </c>
      <c r="D3076" s="1">
        <v>45111</v>
      </c>
      <c r="E3076">
        <v>1</v>
      </c>
      <c r="F3076" t="str">
        <f t="shared" si="79"/>
        <v>15-K05-04</v>
      </c>
      <c r="G3076">
        <v>0.27139999999999997</v>
      </c>
      <c r="H3076" t="s">
        <v>13</v>
      </c>
      <c r="I3076" t="s">
        <v>10</v>
      </c>
    </row>
    <row r="3077" spans="1:9" x14ac:dyDescent="0.25">
      <c r="A3077" t="str">
        <f t="shared" si="77"/>
        <v>89301000</v>
      </c>
      <c r="B3077" t="str">
        <f>"2357040455"</f>
        <v>2357040455</v>
      </c>
      <c r="C3077" s="1">
        <v>45111</v>
      </c>
      <c r="D3077" s="1">
        <v>45114</v>
      </c>
      <c r="E3077">
        <v>1</v>
      </c>
      <c r="F3077" t="str">
        <f t="shared" si="79"/>
        <v>15-K05-04</v>
      </c>
      <c r="G3077">
        <v>0.27139999999999997</v>
      </c>
      <c r="H3077" t="s">
        <v>13</v>
      </c>
      <c r="I3077" t="s">
        <v>10</v>
      </c>
    </row>
    <row r="3078" spans="1:9" x14ac:dyDescent="0.25">
      <c r="A3078" t="str">
        <f t="shared" si="77"/>
        <v>89301000</v>
      </c>
      <c r="B3078" t="str">
        <f>"2357080209"</f>
        <v>2357080209</v>
      </c>
      <c r="C3078" s="1">
        <v>45115</v>
      </c>
      <c r="D3078" s="1">
        <v>45117</v>
      </c>
      <c r="E3078">
        <v>1</v>
      </c>
      <c r="F3078" t="str">
        <f t="shared" si="79"/>
        <v>15-K05-04</v>
      </c>
      <c r="G3078">
        <v>0.27139999999999997</v>
      </c>
      <c r="H3078" t="s">
        <v>13</v>
      </c>
      <c r="I3078" t="s">
        <v>10</v>
      </c>
    </row>
    <row r="3079" spans="1:9" x14ac:dyDescent="0.25">
      <c r="A3079" t="str">
        <f t="shared" si="77"/>
        <v>89301000</v>
      </c>
      <c r="B3079" t="str">
        <f>"2357080264"</f>
        <v>2357080264</v>
      </c>
      <c r="C3079" s="1">
        <v>45115</v>
      </c>
      <c r="D3079" s="1">
        <v>45118</v>
      </c>
      <c r="E3079">
        <v>1</v>
      </c>
      <c r="F3079" t="str">
        <f t="shared" si="79"/>
        <v>15-K05-04</v>
      </c>
      <c r="G3079">
        <v>0.27139999999999997</v>
      </c>
      <c r="H3079" t="s">
        <v>13</v>
      </c>
      <c r="I3079" t="s">
        <v>10</v>
      </c>
    </row>
    <row r="3080" spans="1:9" x14ac:dyDescent="0.25">
      <c r="A3080" t="str">
        <f t="shared" si="77"/>
        <v>89301000</v>
      </c>
      <c r="B3080" t="str">
        <f>"2357090373"</f>
        <v>2357090373</v>
      </c>
      <c r="C3080" s="1">
        <v>45116</v>
      </c>
      <c r="D3080" s="1">
        <v>45121</v>
      </c>
      <c r="E3080">
        <v>1</v>
      </c>
      <c r="F3080" t="str">
        <f t="shared" si="79"/>
        <v>15-K05-04</v>
      </c>
      <c r="G3080">
        <v>0.27139999999999997</v>
      </c>
      <c r="H3080" t="s">
        <v>13</v>
      </c>
      <c r="I3080" t="s">
        <v>10</v>
      </c>
    </row>
    <row r="3081" spans="1:9" x14ac:dyDescent="0.25">
      <c r="A3081" t="str">
        <f t="shared" si="77"/>
        <v>89301000</v>
      </c>
      <c r="B3081" t="str">
        <f>"2357090395"</f>
        <v>2357090395</v>
      </c>
      <c r="C3081" s="1">
        <v>45116</v>
      </c>
      <c r="D3081" s="1">
        <v>45119</v>
      </c>
      <c r="E3081">
        <v>1</v>
      </c>
      <c r="F3081" t="str">
        <f t="shared" si="79"/>
        <v>15-K05-04</v>
      </c>
      <c r="G3081">
        <v>0.27139999999999997</v>
      </c>
      <c r="H3081" t="s">
        <v>13</v>
      </c>
      <c r="I3081" t="s">
        <v>10</v>
      </c>
    </row>
    <row r="3082" spans="1:9" x14ac:dyDescent="0.25">
      <c r="A3082" t="str">
        <f t="shared" si="77"/>
        <v>89301000</v>
      </c>
      <c r="B3082" t="str">
        <f>"2357100526"</f>
        <v>2357100526</v>
      </c>
      <c r="C3082" s="1">
        <v>45117</v>
      </c>
      <c r="D3082" s="1">
        <v>45121</v>
      </c>
      <c r="E3082">
        <v>1</v>
      </c>
      <c r="F3082" t="str">
        <f t="shared" si="79"/>
        <v>15-K05-04</v>
      </c>
      <c r="G3082">
        <v>0.27139999999999997</v>
      </c>
      <c r="H3082" t="s">
        <v>13</v>
      </c>
      <c r="I3082" t="s">
        <v>10</v>
      </c>
    </row>
    <row r="3083" spans="1:9" x14ac:dyDescent="0.25">
      <c r="A3083" t="str">
        <f t="shared" si="77"/>
        <v>89301000</v>
      </c>
      <c r="B3083" t="str">
        <f>"2357140621"</f>
        <v>2357140621</v>
      </c>
      <c r="C3083" s="1">
        <v>45121</v>
      </c>
      <c r="D3083" s="1">
        <v>45126</v>
      </c>
      <c r="E3083">
        <v>1</v>
      </c>
      <c r="F3083" t="str">
        <f>"15-K03-02"</f>
        <v>15-K03-02</v>
      </c>
      <c r="G3083">
        <v>1.8358000000000001</v>
      </c>
      <c r="H3083" t="s">
        <v>18</v>
      </c>
      <c r="I3083" t="s">
        <v>10</v>
      </c>
    </row>
    <row r="3084" spans="1:9" x14ac:dyDescent="0.25">
      <c r="A3084" t="str">
        <f t="shared" si="77"/>
        <v>89301000</v>
      </c>
      <c r="B3084" t="str">
        <f>"2357140632"</f>
        <v>2357140632</v>
      </c>
      <c r="C3084" s="1">
        <v>45121</v>
      </c>
      <c r="D3084" s="1">
        <v>45126</v>
      </c>
      <c r="E3084">
        <v>1</v>
      </c>
      <c r="F3084" t="str">
        <f>"15-K04-02"</f>
        <v>15-K04-02</v>
      </c>
      <c r="G3084">
        <v>1.0172000000000001</v>
      </c>
      <c r="H3084" t="s">
        <v>18</v>
      </c>
      <c r="I3084" t="s">
        <v>10</v>
      </c>
    </row>
    <row r="3085" spans="1:9" x14ac:dyDescent="0.25">
      <c r="A3085" t="str">
        <f t="shared" si="77"/>
        <v>89301000</v>
      </c>
      <c r="B3085" t="str">
        <f>"2357160399"</f>
        <v>2357160399</v>
      </c>
      <c r="C3085" s="1">
        <v>45123</v>
      </c>
      <c r="D3085" s="1">
        <v>45128</v>
      </c>
      <c r="E3085">
        <v>1</v>
      </c>
      <c r="F3085" t="str">
        <f>"15-K05-02"</f>
        <v>15-K05-02</v>
      </c>
      <c r="G3085">
        <v>0.53290000000000004</v>
      </c>
      <c r="H3085" t="s">
        <v>13</v>
      </c>
      <c r="I3085" t="s">
        <v>10</v>
      </c>
    </row>
    <row r="3086" spans="1:9" x14ac:dyDescent="0.25">
      <c r="A3086" t="str">
        <f t="shared" si="77"/>
        <v>89301000</v>
      </c>
      <c r="B3086" t="str">
        <f>"2357160421"</f>
        <v>2357160421</v>
      </c>
      <c r="C3086" s="1">
        <v>45123</v>
      </c>
      <c r="D3086" s="1">
        <v>45125</v>
      </c>
      <c r="E3086">
        <v>1</v>
      </c>
      <c r="F3086" t="str">
        <f>"15-K05-04"</f>
        <v>15-K05-04</v>
      </c>
      <c r="G3086">
        <v>0.27139999999999997</v>
      </c>
      <c r="H3086" t="s">
        <v>13</v>
      </c>
      <c r="I3086" t="s">
        <v>10</v>
      </c>
    </row>
    <row r="3087" spans="1:9" x14ac:dyDescent="0.25">
      <c r="A3087" t="str">
        <f t="shared" si="77"/>
        <v>89301000</v>
      </c>
      <c r="B3087" t="str">
        <f>"2357160432"</f>
        <v>2357160432</v>
      </c>
      <c r="C3087" s="1">
        <v>45123</v>
      </c>
      <c r="D3087" s="1">
        <v>45126</v>
      </c>
      <c r="E3087">
        <v>1</v>
      </c>
      <c r="F3087" t="str">
        <f>"15-K05-04"</f>
        <v>15-K05-04</v>
      </c>
      <c r="G3087">
        <v>0.27139999999999997</v>
      </c>
      <c r="H3087" t="s">
        <v>13</v>
      </c>
      <c r="I3087" t="s">
        <v>10</v>
      </c>
    </row>
    <row r="3088" spans="1:9" x14ac:dyDescent="0.25">
      <c r="A3088" t="str">
        <f t="shared" si="77"/>
        <v>89301000</v>
      </c>
      <c r="B3088" t="str">
        <f>"2357170090"</f>
        <v>2357170090</v>
      </c>
      <c r="C3088" s="1">
        <v>45124</v>
      </c>
      <c r="D3088" s="1">
        <v>45128</v>
      </c>
      <c r="E3088">
        <v>1</v>
      </c>
      <c r="F3088" t="str">
        <f>"15-K05-04"</f>
        <v>15-K05-04</v>
      </c>
      <c r="G3088">
        <v>0.27139999999999997</v>
      </c>
      <c r="H3088" t="s">
        <v>13</v>
      </c>
      <c r="I3088" t="s">
        <v>10</v>
      </c>
    </row>
    <row r="3089" spans="1:9" x14ac:dyDescent="0.25">
      <c r="A3089" t="str">
        <f t="shared" si="77"/>
        <v>89301000</v>
      </c>
      <c r="B3089" t="str">
        <f>"2357180122"</f>
        <v>2357180122</v>
      </c>
      <c r="C3089" s="1">
        <v>45125</v>
      </c>
      <c r="D3089" s="1">
        <v>45128</v>
      </c>
      <c r="E3089">
        <v>1</v>
      </c>
      <c r="F3089" t="str">
        <f>"15-K05-04"</f>
        <v>15-K05-04</v>
      </c>
      <c r="G3089">
        <v>0.27139999999999997</v>
      </c>
      <c r="H3089" t="s">
        <v>13</v>
      </c>
      <c r="I3089" t="s">
        <v>10</v>
      </c>
    </row>
    <row r="3090" spans="1:9" x14ac:dyDescent="0.25">
      <c r="A3090" t="str">
        <f t="shared" si="77"/>
        <v>89301000</v>
      </c>
      <c r="B3090" t="str">
        <f>"2357200527"</f>
        <v>2357200527</v>
      </c>
      <c r="C3090" s="1">
        <v>45127</v>
      </c>
      <c r="D3090" s="1">
        <v>45131</v>
      </c>
      <c r="E3090">
        <v>1</v>
      </c>
      <c r="F3090" t="str">
        <f>"15-K05-04"</f>
        <v>15-K05-04</v>
      </c>
      <c r="G3090">
        <v>0.27139999999999997</v>
      </c>
      <c r="H3090" t="s">
        <v>13</v>
      </c>
      <c r="I3090" t="s">
        <v>10</v>
      </c>
    </row>
    <row r="3091" spans="1:9" x14ac:dyDescent="0.25">
      <c r="A3091" t="str">
        <f t="shared" si="77"/>
        <v>89301000</v>
      </c>
      <c r="B3091" t="str">
        <f>"2357240523"</f>
        <v>2357240523</v>
      </c>
      <c r="C3091" s="1">
        <v>45131</v>
      </c>
      <c r="D3091" s="1">
        <v>45148</v>
      </c>
      <c r="E3091">
        <v>5</v>
      </c>
      <c r="F3091" t="str">
        <f>"15-K05-01"</f>
        <v>15-K05-01</v>
      </c>
      <c r="G3091">
        <v>1.1791</v>
      </c>
      <c r="H3091" t="s">
        <v>13</v>
      </c>
      <c r="I3091" t="s">
        <v>10</v>
      </c>
    </row>
    <row r="3092" spans="1:9" x14ac:dyDescent="0.25">
      <c r="A3092" t="str">
        <f t="shared" si="77"/>
        <v>89301000</v>
      </c>
      <c r="B3092" t="str">
        <f>"2357250159"</f>
        <v>2357250159</v>
      </c>
      <c r="C3092" s="1">
        <v>45145</v>
      </c>
      <c r="D3092" s="1">
        <v>45146</v>
      </c>
      <c r="E3092">
        <v>1</v>
      </c>
      <c r="F3092" t="str">
        <f>"15-K06-03"</f>
        <v>15-K06-03</v>
      </c>
      <c r="G3092">
        <v>0.70520000000000005</v>
      </c>
      <c r="H3092" t="s">
        <v>13</v>
      </c>
      <c r="I3092" t="s">
        <v>10</v>
      </c>
    </row>
    <row r="3093" spans="1:9" x14ac:dyDescent="0.25">
      <c r="A3093" t="str">
        <f t="shared" si="77"/>
        <v>89301000</v>
      </c>
      <c r="B3093" t="str">
        <f>"2357260070"</f>
        <v>2357260070</v>
      </c>
      <c r="C3093" s="1">
        <v>45133</v>
      </c>
      <c r="D3093" s="1">
        <v>45137</v>
      </c>
      <c r="E3093">
        <v>1</v>
      </c>
      <c r="F3093" t="str">
        <f>"15-K05-04"</f>
        <v>15-K05-04</v>
      </c>
      <c r="G3093">
        <v>0.27139999999999997</v>
      </c>
      <c r="H3093" t="s">
        <v>13</v>
      </c>
      <c r="I3093" t="s">
        <v>10</v>
      </c>
    </row>
    <row r="3094" spans="1:9" x14ac:dyDescent="0.25">
      <c r="A3094" t="str">
        <f t="shared" si="77"/>
        <v>89301000</v>
      </c>
      <c r="B3094" t="str">
        <f>"2357260081"</f>
        <v>2357260081</v>
      </c>
      <c r="C3094" s="1">
        <v>45133</v>
      </c>
      <c r="D3094" s="1">
        <v>45135</v>
      </c>
      <c r="E3094">
        <v>1</v>
      </c>
      <c r="F3094" t="str">
        <f>"15-K05-04"</f>
        <v>15-K05-04</v>
      </c>
      <c r="G3094">
        <v>0.27139999999999997</v>
      </c>
      <c r="H3094" t="s">
        <v>13</v>
      </c>
      <c r="I3094" t="s">
        <v>10</v>
      </c>
    </row>
    <row r="3095" spans="1:9" x14ac:dyDescent="0.25">
      <c r="A3095" t="str">
        <f t="shared" si="77"/>
        <v>89301000</v>
      </c>
      <c r="B3095" t="str">
        <f>"2357260081"</f>
        <v>2357260081</v>
      </c>
      <c r="C3095" s="1">
        <v>45141</v>
      </c>
      <c r="D3095" s="1">
        <v>45149</v>
      </c>
      <c r="E3095">
        <v>1</v>
      </c>
      <c r="F3095" t="str">
        <f>"15-K06-01"</f>
        <v>15-K06-01</v>
      </c>
      <c r="G3095">
        <v>1.7554000000000001</v>
      </c>
      <c r="H3095" t="s">
        <v>13</v>
      </c>
      <c r="I3095" t="s">
        <v>10</v>
      </c>
    </row>
    <row r="3096" spans="1:9" x14ac:dyDescent="0.25">
      <c r="A3096" t="str">
        <f t="shared" si="77"/>
        <v>89301000</v>
      </c>
      <c r="B3096" t="str">
        <f>"2357260081"</f>
        <v>2357260081</v>
      </c>
      <c r="C3096" s="1">
        <v>45181</v>
      </c>
      <c r="D3096" s="1">
        <v>45183</v>
      </c>
      <c r="E3096">
        <v>1</v>
      </c>
      <c r="F3096" t="str">
        <f>"08-I26-02"</f>
        <v>08-I26-02</v>
      </c>
      <c r="G3096">
        <v>0.80410000000000004</v>
      </c>
      <c r="H3096" t="s">
        <v>11</v>
      </c>
      <c r="I3096" t="s">
        <v>10</v>
      </c>
    </row>
    <row r="3097" spans="1:9" x14ac:dyDescent="0.25">
      <c r="A3097" t="str">
        <f t="shared" si="77"/>
        <v>89301000</v>
      </c>
      <c r="B3097" t="str">
        <f>"2357260576"</f>
        <v>2357260576</v>
      </c>
      <c r="C3097" s="1">
        <v>45133</v>
      </c>
      <c r="D3097" s="1">
        <v>45136</v>
      </c>
      <c r="E3097">
        <v>1</v>
      </c>
      <c r="F3097" t="str">
        <f>"15-K05-04"</f>
        <v>15-K05-04</v>
      </c>
      <c r="G3097">
        <v>0.27139999999999997</v>
      </c>
      <c r="H3097" t="s">
        <v>13</v>
      </c>
      <c r="I3097" t="s">
        <v>10</v>
      </c>
    </row>
    <row r="3098" spans="1:9" x14ac:dyDescent="0.25">
      <c r="A3098" t="str">
        <f t="shared" si="77"/>
        <v>89301000</v>
      </c>
      <c r="B3098" t="str">
        <f>"2357260620"</f>
        <v>2357260620</v>
      </c>
      <c r="C3098" s="1">
        <v>45133</v>
      </c>
      <c r="D3098" s="1">
        <v>45138</v>
      </c>
      <c r="E3098">
        <v>1</v>
      </c>
      <c r="F3098" t="str">
        <f>"15-K04-04"</f>
        <v>15-K04-04</v>
      </c>
      <c r="G3098">
        <v>0.38179999999999997</v>
      </c>
      <c r="H3098" t="s">
        <v>18</v>
      </c>
      <c r="I3098" t="s">
        <v>10</v>
      </c>
    </row>
    <row r="3099" spans="1:9" x14ac:dyDescent="0.25">
      <c r="A3099" t="str">
        <f t="shared" si="77"/>
        <v>89301000</v>
      </c>
      <c r="B3099" t="str">
        <f>"2357270509"</f>
        <v>2357270509</v>
      </c>
      <c r="C3099" s="1">
        <v>45134</v>
      </c>
      <c r="D3099" s="1">
        <v>45149</v>
      </c>
      <c r="E3099">
        <v>1</v>
      </c>
      <c r="F3099" t="str">
        <f>"15-K03-02"</f>
        <v>15-K03-02</v>
      </c>
      <c r="G3099">
        <v>1.8358000000000001</v>
      </c>
      <c r="H3099" t="s">
        <v>18</v>
      </c>
      <c r="I3099" t="s">
        <v>10</v>
      </c>
    </row>
    <row r="3100" spans="1:9" x14ac:dyDescent="0.25">
      <c r="A3100" t="str">
        <f t="shared" si="77"/>
        <v>89301000</v>
      </c>
      <c r="B3100" t="str">
        <f>"2357300209"</f>
        <v>2357300209</v>
      </c>
      <c r="C3100" s="1">
        <v>45137</v>
      </c>
      <c r="D3100" s="1">
        <v>45138</v>
      </c>
      <c r="E3100">
        <v>5</v>
      </c>
      <c r="F3100" t="str">
        <f>"15-K01-00"</f>
        <v>15-K01-00</v>
      </c>
      <c r="G3100">
        <v>0.1709</v>
      </c>
      <c r="H3100" t="s">
        <v>11</v>
      </c>
      <c r="I3100" t="s">
        <v>10</v>
      </c>
    </row>
    <row r="3101" spans="1:9" x14ac:dyDescent="0.25">
      <c r="A3101" t="str">
        <f t="shared" si="77"/>
        <v>89301000</v>
      </c>
      <c r="B3101" t="str">
        <f>"2357310054"</f>
        <v>2357310054</v>
      </c>
      <c r="C3101" s="1">
        <v>45138</v>
      </c>
      <c r="D3101" s="1">
        <v>45140</v>
      </c>
      <c r="E3101">
        <v>1</v>
      </c>
      <c r="F3101" t="str">
        <f t="shared" ref="F3101:F3106" si="80">"15-K05-04"</f>
        <v>15-K05-04</v>
      </c>
      <c r="G3101">
        <v>0.27139999999999997</v>
      </c>
      <c r="H3101" t="s">
        <v>13</v>
      </c>
      <c r="I3101" t="s">
        <v>10</v>
      </c>
    </row>
    <row r="3102" spans="1:9" x14ac:dyDescent="0.25">
      <c r="A3102" t="str">
        <f t="shared" si="77"/>
        <v>89301000</v>
      </c>
      <c r="B3102" t="str">
        <f>"2357310472"</f>
        <v>2357310472</v>
      </c>
      <c r="C3102" s="1">
        <v>45138</v>
      </c>
      <c r="D3102" s="1">
        <v>45141</v>
      </c>
      <c r="E3102">
        <v>1</v>
      </c>
      <c r="F3102" t="str">
        <f t="shared" si="80"/>
        <v>15-K05-04</v>
      </c>
      <c r="G3102">
        <v>0.27139999999999997</v>
      </c>
      <c r="H3102" t="s">
        <v>13</v>
      </c>
      <c r="I3102" t="s">
        <v>10</v>
      </c>
    </row>
    <row r="3103" spans="1:9" x14ac:dyDescent="0.25">
      <c r="A3103" t="str">
        <f t="shared" si="77"/>
        <v>89301000</v>
      </c>
      <c r="B3103" t="str">
        <f>"2358020511"</f>
        <v>2358020511</v>
      </c>
      <c r="C3103" s="1">
        <v>45140</v>
      </c>
      <c r="D3103" s="1">
        <v>45143</v>
      </c>
      <c r="E3103">
        <v>1</v>
      </c>
      <c r="F3103" t="str">
        <f t="shared" si="80"/>
        <v>15-K05-04</v>
      </c>
      <c r="G3103">
        <v>0.27139999999999997</v>
      </c>
      <c r="H3103" t="s">
        <v>13</v>
      </c>
      <c r="I3103" t="s">
        <v>10</v>
      </c>
    </row>
    <row r="3104" spans="1:9" x14ac:dyDescent="0.25">
      <c r="A3104" t="str">
        <f t="shared" si="77"/>
        <v>89301000</v>
      </c>
      <c r="B3104" t="str">
        <f>"2358020533"</f>
        <v>2358020533</v>
      </c>
      <c r="C3104" s="1">
        <v>45140</v>
      </c>
      <c r="D3104" s="1">
        <v>45144</v>
      </c>
      <c r="E3104">
        <v>1</v>
      </c>
      <c r="F3104" t="str">
        <f t="shared" si="80"/>
        <v>15-K05-04</v>
      </c>
      <c r="G3104">
        <v>0.27139999999999997</v>
      </c>
      <c r="H3104" t="s">
        <v>13</v>
      </c>
      <c r="I3104" t="s">
        <v>10</v>
      </c>
    </row>
    <row r="3105" spans="1:9" x14ac:dyDescent="0.25">
      <c r="A3105" t="str">
        <f t="shared" si="77"/>
        <v>89301000</v>
      </c>
      <c r="B3105" t="str">
        <f>"2358020555"</f>
        <v>2358020555</v>
      </c>
      <c r="C3105" s="1">
        <v>45140</v>
      </c>
      <c r="D3105" s="1">
        <v>45143</v>
      </c>
      <c r="E3105">
        <v>1</v>
      </c>
      <c r="F3105" t="str">
        <f t="shared" si="80"/>
        <v>15-K05-04</v>
      </c>
      <c r="G3105">
        <v>0.27139999999999997</v>
      </c>
      <c r="H3105" t="s">
        <v>13</v>
      </c>
      <c r="I3105" t="s">
        <v>10</v>
      </c>
    </row>
    <row r="3106" spans="1:9" x14ac:dyDescent="0.25">
      <c r="A3106" t="str">
        <f t="shared" si="77"/>
        <v>89301000</v>
      </c>
      <c r="B3106" t="str">
        <f>"2358030664"</f>
        <v>2358030664</v>
      </c>
      <c r="C3106" s="1">
        <v>45141</v>
      </c>
      <c r="D3106" s="1">
        <v>45145</v>
      </c>
      <c r="E3106">
        <v>1</v>
      </c>
      <c r="F3106" t="str">
        <f t="shared" si="80"/>
        <v>15-K05-04</v>
      </c>
      <c r="G3106">
        <v>0.27139999999999997</v>
      </c>
      <c r="H3106" t="s">
        <v>13</v>
      </c>
      <c r="I3106" t="s">
        <v>10</v>
      </c>
    </row>
    <row r="3107" spans="1:9" x14ac:dyDescent="0.25">
      <c r="A3107" t="str">
        <f t="shared" si="77"/>
        <v>89301000</v>
      </c>
      <c r="B3107" t="str">
        <f>"2358030675"</f>
        <v>2358030675</v>
      </c>
      <c r="C3107" s="1">
        <v>45141</v>
      </c>
      <c r="D3107" s="1">
        <v>45180</v>
      </c>
      <c r="E3107">
        <v>1</v>
      </c>
      <c r="F3107" t="str">
        <f>"15-M01-04"</f>
        <v>15-M01-04</v>
      </c>
      <c r="G3107">
        <v>6.0425000000000004</v>
      </c>
      <c r="H3107" t="s">
        <v>17</v>
      </c>
      <c r="I3107" t="s">
        <v>10</v>
      </c>
    </row>
    <row r="3108" spans="1:9" x14ac:dyDescent="0.25">
      <c r="A3108" t="str">
        <f t="shared" si="77"/>
        <v>89301000</v>
      </c>
      <c r="B3108" t="str">
        <f>"2358040564"</f>
        <v>2358040564</v>
      </c>
      <c r="C3108" s="1">
        <v>45142</v>
      </c>
      <c r="D3108" s="1">
        <v>45144</v>
      </c>
      <c r="E3108">
        <v>1</v>
      </c>
      <c r="F3108" t="str">
        <f t="shared" ref="F3108:F3117" si="81">"15-K05-04"</f>
        <v>15-K05-04</v>
      </c>
      <c r="G3108">
        <v>0.27139999999999997</v>
      </c>
      <c r="H3108" t="s">
        <v>13</v>
      </c>
      <c r="I3108" t="s">
        <v>10</v>
      </c>
    </row>
    <row r="3109" spans="1:9" x14ac:dyDescent="0.25">
      <c r="A3109" t="str">
        <f t="shared" si="77"/>
        <v>89301000</v>
      </c>
      <c r="B3109" t="str">
        <f>"2358040597"</f>
        <v>2358040597</v>
      </c>
      <c r="C3109" s="1">
        <v>45142</v>
      </c>
      <c r="D3109" s="1">
        <v>45145</v>
      </c>
      <c r="E3109">
        <v>1</v>
      </c>
      <c r="F3109" t="str">
        <f t="shared" si="81"/>
        <v>15-K05-04</v>
      </c>
      <c r="G3109">
        <v>0.27139999999999997</v>
      </c>
      <c r="H3109" t="s">
        <v>13</v>
      </c>
      <c r="I3109" t="s">
        <v>10</v>
      </c>
    </row>
    <row r="3110" spans="1:9" x14ac:dyDescent="0.25">
      <c r="A3110" t="str">
        <f t="shared" si="77"/>
        <v>89301000</v>
      </c>
      <c r="B3110" t="str">
        <f>"2358050398"</f>
        <v>2358050398</v>
      </c>
      <c r="C3110" s="1">
        <v>45143</v>
      </c>
      <c r="D3110" s="1">
        <v>45146</v>
      </c>
      <c r="E3110">
        <v>1</v>
      </c>
      <c r="F3110" t="str">
        <f t="shared" si="81"/>
        <v>15-K05-04</v>
      </c>
      <c r="G3110">
        <v>0.27139999999999997</v>
      </c>
      <c r="H3110" t="s">
        <v>13</v>
      </c>
      <c r="I3110" t="s">
        <v>10</v>
      </c>
    </row>
    <row r="3111" spans="1:9" x14ac:dyDescent="0.25">
      <c r="A3111" t="str">
        <f t="shared" si="77"/>
        <v>89301000</v>
      </c>
      <c r="B3111" t="str">
        <f>"2358070077"</f>
        <v>2358070077</v>
      </c>
      <c r="C3111" s="1">
        <v>45145</v>
      </c>
      <c r="D3111" s="1">
        <v>45148</v>
      </c>
      <c r="E3111">
        <v>1</v>
      </c>
      <c r="F3111" t="str">
        <f t="shared" si="81"/>
        <v>15-K05-04</v>
      </c>
      <c r="G3111">
        <v>0.27139999999999997</v>
      </c>
      <c r="H3111" t="s">
        <v>13</v>
      </c>
      <c r="I3111" t="s">
        <v>10</v>
      </c>
    </row>
    <row r="3112" spans="1:9" x14ac:dyDescent="0.25">
      <c r="A3112" t="str">
        <f t="shared" si="77"/>
        <v>89301000</v>
      </c>
      <c r="B3112" t="str">
        <f>"2358070539"</f>
        <v>2358070539</v>
      </c>
      <c r="C3112" s="1">
        <v>45145</v>
      </c>
      <c r="D3112" s="1">
        <v>45149</v>
      </c>
      <c r="E3112">
        <v>1</v>
      </c>
      <c r="F3112" t="str">
        <f t="shared" si="81"/>
        <v>15-K05-04</v>
      </c>
      <c r="G3112">
        <v>0.27139999999999997</v>
      </c>
      <c r="H3112" t="s">
        <v>13</v>
      </c>
      <c r="I3112" t="s">
        <v>10</v>
      </c>
    </row>
    <row r="3113" spans="1:9" x14ac:dyDescent="0.25">
      <c r="A3113" t="str">
        <f t="shared" si="77"/>
        <v>89301000</v>
      </c>
      <c r="B3113" t="str">
        <f>"2358070550"</f>
        <v>2358070550</v>
      </c>
      <c r="C3113" s="1">
        <v>45145</v>
      </c>
      <c r="D3113" s="1">
        <v>45148</v>
      </c>
      <c r="E3113">
        <v>1</v>
      </c>
      <c r="F3113" t="str">
        <f t="shared" si="81"/>
        <v>15-K05-04</v>
      </c>
      <c r="G3113">
        <v>0.27139999999999997</v>
      </c>
      <c r="H3113" t="s">
        <v>13</v>
      </c>
      <c r="I3113" t="s">
        <v>10</v>
      </c>
    </row>
    <row r="3114" spans="1:9" x14ac:dyDescent="0.25">
      <c r="A3114" t="str">
        <f t="shared" si="77"/>
        <v>89301000</v>
      </c>
      <c r="B3114" t="str">
        <f>"2358080791"</f>
        <v>2358080791</v>
      </c>
      <c r="C3114" s="1">
        <v>45146</v>
      </c>
      <c r="D3114" s="1">
        <v>45149</v>
      </c>
      <c r="E3114">
        <v>1</v>
      </c>
      <c r="F3114" t="str">
        <f t="shared" si="81"/>
        <v>15-K05-04</v>
      </c>
      <c r="G3114">
        <v>0.27139999999999997</v>
      </c>
      <c r="H3114" t="s">
        <v>13</v>
      </c>
      <c r="I3114" t="s">
        <v>10</v>
      </c>
    </row>
    <row r="3115" spans="1:9" x14ac:dyDescent="0.25">
      <c r="A3115" t="str">
        <f t="shared" si="77"/>
        <v>89301000</v>
      </c>
      <c r="B3115" t="str">
        <f>"2358090075"</f>
        <v>2358090075</v>
      </c>
      <c r="C3115" s="1">
        <v>45147</v>
      </c>
      <c r="D3115" s="1">
        <v>45149</v>
      </c>
      <c r="E3115">
        <v>1</v>
      </c>
      <c r="F3115" t="str">
        <f t="shared" si="81"/>
        <v>15-K05-04</v>
      </c>
      <c r="G3115">
        <v>0.27139999999999997</v>
      </c>
      <c r="H3115" t="s">
        <v>13</v>
      </c>
      <c r="I3115" t="s">
        <v>10</v>
      </c>
    </row>
    <row r="3116" spans="1:9" x14ac:dyDescent="0.25">
      <c r="A3116" t="str">
        <f t="shared" si="77"/>
        <v>89301000</v>
      </c>
      <c r="B3116" t="str">
        <f>"2358100800"</f>
        <v>2358100800</v>
      </c>
      <c r="C3116" s="1">
        <v>45148</v>
      </c>
      <c r="D3116" s="1">
        <v>45150</v>
      </c>
      <c r="E3116">
        <v>1</v>
      </c>
      <c r="F3116" t="str">
        <f t="shared" si="81"/>
        <v>15-K05-04</v>
      </c>
      <c r="G3116">
        <v>0.27139999999999997</v>
      </c>
      <c r="H3116" t="s">
        <v>13</v>
      </c>
      <c r="I3116" t="s">
        <v>10</v>
      </c>
    </row>
    <row r="3117" spans="1:9" x14ac:dyDescent="0.25">
      <c r="A3117" t="str">
        <f t="shared" si="77"/>
        <v>89301000</v>
      </c>
      <c r="B3117" t="str">
        <f>"2358110436"</f>
        <v>2358110436</v>
      </c>
      <c r="C3117" s="1">
        <v>45149</v>
      </c>
      <c r="D3117" s="1">
        <v>45151</v>
      </c>
      <c r="E3117">
        <v>1</v>
      </c>
      <c r="F3117" t="str">
        <f t="shared" si="81"/>
        <v>15-K05-04</v>
      </c>
      <c r="G3117">
        <v>0.27139999999999997</v>
      </c>
      <c r="H3117" t="s">
        <v>13</v>
      </c>
      <c r="I3117" t="s">
        <v>10</v>
      </c>
    </row>
    <row r="3118" spans="1:9" x14ac:dyDescent="0.25">
      <c r="A3118" t="str">
        <f t="shared" si="77"/>
        <v>89301000</v>
      </c>
      <c r="B3118" t="str">
        <f>"2358120127"</f>
        <v>2358120127</v>
      </c>
      <c r="C3118" s="1">
        <v>45150</v>
      </c>
      <c r="D3118" s="1">
        <v>45153</v>
      </c>
      <c r="E3118">
        <v>1</v>
      </c>
      <c r="F3118" t="str">
        <f>"15-K04-04"</f>
        <v>15-K04-04</v>
      </c>
      <c r="G3118">
        <v>0.38179999999999997</v>
      </c>
      <c r="H3118" t="s">
        <v>18</v>
      </c>
      <c r="I3118" t="s">
        <v>10</v>
      </c>
    </row>
    <row r="3119" spans="1:9" x14ac:dyDescent="0.25">
      <c r="A3119" t="str">
        <f t="shared" si="77"/>
        <v>89301000</v>
      </c>
      <c r="B3119" t="str">
        <f>"2358120149"</f>
        <v>2358120149</v>
      </c>
      <c r="C3119" s="1">
        <v>45156</v>
      </c>
      <c r="D3119" s="1">
        <v>45157</v>
      </c>
      <c r="E3119">
        <v>1</v>
      </c>
      <c r="F3119" t="str">
        <f>"15-K06-04"</f>
        <v>15-K06-04</v>
      </c>
      <c r="G3119">
        <v>0.55330000000000001</v>
      </c>
      <c r="H3119" t="s">
        <v>13</v>
      </c>
      <c r="I3119" t="s">
        <v>10</v>
      </c>
    </row>
    <row r="3120" spans="1:9" x14ac:dyDescent="0.25">
      <c r="A3120" t="str">
        <f t="shared" ref="A3120:A3183" si="82">"89301000"</f>
        <v>89301000</v>
      </c>
      <c r="B3120" t="str">
        <f>"2358120149"</f>
        <v>2358120149</v>
      </c>
      <c r="C3120" s="1">
        <v>45170</v>
      </c>
      <c r="D3120" s="1">
        <v>45173</v>
      </c>
      <c r="E3120">
        <v>1</v>
      </c>
      <c r="F3120" t="str">
        <f>"15-K06-03"</f>
        <v>15-K06-03</v>
      </c>
      <c r="G3120">
        <v>0.70520000000000005</v>
      </c>
      <c r="H3120" t="s">
        <v>13</v>
      </c>
      <c r="I3120" t="s">
        <v>10</v>
      </c>
    </row>
    <row r="3121" spans="1:9" x14ac:dyDescent="0.25">
      <c r="A3121" t="str">
        <f t="shared" si="82"/>
        <v>89301000</v>
      </c>
      <c r="B3121" t="str">
        <f>"2358120149"</f>
        <v>2358120149</v>
      </c>
      <c r="C3121" s="1">
        <v>45150</v>
      </c>
      <c r="D3121" s="1">
        <v>45153</v>
      </c>
      <c r="E3121">
        <v>1</v>
      </c>
      <c r="F3121" t="str">
        <f>"15-K05-04"</f>
        <v>15-K05-04</v>
      </c>
      <c r="G3121">
        <v>0.27139999999999997</v>
      </c>
      <c r="H3121" t="s">
        <v>13</v>
      </c>
      <c r="I3121" t="s">
        <v>10</v>
      </c>
    </row>
    <row r="3122" spans="1:9" x14ac:dyDescent="0.25">
      <c r="A3122" t="str">
        <f t="shared" si="82"/>
        <v>89301000</v>
      </c>
      <c r="B3122" t="str">
        <f>"2358130203"</f>
        <v>2358130203</v>
      </c>
      <c r="C3122" s="1">
        <v>45151</v>
      </c>
      <c r="D3122" s="1">
        <v>45155</v>
      </c>
      <c r="E3122">
        <v>1</v>
      </c>
      <c r="F3122" t="str">
        <f>"15-K05-04"</f>
        <v>15-K05-04</v>
      </c>
      <c r="G3122">
        <v>0.27139999999999997</v>
      </c>
      <c r="H3122" t="s">
        <v>13</v>
      </c>
      <c r="I3122" t="s">
        <v>10</v>
      </c>
    </row>
    <row r="3123" spans="1:9" x14ac:dyDescent="0.25">
      <c r="A3123" t="str">
        <f t="shared" si="82"/>
        <v>89301000</v>
      </c>
      <c r="B3123" t="str">
        <f>"2358130214"</f>
        <v>2358130214</v>
      </c>
      <c r="C3123" s="1">
        <v>45151</v>
      </c>
      <c r="D3123" s="1">
        <v>45154</v>
      </c>
      <c r="E3123">
        <v>1</v>
      </c>
      <c r="F3123" t="str">
        <f>"15-K05-04"</f>
        <v>15-K05-04</v>
      </c>
      <c r="G3123">
        <v>0.27139999999999997</v>
      </c>
      <c r="H3123" t="s">
        <v>13</v>
      </c>
      <c r="I3123" t="s">
        <v>10</v>
      </c>
    </row>
    <row r="3124" spans="1:9" x14ac:dyDescent="0.25">
      <c r="A3124" t="str">
        <f t="shared" si="82"/>
        <v>89301000</v>
      </c>
      <c r="B3124" t="str">
        <f>"2358140477"</f>
        <v>2358140477</v>
      </c>
      <c r="C3124" s="1">
        <v>45152</v>
      </c>
      <c r="D3124" s="1">
        <v>45157</v>
      </c>
      <c r="E3124">
        <v>1</v>
      </c>
      <c r="F3124" t="str">
        <f>"15-K05-04"</f>
        <v>15-K05-04</v>
      </c>
      <c r="G3124">
        <v>0.27139999999999997</v>
      </c>
      <c r="H3124" t="s">
        <v>13</v>
      </c>
      <c r="I3124" t="s">
        <v>10</v>
      </c>
    </row>
    <row r="3125" spans="1:9" x14ac:dyDescent="0.25">
      <c r="A3125" t="str">
        <f t="shared" si="82"/>
        <v>89301000</v>
      </c>
      <c r="B3125" t="str">
        <f>"2358140499"</f>
        <v>2358140499</v>
      </c>
      <c r="C3125" s="1">
        <v>45152</v>
      </c>
      <c r="D3125" s="1">
        <v>45156</v>
      </c>
      <c r="E3125">
        <v>1</v>
      </c>
      <c r="F3125" t="str">
        <f>"15-K05-02"</f>
        <v>15-K05-02</v>
      </c>
      <c r="G3125">
        <v>0.54239999999999999</v>
      </c>
      <c r="H3125" t="s">
        <v>13</v>
      </c>
      <c r="I3125" t="s">
        <v>10</v>
      </c>
    </row>
    <row r="3126" spans="1:9" x14ac:dyDescent="0.25">
      <c r="A3126" t="str">
        <f t="shared" si="82"/>
        <v>89301000</v>
      </c>
      <c r="B3126" t="str">
        <f>"2358150047"</f>
        <v>2358150047</v>
      </c>
      <c r="C3126" s="1">
        <v>45153</v>
      </c>
      <c r="D3126" s="1">
        <v>45156</v>
      </c>
      <c r="E3126">
        <v>1</v>
      </c>
      <c r="F3126" t="str">
        <f>"15-K05-04"</f>
        <v>15-K05-04</v>
      </c>
      <c r="G3126">
        <v>0.27139999999999997</v>
      </c>
      <c r="H3126" t="s">
        <v>13</v>
      </c>
      <c r="I3126" t="s">
        <v>10</v>
      </c>
    </row>
    <row r="3127" spans="1:9" x14ac:dyDescent="0.25">
      <c r="A3127" t="str">
        <f t="shared" si="82"/>
        <v>89301000</v>
      </c>
      <c r="B3127" t="str">
        <f>"2358150597"</f>
        <v>2358150597</v>
      </c>
      <c r="C3127" s="1">
        <v>45153</v>
      </c>
      <c r="D3127" s="1">
        <v>45156</v>
      </c>
      <c r="E3127">
        <v>1</v>
      </c>
      <c r="F3127" t="str">
        <f>"15-K05-04"</f>
        <v>15-K05-04</v>
      </c>
      <c r="G3127">
        <v>0.27139999999999997</v>
      </c>
      <c r="H3127" t="s">
        <v>13</v>
      </c>
      <c r="I3127" t="s">
        <v>10</v>
      </c>
    </row>
    <row r="3128" spans="1:9" x14ac:dyDescent="0.25">
      <c r="A3128" t="str">
        <f t="shared" si="82"/>
        <v>89301000</v>
      </c>
      <c r="B3128" t="str">
        <f>"2358160761"</f>
        <v>2358160761</v>
      </c>
      <c r="C3128" s="1">
        <v>45154</v>
      </c>
      <c r="D3128" s="1">
        <v>45157</v>
      </c>
      <c r="E3128">
        <v>1</v>
      </c>
      <c r="F3128" t="str">
        <f>"15-K05-04"</f>
        <v>15-K05-04</v>
      </c>
      <c r="G3128">
        <v>0.27139999999999997</v>
      </c>
      <c r="H3128" t="s">
        <v>13</v>
      </c>
      <c r="I3128" t="s">
        <v>10</v>
      </c>
    </row>
    <row r="3129" spans="1:9" x14ac:dyDescent="0.25">
      <c r="A3129" t="str">
        <f t="shared" si="82"/>
        <v>89301000</v>
      </c>
      <c r="B3129" t="str">
        <f>"2358190164"</f>
        <v>2358190164</v>
      </c>
      <c r="C3129" s="1">
        <v>45157</v>
      </c>
      <c r="D3129" s="1">
        <v>45162</v>
      </c>
      <c r="E3129">
        <v>1</v>
      </c>
      <c r="F3129" t="str">
        <f>"15-K05-04"</f>
        <v>15-K05-04</v>
      </c>
      <c r="G3129">
        <v>0.27139999999999997</v>
      </c>
      <c r="H3129" t="s">
        <v>13</v>
      </c>
      <c r="I3129" t="s">
        <v>10</v>
      </c>
    </row>
    <row r="3130" spans="1:9" x14ac:dyDescent="0.25">
      <c r="A3130" t="str">
        <f t="shared" si="82"/>
        <v>89301000</v>
      </c>
      <c r="B3130" t="str">
        <f>"2358200130"</f>
        <v>2358200130</v>
      </c>
      <c r="C3130" s="1">
        <v>45158</v>
      </c>
      <c r="D3130" s="1">
        <v>45161</v>
      </c>
      <c r="E3130">
        <v>1</v>
      </c>
      <c r="F3130" t="str">
        <f>"15-K05-04"</f>
        <v>15-K05-04</v>
      </c>
      <c r="G3130">
        <v>0.27139999999999997</v>
      </c>
      <c r="H3130" t="s">
        <v>13</v>
      </c>
      <c r="I3130" t="s">
        <v>10</v>
      </c>
    </row>
    <row r="3131" spans="1:9" x14ac:dyDescent="0.25">
      <c r="A3131" t="str">
        <f t="shared" si="82"/>
        <v>89301000</v>
      </c>
      <c r="B3131" t="str">
        <f>"2358220689"</f>
        <v>2358220689</v>
      </c>
      <c r="C3131" s="1">
        <v>45160</v>
      </c>
      <c r="D3131" s="1">
        <v>45164</v>
      </c>
      <c r="E3131">
        <v>1</v>
      </c>
      <c r="F3131" t="str">
        <f>"15-K04-04"</f>
        <v>15-K04-04</v>
      </c>
      <c r="G3131">
        <v>0.38179999999999997</v>
      </c>
      <c r="H3131" t="s">
        <v>18</v>
      </c>
      <c r="I3131" t="s">
        <v>10</v>
      </c>
    </row>
    <row r="3132" spans="1:9" x14ac:dyDescent="0.25">
      <c r="A3132" t="str">
        <f t="shared" si="82"/>
        <v>89301000</v>
      </c>
      <c r="B3132" t="str">
        <f>"2358230567"</f>
        <v>2358230567</v>
      </c>
      <c r="C3132" s="1">
        <v>45161</v>
      </c>
      <c r="D3132" s="1">
        <v>45163</v>
      </c>
      <c r="E3132">
        <v>1</v>
      </c>
      <c r="F3132" t="str">
        <f>"15-K05-04"</f>
        <v>15-K05-04</v>
      </c>
      <c r="G3132">
        <v>0.27139999999999997</v>
      </c>
      <c r="H3132" t="s">
        <v>13</v>
      </c>
      <c r="I3132" t="s">
        <v>10</v>
      </c>
    </row>
    <row r="3133" spans="1:9" x14ac:dyDescent="0.25">
      <c r="A3133" t="str">
        <f t="shared" si="82"/>
        <v>89301000</v>
      </c>
      <c r="B3133" t="str">
        <f>"2358240005"</f>
        <v>2358240005</v>
      </c>
      <c r="C3133" s="1">
        <v>45186</v>
      </c>
      <c r="D3133" s="1">
        <v>45188</v>
      </c>
      <c r="E3133">
        <v>1</v>
      </c>
      <c r="F3133" t="str">
        <f>"15-K06-04"</f>
        <v>15-K06-04</v>
      </c>
      <c r="G3133">
        <v>0.55330000000000001</v>
      </c>
      <c r="H3133" t="s">
        <v>13</v>
      </c>
      <c r="I3133" t="s">
        <v>10</v>
      </c>
    </row>
    <row r="3134" spans="1:9" x14ac:dyDescent="0.25">
      <c r="A3134" t="str">
        <f t="shared" si="82"/>
        <v>89301000</v>
      </c>
      <c r="B3134" t="str">
        <f>"2358240522"</f>
        <v>2358240522</v>
      </c>
      <c r="C3134" s="1">
        <v>45162</v>
      </c>
      <c r="D3134" s="1">
        <v>45166</v>
      </c>
      <c r="E3134">
        <v>1</v>
      </c>
      <c r="F3134" t="str">
        <f>"15-K05-04"</f>
        <v>15-K05-04</v>
      </c>
      <c r="G3134">
        <v>0.27139999999999997</v>
      </c>
      <c r="H3134" t="s">
        <v>13</v>
      </c>
      <c r="I3134" t="s">
        <v>10</v>
      </c>
    </row>
    <row r="3135" spans="1:9" x14ac:dyDescent="0.25">
      <c r="A3135" t="str">
        <f t="shared" si="82"/>
        <v>89301000</v>
      </c>
      <c r="B3135" t="str">
        <f>"2358250114"</f>
        <v>2358250114</v>
      </c>
      <c r="C3135" s="1">
        <v>45163</v>
      </c>
      <c r="D3135" s="1">
        <v>45166</v>
      </c>
      <c r="E3135">
        <v>1</v>
      </c>
      <c r="F3135" t="str">
        <f>"15-K05-04"</f>
        <v>15-K05-04</v>
      </c>
      <c r="G3135">
        <v>0.27139999999999997</v>
      </c>
      <c r="H3135" t="s">
        <v>13</v>
      </c>
      <c r="I3135" t="s">
        <v>10</v>
      </c>
    </row>
    <row r="3136" spans="1:9" x14ac:dyDescent="0.25">
      <c r="A3136" t="str">
        <f t="shared" si="82"/>
        <v>89301000</v>
      </c>
      <c r="B3136" t="str">
        <f>"2358250642"</f>
        <v>2358250642</v>
      </c>
      <c r="C3136" s="1">
        <v>45163</v>
      </c>
      <c r="D3136" s="1">
        <v>45167</v>
      </c>
      <c r="E3136">
        <v>1</v>
      </c>
      <c r="F3136" t="str">
        <f>"15-K05-04"</f>
        <v>15-K05-04</v>
      </c>
      <c r="G3136">
        <v>0.27139999999999997</v>
      </c>
      <c r="H3136" t="s">
        <v>13</v>
      </c>
      <c r="I3136" t="s">
        <v>10</v>
      </c>
    </row>
    <row r="3137" spans="1:9" x14ac:dyDescent="0.25">
      <c r="A3137" t="str">
        <f t="shared" si="82"/>
        <v>89301000</v>
      </c>
      <c r="B3137" t="str">
        <f>"2358250675"</f>
        <v>2358250675</v>
      </c>
      <c r="C3137" s="1">
        <v>45289</v>
      </c>
      <c r="D3137" s="1">
        <v>45291</v>
      </c>
      <c r="E3137">
        <v>1</v>
      </c>
      <c r="F3137" t="str">
        <f>"04-K13-01"</f>
        <v>04-K13-01</v>
      </c>
      <c r="G3137">
        <v>0.69920000000000004</v>
      </c>
      <c r="H3137" t="s">
        <v>11</v>
      </c>
      <c r="I3137" t="s">
        <v>10</v>
      </c>
    </row>
    <row r="3138" spans="1:9" x14ac:dyDescent="0.25">
      <c r="A3138" t="str">
        <f t="shared" si="82"/>
        <v>89301000</v>
      </c>
      <c r="B3138" t="str">
        <f>"2358250675"</f>
        <v>2358250675</v>
      </c>
      <c r="C3138" s="1">
        <v>45163</v>
      </c>
      <c r="D3138" s="1">
        <v>45167</v>
      </c>
      <c r="E3138">
        <v>1</v>
      </c>
      <c r="F3138" t="str">
        <f>"15-K05-04"</f>
        <v>15-K05-04</v>
      </c>
      <c r="G3138">
        <v>0.27139999999999997</v>
      </c>
      <c r="H3138" t="s">
        <v>13</v>
      </c>
      <c r="I3138" t="s">
        <v>10</v>
      </c>
    </row>
    <row r="3139" spans="1:9" x14ac:dyDescent="0.25">
      <c r="A3139" t="str">
        <f t="shared" si="82"/>
        <v>89301000</v>
      </c>
      <c r="B3139" t="str">
        <f>"2358260300"</f>
        <v>2358260300</v>
      </c>
      <c r="C3139" s="1">
        <v>45164</v>
      </c>
      <c r="D3139" s="1">
        <v>45167</v>
      </c>
      <c r="E3139">
        <v>1</v>
      </c>
      <c r="F3139" t="str">
        <f>"15-K05-04"</f>
        <v>15-K05-04</v>
      </c>
      <c r="G3139">
        <v>0.27139999999999997</v>
      </c>
      <c r="H3139" t="s">
        <v>13</v>
      </c>
      <c r="I3139" t="s">
        <v>10</v>
      </c>
    </row>
    <row r="3140" spans="1:9" x14ac:dyDescent="0.25">
      <c r="A3140" t="str">
        <f t="shared" si="82"/>
        <v>89301000</v>
      </c>
      <c r="B3140" t="str">
        <f>"2358270178"</f>
        <v>2358270178</v>
      </c>
      <c r="C3140" s="1">
        <v>45165</v>
      </c>
      <c r="D3140" s="1">
        <v>45167</v>
      </c>
      <c r="E3140">
        <v>1</v>
      </c>
      <c r="F3140" t="str">
        <f>"15-K05-04"</f>
        <v>15-K05-04</v>
      </c>
      <c r="G3140">
        <v>0.27139999999999997</v>
      </c>
      <c r="H3140" t="s">
        <v>13</v>
      </c>
      <c r="I3140" t="s">
        <v>10</v>
      </c>
    </row>
    <row r="3141" spans="1:9" x14ac:dyDescent="0.25">
      <c r="A3141" t="str">
        <f t="shared" si="82"/>
        <v>89301000</v>
      </c>
      <c r="B3141" t="str">
        <f>"2358270189"</f>
        <v>2358270189</v>
      </c>
      <c r="C3141" s="1">
        <v>45165</v>
      </c>
      <c r="D3141" s="1">
        <v>45168</v>
      </c>
      <c r="E3141">
        <v>1</v>
      </c>
      <c r="F3141" t="str">
        <f>"15-K05-04"</f>
        <v>15-K05-04</v>
      </c>
      <c r="G3141">
        <v>0.27139999999999997</v>
      </c>
      <c r="H3141" t="s">
        <v>13</v>
      </c>
      <c r="I3141" t="s">
        <v>10</v>
      </c>
    </row>
    <row r="3142" spans="1:9" x14ac:dyDescent="0.25">
      <c r="A3142" t="str">
        <f t="shared" si="82"/>
        <v>89301000</v>
      </c>
      <c r="B3142" t="str">
        <f>"2358280606"</f>
        <v>2358280606</v>
      </c>
      <c r="C3142" s="1">
        <v>45166</v>
      </c>
      <c r="D3142" s="1">
        <v>45169</v>
      </c>
      <c r="E3142">
        <v>1</v>
      </c>
      <c r="F3142" t="str">
        <f>"15-K05-04"</f>
        <v>15-K05-04</v>
      </c>
      <c r="G3142">
        <v>0.27139999999999997</v>
      </c>
      <c r="H3142" t="s">
        <v>13</v>
      </c>
      <c r="I3142" t="s">
        <v>10</v>
      </c>
    </row>
    <row r="3143" spans="1:9" x14ac:dyDescent="0.25">
      <c r="A3143" t="str">
        <f t="shared" si="82"/>
        <v>89301000</v>
      </c>
      <c r="B3143" t="str">
        <f>"2358290616"</f>
        <v>2358290616</v>
      </c>
      <c r="C3143" s="1">
        <v>45167</v>
      </c>
      <c r="D3143" s="1">
        <v>45174</v>
      </c>
      <c r="E3143">
        <v>1</v>
      </c>
      <c r="F3143" t="str">
        <f>"15-K06-04"</f>
        <v>15-K06-04</v>
      </c>
      <c r="G3143">
        <v>0.55330000000000001</v>
      </c>
      <c r="H3143" t="s">
        <v>13</v>
      </c>
      <c r="I3143" t="s">
        <v>10</v>
      </c>
    </row>
    <row r="3144" spans="1:9" x14ac:dyDescent="0.25">
      <c r="A3144" t="str">
        <f t="shared" si="82"/>
        <v>89301000</v>
      </c>
      <c r="B3144" t="str">
        <f>"2358310724"</f>
        <v>2358310724</v>
      </c>
      <c r="C3144" s="1">
        <v>45169</v>
      </c>
      <c r="D3144" s="1">
        <v>45178</v>
      </c>
      <c r="E3144">
        <v>1</v>
      </c>
      <c r="F3144" t="str">
        <f>"15-K06-04"</f>
        <v>15-K06-04</v>
      </c>
      <c r="G3144">
        <v>0.55330000000000001</v>
      </c>
      <c r="H3144" t="s">
        <v>13</v>
      </c>
      <c r="I3144" t="s">
        <v>10</v>
      </c>
    </row>
    <row r="3145" spans="1:9" x14ac:dyDescent="0.25">
      <c r="A3145" t="str">
        <f t="shared" si="82"/>
        <v>89301000</v>
      </c>
      <c r="B3145" t="str">
        <f>"2358310735"</f>
        <v>2358310735</v>
      </c>
      <c r="C3145" s="1">
        <v>45169</v>
      </c>
      <c r="D3145" s="1">
        <v>45172</v>
      </c>
      <c r="E3145">
        <v>1</v>
      </c>
      <c r="F3145" t="str">
        <f>"15-K05-04"</f>
        <v>15-K05-04</v>
      </c>
      <c r="G3145">
        <v>0.27139999999999997</v>
      </c>
      <c r="H3145" t="s">
        <v>13</v>
      </c>
      <c r="I3145" t="s">
        <v>10</v>
      </c>
    </row>
    <row r="3146" spans="1:9" x14ac:dyDescent="0.25">
      <c r="A3146" t="str">
        <f t="shared" si="82"/>
        <v>89301000</v>
      </c>
      <c r="B3146" t="str">
        <f>"2359020862"</f>
        <v>2359020862</v>
      </c>
      <c r="C3146" s="1">
        <v>45211</v>
      </c>
      <c r="D3146" s="1">
        <v>45226</v>
      </c>
      <c r="E3146">
        <v>1</v>
      </c>
      <c r="F3146" t="str">
        <f>"01-K16-02"</f>
        <v>01-K16-02</v>
      </c>
      <c r="G3146">
        <v>1.0911</v>
      </c>
      <c r="H3146" t="s">
        <v>11</v>
      </c>
      <c r="I3146" t="s">
        <v>10</v>
      </c>
    </row>
    <row r="3147" spans="1:9" x14ac:dyDescent="0.25">
      <c r="A3147" t="str">
        <f t="shared" si="82"/>
        <v>89301000</v>
      </c>
      <c r="B3147" t="str">
        <f>"2359040486"</f>
        <v>2359040486</v>
      </c>
      <c r="C3147" s="1">
        <v>45173</v>
      </c>
      <c r="D3147" s="1">
        <v>45173</v>
      </c>
      <c r="E3147">
        <v>1</v>
      </c>
      <c r="F3147" t="str">
        <f>"15-K06-04"</f>
        <v>15-K06-04</v>
      </c>
      <c r="G3147">
        <v>0.2767</v>
      </c>
      <c r="H3147" t="s">
        <v>13</v>
      </c>
      <c r="I3147" t="s">
        <v>10</v>
      </c>
    </row>
    <row r="3148" spans="1:9" x14ac:dyDescent="0.25">
      <c r="A3148" t="str">
        <f t="shared" si="82"/>
        <v>89301000</v>
      </c>
      <c r="B3148" t="str">
        <f>"2359040497"</f>
        <v>2359040497</v>
      </c>
      <c r="C3148" s="1">
        <v>45173</v>
      </c>
      <c r="D3148" s="1">
        <v>45176</v>
      </c>
      <c r="E3148">
        <v>1</v>
      </c>
      <c r="F3148" t="str">
        <f>"15-K05-04"</f>
        <v>15-K05-04</v>
      </c>
      <c r="G3148">
        <v>0.27139999999999997</v>
      </c>
      <c r="H3148" t="s">
        <v>13</v>
      </c>
      <c r="I3148" t="s">
        <v>10</v>
      </c>
    </row>
    <row r="3149" spans="1:9" x14ac:dyDescent="0.25">
      <c r="A3149" t="str">
        <f t="shared" si="82"/>
        <v>89301000</v>
      </c>
      <c r="B3149" t="str">
        <f>"2359040508"</f>
        <v>2359040508</v>
      </c>
      <c r="C3149" s="1">
        <v>45173</v>
      </c>
      <c r="D3149" s="1">
        <v>45188</v>
      </c>
      <c r="E3149">
        <v>1</v>
      </c>
      <c r="F3149" t="str">
        <f>"15-K05-02"</f>
        <v>15-K05-02</v>
      </c>
      <c r="G3149">
        <v>0.76129999999999998</v>
      </c>
      <c r="H3149" t="s">
        <v>13</v>
      </c>
      <c r="I3149" t="s">
        <v>10</v>
      </c>
    </row>
    <row r="3150" spans="1:9" x14ac:dyDescent="0.25">
      <c r="A3150" t="str">
        <f t="shared" si="82"/>
        <v>89301000</v>
      </c>
      <c r="B3150" t="str">
        <f>"2359040519"</f>
        <v>2359040519</v>
      </c>
      <c r="C3150" s="1">
        <v>45173</v>
      </c>
      <c r="D3150" s="1">
        <v>45188</v>
      </c>
      <c r="E3150">
        <v>1</v>
      </c>
      <c r="F3150" t="str">
        <f>"15-K03-02"</f>
        <v>15-K03-02</v>
      </c>
      <c r="G3150">
        <v>1.8358000000000001</v>
      </c>
      <c r="H3150" t="s">
        <v>18</v>
      </c>
      <c r="I3150" t="s">
        <v>10</v>
      </c>
    </row>
    <row r="3151" spans="1:9" x14ac:dyDescent="0.25">
      <c r="A3151" t="str">
        <f t="shared" si="82"/>
        <v>89301000</v>
      </c>
      <c r="B3151" t="str">
        <f>"2359050232"</f>
        <v>2359050232</v>
      </c>
      <c r="C3151" s="1">
        <v>45174</v>
      </c>
      <c r="D3151" s="1">
        <v>45177</v>
      </c>
      <c r="E3151">
        <v>1</v>
      </c>
      <c r="F3151" t="str">
        <f>"15-K05-04"</f>
        <v>15-K05-04</v>
      </c>
      <c r="G3151">
        <v>0.27139999999999997</v>
      </c>
      <c r="H3151" t="s">
        <v>13</v>
      </c>
      <c r="I3151" t="s">
        <v>10</v>
      </c>
    </row>
    <row r="3152" spans="1:9" x14ac:dyDescent="0.25">
      <c r="A3152" t="str">
        <f t="shared" si="82"/>
        <v>89301000</v>
      </c>
      <c r="B3152" t="str">
        <f>"2359050232"</f>
        <v>2359050232</v>
      </c>
      <c r="C3152" s="1">
        <v>45188</v>
      </c>
      <c r="D3152" s="1">
        <v>45190</v>
      </c>
      <c r="E3152">
        <v>1</v>
      </c>
      <c r="F3152" t="str">
        <f>"15-K06-04"</f>
        <v>15-K06-04</v>
      </c>
      <c r="G3152">
        <v>0.55330000000000001</v>
      </c>
      <c r="H3152" t="s">
        <v>13</v>
      </c>
      <c r="I3152" t="s">
        <v>10</v>
      </c>
    </row>
    <row r="3153" spans="1:9" x14ac:dyDescent="0.25">
      <c r="A3153" t="str">
        <f t="shared" si="82"/>
        <v>89301000</v>
      </c>
      <c r="B3153" t="str">
        <f>"2359130664"</f>
        <v>2359130664</v>
      </c>
      <c r="C3153" s="1">
        <v>45182</v>
      </c>
      <c r="D3153" s="1">
        <v>45184</v>
      </c>
      <c r="E3153">
        <v>1</v>
      </c>
      <c r="F3153" t="str">
        <f>"15-K05-04"</f>
        <v>15-K05-04</v>
      </c>
      <c r="G3153">
        <v>0.27139999999999997</v>
      </c>
      <c r="H3153" t="s">
        <v>13</v>
      </c>
      <c r="I3153" t="s">
        <v>10</v>
      </c>
    </row>
    <row r="3154" spans="1:9" x14ac:dyDescent="0.25">
      <c r="A3154" t="str">
        <f t="shared" si="82"/>
        <v>89301000</v>
      </c>
      <c r="B3154" t="str">
        <f>"2359130675"</f>
        <v>2359130675</v>
      </c>
      <c r="C3154" s="1">
        <v>45182</v>
      </c>
      <c r="D3154" s="1">
        <v>45185</v>
      </c>
      <c r="E3154">
        <v>1</v>
      </c>
      <c r="F3154" t="str">
        <f>"15-K05-04"</f>
        <v>15-K05-04</v>
      </c>
      <c r="G3154">
        <v>0.27139999999999997</v>
      </c>
      <c r="H3154" t="s">
        <v>13</v>
      </c>
      <c r="I3154" t="s">
        <v>10</v>
      </c>
    </row>
    <row r="3155" spans="1:9" x14ac:dyDescent="0.25">
      <c r="A3155" t="str">
        <f t="shared" si="82"/>
        <v>89301000</v>
      </c>
      <c r="B3155" t="str">
        <f>"2359140058"</f>
        <v>2359140058</v>
      </c>
      <c r="C3155" s="1">
        <v>45183</v>
      </c>
      <c r="D3155" s="1">
        <v>45186</v>
      </c>
      <c r="E3155">
        <v>1</v>
      </c>
      <c r="F3155" t="str">
        <f>"15-K05-04"</f>
        <v>15-K05-04</v>
      </c>
      <c r="G3155">
        <v>0.27139999999999997</v>
      </c>
      <c r="H3155" t="s">
        <v>13</v>
      </c>
      <c r="I3155" t="s">
        <v>10</v>
      </c>
    </row>
    <row r="3156" spans="1:9" x14ac:dyDescent="0.25">
      <c r="A3156" t="str">
        <f t="shared" si="82"/>
        <v>89301000</v>
      </c>
      <c r="B3156" t="str">
        <f>"2359140322"</f>
        <v>2359140322</v>
      </c>
      <c r="C3156" s="1">
        <v>45183</v>
      </c>
      <c r="D3156" s="1">
        <v>45185</v>
      </c>
      <c r="E3156">
        <v>1</v>
      </c>
      <c r="F3156" t="str">
        <f>"15-K05-04"</f>
        <v>15-K05-04</v>
      </c>
      <c r="G3156">
        <v>0.27139999999999997</v>
      </c>
      <c r="H3156" t="s">
        <v>13</v>
      </c>
      <c r="I3156" t="s">
        <v>10</v>
      </c>
    </row>
    <row r="3157" spans="1:9" x14ac:dyDescent="0.25">
      <c r="A3157" t="str">
        <f t="shared" si="82"/>
        <v>89301000</v>
      </c>
      <c r="B3157" t="str">
        <f>"2359150288"</f>
        <v>2359150288</v>
      </c>
      <c r="C3157" s="1">
        <v>45184</v>
      </c>
      <c r="D3157" s="1">
        <v>45217</v>
      </c>
      <c r="E3157">
        <v>1</v>
      </c>
      <c r="F3157" t="str">
        <f>"15-K03-01"</f>
        <v>15-K03-01</v>
      </c>
      <c r="G3157">
        <v>3.0916000000000001</v>
      </c>
      <c r="H3157" t="s">
        <v>18</v>
      </c>
      <c r="I3157" t="s">
        <v>10</v>
      </c>
    </row>
    <row r="3158" spans="1:9" x14ac:dyDescent="0.25">
      <c r="A3158" t="str">
        <f t="shared" si="82"/>
        <v>89301000</v>
      </c>
      <c r="B3158" t="str">
        <f>"2359150321"</f>
        <v>2359150321</v>
      </c>
      <c r="C3158" s="1">
        <v>45238</v>
      </c>
      <c r="D3158" s="1">
        <v>45238</v>
      </c>
      <c r="E3158">
        <v>1</v>
      </c>
      <c r="F3158" t="str">
        <f>"01-K18-04"</f>
        <v>01-K18-04</v>
      </c>
      <c r="G3158">
        <v>0.27310000000000001</v>
      </c>
      <c r="H3158" t="s">
        <v>11</v>
      </c>
      <c r="I3158" t="s">
        <v>10</v>
      </c>
    </row>
    <row r="3159" spans="1:9" x14ac:dyDescent="0.25">
      <c r="A3159" t="str">
        <f t="shared" si="82"/>
        <v>89301000</v>
      </c>
      <c r="B3159" t="str">
        <f>"2359150321"</f>
        <v>2359150321</v>
      </c>
      <c r="C3159" s="1">
        <v>45184</v>
      </c>
      <c r="D3159" s="1">
        <v>45187</v>
      </c>
      <c r="E3159">
        <v>1</v>
      </c>
      <c r="F3159" t="str">
        <f>"15-K03-03"</f>
        <v>15-K03-03</v>
      </c>
      <c r="G3159">
        <v>1.5666</v>
      </c>
      <c r="H3159" t="s">
        <v>18</v>
      </c>
      <c r="I3159" t="s">
        <v>10</v>
      </c>
    </row>
    <row r="3160" spans="1:9" x14ac:dyDescent="0.25">
      <c r="A3160" t="str">
        <f t="shared" si="82"/>
        <v>89301000</v>
      </c>
      <c r="B3160" t="str">
        <f>"2359150332"</f>
        <v>2359150332</v>
      </c>
      <c r="C3160" s="1">
        <v>45184</v>
      </c>
      <c r="D3160" s="1">
        <v>45187</v>
      </c>
      <c r="E3160">
        <v>1</v>
      </c>
      <c r="F3160" t="str">
        <f t="shared" ref="F3160:F3178" si="83">"15-K05-04"</f>
        <v>15-K05-04</v>
      </c>
      <c r="G3160">
        <v>0.27139999999999997</v>
      </c>
      <c r="H3160" t="s">
        <v>13</v>
      </c>
      <c r="I3160" t="s">
        <v>10</v>
      </c>
    </row>
    <row r="3161" spans="1:9" x14ac:dyDescent="0.25">
      <c r="A3161" t="str">
        <f t="shared" si="82"/>
        <v>89301000</v>
      </c>
      <c r="B3161" t="str">
        <f>"2359200426"</f>
        <v>2359200426</v>
      </c>
      <c r="C3161" s="1">
        <v>45189</v>
      </c>
      <c r="D3161" s="1">
        <v>45192</v>
      </c>
      <c r="E3161">
        <v>1</v>
      </c>
      <c r="F3161" t="str">
        <f t="shared" si="83"/>
        <v>15-K05-04</v>
      </c>
      <c r="G3161">
        <v>0.27139999999999997</v>
      </c>
      <c r="H3161" t="s">
        <v>13</v>
      </c>
      <c r="I3161" t="s">
        <v>10</v>
      </c>
    </row>
    <row r="3162" spans="1:9" x14ac:dyDescent="0.25">
      <c r="A3162" t="str">
        <f t="shared" si="82"/>
        <v>89301000</v>
      </c>
      <c r="B3162" t="str">
        <f>"2359200437"</f>
        <v>2359200437</v>
      </c>
      <c r="C3162" s="1">
        <v>45189</v>
      </c>
      <c r="D3162" s="1">
        <v>45192</v>
      </c>
      <c r="E3162">
        <v>1</v>
      </c>
      <c r="F3162" t="str">
        <f t="shared" si="83"/>
        <v>15-K05-04</v>
      </c>
      <c r="G3162">
        <v>0.27139999999999997</v>
      </c>
      <c r="H3162" t="s">
        <v>13</v>
      </c>
      <c r="I3162" t="s">
        <v>10</v>
      </c>
    </row>
    <row r="3163" spans="1:9" x14ac:dyDescent="0.25">
      <c r="A3163" t="str">
        <f t="shared" si="82"/>
        <v>89301000</v>
      </c>
      <c r="B3163" t="str">
        <f>"2359210557"</f>
        <v>2359210557</v>
      </c>
      <c r="C3163" s="1">
        <v>45190</v>
      </c>
      <c r="D3163" s="1">
        <v>45193</v>
      </c>
      <c r="E3163">
        <v>1</v>
      </c>
      <c r="F3163" t="str">
        <f t="shared" si="83"/>
        <v>15-K05-04</v>
      </c>
      <c r="G3163">
        <v>0.27139999999999997</v>
      </c>
      <c r="H3163" t="s">
        <v>13</v>
      </c>
      <c r="I3163" t="s">
        <v>10</v>
      </c>
    </row>
    <row r="3164" spans="1:9" x14ac:dyDescent="0.25">
      <c r="A3164" t="str">
        <f t="shared" si="82"/>
        <v>89301000</v>
      </c>
      <c r="B3164" t="str">
        <f>"2359220435"</f>
        <v>2359220435</v>
      </c>
      <c r="C3164" s="1">
        <v>45191</v>
      </c>
      <c r="D3164" s="1">
        <v>45195</v>
      </c>
      <c r="E3164">
        <v>1</v>
      </c>
      <c r="F3164" t="str">
        <f t="shared" si="83"/>
        <v>15-K05-04</v>
      </c>
      <c r="G3164">
        <v>0.27139999999999997</v>
      </c>
      <c r="H3164" t="s">
        <v>13</v>
      </c>
      <c r="I3164" t="s">
        <v>10</v>
      </c>
    </row>
    <row r="3165" spans="1:9" x14ac:dyDescent="0.25">
      <c r="A3165" t="str">
        <f t="shared" si="82"/>
        <v>89301000</v>
      </c>
      <c r="B3165" t="str">
        <f>"2359220446"</f>
        <v>2359220446</v>
      </c>
      <c r="C3165" s="1">
        <v>45191</v>
      </c>
      <c r="D3165" s="1">
        <v>45194</v>
      </c>
      <c r="E3165">
        <v>1</v>
      </c>
      <c r="F3165" t="str">
        <f t="shared" si="83"/>
        <v>15-K05-04</v>
      </c>
      <c r="G3165">
        <v>0.27139999999999997</v>
      </c>
      <c r="H3165" t="s">
        <v>13</v>
      </c>
      <c r="I3165" t="s">
        <v>10</v>
      </c>
    </row>
    <row r="3166" spans="1:9" x14ac:dyDescent="0.25">
      <c r="A3166" t="str">
        <f t="shared" si="82"/>
        <v>89301000</v>
      </c>
      <c r="B3166" t="str">
        <f>"2359250432"</f>
        <v>2359250432</v>
      </c>
      <c r="C3166" s="1">
        <v>45194</v>
      </c>
      <c r="D3166" s="1">
        <v>45197</v>
      </c>
      <c r="E3166">
        <v>1</v>
      </c>
      <c r="F3166" t="str">
        <f t="shared" si="83"/>
        <v>15-K05-04</v>
      </c>
      <c r="G3166">
        <v>0.27139999999999997</v>
      </c>
      <c r="H3166" t="s">
        <v>13</v>
      </c>
      <c r="I3166" t="s">
        <v>10</v>
      </c>
    </row>
    <row r="3167" spans="1:9" x14ac:dyDescent="0.25">
      <c r="A3167" t="str">
        <f t="shared" si="82"/>
        <v>89301000</v>
      </c>
      <c r="B3167" t="str">
        <f>"2359260618"</f>
        <v>2359260618</v>
      </c>
      <c r="C3167" s="1">
        <v>45195</v>
      </c>
      <c r="D3167" s="1">
        <v>45197</v>
      </c>
      <c r="E3167">
        <v>1</v>
      </c>
      <c r="F3167" t="str">
        <f t="shared" si="83"/>
        <v>15-K05-04</v>
      </c>
      <c r="G3167">
        <v>0.27139999999999997</v>
      </c>
      <c r="H3167" t="s">
        <v>13</v>
      </c>
      <c r="I3167" t="s">
        <v>10</v>
      </c>
    </row>
    <row r="3168" spans="1:9" x14ac:dyDescent="0.25">
      <c r="A3168" t="str">
        <f t="shared" si="82"/>
        <v>89301000</v>
      </c>
      <c r="B3168" t="str">
        <f>"2359260629"</f>
        <v>2359260629</v>
      </c>
      <c r="C3168" s="1">
        <v>45195</v>
      </c>
      <c r="D3168" s="1">
        <v>45198</v>
      </c>
      <c r="E3168">
        <v>1</v>
      </c>
      <c r="F3168" t="str">
        <f t="shared" si="83"/>
        <v>15-K05-04</v>
      </c>
      <c r="G3168">
        <v>0.27139999999999997</v>
      </c>
      <c r="H3168" t="s">
        <v>13</v>
      </c>
      <c r="I3168" t="s">
        <v>10</v>
      </c>
    </row>
    <row r="3169" spans="1:9" x14ac:dyDescent="0.25">
      <c r="A3169" t="str">
        <f t="shared" si="82"/>
        <v>89301000</v>
      </c>
      <c r="B3169" t="str">
        <f>"2359280143"</f>
        <v>2359280143</v>
      </c>
      <c r="C3169" s="1">
        <v>45197</v>
      </c>
      <c r="D3169" s="1">
        <v>45199</v>
      </c>
      <c r="E3169">
        <v>1</v>
      </c>
      <c r="F3169" t="str">
        <f t="shared" si="83"/>
        <v>15-K05-04</v>
      </c>
      <c r="G3169">
        <v>0.27139999999999997</v>
      </c>
      <c r="H3169" t="s">
        <v>13</v>
      </c>
      <c r="I3169" t="s">
        <v>10</v>
      </c>
    </row>
    <row r="3170" spans="1:9" x14ac:dyDescent="0.25">
      <c r="A3170" t="str">
        <f t="shared" si="82"/>
        <v>89301000</v>
      </c>
      <c r="B3170" t="str">
        <f>"2359290549"</f>
        <v>2359290549</v>
      </c>
      <c r="C3170" s="1">
        <v>45198</v>
      </c>
      <c r="D3170" s="1">
        <v>45200</v>
      </c>
      <c r="E3170">
        <v>1</v>
      </c>
      <c r="F3170" t="str">
        <f t="shared" si="83"/>
        <v>15-K05-04</v>
      </c>
      <c r="G3170">
        <v>0.27139999999999997</v>
      </c>
      <c r="H3170" t="s">
        <v>13</v>
      </c>
      <c r="I3170" t="s">
        <v>10</v>
      </c>
    </row>
    <row r="3171" spans="1:9" x14ac:dyDescent="0.25">
      <c r="A3171" t="str">
        <f t="shared" si="82"/>
        <v>89301000</v>
      </c>
      <c r="B3171" t="str">
        <f>"2360010444"</f>
        <v>2360010444</v>
      </c>
      <c r="C3171" s="1">
        <v>45200</v>
      </c>
      <c r="D3171" s="1">
        <v>45202</v>
      </c>
      <c r="E3171">
        <v>1</v>
      </c>
      <c r="F3171" t="str">
        <f t="shared" si="83"/>
        <v>15-K05-04</v>
      </c>
      <c r="G3171">
        <v>0.27139999999999997</v>
      </c>
      <c r="H3171" t="s">
        <v>13</v>
      </c>
      <c r="I3171" t="s">
        <v>10</v>
      </c>
    </row>
    <row r="3172" spans="1:9" x14ac:dyDescent="0.25">
      <c r="A3172" t="str">
        <f t="shared" si="82"/>
        <v>89301000</v>
      </c>
      <c r="B3172" t="str">
        <f>"2360010455"</f>
        <v>2360010455</v>
      </c>
      <c r="C3172" s="1">
        <v>45200</v>
      </c>
      <c r="D3172" s="1">
        <v>45204</v>
      </c>
      <c r="E3172">
        <v>1</v>
      </c>
      <c r="F3172" t="str">
        <f t="shared" si="83"/>
        <v>15-K05-04</v>
      </c>
      <c r="G3172">
        <v>0.27139999999999997</v>
      </c>
      <c r="H3172" t="s">
        <v>13</v>
      </c>
      <c r="I3172" t="s">
        <v>10</v>
      </c>
    </row>
    <row r="3173" spans="1:9" x14ac:dyDescent="0.25">
      <c r="A3173" t="str">
        <f t="shared" si="82"/>
        <v>89301000</v>
      </c>
      <c r="B3173" t="str">
        <f>"2360010466"</f>
        <v>2360010466</v>
      </c>
      <c r="C3173" s="1">
        <v>45200</v>
      </c>
      <c r="D3173" s="1">
        <v>45203</v>
      </c>
      <c r="E3173">
        <v>1</v>
      </c>
      <c r="F3173" t="str">
        <f t="shared" si="83"/>
        <v>15-K05-04</v>
      </c>
      <c r="G3173">
        <v>0.27139999999999997</v>
      </c>
      <c r="H3173" t="s">
        <v>13</v>
      </c>
      <c r="I3173" t="s">
        <v>10</v>
      </c>
    </row>
    <row r="3174" spans="1:9" x14ac:dyDescent="0.25">
      <c r="A3174" t="str">
        <f t="shared" si="82"/>
        <v>89301000</v>
      </c>
      <c r="B3174" t="str">
        <f>"2360020465"</f>
        <v>2360020465</v>
      </c>
      <c r="C3174" s="1">
        <v>45201</v>
      </c>
      <c r="D3174" s="1">
        <v>45204</v>
      </c>
      <c r="E3174">
        <v>1</v>
      </c>
      <c r="F3174" t="str">
        <f t="shared" si="83"/>
        <v>15-K05-04</v>
      </c>
      <c r="G3174">
        <v>0.27139999999999997</v>
      </c>
      <c r="H3174" t="s">
        <v>13</v>
      </c>
      <c r="I3174" t="s">
        <v>10</v>
      </c>
    </row>
    <row r="3175" spans="1:9" x14ac:dyDescent="0.25">
      <c r="A3175" t="str">
        <f t="shared" si="82"/>
        <v>89301000</v>
      </c>
      <c r="B3175" t="str">
        <f>"2360020476"</f>
        <v>2360020476</v>
      </c>
      <c r="C3175" s="1">
        <v>45201</v>
      </c>
      <c r="D3175" s="1">
        <v>45204</v>
      </c>
      <c r="E3175">
        <v>1</v>
      </c>
      <c r="F3175" t="str">
        <f t="shared" si="83"/>
        <v>15-K05-04</v>
      </c>
      <c r="G3175">
        <v>0.27139999999999997</v>
      </c>
      <c r="H3175" t="s">
        <v>13</v>
      </c>
      <c r="I3175" t="s">
        <v>10</v>
      </c>
    </row>
    <row r="3176" spans="1:9" x14ac:dyDescent="0.25">
      <c r="A3176" t="str">
        <f t="shared" si="82"/>
        <v>89301000</v>
      </c>
      <c r="B3176" t="str">
        <f>"2360040661"</f>
        <v>2360040661</v>
      </c>
      <c r="C3176" s="1">
        <v>45203</v>
      </c>
      <c r="D3176" s="1">
        <v>45206</v>
      </c>
      <c r="E3176">
        <v>1</v>
      </c>
      <c r="F3176" t="str">
        <f t="shared" si="83"/>
        <v>15-K05-04</v>
      </c>
      <c r="G3176">
        <v>0.27139999999999997</v>
      </c>
      <c r="H3176" t="s">
        <v>13</v>
      </c>
      <c r="I3176" t="s">
        <v>10</v>
      </c>
    </row>
    <row r="3177" spans="1:9" x14ac:dyDescent="0.25">
      <c r="A3177" t="str">
        <f t="shared" si="82"/>
        <v>89301000</v>
      </c>
      <c r="B3177" t="str">
        <f>"2360050066"</f>
        <v>2360050066</v>
      </c>
      <c r="C3177" s="1">
        <v>45204</v>
      </c>
      <c r="D3177" s="1">
        <v>45207</v>
      </c>
      <c r="E3177">
        <v>1</v>
      </c>
      <c r="F3177" t="str">
        <f t="shared" si="83"/>
        <v>15-K05-04</v>
      </c>
      <c r="G3177">
        <v>0.27139999999999997</v>
      </c>
      <c r="H3177" t="s">
        <v>13</v>
      </c>
      <c r="I3177" t="s">
        <v>10</v>
      </c>
    </row>
    <row r="3178" spans="1:9" x14ac:dyDescent="0.25">
      <c r="A3178" t="str">
        <f t="shared" si="82"/>
        <v>89301000</v>
      </c>
      <c r="B3178" t="str">
        <f>"2360050715"</f>
        <v>2360050715</v>
      </c>
      <c r="C3178" s="1">
        <v>45204</v>
      </c>
      <c r="D3178" s="1">
        <v>45207</v>
      </c>
      <c r="E3178">
        <v>1</v>
      </c>
      <c r="F3178" t="str">
        <f t="shared" si="83"/>
        <v>15-K05-04</v>
      </c>
      <c r="G3178">
        <v>0.27139999999999997</v>
      </c>
      <c r="H3178" t="s">
        <v>13</v>
      </c>
      <c r="I3178" t="s">
        <v>10</v>
      </c>
    </row>
    <row r="3179" spans="1:9" x14ac:dyDescent="0.25">
      <c r="A3179" t="str">
        <f t="shared" si="82"/>
        <v>89301000</v>
      </c>
      <c r="B3179" t="str">
        <f>"2360050737"</f>
        <v>2360050737</v>
      </c>
      <c r="C3179" s="1">
        <v>45204</v>
      </c>
      <c r="D3179" s="1">
        <v>45212</v>
      </c>
      <c r="E3179">
        <v>1</v>
      </c>
      <c r="F3179" t="str">
        <f>"15-K06-03"</f>
        <v>15-K06-03</v>
      </c>
      <c r="G3179">
        <v>0.70520000000000005</v>
      </c>
      <c r="H3179" t="s">
        <v>13</v>
      </c>
      <c r="I3179" t="s">
        <v>10</v>
      </c>
    </row>
    <row r="3180" spans="1:9" x14ac:dyDescent="0.25">
      <c r="A3180" t="str">
        <f t="shared" si="82"/>
        <v>89301000</v>
      </c>
      <c r="B3180" t="str">
        <f>"2360050748"</f>
        <v>2360050748</v>
      </c>
      <c r="C3180" s="1">
        <v>45204</v>
      </c>
      <c r="D3180" s="1">
        <v>45209</v>
      </c>
      <c r="E3180">
        <v>1</v>
      </c>
      <c r="F3180" t="str">
        <f>"15-K05-02"</f>
        <v>15-K05-02</v>
      </c>
      <c r="G3180">
        <v>0.53290000000000004</v>
      </c>
      <c r="H3180" t="s">
        <v>13</v>
      </c>
      <c r="I3180" t="s">
        <v>10</v>
      </c>
    </row>
    <row r="3181" spans="1:9" x14ac:dyDescent="0.25">
      <c r="A3181" t="str">
        <f t="shared" si="82"/>
        <v>89301000</v>
      </c>
      <c r="B3181" t="str">
        <f>"2360060604"</f>
        <v>2360060604</v>
      </c>
      <c r="C3181" s="1">
        <v>45205</v>
      </c>
      <c r="D3181" s="1">
        <v>45208</v>
      </c>
      <c r="E3181">
        <v>1</v>
      </c>
      <c r="F3181" t="str">
        <f>"15-K05-04"</f>
        <v>15-K05-04</v>
      </c>
      <c r="G3181">
        <v>0.27139999999999997</v>
      </c>
      <c r="H3181" t="s">
        <v>13</v>
      </c>
      <c r="I3181" t="s">
        <v>10</v>
      </c>
    </row>
    <row r="3182" spans="1:9" x14ac:dyDescent="0.25">
      <c r="A3182" t="str">
        <f t="shared" si="82"/>
        <v>89301000</v>
      </c>
      <c r="B3182" t="str">
        <f>"2360060626"</f>
        <v>2360060626</v>
      </c>
      <c r="C3182" s="1">
        <v>45205</v>
      </c>
      <c r="D3182" s="1">
        <v>45208</v>
      </c>
      <c r="E3182">
        <v>1</v>
      </c>
      <c r="F3182" t="str">
        <f>"15-K05-04"</f>
        <v>15-K05-04</v>
      </c>
      <c r="G3182">
        <v>0.27139999999999997</v>
      </c>
      <c r="H3182" t="s">
        <v>13</v>
      </c>
      <c r="I3182" t="s">
        <v>10</v>
      </c>
    </row>
    <row r="3183" spans="1:9" x14ac:dyDescent="0.25">
      <c r="A3183" t="str">
        <f t="shared" si="82"/>
        <v>89301000</v>
      </c>
      <c r="B3183" t="str">
        <f>"2360070350"</f>
        <v>2360070350</v>
      </c>
      <c r="C3183" s="1">
        <v>45206</v>
      </c>
      <c r="D3183" s="1">
        <v>45210</v>
      </c>
      <c r="E3183">
        <v>1</v>
      </c>
      <c r="F3183" t="str">
        <f>"15-K05-04"</f>
        <v>15-K05-04</v>
      </c>
      <c r="G3183">
        <v>0.27139999999999997</v>
      </c>
      <c r="H3183" t="s">
        <v>13</v>
      </c>
      <c r="I3183" t="s">
        <v>10</v>
      </c>
    </row>
    <row r="3184" spans="1:9" x14ac:dyDescent="0.25">
      <c r="A3184" t="str">
        <f t="shared" ref="A3184:A3246" si="84">"89301000"</f>
        <v>89301000</v>
      </c>
      <c r="B3184" t="str">
        <f>"2360070361"</f>
        <v>2360070361</v>
      </c>
      <c r="C3184" s="1">
        <v>45206</v>
      </c>
      <c r="D3184" s="1">
        <v>45211</v>
      </c>
      <c r="E3184">
        <v>1</v>
      </c>
      <c r="F3184" t="str">
        <f>"15-K05-02"</f>
        <v>15-K05-02</v>
      </c>
      <c r="G3184">
        <v>0.53290000000000004</v>
      </c>
      <c r="H3184" t="s">
        <v>13</v>
      </c>
      <c r="I3184" t="s">
        <v>10</v>
      </c>
    </row>
    <row r="3185" spans="1:9" x14ac:dyDescent="0.25">
      <c r="A3185" t="str">
        <f t="shared" si="84"/>
        <v>89301000</v>
      </c>
      <c r="B3185" t="str">
        <f>"2360080382"</f>
        <v>2360080382</v>
      </c>
      <c r="C3185" s="1">
        <v>45207</v>
      </c>
      <c r="D3185" s="1">
        <v>45210</v>
      </c>
      <c r="E3185">
        <v>1</v>
      </c>
      <c r="F3185" t="str">
        <f>"15-K05-04"</f>
        <v>15-K05-04</v>
      </c>
      <c r="G3185">
        <v>0.27139999999999997</v>
      </c>
      <c r="H3185" t="s">
        <v>13</v>
      </c>
      <c r="I3185" t="s">
        <v>10</v>
      </c>
    </row>
    <row r="3186" spans="1:9" x14ac:dyDescent="0.25">
      <c r="A3186" t="str">
        <f t="shared" si="84"/>
        <v>89301000</v>
      </c>
      <c r="B3186" t="str">
        <f>"2360090667"</f>
        <v>2360090667</v>
      </c>
      <c r="C3186" s="1">
        <v>45208</v>
      </c>
      <c r="D3186" s="1">
        <v>45213</v>
      </c>
      <c r="E3186">
        <v>1</v>
      </c>
      <c r="F3186" t="str">
        <f>"15-K05-02"</f>
        <v>15-K05-02</v>
      </c>
      <c r="G3186">
        <v>0.53290000000000004</v>
      </c>
      <c r="H3186" t="s">
        <v>13</v>
      </c>
      <c r="I3186" t="s">
        <v>10</v>
      </c>
    </row>
    <row r="3187" spans="1:9" x14ac:dyDescent="0.25">
      <c r="A3187" t="str">
        <f t="shared" si="84"/>
        <v>89301000</v>
      </c>
      <c r="B3187" t="str">
        <f>"2360090678"</f>
        <v>2360090678</v>
      </c>
      <c r="C3187" s="1">
        <v>45208</v>
      </c>
      <c r="D3187" s="1">
        <v>45212</v>
      </c>
      <c r="E3187">
        <v>1</v>
      </c>
      <c r="F3187" t="str">
        <f t="shared" ref="F3187:F3200" si="85">"15-K05-04"</f>
        <v>15-K05-04</v>
      </c>
      <c r="G3187">
        <v>0.27139999999999997</v>
      </c>
      <c r="H3187" t="s">
        <v>13</v>
      </c>
      <c r="I3187" t="s">
        <v>10</v>
      </c>
    </row>
    <row r="3188" spans="1:9" x14ac:dyDescent="0.25">
      <c r="A3188" t="str">
        <f t="shared" si="84"/>
        <v>89301000</v>
      </c>
      <c r="B3188" t="str">
        <f>"2360110093"</f>
        <v>2360110093</v>
      </c>
      <c r="C3188" s="1">
        <v>45210</v>
      </c>
      <c r="D3188" s="1">
        <v>45213</v>
      </c>
      <c r="E3188">
        <v>1</v>
      </c>
      <c r="F3188" t="str">
        <f t="shared" si="85"/>
        <v>15-K05-04</v>
      </c>
      <c r="G3188">
        <v>0.27139999999999997</v>
      </c>
      <c r="H3188" t="s">
        <v>13</v>
      </c>
      <c r="I3188" t="s">
        <v>10</v>
      </c>
    </row>
    <row r="3189" spans="1:9" x14ac:dyDescent="0.25">
      <c r="A3189" t="str">
        <f t="shared" si="84"/>
        <v>89301000</v>
      </c>
      <c r="B3189" t="str">
        <f>"2360110489"</f>
        <v>2360110489</v>
      </c>
      <c r="C3189" s="1">
        <v>45210</v>
      </c>
      <c r="D3189" s="1">
        <v>45213</v>
      </c>
      <c r="E3189">
        <v>1</v>
      </c>
      <c r="F3189" t="str">
        <f t="shared" si="85"/>
        <v>15-K05-04</v>
      </c>
      <c r="G3189">
        <v>0.27139999999999997</v>
      </c>
      <c r="H3189" t="s">
        <v>13</v>
      </c>
      <c r="I3189" t="s">
        <v>10</v>
      </c>
    </row>
    <row r="3190" spans="1:9" x14ac:dyDescent="0.25">
      <c r="A3190" t="str">
        <f t="shared" si="84"/>
        <v>89301000</v>
      </c>
      <c r="B3190" t="str">
        <f>"2360120565"</f>
        <v>2360120565</v>
      </c>
      <c r="C3190" s="1">
        <v>45211</v>
      </c>
      <c r="D3190" s="1">
        <v>45213</v>
      </c>
      <c r="E3190">
        <v>1</v>
      </c>
      <c r="F3190" t="str">
        <f t="shared" si="85"/>
        <v>15-K05-04</v>
      </c>
      <c r="G3190">
        <v>0.27139999999999997</v>
      </c>
      <c r="H3190" t="s">
        <v>13</v>
      </c>
      <c r="I3190" t="s">
        <v>10</v>
      </c>
    </row>
    <row r="3191" spans="1:9" x14ac:dyDescent="0.25">
      <c r="A3191" t="str">
        <f t="shared" si="84"/>
        <v>89301000</v>
      </c>
      <c r="B3191" t="str">
        <f>"2360130564"</f>
        <v>2360130564</v>
      </c>
      <c r="C3191" s="1">
        <v>45212</v>
      </c>
      <c r="D3191" s="1">
        <v>45215</v>
      </c>
      <c r="E3191">
        <v>1</v>
      </c>
      <c r="F3191" t="str">
        <f t="shared" si="85"/>
        <v>15-K05-04</v>
      </c>
      <c r="G3191">
        <v>0.27139999999999997</v>
      </c>
      <c r="H3191" t="s">
        <v>13</v>
      </c>
      <c r="I3191" t="s">
        <v>10</v>
      </c>
    </row>
    <row r="3192" spans="1:9" x14ac:dyDescent="0.25">
      <c r="A3192" t="str">
        <f t="shared" si="84"/>
        <v>89301000</v>
      </c>
      <c r="B3192" t="str">
        <f>"2360150342"</f>
        <v>2360150342</v>
      </c>
      <c r="C3192" s="1">
        <v>45214</v>
      </c>
      <c r="D3192" s="1">
        <v>45217</v>
      </c>
      <c r="E3192">
        <v>1</v>
      </c>
      <c r="F3192" t="str">
        <f t="shared" si="85"/>
        <v>15-K05-04</v>
      </c>
      <c r="G3192">
        <v>0.27139999999999997</v>
      </c>
      <c r="H3192" t="s">
        <v>13</v>
      </c>
      <c r="I3192" t="s">
        <v>10</v>
      </c>
    </row>
    <row r="3193" spans="1:9" x14ac:dyDescent="0.25">
      <c r="A3193" t="str">
        <f t="shared" si="84"/>
        <v>89301000</v>
      </c>
      <c r="B3193" t="str">
        <f>"2360160385"</f>
        <v>2360160385</v>
      </c>
      <c r="C3193" s="1">
        <v>45215</v>
      </c>
      <c r="D3193" s="1">
        <v>45219</v>
      </c>
      <c r="E3193">
        <v>1</v>
      </c>
      <c r="F3193" t="str">
        <f t="shared" si="85"/>
        <v>15-K05-04</v>
      </c>
      <c r="G3193">
        <v>0.27139999999999997</v>
      </c>
      <c r="H3193" t="s">
        <v>13</v>
      </c>
      <c r="I3193" t="s">
        <v>10</v>
      </c>
    </row>
    <row r="3194" spans="1:9" x14ac:dyDescent="0.25">
      <c r="A3194" t="str">
        <f t="shared" si="84"/>
        <v>89301000</v>
      </c>
      <c r="B3194" t="str">
        <f>"2360160396"</f>
        <v>2360160396</v>
      </c>
      <c r="C3194" s="1">
        <v>45215</v>
      </c>
      <c r="D3194" s="1">
        <v>45219</v>
      </c>
      <c r="E3194">
        <v>1</v>
      </c>
      <c r="F3194" t="str">
        <f t="shared" si="85"/>
        <v>15-K05-04</v>
      </c>
      <c r="G3194">
        <v>0.27139999999999997</v>
      </c>
      <c r="H3194" t="s">
        <v>13</v>
      </c>
      <c r="I3194" t="s">
        <v>10</v>
      </c>
    </row>
    <row r="3195" spans="1:9" x14ac:dyDescent="0.25">
      <c r="A3195" t="str">
        <f t="shared" si="84"/>
        <v>89301000</v>
      </c>
      <c r="B3195" t="str">
        <f>"2360170351"</f>
        <v>2360170351</v>
      </c>
      <c r="C3195" s="1">
        <v>45216</v>
      </c>
      <c r="D3195" s="1">
        <v>45219</v>
      </c>
      <c r="E3195">
        <v>1</v>
      </c>
      <c r="F3195" t="str">
        <f t="shared" si="85"/>
        <v>15-K05-04</v>
      </c>
      <c r="G3195">
        <v>0.27139999999999997</v>
      </c>
      <c r="H3195" t="s">
        <v>13</v>
      </c>
      <c r="I3195" t="s">
        <v>10</v>
      </c>
    </row>
    <row r="3196" spans="1:9" x14ac:dyDescent="0.25">
      <c r="A3196" t="str">
        <f t="shared" si="84"/>
        <v>89301000</v>
      </c>
      <c r="B3196" t="str">
        <f>"2360180449"</f>
        <v>2360180449</v>
      </c>
      <c r="C3196" s="1">
        <v>45217</v>
      </c>
      <c r="D3196" s="1">
        <v>45219</v>
      </c>
      <c r="E3196">
        <v>1</v>
      </c>
      <c r="F3196" t="str">
        <f t="shared" si="85"/>
        <v>15-K05-04</v>
      </c>
      <c r="G3196">
        <v>0.27139999999999997</v>
      </c>
      <c r="H3196" t="s">
        <v>13</v>
      </c>
      <c r="I3196" t="s">
        <v>10</v>
      </c>
    </row>
    <row r="3197" spans="1:9" x14ac:dyDescent="0.25">
      <c r="A3197" t="str">
        <f t="shared" si="84"/>
        <v>89301000</v>
      </c>
      <c r="B3197" t="str">
        <f>"2360180460"</f>
        <v>2360180460</v>
      </c>
      <c r="C3197" s="1">
        <v>45217</v>
      </c>
      <c r="D3197" s="1">
        <v>45220</v>
      </c>
      <c r="E3197">
        <v>1</v>
      </c>
      <c r="F3197" t="str">
        <f t="shared" si="85"/>
        <v>15-K05-04</v>
      </c>
      <c r="G3197">
        <v>0.27139999999999997</v>
      </c>
      <c r="H3197" t="s">
        <v>13</v>
      </c>
      <c r="I3197" t="s">
        <v>10</v>
      </c>
    </row>
    <row r="3198" spans="1:9" x14ac:dyDescent="0.25">
      <c r="A3198" t="str">
        <f t="shared" si="84"/>
        <v>89301000</v>
      </c>
      <c r="B3198" t="str">
        <f>"2360200579"</f>
        <v>2360200579</v>
      </c>
      <c r="C3198" s="1">
        <v>45219</v>
      </c>
      <c r="D3198" s="1">
        <v>45224</v>
      </c>
      <c r="E3198">
        <v>1</v>
      </c>
      <c r="F3198" t="str">
        <f t="shared" si="85"/>
        <v>15-K05-04</v>
      </c>
      <c r="G3198">
        <v>0.27139999999999997</v>
      </c>
      <c r="H3198" t="s">
        <v>13</v>
      </c>
      <c r="I3198" t="s">
        <v>10</v>
      </c>
    </row>
    <row r="3199" spans="1:9" x14ac:dyDescent="0.25">
      <c r="A3199" t="str">
        <f t="shared" si="84"/>
        <v>89301000</v>
      </c>
      <c r="B3199" t="str">
        <f>"2360220313"</f>
        <v>2360220313</v>
      </c>
      <c r="C3199" s="1">
        <v>45221</v>
      </c>
      <c r="D3199" s="1">
        <v>45225</v>
      </c>
      <c r="E3199">
        <v>1</v>
      </c>
      <c r="F3199" t="str">
        <f t="shared" si="85"/>
        <v>15-K05-04</v>
      </c>
      <c r="G3199">
        <v>0.27139999999999997</v>
      </c>
      <c r="H3199" t="s">
        <v>13</v>
      </c>
      <c r="I3199" t="s">
        <v>10</v>
      </c>
    </row>
    <row r="3200" spans="1:9" x14ac:dyDescent="0.25">
      <c r="A3200" t="str">
        <f t="shared" si="84"/>
        <v>89301000</v>
      </c>
      <c r="B3200" t="str">
        <f>"2360230389"</f>
        <v>2360230389</v>
      </c>
      <c r="C3200" s="1">
        <v>45222</v>
      </c>
      <c r="D3200" s="1">
        <v>45224</v>
      </c>
      <c r="E3200">
        <v>1</v>
      </c>
      <c r="F3200" t="str">
        <f t="shared" si="85"/>
        <v>15-K05-04</v>
      </c>
      <c r="G3200">
        <v>0.27139999999999997</v>
      </c>
      <c r="H3200" t="s">
        <v>13</v>
      </c>
      <c r="I3200" t="s">
        <v>10</v>
      </c>
    </row>
    <row r="3201" spans="1:9" x14ac:dyDescent="0.25">
      <c r="A3201" t="str">
        <f t="shared" si="84"/>
        <v>89301000</v>
      </c>
      <c r="B3201" t="str">
        <f>"2360260485"</f>
        <v>2360260485</v>
      </c>
      <c r="C3201" s="1">
        <v>45225</v>
      </c>
      <c r="D3201" s="1">
        <v>45229</v>
      </c>
      <c r="E3201">
        <v>1</v>
      </c>
      <c r="F3201" t="str">
        <f>"15-K05-02"</f>
        <v>15-K05-02</v>
      </c>
      <c r="G3201">
        <v>0.53290000000000004</v>
      </c>
      <c r="H3201" t="s">
        <v>13</v>
      </c>
      <c r="I3201" t="s">
        <v>10</v>
      </c>
    </row>
    <row r="3202" spans="1:9" x14ac:dyDescent="0.25">
      <c r="A3202" t="str">
        <f t="shared" si="84"/>
        <v>89301000</v>
      </c>
      <c r="B3202" t="str">
        <f>"2360310667"</f>
        <v>2360310667</v>
      </c>
      <c r="C3202" s="1">
        <v>45230</v>
      </c>
      <c r="D3202" s="1">
        <v>45232</v>
      </c>
      <c r="E3202">
        <v>1</v>
      </c>
      <c r="F3202" t="str">
        <f>"15-K05-04"</f>
        <v>15-K05-04</v>
      </c>
      <c r="G3202">
        <v>0.27139999999999997</v>
      </c>
      <c r="H3202" t="s">
        <v>13</v>
      </c>
      <c r="I3202" t="s">
        <v>10</v>
      </c>
    </row>
    <row r="3203" spans="1:9" x14ac:dyDescent="0.25">
      <c r="A3203" t="str">
        <f t="shared" si="84"/>
        <v>89301000</v>
      </c>
      <c r="B3203" t="str">
        <f>"2361020651"</f>
        <v>2361020651</v>
      </c>
      <c r="C3203" s="1">
        <v>45232</v>
      </c>
      <c r="D3203" s="1">
        <v>45237</v>
      </c>
      <c r="E3203">
        <v>1</v>
      </c>
      <c r="F3203" t="str">
        <f>"15-K05-04"</f>
        <v>15-K05-04</v>
      </c>
      <c r="G3203">
        <v>0.27139999999999997</v>
      </c>
      <c r="H3203" t="s">
        <v>13</v>
      </c>
      <c r="I3203" t="s">
        <v>10</v>
      </c>
    </row>
    <row r="3204" spans="1:9" x14ac:dyDescent="0.25">
      <c r="A3204" t="str">
        <f t="shared" si="84"/>
        <v>89301000</v>
      </c>
      <c r="B3204" t="str">
        <f>"2361030507"</f>
        <v>2361030507</v>
      </c>
      <c r="C3204" s="1">
        <v>45233</v>
      </c>
      <c r="D3204" s="1">
        <v>45238</v>
      </c>
      <c r="E3204">
        <v>1</v>
      </c>
      <c r="F3204" t="str">
        <f>"15-K04-04"</f>
        <v>15-K04-04</v>
      </c>
      <c r="G3204">
        <v>0.38179999999999997</v>
      </c>
      <c r="H3204" t="s">
        <v>18</v>
      </c>
      <c r="I3204" t="s">
        <v>10</v>
      </c>
    </row>
    <row r="3205" spans="1:9" x14ac:dyDescent="0.25">
      <c r="A3205" t="str">
        <f t="shared" si="84"/>
        <v>89301000</v>
      </c>
      <c r="B3205" t="str">
        <f>"2361050395"</f>
        <v>2361050395</v>
      </c>
      <c r="C3205" s="1">
        <v>45235</v>
      </c>
      <c r="D3205" s="1">
        <v>45238</v>
      </c>
      <c r="E3205">
        <v>1</v>
      </c>
      <c r="F3205" t="str">
        <f>"15-K05-04"</f>
        <v>15-K05-04</v>
      </c>
      <c r="G3205">
        <v>0.27139999999999997</v>
      </c>
      <c r="H3205" t="s">
        <v>13</v>
      </c>
      <c r="I3205" t="s">
        <v>10</v>
      </c>
    </row>
    <row r="3206" spans="1:9" x14ac:dyDescent="0.25">
      <c r="A3206" t="str">
        <f t="shared" si="84"/>
        <v>89301000</v>
      </c>
      <c r="B3206" t="str">
        <f>"2361060449"</f>
        <v>2361060449</v>
      </c>
      <c r="C3206" s="1">
        <v>45236</v>
      </c>
      <c r="D3206" s="1">
        <v>45239</v>
      </c>
      <c r="E3206">
        <v>1</v>
      </c>
      <c r="F3206" t="str">
        <f>"15-K05-04"</f>
        <v>15-K05-04</v>
      </c>
      <c r="G3206">
        <v>0.27139999999999997</v>
      </c>
      <c r="H3206" t="s">
        <v>13</v>
      </c>
      <c r="I3206" t="s">
        <v>10</v>
      </c>
    </row>
    <row r="3207" spans="1:9" x14ac:dyDescent="0.25">
      <c r="A3207" t="str">
        <f t="shared" si="84"/>
        <v>89301000</v>
      </c>
      <c r="B3207" t="str">
        <f>"2361080590"</f>
        <v>2361080590</v>
      </c>
      <c r="C3207" s="1">
        <v>45238</v>
      </c>
      <c r="D3207" s="1">
        <v>45241</v>
      </c>
      <c r="E3207">
        <v>1</v>
      </c>
      <c r="F3207" t="str">
        <f>"15-K05-04"</f>
        <v>15-K05-04</v>
      </c>
      <c r="G3207">
        <v>0.27139999999999997</v>
      </c>
      <c r="H3207" t="s">
        <v>13</v>
      </c>
      <c r="I3207" t="s">
        <v>10</v>
      </c>
    </row>
    <row r="3208" spans="1:9" x14ac:dyDescent="0.25">
      <c r="A3208" t="str">
        <f t="shared" si="84"/>
        <v>89301000</v>
      </c>
      <c r="B3208" t="str">
        <f>"2361090457"</f>
        <v>2361090457</v>
      </c>
      <c r="C3208" s="1">
        <v>45254</v>
      </c>
      <c r="D3208" s="1">
        <v>45259</v>
      </c>
      <c r="E3208">
        <v>1</v>
      </c>
      <c r="F3208" t="str">
        <f>"15-K06-04"</f>
        <v>15-K06-04</v>
      </c>
      <c r="G3208">
        <v>0.55330000000000001</v>
      </c>
      <c r="H3208" t="s">
        <v>13</v>
      </c>
      <c r="I3208" t="s">
        <v>10</v>
      </c>
    </row>
    <row r="3209" spans="1:9" x14ac:dyDescent="0.25">
      <c r="A3209" t="str">
        <f t="shared" si="84"/>
        <v>89301000</v>
      </c>
      <c r="B3209" t="str">
        <f>"2361090457"</f>
        <v>2361090457</v>
      </c>
      <c r="C3209" s="1">
        <v>45239</v>
      </c>
      <c r="D3209" s="1">
        <v>45244</v>
      </c>
      <c r="E3209">
        <v>1</v>
      </c>
      <c r="F3209" t="str">
        <f t="shared" ref="F3209:F3215" si="86">"15-K05-04"</f>
        <v>15-K05-04</v>
      </c>
      <c r="G3209">
        <v>0.27139999999999997</v>
      </c>
      <c r="H3209" t="s">
        <v>13</v>
      </c>
      <c r="I3209" t="s">
        <v>10</v>
      </c>
    </row>
    <row r="3210" spans="1:9" x14ac:dyDescent="0.25">
      <c r="A3210" t="str">
        <f t="shared" si="84"/>
        <v>89301000</v>
      </c>
      <c r="B3210" t="str">
        <f>"2361100093"</f>
        <v>2361100093</v>
      </c>
      <c r="C3210" s="1">
        <v>45240</v>
      </c>
      <c r="D3210" s="1">
        <v>45244</v>
      </c>
      <c r="E3210">
        <v>1</v>
      </c>
      <c r="F3210" t="str">
        <f t="shared" si="86"/>
        <v>15-K05-04</v>
      </c>
      <c r="G3210">
        <v>0.27139999999999997</v>
      </c>
      <c r="H3210" t="s">
        <v>13</v>
      </c>
      <c r="I3210" t="s">
        <v>10</v>
      </c>
    </row>
    <row r="3211" spans="1:9" x14ac:dyDescent="0.25">
      <c r="A3211" t="str">
        <f t="shared" si="84"/>
        <v>89301000</v>
      </c>
      <c r="B3211" t="str">
        <f>"2361100698"</f>
        <v>2361100698</v>
      </c>
      <c r="C3211" s="1">
        <v>45240</v>
      </c>
      <c r="D3211" s="1">
        <v>45243</v>
      </c>
      <c r="E3211">
        <v>1</v>
      </c>
      <c r="F3211" t="str">
        <f t="shared" si="86"/>
        <v>15-K05-04</v>
      </c>
      <c r="G3211">
        <v>0.27139999999999997</v>
      </c>
      <c r="H3211" t="s">
        <v>13</v>
      </c>
      <c r="I3211" t="s">
        <v>10</v>
      </c>
    </row>
    <row r="3212" spans="1:9" x14ac:dyDescent="0.25">
      <c r="A3212" t="str">
        <f t="shared" si="84"/>
        <v>89301000</v>
      </c>
      <c r="B3212" t="str">
        <f>"2361100720"</f>
        <v>2361100720</v>
      </c>
      <c r="C3212" s="1">
        <v>45240</v>
      </c>
      <c r="D3212" s="1">
        <v>45243</v>
      </c>
      <c r="E3212">
        <v>1</v>
      </c>
      <c r="F3212" t="str">
        <f t="shared" si="86"/>
        <v>15-K05-04</v>
      </c>
      <c r="G3212">
        <v>0.27139999999999997</v>
      </c>
      <c r="H3212" t="s">
        <v>13</v>
      </c>
      <c r="I3212" t="s">
        <v>10</v>
      </c>
    </row>
    <row r="3213" spans="1:9" x14ac:dyDescent="0.25">
      <c r="A3213" t="str">
        <f t="shared" si="84"/>
        <v>89301000</v>
      </c>
      <c r="B3213" t="str">
        <f>"2361130585"</f>
        <v>2361130585</v>
      </c>
      <c r="C3213" s="1">
        <v>45243</v>
      </c>
      <c r="D3213" s="1">
        <v>45245</v>
      </c>
      <c r="E3213">
        <v>1</v>
      </c>
      <c r="F3213" t="str">
        <f t="shared" si="86"/>
        <v>15-K05-04</v>
      </c>
      <c r="G3213">
        <v>0.27139999999999997</v>
      </c>
      <c r="H3213" t="s">
        <v>13</v>
      </c>
      <c r="I3213" t="s">
        <v>10</v>
      </c>
    </row>
    <row r="3214" spans="1:9" x14ac:dyDescent="0.25">
      <c r="A3214" t="str">
        <f t="shared" si="84"/>
        <v>89301000</v>
      </c>
      <c r="B3214" t="str">
        <f>"2361130596"</f>
        <v>2361130596</v>
      </c>
      <c r="C3214" s="1">
        <v>45243</v>
      </c>
      <c r="D3214" s="1">
        <v>45245</v>
      </c>
      <c r="E3214">
        <v>1</v>
      </c>
      <c r="F3214" t="str">
        <f t="shared" si="86"/>
        <v>15-K05-04</v>
      </c>
      <c r="G3214">
        <v>0.27139999999999997</v>
      </c>
      <c r="H3214" t="s">
        <v>13</v>
      </c>
      <c r="I3214" t="s">
        <v>10</v>
      </c>
    </row>
    <row r="3215" spans="1:9" x14ac:dyDescent="0.25">
      <c r="A3215" t="str">
        <f t="shared" si="84"/>
        <v>89301000</v>
      </c>
      <c r="B3215" t="str">
        <f>"2361130673"</f>
        <v>2361130673</v>
      </c>
      <c r="C3215" s="1">
        <v>45243</v>
      </c>
      <c r="D3215" s="1">
        <v>45246</v>
      </c>
      <c r="E3215">
        <v>1</v>
      </c>
      <c r="F3215" t="str">
        <f t="shared" si="86"/>
        <v>15-K05-04</v>
      </c>
      <c r="G3215">
        <v>0.27139999999999997</v>
      </c>
      <c r="H3215" t="s">
        <v>13</v>
      </c>
      <c r="I3215" t="s">
        <v>10</v>
      </c>
    </row>
    <row r="3216" spans="1:9" x14ac:dyDescent="0.25">
      <c r="A3216" t="str">
        <f t="shared" si="84"/>
        <v>89301000</v>
      </c>
      <c r="B3216" t="str">
        <f>"2361150583"</f>
        <v>2361150583</v>
      </c>
      <c r="C3216" s="1">
        <v>45245</v>
      </c>
      <c r="D3216" s="1">
        <v>45251</v>
      </c>
      <c r="E3216">
        <v>1</v>
      </c>
      <c r="F3216" t="str">
        <f>"15-K05-01"</f>
        <v>15-K05-01</v>
      </c>
      <c r="G3216">
        <v>1.1791</v>
      </c>
      <c r="H3216" t="s">
        <v>13</v>
      </c>
      <c r="I3216" t="s">
        <v>10</v>
      </c>
    </row>
    <row r="3217" spans="1:9" x14ac:dyDescent="0.25">
      <c r="A3217" t="str">
        <f t="shared" si="84"/>
        <v>89301000</v>
      </c>
      <c r="B3217" t="str">
        <f>"2361150594"</f>
        <v>2361150594</v>
      </c>
      <c r="C3217" s="1">
        <v>45245</v>
      </c>
      <c r="D3217" s="1">
        <v>45275</v>
      </c>
      <c r="E3217">
        <v>1</v>
      </c>
      <c r="F3217" t="str">
        <f>"15-K02-02"</f>
        <v>15-K02-02</v>
      </c>
      <c r="G3217">
        <v>4.5713999999999997</v>
      </c>
      <c r="H3217" t="s">
        <v>18</v>
      </c>
      <c r="I3217" t="s">
        <v>10</v>
      </c>
    </row>
    <row r="3218" spans="1:9" x14ac:dyDescent="0.25">
      <c r="A3218" t="str">
        <f t="shared" si="84"/>
        <v>89301000</v>
      </c>
      <c r="B3218" t="str">
        <f>"2361170328"</f>
        <v>2361170328</v>
      </c>
      <c r="C3218" s="1">
        <v>45247</v>
      </c>
      <c r="D3218" s="1">
        <v>45249</v>
      </c>
      <c r="E3218">
        <v>1</v>
      </c>
      <c r="F3218" t="str">
        <f>"15-K05-04"</f>
        <v>15-K05-04</v>
      </c>
      <c r="G3218">
        <v>0.27139999999999997</v>
      </c>
      <c r="H3218" t="s">
        <v>13</v>
      </c>
      <c r="I3218" t="s">
        <v>10</v>
      </c>
    </row>
    <row r="3219" spans="1:9" x14ac:dyDescent="0.25">
      <c r="A3219" t="str">
        <f t="shared" si="84"/>
        <v>89301000</v>
      </c>
      <c r="B3219" t="str">
        <f>"2361180360"</f>
        <v>2361180360</v>
      </c>
      <c r="C3219" s="1">
        <v>45248</v>
      </c>
      <c r="D3219" s="1">
        <v>45251</v>
      </c>
      <c r="E3219">
        <v>1</v>
      </c>
      <c r="F3219" t="str">
        <f>"15-K05-04"</f>
        <v>15-K05-04</v>
      </c>
      <c r="G3219">
        <v>0.27139999999999997</v>
      </c>
      <c r="H3219" t="s">
        <v>13</v>
      </c>
      <c r="I3219" t="s">
        <v>10</v>
      </c>
    </row>
    <row r="3220" spans="1:9" x14ac:dyDescent="0.25">
      <c r="A3220" t="str">
        <f t="shared" si="84"/>
        <v>89301000</v>
      </c>
      <c r="B3220" t="str">
        <f>"2361190249"</f>
        <v>2361190249</v>
      </c>
      <c r="C3220" s="1">
        <v>45249</v>
      </c>
      <c r="D3220" s="1">
        <v>45252</v>
      </c>
      <c r="E3220">
        <v>1</v>
      </c>
      <c r="F3220" t="str">
        <f>"15-K05-04"</f>
        <v>15-K05-04</v>
      </c>
      <c r="G3220">
        <v>0.27139999999999997</v>
      </c>
      <c r="H3220" t="s">
        <v>13</v>
      </c>
      <c r="I3220" t="s">
        <v>10</v>
      </c>
    </row>
    <row r="3221" spans="1:9" x14ac:dyDescent="0.25">
      <c r="A3221" t="str">
        <f t="shared" si="84"/>
        <v>89301000</v>
      </c>
      <c r="B3221" t="str">
        <f>"2361190293"</f>
        <v>2361190293</v>
      </c>
      <c r="C3221" s="1">
        <v>45249</v>
      </c>
      <c r="D3221" s="1">
        <v>45252</v>
      </c>
      <c r="E3221">
        <v>1</v>
      </c>
      <c r="F3221" t="str">
        <f>"15-K05-04"</f>
        <v>15-K05-04</v>
      </c>
      <c r="G3221">
        <v>0.27139999999999997</v>
      </c>
      <c r="H3221" t="s">
        <v>13</v>
      </c>
      <c r="I3221" t="s">
        <v>10</v>
      </c>
    </row>
    <row r="3222" spans="1:9" x14ac:dyDescent="0.25">
      <c r="A3222" t="str">
        <f t="shared" si="84"/>
        <v>89301000</v>
      </c>
      <c r="B3222" t="str">
        <f>"2361200325"</f>
        <v>2361200325</v>
      </c>
      <c r="C3222" s="1">
        <v>45250</v>
      </c>
      <c r="D3222" s="1">
        <v>45250</v>
      </c>
      <c r="E3222">
        <v>6</v>
      </c>
      <c r="F3222" t="str">
        <f t="shared" ref="F3222:F3244" si="87">"15-K05-04"</f>
        <v>15-K05-04</v>
      </c>
      <c r="G3222">
        <v>0.13569999999999999</v>
      </c>
      <c r="H3222" t="s">
        <v>13</v>
      </c>
      <c r="I3222" t="s">
        <v>10</v>
      </c>
    </row>
    <row r="3223" spans="1:9" x14ac:dyDescent="0.25">
      <c r="A3223" t="str">
        <f t="shared" si="84"/>
        <v>89301000</v>
      </c>
      <c r="B3223" t="str">
        <f>"2361200336"</f>
        <v>2361200336</v>
      </c>
      <c r="C3223" s="1">
        <v>45250</v>
      </c>
      <c r="D3223" s="1">
        <v>45253</v>
      </c>
      <c r="E3223">
        <v>1</v>
      </c>
      <c r="F3223" t="str">
        <f t="shared" si="87"/>
        <v>15-K05-04</v>
      </c>
      <c r="G3223">
        <v>0.27139999999999997</v>
      </c>
      <c r="H3223" t="s">
        <v>13</v>
      </c>
      <c r="I3223" t="s">
        <v>10</v>
      </c>
    </row>
    <row r="3224" spans="1:9" x14ac:dyDescent="0.25">
      <c r="A3224" t="str">
        <f t="shared" si="84"/>
        <v>89301000</v>
      </c>
      <c r="B3224" t="str">
        <f>"2361210390"</f>
        <v>2361210390</v>
      </c>
      <c r="C3224" s="1">
        <v>45251</v>
      </c>
      <c r="D3224" s="1">
        <v>45254</v>
      </c>
      <c r="E3224">
        <v>1</v>
      </c>
      <c r="F3224" t="str">
        <f t="shared" si="87"/>
        <v>15-K05-04</v>
      </c>
      <c r="G3224">
        <v>0.27139999999999997</v>
      </c>
      <c r="H3224" t="s">
        <v>13</v>
      </c>
      <c r="I3224" t="s">
        <v>10</v>
      </c>
    </row>
    <row r="3225" spans="1:9" x14ac:dyDescent="0.25">
      <c r="A3225" t="str">
        <f t="shared" si="84"/>
        <v>89301000</v>
      </c>
      <c r="B3225" t="str">
        <f>"2361210423"</f>
        <v>2361210423</v>
      </c>
      <c r="C3225" s="1">
        <v>45251</v>
      </c>
      <c r="D3225" s="1">
        <v>45254</v>
      </c>
      <c r="E3225">
        <v>1</v>
      </c>
      <c r="F3225" t="str">
        <f t="shared" si="87"/>
        <v>15-K05-04</v>
      </c>
      <c r="G3225">
        <v>0.27139999999999997</v>
      </c>
      <c r="H3225" t="s">
        <v>13</v>
      </c>
      <c r="I3225" t="s">
        <v>10</v>
      </c>
    </row>
    <row r="3226" spans="1:9" x14ac:dyDescent="0.25">
      <c r="A3226" t="str">
        <f t="shared" si="84"/>
        <v>89301000</v>
      </c>
      <c r="B3226" t="str">
        <f>"2361210445"</f>
        <v>2361210445</v>
      </c>
      <c r="C3226" s="1">
        <v>45251</v>
      </c>
      <c r="D3226" s="1">
        <v>45254</v>
      </c>
      <c r="E3226">
        <v>1</v>
      </c>
      <c r="F3226" t="str">
        <f t="shared" si="87"/>
        <v>15-K05-04</v>
      </c>
      <c r="G3226">
        <v>0.27139999999999997</v>
      </c>
      <c r="H3226" t="s">
        <v>13</v>
      </c>
      <c r="I3226" t="s">
        <v>10</v>
      </c>
    </row>
    <row r="3227" spans="1:9" x14ac:dyDescent="0.25">
      <c r="A3227" t="str">
        <f t="shared" si="84"/>
        <v>89301000</v>
      </c>
      <c r="B3227" t="str">
        <f>"2361220180"</f>
        <v>2361220180</v>
      </c>
      <c r="C3227" s="1">
        <v>45252</v>
      </c>
      <c r="D3227" s="1">
        <v>45256</v>
      </c>
      <c r="E3227">
        <v>1</v>
      </c>
      <c r="F3227" t="str">
        <f t="shared" si="87"/>
        <v>15-K05-04</v>
      </c>
      <c r="G3227">
        <v>0.27139999999999997</v>
      </c>
      <c r="H3227" t="s">
        <v>13</v>
      </c>
      <c r="I3227" t="s">
        <v>10</v>
      </c>
    </row>
    <row r="3228" spans="1:9" x14ac:dyDescent="0.25">
      <c r="A3228" t="str">
        <f t="shared" si="84"/>
        <v>89301000</v>
      </c>
      <c r="B3228" t="str">
        <f>"2361230366"</f>
        <v>2361230366</v>
      </c>
      <c r="C3228" s="1">
        <v>45253</v>
      </c>
      <c r="D3228" s="1">
        <v>45256</v>
      </c>
      <c r="E3228">
        <v>1</v>
      </c>
      <c r="F3228" t="str">
        <f t="shared" si="87"/>
        <v>15-K05-04</v>
      </c>
      <c r="G3228">
        <v>0.27139999999999997</v>
      </c>
      <c r="H3228" t="s">
        <v>13</v>
      </c>
      <c r="I3228" t="s">
        <v>10</v>
      </c>
    </row>
    <row r="3229" spans="1:9" x14ac:dyDescent="0.25">
      <c r="A3229" t="str">
        <f t="shared" si="84"/>
        <v>89301000</v>
      </c>
      <c r="B3229" t="str">
        <f>"2361240002"</f>
        <v>2361240002</v>
      </c>
      <c r="C3229" s="1">
        <v>45254</v>
      </c>
      <c r="D3229" s="1">
        <v>45254</v>
      </c>
      <c r="E3229">
        <v>1</v>
      </c>
      <c r="F3229" t="str">
        <f t="shared" si="87"/>
        <v>15-K05-04</v>
      </c>
      <c r="G3229">
        <v>0.13569999999999999</v>
      </c>
      <c r="H3229" t="s">
        <v>13</v>
      </c>
      <c r="I3229" t="s">
        <v>10</v>
      </c>
    </row>
    <row r="3230" spans="1:9" x14ac:dyDescent="0.25">
      <c r="A3230" t="str">
        <f t="shared" si="84"/>
        <v>89301000</v>
      </c>
      <c r="B3230" t="str">
        <f>"2361280053"</f>
        <v>2361280053</v>
      </c>
      <c r="C3230" s="1">
        <v>45258</v>
      </c>
      <c r="D3230" s="1">
        <v>45262</v>
      </c>
      <c r="E3230">
        <v>1</v>
      </c>
      <c r="F3230" t="str">
        <f t="shared" si="87"/>
        <v>15-K05-04</v>
      </c>
      <c r="G3230">
        <v>0.27139999999999997</v>
      </c>
      <c r="H3230" t="s">
        <v>13</v>
      </c>
      <c r="I3230" t="s">
        <v>10</v>
      </c>
    </row>
    <row r="3231" spans="1:9" x14ac:dyDescent="0.25">
      <c r="A3231" t="str">
        <f t="shared" si="84"/>
        <v>89301000</v>
      </c>
      <c r="B3231" t="str">
        <f>"2362010233"</f>
        <v>2362010233</v>
      </c>
      <c r="C3231" s="1">
        <v>45261</v>
      </c>
      <c r="D3231" s="1">
        <v>45263</v>
      </c>
      <c r="E3231">
        <v>1</v>
      </c>
      <c r="F3231" t="str">
        <f t="shared" si="87"/>
        <v>15-K05-04</v>
      </c>
      <c r="G3231">
        <v>0.27139999999999997</v>
      </c>
      <c r="H3231" t="s">
        <v>13</v>
      </c>
      <c r="I3231" t="s">
        <v>10</v>
      </c>
    </row>
    <row r="3232" spans="1:9" x14ac:dyDescent="0.25">
      <c r="A3232" t="str">
        <f t="shared" si="84"/>
        <v>89301000</v>
      </c>
      <c r="B3232" t="str">
        <f>"2362010244"</f>
        <v>2362010244</v>
      </c>
      <c r="C3232" s="1">
        <v>45261</v>
      </c>
      <c r="D3232" s="1">
        <v>45263</v>
      </c>
      <c r="E3232">
        <v>1</v>
      </c>
      <c r="F3232" t="str">
        <f t="shared" si="87"/>
        <v>15-K05-04</v>
      </c>
      <c r="G3232">
        <v>0.27139999999999997</v>
      </c>
      <c r="H3232" t="s">
        <v>13</v>
      </c>
      <c r="I3232" t="s">
        <v>10</v>
      </c>
    </row>
    <row r="3233" spans="1:9" x14ac:dyDescent="0.25">
      <c r="A3233" t="str">
        <f t="shared" si="84"/>
        <v>89301000</v>
      </c>
      <c r="B3233" t="str">
        <f>"2362010255"</f>
        <v>2362010255</v>
      </c>
      <c r="C3233" s="1">
        <v>45261</v>
      </c>
      <c r="D3233" s="1">
        <v>45264</v>
      </c>
      <c r="E3233">
        <v>1</v>
      </c>
      <c r="F3233" t="str">
        <f t="shared" si="87"/>
        <v>15-K05-04</v>
      </c>
      <c r="G3233">
        <v>0.27139999999999997</v>
      </c>
      <c r="H3233" t="s">
        <v>13</v>
      </c>
      <c r="I3233" t="s">
        <v>10</v>
      </c>
    </row>
    <row r="3234" spans="1:9" x14ac:dyDescent="0.25">
      <c r="A3234" t="str">
        <f t="shared" si="84"/>
        <v>89301000</v>
      </c>
      <c r="B3234" t="str">
        <f>"2362020166"</f>
        <v>2362020166</v>
      </c>
      <c r="C3234" s="1">
        <v>45262</v>
      </c>
      <c r="D3234" s="1">
        <v>45265</v>
      </c>
      <c r="E3234">
        <v>1</v>
      </c>
      <c r="F3234" t="str">
        <f t="shared" si="87"/>
        <v>15-K05-04</v>
      </c>
      <c r="G3234">
        <v>0.27139999999999997</v>
      </c>
      <c r="H3234" t="s">
        <v>13</v>
      </c>
      <c r="I3234" t="s">
        <v>10</v>
      </c>
    </row>
    <row r="3235" spans="1:9" x14ac:dyDescent="0.25">
      <c r="A3235" t="str">
        <f t="shared" si="84"/>
        <v>89301000</v>
      </c>
      <c r="B3235" t="str">
        <f>"2362060910"</f>
        <v>2362060910</v>
      </c>
      <c r="C3235" s="1">
        <v>45266</v>
      </c>
      <c r="D3235" s="1">
        <v>45269</v>
      </c>
      <c r="E3235">
        <v>1</v>
      </c>
      <c r="F3235" t="str">
        <f t="shared" si="87"/>
        <v>15-K05-04</v>
      </c>
      <c r="G3235">
        <v>0.27139999999999997</v>
      </c>
      <c r="H3235" t="s">
        <v>13</v>
      </c>
      <c r="I3235" t="s">
        <v>10</v>
      </c>
    </row>
    <row r="3236" spans="1:9" x14ac:dyDescent="0.25">
      <c r="A3236" t="str">
        <f t="shared" si="84"/>
        <v>89301000</v>
      </c>
      <c r="B3236" t="str">
        <f>"2362060932"</f>
        <v>2362060932</v>
      </c>
      <c r="C3236" s="1">
        <v>45266</v>
      </c>
      <c r="D3236" s="1">
        <v>45270</v>
      </c>
      <c r="E3236">
        <v>1</v>
      </c>
      <c r="F3236" t="str">
        <f t="shared" si="87"/>
        <v>15-K05-04</v>
      </c>
      <c r="G3236">
        <v>0.27139999999999997</v>
      </c>
      <c r="H3236" t="s">
        <v>13</v>
      </c>
      <c r="I3236" t="s">
        <v>10</v>
      </c>
    </row>
    <row r="3237" spans="1:9" x14ac:dyDescent="0.25">
      <c r="A3237" t="str">
        <f t="shared" si="84"/>
        <v>89301000</v>
      </c>
      <c r="B3237" t="str">
        <f>"2362060943"</f>
        <v>2362060943</v>
      </c>
      <c r="C3237" s="1">
        <v>45266</v>
      </c>
      <c r="D3237" s="1">
        <v>45269</v>
      </c>
      <c r="E3237">
        <v>1</v>
      </c>
      <c r="F3237" t="str">
        <f t="shared" si="87"/>
        <v>15-K05-04</v>
      </c>
      <c r="G3237">
        <v>0.27139999999999997</v>
      </c>
      <c r="H3237" t="s">
        <v>13</v>
      </c>
      <c r="I3237" t="s">
        <v>10</v>
      </c>
    </row>
    <row r="3238" spans="1:9" x14ac:dyDescent="0.25">
      <c r="A3238" t="str">
        <f t="shared" si="84"/>
        <v>89301000</v>
      </c>
      <c r="B3238" t="str">
        <f>"2362110388"</f>
        <v>2362110388</v>
      </c>
      <c r="C3238" s="1">
        <v>45271</v>
      </c>
      <c r="D3238" s="1">
        <v>45275</v>
      </c>
      <c r="E3238">
        <v>1</v>
      </c>
      <c r="F3238" t="str">
        <f t="shared" si="87"/>
        <v>15-K05-04</v>
      </c>
      <c r="G3238">
        <v>0.27139999999999997</v>
      </c>
      <c r="H3238" t="s">
        <v>13</v>
      </c>
      <c r="I3238" t="s">
        <v>10</v>
      </c>
    </row>
    <row r="3239" spans="1:9" x14ac:dyDescent="0.25">
      <c r="A3239" t="str">
        <f t="shared" si="84"/>
        <v>89301000</v>
      </c>
      <c r="B3239" t="str">
        <f>"2362110410"</f>
        <v>2362110410</v>
      </c>
      <c r="C3239" s="1">
        <v>45271</v>
      </c>
      <c r="D3239" s="1">
        <v>45273</v>
      </c>
      <c r="E3239">
        <v>1</v>
      </c>
      <c r="F3239" t="str">
        <f t="shared" si="87"/>
        <v>15-K05-04</v>
      </c>
      <c r="G3239">
        <v>0.27139999999999997</v>
      </c>
      <c r="H3239" t="s">
        <v>13</v>
      </c>
      <c r="I3239" t="s">
        <v>10</v>
      </c>
    </row>
    <row r="3240" spans="1:9" x14ac:dyDescent="0.25">
      <c r="A3240" t="str">
        <f t="shared" si="84"/>
        <v>89301000</v>
      </c>
      <c r="B3240" t="str">
        <f>"2362110432"</f>
        <v>2362110432</v>
      </c>
      <c r="C3240" s="1">
        <v>45271</v>
      </c>
      <c r="D3240" s="1">
        <v>45274</v>
      </c>
      <c r="E3240">
        <v>1</v>
      </c>
      <c r="F3240" t="str">
        <f t="shared" si="87"/>
        <v>15-K05-04</v>
      </c>
      <c r="G3240">
        <v>0.27139999999999997</v>
      </c>
      <c r="H3240" t="s">
        <v>13</v>
      </c>
      <c r="I3240" t="s">
        <v>10</v>
      </c>
    </row>
    <row r="3241" spans="1:9" x14ac:dyDescent="0.25">
      <c r="A3241" t="str">
        <f t="shared" si="84"/>
        <v>89301000</v>
      </c>
      <c r="B3241" t="str">
        <f>"2362110454"</f>
        <v>2362110454</v>
      </c>
      <c r="C3241" s="1">
        <v>45271</v>
      </c>
      <c r="D3241" s="1">
        <v>45274</v>
      </c>
      <c r="E3241">
        <v>1</v>
      </c>
      <c r="F3241" t="str">
        <f t="shared" si="87"/>
        <v>15-K05-04</v>
      </c>
      <c r="G3241">
        <v>0.27139999999999997</v>
      </c>
      <c r="H3241" t="s">
        <v>13</v>
      </c>
      <c r="I3241" t="s">
        <v>10</v>
      </c>
    </row>
    <row r="3242" spans="1:9" x14ac:dyDescent="0.25">
      <c r="A3242" t="str">
        <f t="shared" si="84"/>
        <v>89301000</v>
      </c>
      <c r="B3242" t="str">
        <f>"2362130408"</f>
        <v>2362130408</v>
      </c>
      <c r="C3242" s="1">
        <v>45273</v>
      </c>
      <c r="D3242" s="1">
        <v>45277</v>
      </c>
      <c r="E3242">
        <v>1</v>
      </c>
      <c r="F3242" t="str">
        <f t="shared" si="87"/>
        <v>15-K05-04</v>
      </c>
      <c r="G3242">
        <v>0.27139999999999997</v>
      </c>
      <c r="H3242" t="s">
        <v>13</v>
      </c>
      <c r="I3242" t="s">
        <v>10</v>
      </c>
    </row>
    <row r="3243" spans="1:9" x14ac:dyDescent="0.25">
      <c r="A3243" t="str">
        <f t="shared" si="84"/>
        <v>89301000</v>
      </c>
      <c r="B3243" t="str">
        <f>"2362140352"</f>
        <v>2362140352</v>
      </c>
      <c r="C3243" s="1">
        <v>45274</v>
      </c>
      <c r="D3243" s="1">
        <v>45277</v>
      </c>
      <c r="E3243">
        <v>1</v>
      </c>
      <c r="F3243" t="str">
        <f t="shared" si="87"/>
        <v>15-K05-04</v>
      </c>
      <c r="G3243">
        <v>0.27139999999999997</v>
      </c>
      <c r="H3243" t="s">
        <v>13</v>
      </c>
      <c r="I3243" t="s">
        <v>10</v>
      </c>
    </row>
    <row r="3244" spans="1:9" x14ac:dyDescent="0.25">
      <c r="A3244" t="str">
        <f t="shared" si="84"/>
        <v>89301000</v>
      </c>
      <c r="B3244" t="str">
        <f>"2362140363"</f>
        <v>2362140363</v>
      </c>
      <c r="C3244" s="1">
        <v>45274</v>
      </c>
      <c r="D3244" s="1">
        <v>45278</v>
      </c>
      <c r="E3244">
        <v>1</v>
      </c>
      <c r="F3244" t="str">
        <f t="shared" si="87"/>
        <v>15-K05-04</v>
      </c>
      <c r="G3244">
        <v>0.27139999999999997</v>
      </c>
      <c r="H3244" t="s">
        <v>13</v>
      </c>
      <c r="I3244" t="s">
        <v>10</v>
      </c>
    </row>
    <row r="3245" spans="1:9" x14ac:dyDescent="0.25">
      <c r="A3245" t="str">
        <f t="shared" si="84"/>
        <v>89301000</v>
      </c>
      <c r="B3245" t="str">
        <f>"2362150318"</f>
        <v>2362150318</v>
      </c>
      <c r="C3245" s="1">
        <v>45275</v>
      </c>
      <c r="D3245" s="1">
        <v>45278</v>
      </c>
      <c r="E3245">
        <v>1</v>
      </c>
      <c r="F3245" t="str">
        <f>"15-K05-02"</f>
        <v>15-K05-02</v>
      </c>
      <c r="G3245">
        <v>0.53290000000000004</v>
      </c>
      <c r="H3245" t="s">
        <v>13</v>
      </c>
      <c r="I3245" t="s">
        <v>10</v>
      </c>
    </row>
    <row r="3246" spans="1:9" x14ac:dyDescent="0.25">
      <c r="A3246" t="str">
        <f t="shared" si="84"/>
        <v>89301000</v>
      </c>
      <c r="B3246" t="str">
        <f>"2362150373"</f>
        <v>2362150373</v>
      </c>
      <c r="C3246" s="1">
        <v>45275</v>
      </c>
      <c r="D3246" s="1">
        <v>45278</v>
      </c>
      <c r="E3246">
        <v>1</v>
      </c>
      <c r="F3246" t="str">
        <f>"15-K05-04"</f>
        <v>15-K05-04</v>
      </c>
      <c r="G3246">
        <v>0.27139999999999997</v>
      </c>
      <c r="H3246" t="s">
        <v>13</v>
      </c>
      <c r="I3246" t="s">
        <v>10</v>
      </c>
    </row>
    <row r="3247" spans="1:9" x14ac:dyDescent="0.25">
      <c r="A3247" t="str">
        <f t="shared" ref="A3247:A3308" si="88">"89301000"</f>
        <v>89301000</v>
      </c>
      <c r="B3247" t="str">
        <f>"2362180040"</f>
        <v>2362180040</v>
      </c>
      <c r="C3247" s="1">
        <v>45278</v>
      </c>
      <c r="D3247" s="1">
        <v>45283</v>
      </c>
      <c r="E3247">
        <v>1</v>
      </c>
      <c r="F3247" t="str">
        <f>"15-K05-01"</f>
        <v>15-K05-01</v>
      </c>
      <c r="G3247">
        <v>1.1791</v>
      </c>
      <c r="H3247" t="s">
        <v>13</v>
      </c>
      <c r="I3247" t="s">
        <v>10</v>
      </c>
    </row>
    <row r="3248" spans="1:9" x14ac:dyDescent="0.25">
      <c r="A3248" t="str">
        <f t="shared" si="88"/>
        <v>89301000</v>
      </c>
      <c r="B3248" t="str">
        <f>"2362180403"</f>
        <v>2362180403</v>
      </c>
      <c r="C3248" s="1">
        <v>45278</v>
      </c>
      <c r="D3248" s="1">
        <v>45281</v>
      </c>
      <c r="E3248">
        <v>1</v>
      </c>
      <c r="F3248" t="str">
        <f t="shared" ref="F3248:F3259" si="89">"15-K05-04"</f>
        <v>15-K05-04</v>
      </c>
      <c r="G3248">
        <v>0.27139999999999997</v>
      </c>
      <c r="H3248" t="s">
        <v>13</v>
      </c>
      <c r="I3248" t="s">
        <v>10</v>
      </c>
    </row>
    <row r="3249" spans="1:9" x14ac:dyDescent="0.25">
      <c r="A3249" t="str">
        <f t="shared" si="88"/>
        <v>89301000</v>
      </c>
      <c r="B3249" t="str">
        <f>"2362190292"</f>
        <v>2362190292</v>
      </c>
      <c r="C3249" s="1">
        <v>45279</v>
      </c>
      <c r="D3249" s="1">
        <v>45282</v>
      </c>
      <c r="E3249">
        <v>1</v>
      </c>
      <c r="F3249" t="str">
        <f t="shared" si="89"/>
        <v>15-K05-04</v>
      </c>
      <c r="G3249">
        <v>0.27139999999999997</v>
      </c>
      <c r="H3249" t="s">
        <v>13</v>
      </c>
      <c r="I3249" t="s">
        <v>10</v>
      </c>
    </row>
    <row r="3250" spans="1:9" x14ac:dyDescent="0.25">
      <c r="A3250" t="str">
        <f t="shared" si="88"/>
        <v>89301000</v>
      </c>
      <c r="B3250" t="str">
        <f>"2362200258"</f>
        <v>2362200258</v>
      </c>
      <c r="C3250" s="1">
        <v>45280</v>
      </c>
      <c r="D3250" s="1">
        <v>45282</v>
      </c>
      <c r="E3250">
        <v>1</v>
      </c>
      <c r="F3250" t="str">
        <f t="shared" si="89"/>
        <v>15-K05-04</v>
      </c>
      <c r="G3250">
        <v>0.27139999999999997</v>
      </c>
      <c r="H3250" t="s">
        <v>13</v>
      </c>
      <c r="I3250" t="s">
        <v>10</v>
      </c>
    </row>
    <row r="3251" spans="1:9" x14ac:dyDescent="0.25">
      <c r="A3251" t="str">
        <f t="shared" si="88"/>
        <v>89301000</v>
      </c>
      <c r="B3251" t="str">
        <f>"2362210004"</f>
        <v>2362210004</v>
      </c>
      <c r="C3251" s="1">
        <v>45281</v>
      </c>
      <c r="D3251" s="1">
        <v>45283</v>
      </c>
      <c r="E3251">
        <v>1</v>
      </c>
      <c r="F3251" t="str">
        <f t="shared" si="89"/>
        <v>15-K05-04</v>
      </c>
      <c r="G3251">
        <v>0.27139999999999997</v>
      </c>
      <c r="H3251" t="s">
        <v>13</v>
      </c>
      <c r="I3251" t="s">
        <v>10</v>
      </c>
    </row>
    <row r="3252" spans="1:9" x14ac:dyDescent="0.25">
      <c r="A3252" t="str">
        <f t="shared" si="88"/>
        <v>89301000</v>
      </c>
      <c r="B3252" t="str">
        <f>"2362210257"</f>
        <v>2362210257</v>
      </c>
      <c r="C3252" s="1">
        <v>45281</v>
      </c>
      <c r="D3252" s="1">
        <v>45283</v>
      </c>
      <c r="E3252">
        <v>1</v>
      </c>
      <c r="F3252" t="str">
        <f t="shared" si="89"/>
        <v>15-K05-04</v>
      </c>
      <c r="G3252">
        <v>0.27139999999999997</v>
      </c>
      <c r="H3252" t="s">
        <v>13</v>
      </c>
      <c r="I3252" t="s">
        <v>10</v>
      </c>
    </row>
    <row r="3253" spans="1:9" x14ac:dyDescent="0.25">
      <c r="A3253" t="str">
        <f t="shared" si="88"/>
        <v>89301000</v>
      </c>
      <c r="B3253" t="str">
        <f>"2362220190"</f>
        <v>2362220190</v>
      </c>
      <c r="C3253" s="1">
        <v>45282</v>
      </c>
      <c r="D3253" s="1">
        <v>45284</v>
      </c>
      <c r="E3253">
        <v>1</v>
      </c>
      <c r="F3253" t="str">
        <f t="shared" si="89"/>
        <v>15-K05-04</v>
      </c>
      <c r="G3253">
        <v>0.27139999999999997</v>
      </c>
      <c r="H3253" t="s">
        <v>13</v>
      </c>
      <c r="I3253" t="s">
        <v>10</v>
      </c>
    </row>
    <row r="3254" spans="1:9" x14ac:dyDescent="0.25">
      <c r="A3254" t="str">
        <f t="shared" si="88"/>
        <v>89301000</v>
      </c>
      <c r="B3254" t="str">
        <f>"2362230090"</f>
        <v>2362230090</v>
      </c>
      <c r="C3254" s="1">
        <v>45283</v>
      </c>
      <c r="D3254" s="1">
        <v>45284</v>
      </c>
      <c r="E3254">
        <v>1</v>
      </c>
      <c r="F3254" t="str">
        <f t="shared" si="89"/>
        <v>15-K05-04</v>
      </c>
      <c r="G3254">
        <v>0.27139999999999997</v>
      </c>
      <c r="H3254" t="s">
        <v>13</v>
      </c>
      <c r="I3254" t="s">
        <v>10</v>
      </c>
    </row>
    <row r="3255" spans="1:9" x14ac:dyDescent="0.25">
      <c r="A3255" t="str">
        <f t="shared" si="88"/>
        <v>89301000</v>
      </c>
      <c r="B3255" t="str">
        <f>"2362230101"</f>
        <v>2362230101</v>
      </c>
      <c r="C3255" s="1">
        <v>45283</v>
      </c>
      <c r="D3255" s="1">
        <v>45285</v>
      </c>
      <c r="E3255">
        <v>1</v>
      </c>
      <c r="F3255" t="str">
        <f t="shared" si="89"/>
        <v>15-K05-04</v>
      </c>
      <c r="G3255">
        <v>0.27139999999999997</v>
      </c>
      <c r="H3255" t="s">
        <v>13</v>
      </c>
      <c r="I3255" t="s">
        <v>10</v>
      </c>
    </row>
    <row r="3256" spans="1:9" x14ac:dyDescent="0.25">
      <c r="A3256" t="str">
        <f t="shared" si="88"/>
        <v>89301000</v>
      </c>
      <c r="B3256" t="str">
        <f>"2362230112"</f>
        <v>2362230112</v>
      </c>
      <c r="C3256" s="1">
        <v>45283</v>
      </c>
      <c r="D3256" s="1">
        <v>45285</v>
      </c>
      <c r="E3256">
        <v>1</v>
      </c>
      <c r="F3256" t="str">
        <f t="shared" si="89"/>
        <v>15-K05-04</v>
      </c>
      <c r="G3256">
        <v>0.27139999999999997</v>
      </c>
      <c r="H3256" t="s">
        <v>13</v>
      </c>
      <c r="I3256" t="s">
        <v>10</v>
      </c>
    </row>
    <row r="3257" spans="1:9" x14ac:dyDescent="0.25">
      <c r="A3257" t="str">
        <f t="shared" si="88"/>
        <v>89301000</v>
      </c>
      <c r="B3257" t="str">
        <f>"2362240144"</f>
        <v>2362240144</v>
      </c>
      <c r="C3257" s="1">
        <v>45284</v>
      </c>
      <c r="D3257" s="1">
        <v>45287</v>
      </c>
      <c r="E3257">
        <v>1</v>
      </c>
      <c r="F3257" t="str">
        <f t="shared" si="89"/>
        <v>15-K05-04</v>
      </c>
      <c r="G3257">
        <v>0.27139999999999997</v>
      </c>
      <c r="H3257" t="s">
        <v>13</v>
      </c>
      <c r="I3257" t="s">
        <v>10</v>
      </c>
    </row>
    <row r="3258" spans="1:9" x14ac:dyDescent="0.25">
      <c r="A3258" t="str">
        <f t="shared" si="88"/>
        <v>89301000</v>
      </c>
      <c r="B3258" t="str">
        <f>"2362260098"</f>
        <v>2362260098</v>
      </c>
      <c r="C3258" s="1">
        <v>45286</v>
      </c>
      <c r="D3258" s="1">
        <v>45289</v>
      </c>
      <c r="E3258">
        <v>1</v>
      </c>
      <c r="F3258" t="str">
        <f t="shared" si="89"/>
        <v>15-K05-04</v>
      </c>
      <c r="G3258">
        <v>0.27139999999999997</v>
      </c>
      <c r="H3258" t="s">
        <v>13</v>
      </c>
      <c r="I3258" t="s">
        <v>10</v>
      </c>
    </row>
    <row r="3259" spans="1:9" x14ac:dyDescent="0.25">
      <c r="A3259" t="str">
        <f t="shared" si="88"/>
        <v>89301000</v>
      </c>
      <c r="B3259" t="str">
        <f>"2362280217"</f>
        <v>2362280217</v>
      </c>
      <c r="C3259" s="1">
        <v>45288</v>
      </c>
      <c r="D3259" s="1">
        <v>45290</v>
      </c>
      <c r="E3259">
        <v>1</v>
      </c>
      <c r="F3259" t="str">
        <f t="shared" si="89"/>
        <v>15-K05-04</v>
      </c>
      <c r="G3259">
        <v>0.27139999999999997</v>
      </c>
      <c r="H3259" t="s">
        <v>13</v>
      </c>
      <c r="I3259" t="s">
        <v>10</v>
      </c>
    </row>
    <row r="3260" spans="1:9" x14ac:dyDescent="0.25">
      <c r="A3260" t="str">
        <f t="shared" si="88"/>
        <v>89301000</v>
      </c>
      <c r="B3260" t="str">
        <f>"246202442"</f>
        <v>246202442</v>
      </c>
      <c r="C3260" s="1">
        <v>45008</v>
      </c>
      <c r="D3260" s="1">
        <v>45014</v>
      </c>
      <c r="E3260">
        <v>2</v>
      </c>
      <c r="F3260" t="str">
        <f>"05-K13-01"</f>
        <v>05-K13-01</v>
      </c>
      <c r="G3260">
        <v>1.1911</v>
      </c>
      <c r="H3260" t="s">
        <v>11</v>
      </c>
      <c r="I3260" t="s">
        <v>10</v>
      </c>
    </row>
    <row r="3261" spans="1:9" x14ac:dyDescent="0.25">
      <c r="A3261" t="str">
        <f t="shared" si="88"/>
        <v>89301000</v>
      </c>
      <c r="B3261" t="str">
        <f>"265513486"</f>
        <v>265513486</v>
      </c>
      <c r="C3261" s="1">
        <v>45040</v>
      </c>
      <c r="D3261" s="1">
        <v>45043</v>
      </c>
      <c r="E3261">
        <v>1</v>
      </c>
      <c r="F3261" t="str">
        <f>"05-K14-01"</f>
        <v>05-K14-01</v>
      </c>
      <c r="G3261">
        <v>1.1436999999999999</v>
      </c>
      <c r="H3261" t="s">
        <v>11</v>
      </c>
      <c r="I3261" t="s">
        <v>10</v>
      </c>
    </row>
    <row r="3262" spans="1:9" x14ac:dyDescent="0.25">
      <c r="A3262" t="str">
        <f t="shared" si="88"/>
        <v>89301000</v>
      </c>
      <c r="B3262" t="str">
        <f>"265904463"</f>
        <v>265904463</v>
      </c>
      <c r="C3262" s="1">
        <v>45245</v>
      </c>
      <c r="D3262" s="1">
        <v>45246</v>
      </c>
      <c r="E3262">
        <v>8</v>
      </c>
      <c r="F3262" t="str">
        <f>"10-K13-02"</f>
        <v>10-K13-02</v>
      </c>
      <c r="G3262">
        <v>0.71540000000000004</v>
      </c>
      <c r="H3262" t="s">
        <v>11</v>
      </c>
      <c r="I3262" t="s">
        <v>10</v>
      </c>
    </row>
    <row r="3263" spans="1:9" x14ac:dyDescent="0.25">
      <c r="A3263" t="str">
        <f t="shared" si="88"/>
        <v>89301000</v>
      </c>
      <c r="B3263" t="str">
        <f>"266213426"</f>
        <v>266213426</v>
      </c>
      <c r="C3263" s="1">
        <v>44945</v>
      </c>
      <c r="D3263" s="1">
        <v>44949</v>
      </c>
      <c r="E3263">
        <v>1</v>
      </c>
      <c r="F3263" t="str">
        <f>"05-M06-06"</f>
        <v>05-M06-06</v>
      </c>
      <c r="G3263">
        <v>1.6741999999999999</v>
      </c>
      <c r="H3263" t="s">
        <v>12</v>
      </c>
      <c r="I3263" t="s">
        <v>10</v>
      </c>
    </row>
    <row r="3264" spans="1:9" x14ac:dyDescent="0.25">
      <c r="A3264" t="str">
        <f t="shared" si="88"/>
        <v>89301000</v>
      </c>
      <c r="B3264" t="str">
        <f>"270303454"</f>
        <v>270303454</v>
      </c>
      <c r="C3264" s="1">
        <v>44988</v>
      </c>
      <c r="D3264" s="1">
        <v>44993</v>
      </c>
      <c r="E3264">
        <v>8</v>
      </c>
      <c r="F3264" t="str">
        <f>"05-K07-04"</f>
        <v>05-K07-04</v>
      </c>
      <c r="G3264">
        <v>1.0760000000000001</v>
      </c>
      <c r="H3264" t="s">
        <v>11</v>
      </c>
      <c r="I3264" t="s">
        <v>10</v>
      </c>
    </row>
    <row r="3265" spans="1:9" x14ac:dyDescent="0.25">
      <c r="A3265" t="str">
        <f t="shared" si="88"/>
        <v>89301000</v>
      </c>
      <c r="B3265" t="str">
        <f>"270919426"</f>
        <v>270919426</v>
      </c>
      <c r="C3265" s="1">
        <v>45090</v>
      </c>
      <c r="D3265" s="1">
        <v>45092</v>
      </c>
      <c r="E3265">
        <v>1</v>
      </c>
      <c r="F3265" t="str">
        <f>"03-I24-00"</f>
        <v>03-I24-00</v>
      </c>
      <c r="G3265">
        <v>0.40670000000000001</v>
      </c>
      <c r="H3265" t="s">
        <v>11</v>
      </c>
      <c r="I3265" t="s">
        <v>10</v>
      </c>
    </row>
    <row r="3266" spans="1:9" x14ac:dyDescent="0.25">
      <c r="A3266" t="str">
        <f t="shared" si="88"/>
        <v>89301000</v>
      </c>
      <c r="B3266" t="str">
        <f>"275505419"</f>
        <v>275505419</v>
      </c>
      <c r="C3266" s="1">
        <v>45096</v>
      </c>
      <c r="D3266" s="1">
        <v>45103</v>
      </c>
      <c r="E3266">
        <v>2</v>
      </c>
      <c r="F3266" t="str">
        <f>"04-K05-03"</f>
        <v>04-K05-03</v>
      </c>
      <c r="G3266">
        <v>0.72589999999999999</v>
      </c>
      <c r="H3266" t="s">
        <v>11</v>
      </c>
      <c r="I3266" t="s">
        <v>10</v>
      </c>
    </row>
    <row r="3267" spans="1:9" x14ac:dyDescent="0.25">
      <c r="A3267" t="str">
        <f t="shared" si="88"/>
        <v>89301000</v>
      </c>
      <c r="B3267" t="str">
        <f>"275601463"</f>
        <v>275601463</v>
      </c>
      <c r="C3267" s="1">
        <v>45240</v>
      </c>
      <c r="D3267" s="1">
        <v>45259</v>
      </c>
      <c r="E3267">
        <v>2</v>
      </c>
      <c r="F3267" t="str">
        <f>"01-C02-02"</f>
        <v>01-C02-02</v>
      </c>
      <c r="G3267">
        <v>2.3748</v>
      </c>
      <c r="H3267" t="s">
        <v>11</v>
      </c>
      <c r="I3267" t="s">
        <v>10</v>
      </c>
    </row>
    <row r="3268" spans="1:9" x14ac:dyDescent="0.25">
      <c r="A3268" t="str">
        <f t="shared" si="88"/>
        <v>89301000</v>
      </c>
      <c r="B3268" t="str">
        <f>"276209426"</f>
        <v>276209426</v>
      </c>
      <c r="C3268" s="1">
        <v>45270</v>
      </c>
      <c r="D3268" s="1">
        <v>45275</v>
      </c>
      <c r="E3268">
        <v>1</v>
      </c>
      <c r="F3268" t="str">
        <f>"01-C02-02"</f>
        <v>01-C02-02</v>
      </c>
      <c r="G3268">
        <v>1.6685000000000001</v>
      </c>
      <c r="H3268" t="s">
        <v>11</v>
      </c>
      <c r="I3268" t="s">
        <v>10</v>
      </c>
    </row>
    <row r="3269" spans="1:9" x14ac:dyDescent="0.25">
      <c r="A3269" t="str">
        <f t="shared" si="88"/>
        <v>89301000</v>
      </c>
      <c r="B3269" t="str">
        <f>"280105448"</f>
        <v>280105448</v>
      </c>
      <c r="C3269" s="1">
        <v>44962</v>
      </c>
      <c r="D3269" s="1">
        <v>44964</v>
      </c>
      <c r="E3269">
        <v>1</v>
      </c>
      <c r="F3269" t="str">
        <f>"01-K12-01"</f>
        <v>01-K12-01</v>
      </c>
      <c r="G3269">
        <v>0.72709999999999997</v>
      </c>
      <c r="H3269" t="s">
        <v>11</v>
      </c>
      <c r="I3269" t="s">
        <v>10</v>
      </c>
    </row>
    <row r="3270" spans="1:9" x14ac:dyDescent="0.25">
      <c r="A3270" t="str">
        <f t="shared" si="88"/>
        <v>89301000</v>
      </c>
      <c r="B3270" t="str">
        <f>"280105448"</f>
        <v>280105448</v>
      </c>
      <c r="C3270" s="1">
        <v>44979</v>
      </c>
      <c r="D3270" s="1">
        <v>44981</v>
      </c>
      <c r="E3270">
        <v>1</v>
      </c>
      <c r="F3270" t="str">
        <f>"05-K14-02"</f>
        <v>05-K14-02</v>
      </c>
      <c r="G3270">
        <v>0.9103</v>
      </c>
      <c r="H3270" t="s">
        <v>11</v>
      </c>
      <c r="I3270" t="s">
        <v>10</v>
      </c>
    </row>
    <row r="3271" spans="1:9" x14ac:dyDescent="0.25">
      <c r="A3271" t="str">
        <f t="shared" si="88"/>
        <v>89301000</v>
      </c>
      <c r="B3271" t="str">
        <f>"280105448"</f>
        <v>280105448</v>
      </c>
      <c r="C3271" s="1">
        <v>45023</v>
      </c>
      <c r="D3271" s="1">
        <v>45049</v>
      </c>
      <c r="E3271">
        <v>4</v>
      </c>
      <c r="F3271" t="str">
        <f>"01-K10-02"</f>
        <v>01-K10-02</v>
      </c>
      <c r="G3271">
        <v>2.1797</v>
      </c>
      <c r="H3271" t="s">
        <v>11</v>
      </c>
      <c r="I3271" t="s">
        <v>10</v>
      </c>
    </row>
    <row r="3272" spans="1:9" x14ac:dyDescent="0.25">
      <c r="A3272" t="str">
        <f t="shared" si="88"/>
        <v>89301000</v>
      </c>
      <c r="B3272" t="str">
        <f>"280530407"</f>
        <v>280530407</v>
      </c>
      <c r="C3272" s="1">
        <v>45103</v>
      </c>
      <c r="D3272" s="1">
        <v>45106</v>
      </c>
      <c r="E3272">
        <v>1</v>
      </c>
      <c r="F3272" t="str">
        <f>"01-K12-01"</f>
        <v>01-K12-01</v>
      </c>
      <c r="G3272">
        <v>0.73780000000000001</v>
      </c>
      <c r="H3272" t="s">
        <v>11</v>
      </c>
      <c r="I3272" t="s">
        <v>10</v>
      </c>
    </row>
    <row r="3273" spans="1:9" x14ac:dyDescent="0.25">
      <c r="A3273" t="str">
        <f t="shared" si="88"/>
        <v>89301000</v>
      </c>
      <c r="B3273" t="str">
        <f>"285713409"</f>
        <v>285713409</v>
      </c>
      <c r="C3273" s="1">
        <v>45007</v>
      </c>
      <c r="D3273" s="1">
        <v>45009</v>
      </c>
      <c r="E3273">
        <v>4</v>
      </c>
      <c r="F3273" t="str">
        <f>"05-K07-05"</f>
        <v>05-K07-05</v>
      </c>
      <c r="G3273">
        <v>0.81969999999999998</v>
      </c>
      <c r="H3273" t="s">
        <v>11</v>
      </c>
      <c r="I3273" t="s">
        <v>10</v>
      </c>
    </row>
    <row r="3274" spans="1:9" x14ac:dyDescent="0.25">
      <c r="A3274" t="str">
        <f t="shared" si="88"/>
        <v>89301000</v>
      </c>
      <c r="B3274" t="str">
        <f>"285822475"</f>
        <v>285822475</v>
      </c>
      <c r="C3274" s="1">
        <v>45033</v>
      </c>
      <c r="D3274" s="1">
        <v>45037</v>
      </c>
      <c r="E3274">
        <v>4</v>
      </c>
      <c r="F3274" t="str">
        <f>"05-K14-01"</f>
        <v>05-K14-01</v>
      </c>
      <c r="G3274">
        <v>1.1519999999999999</v>
      </c>
      <c r="H3274" t="s">
        <v>11</v>
      </c>
      <c r="I3274" t="s">
        <v>10</v>
      </c>
    </row>
    <row r="3275" spans="1:9" x14ac:dyDescent="0.25">
      <c r="A3275" t="str">
        <f t="shared" si="88"/>
        <v>89301000</v>
      </c>
      <c r="B3275" t="str">
        <f>"290717427"</f>
        <v>290717427</v>
      </c>
      <c r="C3275" s="1">
        <v>45204</v>
      </c>
      <c r="D3275" s="1">
        <v>45210</v>
      </c>
      <c r="E3275">
        <v>1</v>
      </c>
      <c r="F3275" t="str">
        <f>"11-K01-02"</f>
        <v>11-K01-02</v>
      </c>
      <c r="G3275">
        <v>0.86480000000000001</v>
      </c>
      <c r="H3275" t="s">
        <v>11</v>
      </c>
      <c r="I3275" t="s">
        <v>10</v>
      </c>
    </row>
    <row r="3276" spans="1:9" x14ac:dyDescent="0.25">
      <c r="A3276" t="str">
        <f t="shared" si="88"/>
        <v>89301000</v>
      </c>
      <c r="B3276" t="str">
        <f>"291029439"</f>
        <v>291029439</v>
      </c>
      <c r="C3276" s="1">
        <v>45156</v>
      </c>
      <c r="D3276" s="1">
        <v>45161</v>
      </c>
      <c r="E3276">
        <v>8</v>
      </c>
      <c r="F3276" t="str">
        <f>"04-K02-03"</f>
        <v>04-K02-03</v>
      </c>
      <c r="G3276">
        <v>1.298</v>
      </c>
      <c r="H3276" t="s">
        <v>11</v>
      </c>
      <c r="I3276" t="s">
        <v>10</v>
      </c>
    </row>
    <row r="3277" spans="1:9" x14ac:dyDescent="0.25">
      <c r="A3277" t="str">
        <f t="shared" si="88"/>
        <v>89301000</v>
      </c>
      <c r="B3277" t="str">
        <f>"291228435"</f>
        <v>291228435</v>
      </c>
      <c r="C3277" s="1">
        <v>45135</v>
      </c>
      <c r="D3277" s="1">
        <v>45136</v>
      </c>
      <c r="E3277">
        <v>1</v>
      </c>
      <c r="F3277" t="str">
        <f>"05-M06-08"</f>
        <v>05-M06-08</v>
      </c>
      <c r="G3277">
        <v>1.4228000000000001</v>
      </c>
      <c r="H3277" t="s">
        <v>12</v>
      </c>
      <c r="I3277" t="s">
        <v>10</v>
      </c>
    </row>
    <row r="3278" spans="1:9" x14ac:dyDescent="0.25">
      <c r="A3278" t="str">
        <f t="shared" si="88"/>
        <v>89301000</v>
      </c>
      <c r="B3278" t="str">
        <f>"295212041"</f>
        <v>295212041</v>
      </c>
      <c r="C3278" s="1">
        <v>45203</v>
      </c>
      <c r="D3278" s="1">
        <v>45208</v>
      </c>
      <c r="E3278">
        <v>2</v>
      </c>
      <c r="F3278" t="str">
        <f>"06-K03-03"</f>
        <v>06-K03-03</v>
      </c>
      <c r="G3278">
        <v>0.43419999999999997</v>
      </c>
      <c r="H3278" t="s">
        <v>11</v>
      </c>
      <c r="I3278" t="s">
        <v>10</v>
      </c>
    </row>
    <row r="3279" spans="1:9" x14ac:dyDescent="0.25">
      <c r="A3279" t="str">
        <f t="shared" si="88"/>
        <v>89301000</v>
      </c>
      <c r="B3279" t="str">
        <f>"295403464"</f>
        <v>295403464</v>
      </c>
      <c r="C3279" s="1">
        <v>45091</v>
      </c>
      <c r="D3279" s="1">
        <v>45092</v>
      </c>
      <c r="E3279">
        <v>8</v>
      </c>
      <c r="F3279" t="str">
        <f>"10-K14-01"</f>
        <v>10-K14-01</v>
      </c>
      <c r="G3279">
        <v>0.75329999999999997</v>
      </c>
      <c r="H3279" t="s">
        <v>11</v>
      </c>
      <c r="I3279" t="s">
        <v>10</v>
      </c>
    </row>
    <row r="3280" spans="1:9" x14ac:dyDescent="0.25">
      <c r="A3280" t="str">
        <f t="shared" si="88"/>
        <v>89301000</v>
      </c>
      <c r="B3280" t="str">
        <f>"295601111"</f>
        <v>295601111</v>
      </c>
      <c r="C3280" s="1">
        <v>45126</v>
      </c>
      <c r="D3280" s="1">
        <v>45134</v>
      </c>
      <c r="E3280">
        <v>1</v>
      </c>
      <c r="F3280" t="str">
        <f>"24-M06-02"</f>
        <v>24-M06-02</v>
      </c>
      <c r="G3280">
        <v>1.0699000000000001</v>
      </c>
      <c r="H3280" t="s">
        <v>11</v>
      </c>
      <c r="I3280" t="s">
        <v>10</v>
      </c>
    </row>
    <row r="3281" spans="1:9" x14ac:dyDescent="0.25">
      <c r="A3281" t="str">
        <f t="shared" si="88"/>
        <v>89301000</v>
      </c>
      <c r="B3281" t="str">
        <f>"296124435"</f>
        <v>296124435</v>
      </c>
      <c r="C3281" s="1">
        <v>45178</v>
      </c>
      <c r="D3281" s="1">
        <v>45181</v>
      </c>
      <c r="E3281">
        <v>8</v>
      </c>
      <c r="F3281" t="str">
        <f>"01-K10-03"</f>
        <v>01-K10-03</v>
      </c>
      <c r="G3281">
        <v>1.0348999999999999</v>
      </c>
      <c r="H3281" t="s">
        <v>11</v>
      </c>
      <c r="I3281" t="s">
        <v>10</v>
      </c>
    </row>
    <row r="3282" spans="1:9" x14ac:dyDescent="0.25">
      <c r="A3282" t="str">
        <f t="shared" si="88"/>
        <v>89301000</v>
      </c>
      <c r="B3282" t="str">
        <f>"300411454"</f>
        <v>300411454</v>
      </c>
      <c r="C3282" s="1">
        <v>44941</v>
      </c>
      <c r="D3282" s="1">
        <v>44944</v>
      </c>
      <c r="E3282">
        <v>4</v>
      </c>
      <c r="F3282" t="str">
        <f>"11-K01-01"</f>
        <v>11-K01-01</v>
      </c>
      <c r="G3282">
        <v>1.377</v>
      </c>
      <c r="H3282" t="s">
        <v>11</v>
      </c>
      <c r="I3282" t="s">
        <v>10</v>
      </c>
    </row>
    <row r="3283" spans="1:9" x14ac:dyDescent="0.25">
      <c r="A3283" t="str">
        <f t="shared" si="88"/>
        <v>89301000</v>
      </c>
      <c r="B3283" t="str">
        <f>"300601435"</f>
        <v>300601435</v>
      </c>
      <c r="C3283" s="1">
        <v>45075</v>
      </c>
      <c r="D3283" s="1">
        <v>45077</v>
      </c>
      <c r="E3283">
        <v>5</v>
      </c>
      <c r="F3283" t="str">
        <f>"05-M06-06"</f>
        <v>05-M06-06</v>
      </c>
      <c r="G3283">
        <v>1.8264</v>
      </c>
      <c r="H3283" t="s">
        <v>12</v>
      </c>
      <c r="I3283" t="s">
        <v>10</v>
      </c>
    </row>
    <row r="3284" spans="1:9" x14ac:dyDescent="0.25">
      <c r="A3284" t="str">
        <f t="shared" si="88"/>
        <v>89301000</v>
      </c>
      <c r="B3284" t="str">
        <f>"300928462"</f>
        <v>300928462</v>
      </c>
      <c r="C3284" s="1">
        <v>45001</v>
      </c>
      <c r="D3284" s="1">
        <v>45004</v>
      </c>
      <c r="E3284">
        <v>1</v>
      </c>
      <c r="F3284" t="str">
        <f>"12-I13-02"</f>
        <v>12-I13-02</v>
      </c>
      <c r="G3284">
        <v>0.53920000000000001</v>
      </c>
      <c r="H3284" t="s">
        <v>9</v>
      </c>
      <c r="I3284" t="s">
        <v>10</v>
      </c>
    </row>
    <row r="3285" spans="1:9" x14ac:dyDescent="0.25">
      <c r="A3285" t="str">
        <f t="shared" si="88"/>
        <v>89301000</v>
      </c>
      <c r="B3285" t="str">
        <f>"305126951"</f>
        <v>305126951</v>
      </c>
      <c r="C3285" s="1">
        <v>44974</v>
      </c>
      <c r="D3285" s="1">
        <v>44980</v>
      </c>
      <c r="E3285">
        <v>4</v>
      </c>
      <c r="F3285" t="str">
        <f>"04-K03-02"</f>
        <v>04-K03-02</v>
      </c>
      <c r="G3285">
        <v>0.80810000000000004</v>
      </c>
      <c r="H3285" t="s">
        <v>11</v>
      </c>
      <c r="I3285" t="s">
        <v>10</v>
      </c>
    </row>
    <row r="3286" spans="1:9" x14ac:dyDescent="0.25">
      <c r="A3286" t="str">
        <f t="shared" si="88"/>
        <v>89301000</v>
      </c>
      <c r="B3286" t="str">
        <f>"305201422"</f>
        <v>305201422</v>
      </c>
      <c r="C3286" s="1">
        <v>45034</v>
      </c>
      <c r="D3286" s="1">
        <v>45036</v>
      </c>
      <c r="E3286">
        <v>8</v>
      </c>
      <c r="F3286" t="str">
        <f>"04-K02-02"</f>
        <v>04-K02-02</v>
      </c>
      <c r="G3286">
        <v>1.7983</v>
      </c>
      <c r="H3286" t="s">
        <v>11</v>
      </c>
      <c r="I3286" t="s">
        <v>10</v>
      </c>
    </row>
    <row r="3287" spans="1:9" x14ac:dyDescent="0.25">
      <c r="A3287" t="str">
        <f t="shared" si="88"/>
        <v>89301000</v>
      </c>
      <c r="B3287" t="str">
        <f>"305420410"</f>
        <v>305420410</v>
      </c>
      <c r="C3287" s="1">
        <v>45034</v>
      </c>
      <c r="D3287" s="1">
        <v>45049</v>
      </c>
      <c r="E3287">
        <v>2</v>
      </c>
      <c r="F3287" t="str">
        <f>"01-K03-07"</f>
        <v>01-K03-07</v>
      </c>
      <c r="G3287">
        <v>1.2286999999999999</v>
      </c>
      <c r="H3287" t="s">
        <v>11</v>
      </c>
      <c r="I3287" t="s">
        <v>10</v>
      </c>
    </row>
    <row r="3288" spans="1:9" x14ac:dyDescent="0.25">
      <c r="A3288" t="str">
        <f t="shared" si="88"/>
        <v>89301000</v>
      </c>
      <c r="B3288" t="str">
        <f>"305704432"</f>
        <v>305704432</v>
      </c>
      <c r="C3288" s="1">
        <v>45040</v>
      </c>
      <c r="D3288" s="1">
        <v>45044</v>
      </c>
      <c r="E3288">
        <v>1</v>
      </c>
      <c r="F3288" t="str">
        <f>"23-K06-00"</f>
        <v>23-K06-00</v>
      </c>
      <c r="G3288">
        <v>0.4783</v>
      </c>
      <c r="H3288" t="s">
        <v>11</v>
      </c>
      <c r="I3288" t="s">
        <v>10</v>
      </c>
    </row>
    <row r="3289" spans="1:9" x14ac:dyDescent="0.25">
      <c r="A3289" t="str">
        <f t="shared" si="88"/>
        <v>89301000</v>
      </c>
      <c r="B3289" t="str">
        <f>"305816471"</f>
        <v>305816471</v>
      </c>
      <c r="C3289" s="1">
        <v>45122</v>
      </c>
      <c r="D3289" s="1">
        <v>45124</v>
      </c>
      <c r="E3289">
        <v>5</v>
      </c>
      <c r="F3289" t="str">
        <f>"05-K05-02"</f>
        <v>05-K05-02</v>
      </c>
      <c r="G3289">
        <v>0.92349999999999999</v>
      </c>
      <c r="H3289" t="s">
        <v>11</v>
      </c>
      <c r="I3289" t="s">
        <v>10</v>
      </c>
    </row>
    <row r="3290" spans="1:9" x14ac:dyDescent="0.25">
      <c r="A3290" t="str">
        <f t="shared" si="88"/>
        <v>89301000</v>
      </c>
      <c r="B3290" t="str">
        <f>"306016414"</f>
        <v>306016414</v>
      </c>
      <c r="C3290" s="1">
        <v>45007</v>
      </c>
      <c r="D3290" s="1">
        <v>45008</v>
      </c>
      <c r="E3290">
        <v>8</v>
      </c>
      <c r="F3290" t="str">
        <f>"06-I12-03"</f>
        <v>06-I12-03</v>
      </c>
      <c r="G3290">
        <v>1.3220000000000001</v>
      </c>
      <c r="H3290" t="s">
        <v>11</v>
      </c>
      <c r="I3290" t="s">
        <v>10</v>
      </c>
    </row>
    <row r="3291" spans="1:9" x14ac:dyDescent="0.25">
      <c r="A3291" t="str">
        <f t="shared" si="88"/>
        <v>89301000</v>
      </c>
      <c r="B3291" t="str">
        <f>"306109439"</f>
        <v>306109439</v>
      </c>
      <c r="C3291" s="1">
        <v>44937</v>
      </c>
      <c r="D3291" s="1">
        <v>44949</v>
      </c>
      <c r="E3291">
        <v>2</v>
      </c>
      <c r="F3291" t="str">
        <f>"01-K04-02"</f>
        <v>01-K04-02</v>
      </c>
      <c r="G3291">
        <v>0.79990000000000006</v>
      </c>
      <c r="H3291" t="s">
        <v>11</v>
      </c>
      <c r="I3291" t="s">
        <v>10</v>
      </c>
    </row>
    <row r="3292" spans="1:9" x14ac:dyDescent="0.25">
      <c r="A3292" t="str">
        <f t="shared" si="88"/>
        <v>89301000</v>
      </c>
      <c r="B3292" t="str">
        <f>"306110443"</f>
        <v>306110443</v>
      </c>
      <c r="C3292" s="1">
        <v>44937</v>
      </c>
      <c r="D3292" s="1">
        <v>44939</v>
      </c>
      <c r="E3292">
        <v>5</v>
      </c>
      <c r="F3292" t="str">
        <f>"05-I21-02"</f>
        <v>05-I21-02</v>
      </c>
      <c r="G3292">
        <v>0.98499999999999999</v>
      </c>
      <c r="H3292" t="s">
        <v>12</v>
      </c>
      <c r="I3292" t="s">
        <v>10</v>
      </c>
    </row>
    <row r="3293" spans="1:9" x14ac:dyDescent="0.25">
      <c r="A3293" t="str">
        <f t="shared" si="88"/>
        <v>89301000</v>
      </c>
      <c r="B3293" t="str">
        <f>"311009415"</f>
        <v>311009415</v>
      </c>
      <c r="C3293" s="1">
        <v>45237</v>
      </c>
      <c r="D3293" s="1">
        <v>45241</v>
      </c>
      <c r="E3293">
        <v>1</v>
      </c>
      <c r="F3293" t="str">
        <f>"05-I25-02"</f>
        <v>05-I25-02</v>
      </c>
      <c r="G3293">
        <v>2.9415</v>
      </c>
      <c r="H3293" t="s">
        <v>12</v>
      </c>
      <c r="I3293" t="s">
        <v>10</v>
      </c>
    </row>
    <row r="3294" spans="1:9" x14ac:dyDescent="0.25">
      <c r="A3294" t="str">
        <f t="shared" si="88"/>
        <v>89301000</v>
      </c>
      <c r="B3294" t="str">
        <f>"315112431"</f>
        <v>315112431</v>
      </c>
      <c r="C3294" s="1">
        <v>44932</v>
      </c>
      <c r="D3294" s="1">
        <v>44937</v>
      </c>
      <c r="E3294">
        <v>4</v>
      </c>
      <c r="F3294" t="str">
        <f>"04-K03-02"</f>
        <v>04-K03-02</v>
      </c>
      <c r="G3294">
        <v>0.79500000000000004</v>
      </c>
      <c r="H3294" t="s">
        <v>11</v>
      </c>
      <c r="I3294" t="s">
        <v>10</v>
      </c>
    </row>
    <row r="3295" spans="1:9" x14ac:dyDescent="0.25">
      <c r="A3295" t="str">
        <f t="shared" si="88"/>
        <v>89301000</v>
      </c>
      <c r="B3295" t="str">
        <f>"315112431"</f>
        <v>315112431</v>
      </c>
      <c r="C3295" s="1">
        <v>45230</v>
      </c>
      <c r="D3295" s="1">
        <v>45257</v>
      </c>
      <c r="E3295">
        <v>4</v>
      </c>
      <c r="F3295" t="str">
        <f>"05-K04-02"</f>
        <v>05-K04-02</v>
      </c>
      <c r="G3295">
        <v>1.55</v>
      </c>
      <c r="H3295" t="s">
        <v>11</v>
      </c>
      <c r="I3295" t="s">
        <v>10</v>
      </c>
    </row>
    <row r="3296" spans="1:9" x14ac:dyDescent="0.25">
      <c r="A3296" t="str">
        <f t="shared" si="88"/>
        <v>89301000</v>
      </c>
      <c r="B3296" t="str">
        <f>"315208407"</f>
        <v>315208407</v>
      </c>
      <c r="C3296" s="1">
        <v>45104</v>
      </c>
      <c r="D3296" s="1">
        <v>45114</v>
      </c>
      <c r="E3296">
        <v>1</v>
      </c>
      <c r="F3296" t="str">
        <f>"05-K13-01"</f>
        <v>05-K13-01</v>
      </c>
      <c r="G3296">
        <v>1.1911</v>
      </c>
      <c r="H3296" t="s">
        <v>11</v>
      </c>
      <c r="I3296" t="s">
        <v>10</v>
      </c>
    </row>
    <row r="3297" spans="1:9" x14ac:dyDescent="0.25">
      <c r="A3297" t="str">
        <f t="shared" si="88"/>
        <v>89301000</v>
      </c>
      <c r="B3297" t="str">
        <f>"315329413"</f>
        <v>315329413</v>
      </c>
      <c r="C3297" s="1">
        <v>45244</v>
      </c>
      <c r="D3297" s="1">
        <v>45250</v>
      </c>
      <c r="E3297">
        <v>1</v>
      </c>
      <c r="F3297" t="str">
        <f>"11-K01-04"</f>
        <v>11-K01-04</v>
      </c>
      <c r="G3297">
        <v>0.55759999999999998</v>
      </c>
      <c r="H3297" t="s">
        <v>11</v>
      </c>
      <c r="I3297" t="s">
        <v>10</v>
      </c>
    </row>
    <row r="3298" spans="1:9" x14ac:dyDescent="0.25">
      <c r="A3298" t="str">
        <f t="shared" si="88"/>
        <v>89301000</v>
      </c>
      <c r="B3298" t="str">
        <f>"315528495"</f>
        <v>315528495</v>
      </c>
      <c r="C3298" s="1">
        <v>44932</v>
      </c>
      <c r="D3298" s="1">
        <v>44942</v>
      </c>
      <c r="E3298">
        <v>1</v>
      </c>
      <c r="F3298" t="str">
        <f>"18-K02-04"</f>
        <v>18-K02-04</v>
      </c>
      <c r="G3298">
        <v>0.74450000000000005</v>
      </c>
      <c r="H3298" t="s">
        <v>11</v>
      </c>
      <c r="I3298" t="s">
        <v>10</v>
      </c>
    </row>
    <row r="3299" spans="1:9" x14ac:dyDescent="0.25">
      <c r="A3299" t="str">
        <f t="shared" si="88"/>
        <v>89301000</v>
      </c>
      <c r="B3299" t="str">
        <f>"315722440"</f>
        <v>315722440</v>
      </c>
      <c r="C3299" s="1">
        <v>45222</v>
      </c>
      <c r="D3299" s="1">
        <v>45230</v>
      </c>
      <c r="E3299">
        <v>1</v>
      </c>
      <c r="F3299" t="str">
        <f>"04-K05-03"</f>
        <v>04-K05-03</v>
      </c>
      <c r="G3299">
        <v>0.74039999999999995</v>
      </c>
      <c r="H3299" t="s">
        <v>11</v>
      </c>
      <c r="I3299" t="s">
        <v>10</v>
      </c>
    </row>
    <row r="3300" spans="1:9" x14ac:dyDescent="0.25">
      <c r="A3300" t="str">
        <f t="shared" si="88"/>
        <v>89301000</v>
      </c>
      <c r="B3300" t="str">
        <f>"316012419"</f>
        <v>316012419</v>
      </c>
      <c r="C3300" s="1">
        <v>45182</v>
      </c>
      <c r="D3300" s="1">
        <v>45191</v>
      </c>
      <c r="E3300">
        <v>2</v>
      </c>
      <c r="F3300" t="str">
        <f>"11-K01-04"</f>
        <v>11-K01-04</v>
      </c>
      <c r="G3300">
        <v>0.57130000000000003</v>
      </c>
      <c r="H3300" t="s">
        <v>11</v>
      </c>
      <c r="I3300" t="s">
        <v>10</v>
      </c>
    </row>
    <row r="3301" spans="1:9" x14ac:dyDescent="0.25">
      <c r="A3301" t="str">
        <f t="shared" si="88"/>
        <v>89301000</v>
      </c>
      <c r="B3301" t="str">
        <f>"316019472"</f>
        <v>316019472</v>
      </c>
      <c r="C3301" s="1">
        <v>44962</v>
      </c>
      <c r="D3301" s="1">
        <v>44970</v>
      </c>
      <c r="E3301">
        <v>1</v>
      </c>
      <c r="F3301" t="str">
        <f>"09-K01-02"</f>
        <v>09-K01-02</v>
      </c>
      <c r="G3301">
        <v>1.0348999999999999</v>
      </c>
      <c r="H3301" t="s">
        <v>11</v>
      </c>
      <c r="I3301" t="s">
        <v>10</v>
      </c>
    </row>
    <row r="3302" spans="1:9" x14ac:dyDescent="0.25">
      <c r="A3302" t="str">
        <f t="shared" si="88"/>
        <v>89301000</v>
      </c>
      <c r="B3302" t="str">
        <f>"316206444"</f>
        <v>316206444</v>
      </c>
      <c r="C3302" s="1">
        <v>45068</v>
      </c>
      <c r="D3302" s="1">
        <v>45076</v>
      </c>
      <c r="E3302">
        <v>2</v>
      </c>
      <c r="F3302" t="str">
        <f>"06-K20-02"</f>
        <v>06-K20-02</v>
      </c>
      <c r="G3302">
        <v>0.82389999999999997</v>
      </c>
      <c r="H3302" t="s">
        <v>11</v>
      </c>
      <c r="I3302" t="s">
        <v>10</v>
      </c>
    </row>
    <row r="3303" spans="1:9" x14ac:dyDescent="0.25">
      <c r="A3303" t="str">
        <f t="shared" si="88"/>
        <v>89301000</v>
      </c>
      <c r="B3303" t="str">
        <f>"320101515"</f>
        <v>320101515</v>
      </c>
      <c r="C3303" s="1">
        <v>44930</v>
      </c>
      <c r="D3303" s="1">
        <v>44933</v>
      </c>
      <c r="E3303">
        <v>1</v>
      </c>
      <c r="F3303" t="str">
        <f>"05-K14-01"</f>
        <v>05-K14-01</v>
      </c>
      <c r="G3303">
        <v>1.1519999999999999</v>
      </c>
      <c r="H3303" t="s">
        <v>11</v>
      </c>
      <c r="I3303" t="s">
        <v>10</v>
      </c>
    </row>
    <row r="3304" spans="1:9" x14ac:dyDescent="0.25">
      <c r="A3304" t="str">
        <f t="shared" si="88"/>
        <v>89301000</v>
      </c>
      <c r="B3304" t="str">
        <f>"320411956"</f>
        <v>320411956</v>
      </c>
      <c r="C3304" s="1">
        <v>45177</v>
      </c>
      <c r="D3304" s="1">
        <v>45182</v>
      </c>
      <c r="E3304">
        <v>8</v>
      </c>
      <c r="F3304" t="str">
        <f>"05-K07-04"</f>
        <v>05-K07-04</v>
      </c>
      <c r="G3304">
        <v>1.0760000000000001</v>
      </c>
      <c r="H3304" t="s">
        <v>11</v>
      </c>
      <c r="I3304" t="s">
        <v>10</v>
      </c>
    </row>
    <row r="3305" spans="1:9" x14ac:dyDescent="0.25">
      <c r="A3305" t="str">
        <f t="shared" si="88"/>
        <v>89301000</v>
      </c>
      <c r="B3305" t="str">
        <f>"320524442"</f>
        <v>320524442</v>
      </c>
      <c r="C3305" s="1">
        <v>45111</v>
      </c>
      <c r="D3305" s="1">
        <v>45117</v>
      </c>
      <c r="E3305">
        <v>1</v>
      </c>
      <c r="F3305" t="str">
        <f>"04-K05-03"</f>
        <v>04-K05-03</v>
      </c>
      <c r="G3305">
        <v>0.74380000000000002</v>
      </c>
      <c r="H3305" t="s">
        <v>11</v>
      </c>
      <c r="I3305" t="s">
        <v>10</v>
      </c>
    </row>
    <row r="3306" spans="1:9" x14ac:dyDescent="0.25">
      <c r="A3306" t="str">
        <f t="shared" si="88"/>
        <v>89301000</v>
      </c>
      <c r="B3306" t="str">
        <f>"320625428"</f>
        <v>320625428</v>
      </c>
      <c r="C3306" s="1">
        <v>45205</v>
      </c>
      <c r="D3306" s="1">
        <v>45244</v>
      </c>
      <c r="E3306">
        <v>1</v>
      </c>
      <c r="F3306" t="str">
        <f>"11-K01-02"</f>
        <v>11-K01-02</v>
      </c>
      <c r="G3306">
        <v>2.4481999999999999</v>
      </c>
      <c r="H3306" t="s">
        <v>11</v>
      </c>
      <c r="I3306" t="s">
        <v>10</v>
      </c>
    </row>
    <row r="3307" spans="1:9" x14ac:dyDescent="0.25">
      <c r="A3307" t="str">
        <f t="shared" si="88"/>
        <v>89301000</v>
      </c>
      <c r="B3307" t="str">
        <f>"320625428"</f>
        <v>320625428</v>
      </c>
      <c r="C3307" s="1">
        <v>45119</v>
      </c>
      <c r="D3307" s="1">
        <v>45124</v>
      </c>
      <c r="E3307">
        <v>1</v>
      </c>
      <c r="F3307" t="str">
        <f>"07-M02-04"</f>
        <v>07-M02-04</v>
      </c>
      <c r="G3307">
        <v>0.77339999999999998</v>
      </c>
      <c r="H3307" t="s">
        <v>12</v>
      </c>
      <c r="I3307" t="s">
        <v>10</v>
      </c>
    </row>
    <row r="3308" spans="1:9" x14ac:dyDescent="0.25">
      <c r="A3308" t="str">
        <f t="shared" si="88"/>
        <v>89301000</v>
      </c>
      <c r="B3308" t="str">
        <f>"320625428"</f>
        <v>320625428</v>
      </c>
      <c r="C3308" s="1">
        <v>45028</v>
      </c>
      <c r="D3308" s="1">
        <v>45030</v>
      </c>
      <c r="E3308">
        <v>1</v>
      </c>
      <c r="F3308" t="str">
        <f>"07-M02-04"</f>
        <v>07-M02-04</v>
      </c>
      <c r="G3308">
        <v>0.77339999999999998</v>
      </c>
      <c r="H3308" t="s">
        <v>12</v>
      </c>
      <c r="I3308" t="s">
        <v>10</v>
      </c>
    </row>
    <row r="3309" spans="1:9" x14ac:dyDescent="0.25">
      <c r="A3309" t="str">
        <f t="shared" ref="A3309:A3372" si="90">"89301000"</f>
        <v>89301000</v>
      </c>
      <c r="B3309" t="str">
        <f>"321115454"</f>
        <v>321115454</v>
      </c>
      <c r="C3309" s="1">
        <v>45254</v>
      </c>
      <c r="D3309" s="1">
        <v>45265</v>
      </c>
      <c r="E3309">
        <v>1</v>
      </c>
      <c r="F3309" t="str">
        <f>"06-K14-02"</f>
        <v>06-K14-02</v>
      </c>
      <c r="G3309">
        <v>0.5766</v>
      </c>
      <c r="H3309" t="s">
        <v>11</v>
      </c>
      <c r="I3309" t="s">
        <v>10</v>
      </c>
    </row>
    <row r="3310" spans="1:9" x14ac:dyDescent="0.25">
      <c r="A3310" t="str">
        <f t="shared" si="90"/>
        <v>89301000</v>
      </c>
      <c r="B3310" t="str">
        <f>"321117455"</f>
        <v>321117455</v>
      </c>
      <c r="C3310" s="1">
        <v>44950</v>
      </c>
      <c r="D3310" s="1">
        <v>44951</v>
      </c>
      <c r="E3310">
        <v>8</v>
      </c>
      <c r="F3310" t="str">
        <f>"05-K07-02"</f>
        <v>05-K07-02</v>
      </c>
      <c r="G3310">
        <v>0.24349999999999999</v>
      </c>
      <c r="H3310" t="s">
        <v>11</v>
      </c>
      <c r="I3310" t="s">
        <v>10</v>
      </c>
    </row>
    <row r="3311" spans="1:9" x14ac:dyDescent="0.25">
      <c r="A3311" t="str">
        <f t="shared" si="90"/>
        <v>89301000</v>
      </c>
      <c r="B3311" t="str">
        <f>"325107415"</f>
        <v>325107415</v>
      </c>
      <c r="C3311" s="1">
        <v>45212</v>
      </c>
      <c r="D3311" s="1">
        <v>45217</v>
      </c>
      <c r="E3311">
        <v>4</v>
      </c>
      <c r="F3311" t="str">
        <f>"03-K02-02"</f>
        <v>03-K02-02</v>
      </c>
      <c r="G3311">
        <v>0.58540000000000003</v>
      </c>
      <c r="H3311" t="s">
        <v>11</v>
      </c>
      <c r="I3311" t="s">
        <v>10</v>
      </c>
    </row>
    <row r="3312" spans="1:9" x14ac:dyDescent="0.25">
      <c r="A3312" t="str">
        <f t="shared" si="90"/>
        <v>89301000</v>
      </c>
      <c r="B3312" t="str">
        <f>"325111440"</f>
        <v>325111440</v>
      </c>
      <c r="C3312" s="1">
        <v>45136</v>
      </c>
      <c r="D3312" s="1">
        <v>45147</v>
      </c>
      <c r="E3312">
        <v>4</v>
      </c>
      <c r="F3312" t="str">
        <f>"10-K04-04"</f>
        <v>10-K04-04</v>
      </c>
      <c r="G3312">
        <v>0.54310000000000003</v>
      </c>
      <c r="H3312" t="s">
        <v>11</v>
      </c>
      <c r="I3312" t="s">
        <v>10</v>
      </c>
    </row>
    <row r="3313" spans="1:9" x14ac:dyDescent="0.25">
      <c r="A3313" t="str">
        <f t="shared" si="90"/>
        <v>89301000</v>
      </c>
      <c r="B3313" t="str">
        <f>"325111440"</f>
        <v>325111440</v>
      </c>
      <c r="C3313" s="1">
        <v>45102</v>
      </c>
      <c r="D3313" s="1">
        <v>45105</v>
      </c>
      <c r="E3313">
        <v>1</v>
      </c>
      <c r="F3313" t="str">
        <f>"05-K07-04"</f>
        <v>05-K07-04</v>
      </c>
      <c r="G3313">
        <v>1.0598000000000001</v>
      </c>
      <c r="H3313" t="s">
        <v>11</v>
      </c>
      <c r="I3313" t="s">
        <v>10</v>
      </c>
    </row>
    <row r="3314" spans="1:9" x14ac:dyDescent="0.25">
      <c r="A3314" t="str">
        <f t="shared" si="90"/>
        <v>89301000</v>
      </c>
      <c r="B3314" t="str">
        <f>"325330401"</f>
        <v>325330401</v>
      </c>
      <c r="C3314" s="1">
        <v>44926</v>
      </c>
      <c r="D3314" s="1">
        <v>44936</v>
      </c>
      <c r="E3314">
        <v>4</v>
      </c>
      <c r="F3314" t="str">
        <f>"08-I03-07"</f>
        <v>08-I03-07</v>
      </c>
      <c r="G3314">
        <v>3.3094999999999999</v>
      </c>
      <c r="H3314" t="s">
        <v>9</v>
      </c>
      <c r="I3314" t="s">
        <v>10</v>
      </c>
    </row>
    <row r="3315" spans="1:9" x14ac:dyDescent="0.25">
      <c r="A3315" t="str">
        <f t="shared" si="90"/>
        <v>89301000</v>
      </c>
      <c r="B3315" t="str">
        <f>"325423410"</f>
        <v>325423410</v>
      </c>
      <c r="C3315" s="1">
        <v>45149</v>
      </c>
      <c r="D3315" s="1">
        <v>45176</v>
      </c>
      <c r="E3315">
        <v>1</v>
      </c>
      <c r="F3315" t="str">
        <f>"03-K02-02"</f>
        <v>03-K02-02</v>
      </c>
      <c r="G3315">
        <v>1.6020000000000001</v>
      </c>
      <c r="H3315" t="s">
        <v>11</v>
      </c>
      <c r="I3315" t="s">
        <v>10</v>
      </c>
    </row>
    <row r="3316" spans="1:9" x14ac:dyDescent="0.25">
      <c r="A3316" t="str">
        <f t="shared" si="90"/>
        <v>89301000</v>
      </c>
      <c r="B3316" t="str">
        <f>"325423410"</f>
        <v>325423410</v>
      </c>
      <c r="C3316" s="1">
        <v>44934</v>
      </c>
      <c r="D3316" s="1">
        <v>44937</v>
      </c>
      <c r="E3316">
        <v>1</v>
      </c>
      <c r="F3316" t="str">
        <f>"10-K14-02"</f>
        <v>10-K14-02</v>
      </c>
      <c r="G3316">
        <v>0.7339</v>
      </c>
      <c r="H3316" t="s">
        <v>11</v>
      </c>
      <c r="I3316" t="s">
        <v>10</v>
      </c>
    </row>
    <row r="3317" spans="1:9" x14ac:dyDescent="0.25">
      <c r="A3317" t="str">
        <f t="shared" si="90"/>
        <v>89301000</v>
      </c>
      <c r="B3317" t="str">
        <f>"325720457"</f>
        <v>325720457</v>
      </c>
      <c r="C3317" s="1">
        <v>45273</v>
      </c>
      <c r="D3317" s="1">
        <v>45280</v>
      </c>
      <c r="E3317">
        <v>2</v>
      </c>
      <c r="F3317" t="str">
        <f>"11-K02-03"</f>
        <v>11-K02-03</v>
      </c>
      <c r="G3317">
        <v>0.84279999999999999</v>
      </c>
      <c r="H3317" t="s">
        <v>11</v>
      </c>
      <c r="I3317" t="s">
        <v>10</v>
      </c>
    </row>
    <row r="3318" spans="1:9" x14ac:dyDescent="0.25">
      <c r="A3318" t="str">
        <f t="shared" si="90"/>
        <v>89301000</v>
      </c>
      <c r="B3318" t="str">
        <f>"325720457"</f>
        <v>325720457</v>
      </c>
      <c r="C3318" s="1">
        <v>44983</v>
      </c>
      <c r="D3318" s="1">
        <v>45002</v>
      </c>
      <c r="E3318">
        <v>2</v>
      </c>
      <c r="F3318" t="str">
        <f>"05-K05-01"</f>
        <v>05-K05-01</v>
      </c>
      <c r="G3318">
        <v>1.9391</v>
      </c>
      <c r="H3318" t="s">
        <v>11</v>
      </c>
      <c r="I3318" t="s">
        <v>10</v>
      </c>
    </row>
    <row r="3319" spans="1:9" x14ac:dyDescent="0.25">
      <c r="A3319" t="str">
        <f t="shared" si="90"/>
        <v>89301000</v>
      </c>
      <c r="B3319" t="str">
        <f>"325720457"</f>
        <v>325720457</v>
      </c>
      <c r="C3319" s="1">
        <v>45038</v>
      </c>
      <c r="D3319" s="1">
        <v>45051</v>
      </c>
      <c r="E3319">
        <v>1</v>
      </c>
      <c r="F3319" t="str">
        <f>"05-K07-05"</f>
        <v>05-K07-05</v>
      </c>
      <c r="G3319">
        <v>0.75429999999999997</v>
      </c>
      <c r="H3319" t="s">
        <v>11</v>
      </c>
      <c r="I3319" t="s">
        <v>10</v>
      </c>
    </row>
    <row r="3320" spans="1:9" x14ac:dyDescent="0.25">
      <c r="A3320" t="str">
        <f t="shared" si="90"/>
        <v>89301000</v>
      </c>
      <c r="B3320" t="str">
        <f>"325808762"</f>
        <v>325808762</v>
      </c>
      <c r="C3320" s="1">
        <v>44986</v>
      </c>
      <c r="D3320" s="1">
        <v>44988</v>
      </c>
      <c r="E3320">
        <v>1</v>
      </c>
      <c r="F3320" t="str">
        <f>"05-K07-04"</f>
        <v>05-K07-04</v>
      </c>
      <c r="G3320">
        <v>1.0598000000000001</v>
      </c>
      <c r="H3320" t="s">
        <v>11</v>
      </c>
      <c r="I3320" t="s">
        <v>10</v>
      </c>
    </row>
    <row r="3321" spans="1:9" x14ac:dyDescent="0.25">
      <c r="A3321" t="str">
        <f t="shared" si="90"/>
        <v>89301000</v>
      </c>
      <c r="B3321" t="str">
        <f>"325808762"</f>
        <v>325808762</v>
      </c>
      <c r="C3321" s="1">
        <v>45139</v>
      </c>
      <c r="D3321" s="1">
        <v>45146</v>
      </c>
      <c r="E3321">
        <v>5</v>
      </c>
      <c r="F3321" t="str">
        <f>"05-K09-01"</f>
        <v>05-K09-01</v>
      </c>
      <c r="G3321">
        <v>1.2565</v>
      </c>
      <c r="H3321" t="s">
        <v>11</v>
      </c>
      <c r="I3321" t="s">
        <v>10</v>
      </c>
    </row>
    <row r="3322" spans="1:9" x14ac:dyDescent="0.25">
      <c r="A3322" t="str">
        <f t="shared" si="90"/>
        <v>89301000</v>
      </c>
      <c r="B3322" t="str">
        <f>"325808762"</f>
        <v>325808762</v>
      </c>
      <c r="C3322" s="1">
        <v>45129</v>
      </c>
      <c r="D3322" s="1">
        <v>45135</v>
      </c>
      <c r="E3322">
        <v>1</v>
      </c>
      <c r="F3322" t="str">
        <f>"05-D01-06"</f>
        <v>05-D01-06</v>
      </c>
      <c r="G3322">
        <v>0.7571</v>
      </c>
      <c r="H3322" t="s">
        <v>11</v>
      </c>
      <c r="I3322" t="s">
        <v>10</v>
      </c>
    </row>
    <row r="3323" spans="1:9" x14ac:dyDescent="0.25">
      <c r="A3323" t="str">
        <f t="shared" si="90"/>
        <v>89301000</v>
      </c>
      <c r="B3323" t="str">
        <f>"325810413"</f>
        <v>325810413</v>
      </c>
      <c r="C3323" s="1">
        <v>45270</v>
      </c>
      <c r="D3323" s="1">
        <v>45278</v>
      </c>
      <c r="E3323">
        <v>1</v>
      </c>
      <c r="F3323" t="str">
        <f>"11-K01-02"</f>
        <v>11-K01-02</v>
      </c>
      <c r="G3323">
        <v>0.86480000000000001</v>
      </c>
      <c r="H3323" t="s">
        <v>11</v>
      </c>
      <c r="I3323" t="s">
        <v>10</v>
      </c>
    </row>
    <row r="3324" spans="1:9" x14ac:dyDescent="0.25">
      <c r="A3324" t="str">
        <f t="shared" si="90"/>
        <v>89301000</v>
      </c>
      <c r="B3324" t="str">
        <f>"325908450"</f>
        <v>325908450</v>
      </c>
      <c r="C3324" s="1">
        <v>45227</v>
      </c>
      <c r="D3324" s="1">
        <v>45231</v>
      </c>
      <c r="E3324">
        <v>1</v>
      </c>
      <c r="F3324" t="str">
        <f>"01-K10-03"</f>
        <v>01-K10-03</v>
      </c>
      <c r="G3324">
        <v>1.0443</v>
      </c>
      <c r="H3324" t="s">
        <v>11</v>
      </c>
      <c r="I3324" t="s">
        <v>10</v>
      </c>
    </row>
    <row r="3325" spans="1:9" x14ac:dyDescent="0.25">
      <c r="A3325" t="str">
        <f t="shared" si="90"/>
        <v>89301000</v>
      </c>
      <c r="B3325" t="str">
        <f>"326102450"</f>
        <v>326102450</v>
      </c>
      <c r="C3325" s="1">
        <v>45030</v>
      </c>
      <c r="D3325" s="1">
        <v>45041</v>
      </c>
      <c r="E3325">
        <v>5</v>
      </c>
      <c r="F3325" t="str">
        <f>"04-K02-04"</f>
        <v>04-K02-04</v>
      </c>
      <c r="G3325">
        <v>0.82099999999999995</v>
      </c>
      <c r="H3325" t="s">
        <v>11</v>
      </c>
      <c r="I3325" t="s">
        <v>10</v>
      </c>
    </row>
    <row r="3326" spans="1:9" x14ac:dyDescent="0.25">
      <c r="A3326" t="str">
        <f t="shared" si="90"/>
        <v>89301000</v>
      </c>
      <c r="B3326" t="str">
        <f>"326106403"</f>
        <v>326106403</v>
      </c>
      <c r="C3326" s="1">
        <v>44973</v>
      </c>
      <c r="D3326" s="1">
        <v>44974</v>
      </c>
      <c r="E3326">
        <v>1</v>
      </c>
      <c r="F3326" t="str">
        <f>"05-D01-06"</f>
        <v>05-D01-06</v>
      </c>
      <c r="G3326">
        <v>0.7571</v>
      </c>
      <c r="H3326" t="s">
        <v>11</v>
      </c>
      <c r="I3326" t="s">
        <v>10</v>
      </c>
    </row>
    <row r="3327" spans="1:9" x14ac:dyDescent="0.25">
      <c r="A3327" t="str">
        <f t="shared" si="90"/>
        <v>89301000</v>
      </c>
      <c r="B3327" t="str">
        <f>"326214467"</f>
        <v>326214467</v>
      </c>
      <c r="C3327" s="1">
        <v>45116</v>
      </c>
      <c r="D3327" s="1">
        <v>45119</v>
      </c>
      <c r="E3327">
        <v>4</v>
      </c>
      <c r="F3327" t="str">
        <f>"04-K02-04"</f>
        <v>04-K02-04</v>
      </c>
      <c r="G3327">
        <v>0.82099999999999995</v>
      </c>
      <c r="H3327" t="s">
        <v>11</v>
      </c>
      <c r="I3327" t="s">
        <v>10</v>
      </c>
    </row>
    <row r="3328" spans="1:9" x14ac:dyDescent="0.25">
      <c r="A3328" t="str">
        <f t="shared" si="90"/>
        <v>89301000</v>
      </c>
      <c r="B3328" t="str">
        <f>"326215086"</f>
        <v>326215086</v>
      </c>
      <c r="C3328" s="1">
        <v>44922</v>
      </c>
      <c r="D3328" s="1">
        <v>44928</v>
      </c>
      <c r="E3328">
        <v>4</v>
      </c>
      <c r="F3328" t="str">
        <f>"04-K03-03"</f>
        <v>04-K03-03</v>
      </c>
      <c r="G3328">
        <v>0.56110000000000004</v>
      </c>
      <c r="H3328" t="s">
        <v>11</v>
      </c>
      <c r="I3328" t="s">
        <v>10</v>
      </c>
    </row>
    <row r="3329" spans="1:9" x14ac:dyDescent="0.25">
      <c r="A3329" t="str">
        <f t="shared" si="90"/>
        <v>89301000</v>
      </c>
      <c r="B3329" t="str">
        <f>"326223434"</f>
        <v>326223434</v>
      </c>
      <c r="C3329" s="1">
        <v>45003</v>
      </c>
      <c r="D3329" s="1">
        <v>45014</v>
      </c>
      <c r="E3329">
        <v>4</v>
      </c>
      <c r="F3329" t="str">
        <f>"11-K01-04"</f>
        <v>11-K01-04</v>
      </c>
      <c r="G3329">
        <v>0.57130000000000003</v>
      </c>
      <c r="H3329" t="s">
        <v>11</v>
      </c>
      <c r="I3329" t="s">
        <v>10</v>
      </c>
    </row>
    <row r="3330" spans="1:9" x14ac:dyDescent="0.25">
      <c r="A3330" t="str">
        <f t="shared" si="90"/>
        <v>89301000</v>
      </c>
      <c r="B3330" t="str">
        <f>"330210414"</f>
        <v>330210414</v>
      </c>
      <c r="C3330" s="1">
        <v>45092</v>
      </c>
      <c r="D3330" s="1">
        <v>45092</v>
      </c>
      <c r="E3330">
        <v>7</v>
      </c>
      <c r="F3330" t="str">
        <f>"05-M06-06"</f>
        <v>05-M06-06</v>
      </c>
      <c r="G3330">
        <v>1.3030999999999999</v>
      </c>
      <c r="H3330" t="s">
        <v>12</v>
      </c>
      <c r="I3330" t="s">
        <v>10</v>
      </c>
    </row>
    <row r="3331" spans="1:9" x14ac:dyDescent="0.25">
      <c r="A3331" t="str">
        <f t="shared" si="90"/>
        <v>89301000</v>
      </c>
      <c r="B3331" t="str">
        <f>"330222420"</f>
        <v>330222420</v>
      </c>
      <c r="C3331" s="1">
        <v>44929</v>
      </c>
      <c r="D3331" s="1">
        <v>44936</v>
      </c>
      <c r="E3331">
        <v>1</v>
      </c>
      <c r="F3331" t="str">
        <f>"11-K01-04"</f>
        <v>11-K01-04</v>
      </c>
      <c r="G3331">
        <v>0.57130000000000003</v>
      </c>
      <c r="H3331" t="s">
        <v>11</v>
      </c>
      <c r="I3331" t="s">
        <v>10</v>
      </c>
    </row>
    <row r="3332" spans="1:9" x14ac:dyDescent="0.25">
      <c r="A3332" t="str">
        <f t="shared" si="90"/>
        <v>89301000</v>
      </c>
      <c r="B3332" t="str">
        <f>"330319401"</f>
        <v>330319401</v>
      </c>
      <c r="C3332" s="1">
        <v>45168</v>
      </c>
      <c r="D3332" s="1">
        <v>45175</v>
      </c>
      <c r="E3332">
        <v>4</v>
      </c>
      <c r="F3332" t="str">
        <f>"01-K10-01"</f>
        <v>01-K10-01</v>
      </c>
      <c r="G3332">
        <v>2.6547999999999998</v>
      </c>
      <c r="H3332" t="s">
        <v>11</v>
      </c>
      <c r="I3332" t="s">
        <v>10</v>
      </c>
    </row>
    <row r="3333" spans="1:9" x14ac:dyDescent="0.25">
      <c r="A3333" t="str">
        <f t="shared" si="90"/>
        <v>89301000</v>
      </c>
      <c r="B3333" t="str">
        <f>"330420465"</f>
        <v>330420465</v>
      </c>
      <c r="C3333" s="1">
        <v>45270</v>
      </c>
      <c r="D3333" s="1">
        <v>45280</v>
      </c>
      <c r="E3333">
        <v>4</v>
      </c>
      <c r="F3333" t="str">
        <f>"11-K08-01"</f>
        <v>11-K08-01</v>
      </c>
      <c r="G3333">
        <v>1.1573</v>
      </c>
      <c r="H3333" t="s">
        <v>11</v>
      </c>
      <c r="I3333" t="s">
        <v>10</v>
      </c>
    </row>
    <row r="3334" spans="1:9" x14ac:dyDescent="0.25">
      <c r="A3334" t="str">
        <f t="shared" si="90"/>
        <v>89301000</v>
      </c>
      <c r="B3334" t="str">
        <f>"330420465"</f>
        <v>330420465</v>
      </c>
      <c r="C3334" s="1">
        <v>44984</v>
      </c>
      <c r="D3334" s="1">
        <v>44992</v>
      </c>
      <c r="E3334">
        <v>1</v>
      </c>
      <c r="F3334" t="str">
        <f>"09-K01-02"</f>
        <v>09-K01-02</v>
      </c>
      <c r="G3334">
        <v>1.0014000000000001</v>
      </c>
      <c r="H3334" t="s">
        <v>11</v>
      </c>
      <c r="I3334" t="s">
        <v>10</v>
      </c>
    </row>
    <row r="3335" spans="1:9" x14ac:dyDescent="0.25">
      <c r="A3335" t="str">
        <f t="shared" si="90"/>
        <v>89301000</v>
      </c>
      <c r="B3335" t="str">
        <f>"330530419"</f>
        <v>330530419</v>
      </c>
      <c r="C3335" s="1">
        <v>45245</v>
      </c>
      <c r="D3335" s="1">
        <v>45248</v>
      </c>
      <c r="E3335">
        <v>1</v>
      </c>
      <c r="F3335" t="str">
        <f>"04-K03-02"</f>
        <v>04-K03-02</v>
      </c>
      <c r="G3335">
        <v>0.79500000000000004</v>
      </c>
      <c r="H3335" t="s">
        <v>11</v>
      </c>
      <c r="I3335" t="s">
        <v>10</v>
      </c>
    </row>
    <row r="3336" spans="1:9" x14ac:dyDescent="0.25">
      <c r="A3336" t="str">
        <f t="shared" si="90"/>
        <v>89301000</v>
      </c>
      <c r="B3336" t="str">
        <f>"330601021"</f>
        <v>330601021</v>
      </c>
      <c r="C3336" s="1">
        <v>44938</v>
      </c>
      <c r="D3336" s="1">
        <v>44944</v>
      </c>
      <c r="E3336">
        <v>1</v>
      </c>
      <c r="F3336" t="str">
        <f>"05-M07-06"</f>
        <v>05-M07-06</v>
      </c>
      <c r="G3336">
        <v>1.3466</v>
      </c>
      <c r="H3336" t="s">
        <v>12</v>
      </c>
      <c r="I3336" t="s">
        <v>10</v>
      </c>
    </row>
    <row r="3337" spans="1:9" x14ac:dyDescent="0.25">
      <c r="A3337" t="str">
        <f t="shared" si="90"/>
        <v>89301000</v>
      </c>
      <c r="B3337" t="str">
        <f>"330601021"</f>
        <v>330601021</v>
      </c>
      <c r="C3337" s="1">
        <v>44977</v>
      </c>
      <c r="D3337" s="1">
        <v>44981</v>
      </c>
      <c r="E3337">
        <v>1</v>
      </c>
      <c r="F3337" t="str">
        <f>"05-I26-01"</f>
        <v>05-I26-01</v>
      </c>
      <c r="G3337">
        <v>2.149</v>
      </c>
      <c r="H3337" t="s">
        <v>12</v>
      </c>
      <c r="I3337" t="s">
        <v>10</v>
      </c>
    </row>
    <row r="3338" spans="1:9" x14ac:dyDescent="0.25">
      <c r="A3338" t="str">
        <f t="shared" si="90"/>
        <v>89301000</v>
      </c>
      <c r="B3338" t="str">
        <f>"330601021"</f>
        <v>330601021</v>
      </c>
      <c r="C3338" s="1">
        <v>45014</v>
      </c>
      <c r="D3338" s="1">
        <v>45017</v>
      </c>
      <c r="E3338">
        <v>1</v>
      </c>
      <c r="F3338" t="str">
        <f>"11-M02-07"</f>
        <v>11-M02-07</v>
      </c>
      <c r="G3338">
        <v>0.64419999999999999</v>
      </c>
      <c r="H3338" t="s">
        <v>11</v>
      </c>
      <c r="I3338" t="s">
        <v>10</v>
      </c>
    </row>
    <row r="3339" spans="1:9" x14ac:dyDescent="0.25">
      <c r="A3339" t="str">
        <f t="shared" si="90"/>
        <v>89301000</v>
      </c>
      <c r="B3339" t="str">
        <f>"330607429"</f>
        <v>330607429</v>
      </c>
      <c r="C3339" s="1">
        <v>45139</v>
      </c>
      <c r="D3339" s="1">
        <v>45167</v>
      </c>
      <c r="E3339">
        <v>5</v>
      </c>
      <c r="F3339" t="str">
        <f>"05-K07-04"</f>
        <v>05-K07-04</v>
      </c>
      <c r="G3339">
        <v>1.7119</v>
      </c>
      <c r="H3339" t="s">
        <v>11</v>
      </c>
      <c r="I3339" t="s">
        <v>10</v>
      </c>
    </row>
    <row r="3340" spans="1:9" x14ac:dyDescent="0.25">
      <c r="A3340" t="str">
        <f t="shared" si="90"/>
        <v>89301000</v>
      </c>
      <c r="B3340" t="str">
        <f>"330607429"</f>
        <v>330607429</v>
      </c>
      <c r="C3340" s="1">
        <v>45132</v>
      </c>
      <c r="D3340" s="1">
        <v>45135</v>
      </c>
      <c r="E3340">
        <v>1</v>
      </c>
      <c r="F3340" t="str">
        <f>"06-K20-01"</f>
        <v>06-K20-01</v>
      </c>
      <c r="G3340">
        <v>1.7234</v>
      </c>
      <c r="H3340" t="s">
        <v>11</v>
      </c>
      <c r="I3340" t="s">
        <v>10</v>
      </c>
    </row>
    <row r="3341" spans="1:9" x14ac:dyDescent="0.25">
      <c r="A3341" t="str">
        <f t="shared" si="90"/>
        <v>89301000</v>
      </c>
      <c r="B3341" t="str">
        <f>"330607429"</f>
        <v>330607429</v>
      </c>
      <c r="C3341" s="1">
        <v>45032</v>
      </c>
      <c r="D3341" s="1">
        <v>45034</v>
      </c>
      <c r="E3341">
        <v>1</v>
      </c>
      <c r="F3341" t="str">
        <f>"05-I25-03"</f>
        <v>05-I25-03</v>
      </c>
      <c r="G3341">
        <v>1.633</v>
      </c>
      <c r="H3341" t="s">
        <v>12</v>
      </c>
      <c r="I3341" t="s">
        <v>10</v>
      </c>
    </row>
    <row r="3342" spans="1:9" x14ac:dyDescent="0.25">
      <c r="A3342" t="str">
        <f t="shared" si="90"/>
        <v>89301000</v>
      </c>
      <c r="B3342" t="str">
        <f>"330708465"</f>
        <v>330708465</v>
      </c>
      <c r="C3342" s="1">
        <v>45089</v>
      </c>
      <c r="D3342" s="1">
        <v>45091</v>
      </c>
      <c r="E3342">
        <v>5</v>
      </c>
      <c r="F3342" t="str">
        <f>"05-I25-02"</f>
        <v>05-I25-02</v>
      </c>
      <c r="G3342">
        <v>2.9415</v>
      </c>
      <c r="H3342" t="s">
        <v>12</v>
      </c>
      <c r="I3342" t="s">
        <v>10</v>
      </c>
    </row>
    <row r="3343" spans="1:9" x14ac:dyDescent="0.25">
      <c r="A3343" t="str">
        <f t="shared" si="90"/>
        <v>89301000</v>
      </c>
      <c r="B3343" t="str">
        <f>"331029446"</f>
        <v>331029446</v>
      </c>
      <c r="C3343" s="1">
        <v>45201</v>
      </c>
      <c r="D3343" s="1">
        <v>45205</v>
      </c>
      <c r="E3343">
        <v>1</v>
      </c>
      <c r="F3343" t="str">
        <f>"21-K05-02"</f>
        <v>21-K05-02</v>
      </c>
      <c r="G3343">
        <v>0.82440000000000002</v>
      </c>
      <c r="H3343" t="s">
        <v>11</v>
      </c>
      <c r="I3343" t="s">
        <v>10</v>
      </c>
    </row>
    <row r="3344" spans="1:9" x14ac:dyDescent="0.25">
      <c r="A3344" t="str">
        <f t="shared" si="90"/>
        <v>89301000</v>
      </c>
      <c r="B3344" t="str">
        <f>"331106444"</f>
        <v>331106444</v>
      </c>
      <c r="C3344" s="1">
        <v>44929</v>
      </c>
      <c r="D3344" s="1">
        <v>44931</v>
      </c>
      <c r="E3344">
        <v>1</v>
      </c>
      <c r="F3344" t="str">
        <f>"04-K10-02"</f>
        <v>04-K10-02</v>
      </c>
      <c r="G3344">
        <v>0.41899999999999998</v>
      </c>
      <c r="H3344" t="s">
        <v>11</v>
      </c>
      <c r="I3344" t="s">
        <v>10</v>
      </c>
    </row>
    <row r="3345" spans="1:9" x14ac:dyDescent="0.25">
      <c r="A3345" t="str">
        <f t="shared" si="90"/>
        <v>89301000</v>
      </c>
      <c r="B3345" t="str">
        <f>"335109468"</f>
        <v>335109468</v>
      </c>
      <c r="C3345" s="1">
        <v>45032</v>
      </c>
      <c r="D3345" s="1">
        <v>45041</v>
      </c>
      <c r="E3345">
        <v>4</v>
      </c>
      <c r="F3345" t="str">
        <f>"11-K01-02"</f>
        <v>11-K01-02</v>
      </c>
      <c r="G3345">
        <v>0.86480000000000001</v>
      </c>
      <c r="H3345" t="s">
        <v>11</v>
      </c>
      <c r="I3345" t="s">
        <v>10</v>
      </c>
    </row>
    <row r="3346" spans="1:9" x14ac:dyDescent="0.25">
      <c r="A3346" t="str">
        <f t="shared" si="90"/>
        <v>89301000</v>
      </c>
      <c r="B3346" t="str">
        <f>"335128406"</f>
        <v>335128406</v>
      </c>
      <c r="C3346" s="1">
        <v>45025</v>
      </c>
      <c r="D3346" s="1">
        <v>45036</v>
      </c>
      <c r="E3346">
        <v>4</v>
      </c>
      <c r="F3346" t="str">
        <f>"01-K12-01"</f>
        <v>01-K12-01</v>
      </c>
      <c r="G3346">
        <v>0.82509999999999994</v>
      </c>
      <c r="H3346" t="s">
        <v>11</v>
      </c>
      <c r="I3346" t="s">
        <v>10</v>
      </c>
    </row>
    <row r="3347" spans="1:9" x14ac:dyDescent="0.25">
      <c r="A3347" t="str">
        <f t="shared" si="90"/>
        <v>89301000</v>
      </c>
      <c r="B3347" t="str">
        <f>"335203417"</f>
        <v>335203417</v>
      </c>
      <c r="C3347" s="1">
        <v>45204</v>
      </c>
      <c r="D3347" s="1">
        <v>45205</v>
      </c>
      <c r="E3347">
        <v>1</v>
      </c>
      <c r="F3347" t="str">
        <f>"05-D01-05"</f>
        <v>05-D01-05</v>
      </c>
      <c r="G3347">
        <v>1.4167000000000001</v>
      </c>
      <c r="H3347" t="s">
        <v>11</v>
      </c>
      <c r="I3347" t="s">
        <v>10</v>
      </c>
    </row>
    <row r="3348" spans="1:9" x14ac:dyDescent="0.25">
      <c r="A3348" t="str">
        <f t="shared" si="90"/>
        <v>89301000</v>
      </c>
      <c r="B3348" t="str">
        <f>"335203417"</f>
        <v>335203417</v>
      </c>
      <c r="C3348" s="1">
        <v>45217</v>
      </c>
      <c r="D3348" s="1">
        <v>45219</v>
      </c>
      <c r="E3348">
        <v>8</v>
      </c>
      <c r="F3348" t="str">
        <f>"05-M01-03"</f>
        <v>05-M01-03</v>
      </c>
      <c r="G3348">
        <v>11.4411</v>
      </c>
      <c r="H3348" t="s">
        <v>12</v>
      </c>
      <c r="I3348" t="s">
        <v>10</v>
      </c>
    </row>
    <row r="3349" spans="1:9" x14ac:dyDescent="0.25">
      <c r="A3349" t="str">
        <f t="shared" si="90"/>
        <v>89301000</v>
      </c>
      <c r="B3349" t="str">
        <f>"335206466"</f>
        <v>335206466</v>
      </c>
      <c r="C3349" s="1">
        <v>44939</v>
      </c>
      <c r="D3349" s="1">
        <v>44943</v>
      </c>
      <c r="E3349">
        <v>1</v>
      </c>
      <c r="F3349" t="str">
        <f>"04-K05-03"</f>
        <v>04-K05-03</v>
      </c>
      <c r="G3349">
        <v>0.74039999999999995</v>
      </c>
      <c r="H3349" t="s">
        <v>11</v>
      </c>
      <c r="I3349" t="s">
        <v>10</v>
      </c>
    </row>
    <row r="3350" spans="1:9" x14ac:dyDescent="0.25">
      <c r="A3350" t="str">
        <f t="shared" si="90"/>
        <v>89301000</v>
      </c>
      <c r="B3350" t="str">
        <f>"335218431"</f>
        <v>335218431</v>
      </c>
      <c r="C3350" s="1">
        <v>45029</v>
      </c>
      <c r="D3350" s="1">
        <v>45033</v>
      </c>
      <c r="E3350">
        <v>1</v>
      </c>
      <c r="F3350" t="str">
        <f>"02-I02-01"</f>
        <v>02-I02-01</v>
      </c>
      <c r="G3350">
        <v>1.2369000000000001</v>
      </c>
      <c r="H3350" t="s">
        <v>12</v>
      </c>
      <c r="I3350" t="s">
        <v>10</v>
      </c>
    </row>
    <row r="3351" spans="1:9" x14ac:dyDescent="0.25">
      <c r="A3351" t="str">
        <f t="shared" si="90"/>
        <v>89301000</v>
      </c>
      <c r="B3351" t="str">
        <f>"335319413"</f>
        <v>335319413</v>
      </c>
      <c r="C3351" s="1">
        <v>45068</v>
      </c>
      <c r="D3351" s="1">
        <v>45075</v>
      </c>
      <c r="E3351">
        <v>5</v>
      </c>
      <c r="F3351" t="str">
        <f>"01-K10-02"</f>
        <v>01-K10-02</v>
      </c>
      <c r="G3351">
        <v>1.6027</v>
      </c>
      <c r="H3351" t="s">
        <v>11</v>
      </c>
      <c r="I3351" t="s">
        <v>10</v>
      </c>
    </row>
    <row r="3352" spans="1:9" x14ac:dyDescent="0.25">
      <c r="A3352" t="str">
        <f t="shared" si="90"/>
        <v>89301000</v>
      </c>
      <c r="B3352" t="str">
        <f>"335403453"</f>
        <v>335403453</v>
      </c>
      <c r="C3352" s="1">
        <v>45028</v>
      </c>
      <c r="D3352" s="1">
        <v>45037</v>
      </c>
      <c r="E3352">
        <v>1</v>
      </c>
      <c r="F3352" t="str">
        <f>"11-K01-04"</f>
        <v>11-K01-04</v>
      </c>
      <c r="G3352">
        <v>0.57130000000000003</v>
      </c>
      <c r="H3352" t="s">
        <v>11</v>
      </c>
      <c r="I3352" t="s">
        <v>10</v>
      </c>
    </row>
    <row r="3353" spans="1:9" x14ac:dyDescent="0.25">
      <c r="A3353" t="str">
        <f t="shared" si="90"/>
        <v>89301000</v>
      </c>
      <c r="B3353" t="str">
        <f>"335403453"</f>
        <v>335403453</v>
      </c>
      <c r="C3353" s="1">
        <v>45223</v>
      </c>
      <c r="D3353" s="1">
        <v>45231</v>
      </c>
      <c r="E3353">
        <v>1</v>
      </c>
      <c r="F3353" t="str">
        <f>"04-K02-03"</f>
        <v>04-K02-03</v>
      </c>
      <c r="G3353">
        <v>1.298</v>
      </c>
      <c r="H3353" t="s">
        <v>11</v>
      </c>
      <c r="I3353" t="s">
        <v>10</v>
      </c>
    </row>
    <row r="3354" spans="1:9" x14ac:dyDescent="0.25">
      <c r="A3354" t="str">
        <f t="shared" si="90"/>
        <v>89301000</v>
      </c>
      <c r="B3354" t="str">
        <f>"335509412"</f>
        <v>335509412</v>
      </c>
      <c r="C3354" s="1">
        <v>45068</v>
      </c>
      <c r="D3354" s="1">
        <v>45075</v>
      </c>
      <c r="E3354">
        <v>4</v>
      </c>
      <c r="F3354" t="str">
        <f>"10-K12-02"</f>
        <v>10-K12-02</v>
      </c>
      <c r="G3354">
        <v>0.88600000000000001</v>
      </c>
      <c r="H3354" t="s">
        <v>11</v>
      </c>
      <c r="I3354" t="s">
        <v>10</v>
      </c>
    </row>
    <row r="3355" spans="1:9" x14ac:dyDescent="0.25">
      <c r="A3355" t="str">
        <f t="shared" si="90"/>
        <v>89301000</v>
      </c>
      <c r="B3355" t="str">
        <f>"335601137"</f>
        <v>335601137</v>
      </c>
      <c r="C3355" s="1">
        <v>44943</v>
      </c>
      <c r="D3355" s="1">
        <v>44967</v>
      </c>
      <c r="E3355">
        <v>1</v>
      </c>
      <c r="F3355" t="str">
        <f>"16-K02-02"</f>
        <v>16-K02-02</v>
      </c>
      <c r="G3355">
        <v>1.4593</v>
      </c>
      <c r="H3355" t="s">
        <v>11</v>
      </c>
      <c r="I3355" t="s">
        <v>10</v>
      </c>
    </row>
    <row r="3356" spans="1:9" x14ac:dyDescent="0.25">
      <c r="A3356" t="str">
        <f t="shared" si="90"/>
        <v>89301000</v>
      </c>
      <c r="B3356" t="str">
        <f>"335618407"</f>
        <v>335618407</v>
      </c>
      <c r="C3356" s="1">
        <v>45103</v>
      </c>
      <c r="D3356" s="1">
        <v>45111</v>
      </c>
      <c r="E3356">
        <v>1</v>
      </c>
      <c r="F3356" t="str">
        <f>"09-K04-01"</f>
        <v>09-K04-01</v>
      </c>
      <c r="G3356">
        <v>0.80930000000000002</v>
      </c>
      <c r="H3356" t="s">
        <v>11</v>
      </c>
      <c r="I3356" t="s">
        <v>10</v>
      </c>
    </row>
    <row r="3357" spans="1:9" x14ac:dyDescent="0.25">
      <c r="A3357" t="str">
        <f t="shared" si="90"/>
        <v>89301000</v>
      </c>
      <c r="B3357" t="str">
        <f>"335618407"</f>
        <v>335618407</v>
      </c>
      <c r="C3357" s="1">
        <v>45254</v>
      </c>
      <c r="D3357" s="1">
        <v>45265</v>
      </c>
      <c r="E3357">
        <v>2</v>
      </c>
      <c r="F3357" t="str">
        <f>"09-K02-00"</f>
        <v>09-K02-00</v>
      </c>
      <c r="G3357">
        <v>0.99539999999999995</v>
      </c>
      <c r="H3357" t="s">
        <v>11</v>
      </c>
      <c r="I3357" t="s">
        <v>10</v>
      </c>
    </row>
    <row r="3358" spans="1:9" x14ac:dyDescent="0.25">
      <c r="A3358" t="str">
        <f t="shared" si="90"/>
        <v>89301000</v>
      </c>
      <c r="B3358" t="str">
        <f>"335701463"</f>
        <v>335701463</v>
      </c>
      <c r="C3358" s="1">
        <v>44996</v>
      </c>
      <c r="D3358" s="1">
        <v>45000</v>
      </c>
      <c r="E3358">
        <v>4</v>
      </c>
      <c r="F3358" t="str">
        <f>"01-K12-01"</f>
        <v>01-K12-01</v>
      </c>
      <c r="G3358">
        <v>0.72709999999999997</v>
      </c>
      <c r="H3358" t="s">
        <v>11</v>
      </c>
      <c r="I3358" t="s">
        <v>10</v>
      </c>
    </row>
    <row r="3359" spans="1:9" x14ac:dyDescent="0.25">
      <c r="A3359" t="str">
        <f t="shared" si="90"/>
        <v>89301000</v>
      </c>
      <c r="B3359" t="str">
        <f>"335701463"</f>
        <v>335701463</v>
      </c>
      <c r="C3359" s="1">
        <v>44931</v>
      </c>
      <c r="D3359" s="1">
        <v>44932</v>
      </c>
      <c r="E3359">
        <v>4</v>
      </c>
      <c r="F3359" t="str">
        <f>"01-K12-01"</f>
        <v>01-K12-01</v>
      </c>
      <c r="G3359">
        <v>0.72709999999999997</v>
      </c>
      <c r="H3359" t="s">
        <v>11</v>
      </c>
      <c r="I3359" t="s">
        <v>10</v>
      </c>
    </row>
    <row r="3360" spans="1:9" x14ac:dyDescent="0.25">
      <c r="A3360" t="str">
        <f t="shared" si="90"/>
        <v>89301000</v>
      </c>
      <c r="B3360" t="str">
        <f>"335706428"</f>
        <v>335706428</v>
      </c>
      <c r="C3360" s="1">
        <v>45182</v>
      </c>
      <c r="D3360" s="1">
        <v>45185</v>
      </c>
      <c r="E3360">
        <v>7</v>
      </c>
      <c r="F3360" t="str">
        <f>"01-M02-00"</f>
        <v>01-M02-00</v>
      </c>
      <c r="G3360">
        <v>5.3973000000000004</v>
      </c>
      <c r="H3360" t="s">
        <v>12</v>
      </c>
      <c r="I3360" t="s">
        <v>10</v>
      </c>
    </row>
    <row r="3361" spans="1:9" x14ac:dyDescent="0.25">
      <c r="A3361" t="str">
        <f t="shared" si="90"/>
        <v>89301000</v>
      </c>
      <c r="B3361" t="str">
        <f>"335707420"</f>
        <v>335707420</v>
      </c>
      <c r="C3361" s="1">
        <v>45231</v>
      </c>
      <c r="D3361" s="1">
        <v>45237</v>
      </c>
      <c r="E3361">
        <v>4</v>
      </c>
      <c r="F3361" t="str">
        <f>"08-I13-05"</f>
        <v>08-I13-05</v>
      </c>
      <c r="G3361">
        <v>2.343</v>
      </c>
      <c r="H3361" t="s">
        <v>12</v>
      </c>
      <c r="I3361" t="s">
        <v>10</v>
      </c>
    </row>
    <row r="3362" spans="1:9" x14ac:dyDescent="0.25">
      <c r="A3362" t="str">
        <f t="shared" si="90"/>
        <v>89301000</v>
      </c>
      <c r="B3362" t="str">
        <f>"335709467"</f>
        <v>335709467</v>
      </c>
      <c r="C3362" s="1">
        <v>44970</v>
      </c>
      <c r="D3362" s="1">
        <v>44979</v>
      </c>
      <c r="E3362">
        <v>4</v>
      </c>
      <c r="F3362" t="str">
        <f>"08-K12-02"</f>
        <v>08-K12-02</v>
      </c>
      <c r="G3362">
        <v>0.75429999999999997</v>
      </c>
      <c r="H3362" t="s">
        <v>11</v>
      </c>
      <c r="I3362" t="s">
        <v>10</v>
      </c>
    </row>
    <row r="3363" spans="1:9" x14ac:dyDescent="0.25">
      <c r="A3363" t="str">
        <f t="shared" si="90"/>
        <v>89301000</v>
      </c>
      <c r="B3363" t="str">
        <f>"335806419"</f>
        <v>335806419</v>
      </c>
      <c r="C3363" s="1">
        <v>45174</v>
      </c>
      <c r="D3363" s="1">
        <v>45180</v>
      </c>
      <c r="E3363">
        <v>1</v>
      </c>
      <c r="F3363" t="str">
        <f>"09-K01-02"</f>
        <v>09-K01-02</v>
      </c>
      <c r="G3363">
        <v>1.0348999999999999</v>
      </c>
      <c r="H3363" t="s">
        <v>11</v>
      </c>
      <c r="I3363" t="s">
        <v>10</v>
      </c>
    </row>
    <row r="3364" spans="1:9" x14ac:dyDescent="0.25">
      <c r="A3364" t="str">
        <f t="shared" si="90"/>
        <v>89301000</v>
      </c>
      <c r="B3364" t="str">
        <f>"335806419"</f>
        <v>335806419</v>
      </c>
      <c r="C3364" s="1">
        <v>45277</v>
      </c>
      <c r="D3364" s="1">
        <v>45288</v>
      </c>
      <c r="E3364">
        <v>4</v>
      </c>
      <c r="F3364" t="str">
        <f>"04-K03-02"</f>
        <v>04-K03-02</v>
      </c>
      <c r="G3364">
        <v>0.79500000000000004</v>
      </c>
      <c r="H3364" t="s">
        <v>11</v>
      </c>
      <c r="I3364" t="s">
        <v>10</v>
      </c>
    </row>
    <row r="3365" spans="1:9" x14ac:dyDescent="0.25">
      <c r="A3365" t="str">
        <f t="shared" si="90"/>
        <v>89301000</v>
      </c>
      <c r="B3365" t="str">
        <f>"335823454"</f>
        <v>335823454</v>
      </c>
      <c r="C3365" s="1">
        <v>45013</v>
      </c>
      <c r="D3365" s="1">
        <v>45020</v>
      </c>
      <c r="E3365">
        <v>1</v>
      </c>
      <c r="F3365" t="str">
        <f>"09-K01-02"</f>
        <v>09-K01-02</v>
      </c>
      <c r="G3365">
        <v>1.0348999999999999</v>
      </c>
      <c r="H3365" t="s">
        <v>11</v>
      </c>
      <c r="I3365" t="s">
        <v>10</v>
      </c>
    </row>
    <row r="3366" spans="1:9" x14ac:dyDescent="0.25">
      <c r="A3366" t="str">
        <f t="shared" si="90"/>
        <v>89301000</v>
      </c>
      <c r="B3366" t="str">
        <f>"340103469"</f>
        <v>340103469</v>
      </c>
      <c r="C3366" s="1">
        <v>45042</v>
      </c>
      <c r="D3366" s="1">
        <v>45051</v>
      </c>
      <c r="E3366">
        <v>1</v>
      </c>
      <c r="F3366" t="str">
        <f>"01-K04-01"</f>
        <v>01-K04-01</v>
      </c>
      <c r="G3366">
        <v>1.0985</v>
      </c>
      <c r="H3366" t="s">
        <v>11</v>
      </c>
      <c r="I3366" t="s">
        <v>16</v>
      </c>
    </row>
    <row r="3367" spans="1:9" x14ac:dyDescent="0.25">
      <c r="A3367" t="str">
        <f t="shared" si="90"/>
        <v>89301000</v>
      </c>
      <c r="B3367" t="str">
        <f>"340202478"</f>
        <v>340202478</v>
      </c>
      <c r="C3367" s="1">
        <v>45244</v>
      </c>
      <c r="D3367" s="1">
        <v>45261</v>
      </c>
      <c r="E3367">
        <v>4</v>
      </c>
      <c r="F3367" t="str">
        <f>"05-K07-04"</f>
        <v>05-K07-04</v>
      </c>
      <c r="G3367">
        <v>1.0598000000000001</v>
      </c>
      <c r="H3367" t="s">
        <v>11</v>
      </c>
      <c r="I3367" t="s">
        <v>10</v>
      </c>
    </row>
    <row r="3368" spans="1:9" x14ac:dyDescent="0.25">
      <c r="A3368" t="str">
        <f t="shared" si="90"/>
        <v>89301000</v>
      </c>
      <c r="B3368" t="str">
        <f>"340305401"</f>
        <v>340305401</v>
      </c>
      <c r="C3368" s="1">
        <v>45098</v>
      </c>
      <c r="D3368" s="1">
        <v>45117</v>
      </c>
      <c r="E3368">
        <v>1</v>
      </c>
      <c r="F3368" t="str">
        <f>"18-K01-04"</f>
        <v>18-K01-04</v>
      </c>
      <c r="G3368">
        <v>2.9117000000000002</v>
      </c>
      <c r="H3368" t="s">
        <v>11</v>
      </c>
      <c r="I3368" t="s">
        <v>10</v>
      </c>
    </row>
    <row r="3369" spans="1:9" x14ac:dyDescent="0.25">
      <c r="A3369" t="str">
        <f t="shared" si="90"/>
        <v>89301000</v>
      </c>
      <c r="B3369" t="str">
        <f>"340305401"</f>
        <v>340305401</v>
      </c>
      <c r="C3369" s="1">
        <v>45033</v>
      </c>
      <c r="D3369" s="1">
        <v>45043</v>
      </c>
      <c r="E3369">
        <v>1</v>
      </c>
      <c r="F3369" t="str">
        <f>"18-K02-02"</f>
        <v>18-K02-02</v>
      </c>
      <c r="G3369">
        <v>1.3509</v>
      </c>
      <c r="H3369" t="s">
        <v>11</v>
      </c>
      <c r="I3369" t="s">
        <v>10</v>
      </c>
    </row>
    <row r="3370" spans="1:9" x14ac:dyDescent="0.25">
      <c r="A3370" t="str">
        <f t="shared" si="90"/>
        <v>89301000</v>
      </c>
      <c r="B3370" t="str">
        <f>"340612406"</f>
        <v>340612406</v>
      </c>
      <c r="C3370" s="1">
        <v>44993</v>
      </c>
      <c r="D3370" s="1">
        <v>44999</v>
      </c>
      <c r="E3370">
        <v>1</v>
      </c>
      <c r="F3370" t="str">
        <f>"04-K02-04"</f>
        <v>04-K02-04</v>
      </c>
      <c r="G3370">
        <v>0.80120000000000002</v>
      </c>
      <c r="H3370" t="s">
        <v>11</v>
      </c>
      <c r="I3370" t="s">
        <v>10</v>
      </c>
    </row>
    <row r="3371" spans="1:9" x14ac:dyDescent="0.25">
      <c r="A3371" t="str">
        <f t="shared" si="90"/>
        <v>89301000</v>
      </c>
      <c r="B3371" t="str">
        <f>"341108416"</f>
        <v>341108416</v>
      </c>
      <c r="C3371" s="1">
        <v>45264</v>
      </c>
      <c r="D3371" s="1">
        <v>45274</v>
      </c>
      <c r="E3371">
        <v>1</v>
      </c>
      <c r="F3371" t="str">
        <f>"19-K04-02"</f>
        <v>19-K04-02</v>
      </c>
      <c r="G3371">
        <v>1.3379000000000001</v>
      </c>
      <c r="H3371" t="s">
        <v>15</v>
      </c>
      <c r="I3371" t="s">
        <v>10</v>
      </c>
    </row>
    <row r="3372" spans="1:9" x14ac:dyDescent="0.25">
      <c r="A3372" t="str">
        <f t="shared" si="90"/>
        <v>89301000</v>
      </c>
      <c r="B3372" t="str">
        <f>"345117403"</f>
        <v>345117403</v>
      </c>
      <c r="C3372" s="1">
        <v>45034</v>
      </c>
      <c r="D3372" s="1">
        <v>45040</v>
      </c>
      <c r="E3372">
        <v>4</v>
      </c>
      <c r="F3372" t="str">
        <f>"06-K22-01"</f>
        <v>06-K22-01</v>
      </c>
      <c r="G3372">
        <v>1.2322</v>
      </c>
      <c r="H3372" t="s">
        <v>11</v>
      </c>
      <c r="I3372" t="s">
        <v>10</v>
      </c>
    </row>
    <row r="3373" spans="1:9" x14ac:dyDescent="0.25">
      <c r="A3373" t="str">
        <f t="shared" ref="A3373:A3436" si="91">"89301000"</f>
        <v>89301000</v>
      </c>
      <c r="B3373" t="str">
        <f>"345304952"</f>
        <v>345304952</v>
      </c>
      <c r="C3373" s="1">
        <v>45020</v>
      </c>
      <c r="D3373" s="1">
        <v>45022</v>
      </c>
      <c r="E3373">
        <v>1</v>
      </c>
      <c r="F3373" t="str">
        <f>"05-D01-08"</f>
        <v>05-D01-08</v>
      </c>
      <c r="G3373">
        <v>0.43159999999999998</v>
      </c>
      <c r="H3373" t="s">
        <v>11</v>
      </c>
      <c r="I3373" t="s">
        <v>10</v>
      </c>
    </row>
    <row r="3374" spans="1:9" x14ac:dyDescent="0.25">
      <c r="A3374" t="str">
        <f t="shared" si="91"/>
        <v>89301000</v>
      </c>
      <c r="B3374" t="str">
        <f>"345321455"</f>
        <v>345321455</v>
      </c>
      <c r="C3374" s="1">
        <v>45023</v>
      </c>
      <c r="D3374" s="1">
        <v>45037</v>
      </c>
      <c r="E3374">
        <v>1</v>
      </c>
      <c r="F3374" t="str">
        <f>"08-K05-00"</f>
        <v>08-K05-00</v>
      </c>
      <c r="G3374">
        <v>0.81330000000000002</v>
      </c>
      <c r="H3374" t="s">
        <v>11</v>
      </c>
      <c r="I3374" t="s">
        <v>10</v>
      </c>
    </row>
    <row r="3375" spans="1:9" x14ac:dyDescent="0.25">
      <c r="A3375" t="str">
        <f t="shared" si="91"/>
        <v>89301000</v>
      </c>
      <c r="B3375" t="str">
        <f>"345425440"</f>
        <v>345425440</v>
      </c>
      <c r="C3375" s="1">
        <v>45258</v>
      </c>
      <c r="D3375" s="1">
        <v>45274</v>
      </c>
      <c r="E3375">
        <v>4</v>
      </c>
      <c r="F3375" t="str">
        <f>"04-K03-01"</f>
        <v>04-K03-01</v>
      </c>
      <c r="G3375">
        <v>1.3734</v>
      </c>
      <c r="H3375" t="s">
        <v>11</v>
      </c>
      <c r="I3375" t="s">
        <v>10</v>
      </c>
    </row>
    <row r="3376" spans="1:9" x14ac:dyDescent="0.25">
      <c r="A3376" t="str">
        <f t="shared" si="91"/>
        <v>89301000</v>
      </c>
      <c r="B3376" t="str">
        <f>"345429433"</f>
        <v>345429433</v>
      </c>
      <c r="C3376" s="1">
        <v>44935</v>
      </c>
      <c r="D3376" s="1">
        <v>44940</v>
      </c>
      <c r="E3376">
        <v>1</v>
      </c>
      <c r="F3376" t="str">
        <f>"05-D01-06"</f>
        <v>05-D01-06</v>
      </c>
      <c r="G3376">
        <v>0.7571</v>
      </c>
      <c r="H3376" t="s">
        <v>11</v>
      </c>
      <c r="I3376" t="s">
        <v>10</v>
      </c>
    </row>
    <row r="3377" spans="1:9" x14ac:dyDescent="0.25">
      <c r="A3377" t="str">
        <f t="shared" si="91"/>
        <v>89301000</v>
      </c>
      <c r="B3377" t="str">
        <f>"345429433"</f>
        <v>345429433</v>
      </c>
      <c r="C3377" s="1">
        <v>44965</v>
      </c>
      <c r="D3377" s="1">
        <v>44971</v>
      </c>
      <c r="E3377">
        <v>1</v>
      </c>
      <c r="F3377" t="str">
        <f>"05-M01-03"</f>
        <v>05-M01-03</v>
      </c>
      <c r="G3377">
        <v>11.4411</v>
      </c>
      <c r="H3377" t="s">
        <v>12</v>
      </c>
      <c r="I3377" t="s">
        <v>10</v>
      </c>
    </row>
    <row r="3378" spans="1:9" x14ac:dyDescent="0.25">
      <c r="A3378" t="str">
        <f t="shared" si="91"/>
        <v>89301000</v>
      </c>
      <c r="B3378" t="str">
        <f>"345527415"</f>
        <v>345527415</v>
      </c>
      <c r="C3378" s="1">
        <v>45267</v>
      </c>
      <c r="D3378" s="1">
        <v>45278</v>
      </c>
      <c r="E3378">
        <v>5</v>
      </c>
      <c r="F3378" t="str">
        <f>"05-I24-01"</f>
        <v>05-I24-01</v>
      </c>
      <c r="G3378">
        <v>5.2704000000000004</v>
      </c>
      <c r="H3378" t="s">
        <v>12</v>
      </c>
      <c r="I3378" t="s">
        <v>10</v>
      </c>
    </row>
    <row r="3379" spans="1:9" x14ac:dyDescent="0.25">
      <c r="A3379" t="str">
        <f t="shared" si="91"/>
        <v>89301000</v>
      </c>
      <c r="B3379" t="str">
        <f>"345527415"</f>
        <v>345527415</v>
      </c>
      <c r="C3379" s="1">
        <v>45203</v>
      </c>
      <c r="D3379" s="1">
        <v>45211</v>
      </c>
      <c r="E3379">
        <v>2</v>
      </c>
      <c r="F3379" t="str">
        <f>"05-K07-05"</f>
        <v>05-K07-05</v>
      </c>
      <c r="G3379">
        <v>0.75139999999999996</v>
      </c>
      <c r="H3379" t="s">
        <v>11</v>
      </c>
      <c r="I3379" t="s">
        <v>10</v>
      </c>
    </row>
    <row r="3380" spans="1:9" x14ac:dyDescent="0.25">
      <c r="A3380" t="str">
        <f t="shared" si="91"/>
        <v>89301000</v>
      </c>
      <c r="B3380" t="str">
        <f>"345527415"</f>
        <v>345527415</v>
      </c>
      <c r="C3380" s="1">
        <v>45110</v>
      </c>
      <c r="D3380" s="1">
        <v>45138</v>
      </c>
      <c r="E3380">
        <v>4</v>
      </c>
      <c r="F3380" t="str">
        <f>"05-I24-01"</f>
        <v>05-I24-01</v>
      </c>
      <c r="G3380">
        <v>4.9428000000000001</v>
      </c>
      <c r="H3380" t="s">
        <v>12</v>
      </c>
      <c r="I3380" t="s">
        <v>10</v>
      </c>
    </row>
    <row r="3381" spans="1:9" x14ac:dyDescent="0.25">
      <c r="A3381" t="str">
        <f t="shared" si="91"/>
        <v>89301000</v>
      </c>
      <c r="B3381" t="str">
        <f>"345706461"</f>
        <v>345706461</v>
      </c>
      <c r="C3381" s="1">
        <v>45136</v>
      </c>
      <c r="D3381" s="1">
        <v>45152</v>
      </c>
      <c r="E3381">
        <v>8</v>
      </c>
      <c r="F3381" t="str">
        <f>"05-K07-03"</f>
        <v>05-K07-03</v>
      </c>
      <c r="G3381">
        <v>1.8048</v>
      </c>
      <c r="H3381" t="s">
        <v>11</v>
      </c>
      <c r="I3381" t="s">
        <v>10</v>
      </c>
    </row>
    <row r="3382" spans="1:9" x14ac:dyDescent="0.25">
      <c r="A3382" t="str">
        <f t="shared" si="91"/>
        <v>89301000</v>
      </c>
      <c r="B3382" t="str">
        <f>"345706461"</f>
        <v>345706461</v>
      </c>
      <c r="C3382" s="1">
        <v>45091</v>
      </c>
      <c r="D3382" s="1">
        <v>45098</v>
      </c>
      <c r="E3382">
        <v>1</v>
      </c>
      <c r="F3382" t="str">
        <f>"05-K07-03"</f>
        <v>05-K07-03</v>
      </c>
      <c r="G3382">
        <v>1.8048</v>
      </c>
      <c r="H3382" t="s">
        <v>11</v>
      </c>
      <c r="I3382" t="s">
        <v>10</v>
      </c>
    </row>
    <row r="3383" spans="1:9" x14ac:dyDescent="0.25">
      <c r="A3383" t="str">
        <f t="shared" si="91"/>
        <v>89301000</v>
      </c>
      <c r="B3383" t="str">
        <f>"345706461"</f>
        <v>345706461</v>
      </c>
      <c r="C3383" s="1">
        <v>45055</v>
      </c>
      <c r="D3383" s="1">
        <v>45085</v>
      </c>
      <c r="E3383">
        <v>1</v>
      </c>
      <c r="F3383" t="str">
        <f>"05-K04-02"</f>
        <v>05-K04-02</v>
      </c>
      <c r="G3383">
        <v>1.7233000000000001</v>
      </c>
      <c r="H3383" t="s">
        <v>11</v>
      </c>
      <c r="I3383" t="s">
        <v>10</v>
      </c>
    </row>
    <row r="3384" spans="1:9" x14ac:dyDescent="0.25">
      <c r="A3384" t="str">
        <f t="shared" si="91"/>
        <v>89301000</v>
      </c>
      <c r="B3384" t="str">
        <f>"345721443"</f>
        <v>345721443</v>
      </c>
      <c r="C3384" s="1">
        <v>45210</v>
      </c>
      <c r="D3384" s="1">
        <v>45216</v>
      </c>
      <c r="E3384">
        <v>4</v>
      </c>
      <c r="F3384" t="str">
        <f>"08-K12-02"</f>
        <v>08-K12-02</v>
      </c>
      <c r="G3384">
        <v>0.75429999999999997</v>
      </c>
      <c r="H3384" t="s">
        <v>11</v>
      </c>
      <c r="I3384" t="s">
        <v>10</v>
      </c>
    </row>
    <row r="3385" spans="1:9" x14ac:dyDescent="0.25">
      <c r="A3385" t="str">
        <f t="shared" si="91"/>
        <v>89301000</v>
      </c>
      <c r="B3385" t="str">
        <f>"346013437"</f>
        <v>346013437</v>
      </c>
      <c r="C3385" s="1">
        <v>45208</v>
      </c>
      <c r="D3385" s="1">
        <v>45211</v>
      </c>
      <c r="E3385">
        <v>1</v>
      </c>
      <c r="F3385" t="str">
        <f>"03-K02-02"</f>
        <v>03-K02-02</v>
      </c>
      <c r="G3385">
        <v>0.57650000000000001</v>
      </c>
      <c r="H3385" t="s">
        <v>11</v>
      </c>
      <c r="I3385" t="s">
        <v>10</v>
      </c>
    </row>
    <row r="3386" spans="1:9" x14ac:dyDescent="0.25">
      <c r="A3386" t="str">
        <f t="shared" si="91"/>
        <v>89301000</v>
      </c>
      <c r="B3386" t="str">
        <f>"346018409"</f>
        <v>346018409</v>
      </c>
      <c r="C3386" s="1">
        <v>45177</v>
      </c>
      <c r="D3386" s="1">
        <v>45184</v>
      </c>
      <c r="E3386">
        <v>2</v>
      </c>
      <c r="F3386" t="str">
        <f>"01-K10-03"</f>
        <v>01-K10-03</v>
      </c>
      <c r="G3386">
        <v>1.0443</v>
      </c>
      <c r="H3386" t="s">
        <v>11</v>
      </c>
      <c r="I3386" t="s">
        <v>10</v>
      </c>
    </row>
    <row r="3387" spans="1:9" x14ac:dyDescent="0.25">
      <c r="A3387" t="str">
        <f t="shared" si="91"/>
        <v>89301000</v>
      </c>
      <c r="B3387" t="str">
        <f>"346229428"</f>
        <v>346229428</v>
      </c>
      <c r="C3387" s="1">
        <v>44998</v>
      </c>
      <c r="D3387" s="1">
        <v>45007</v>
      </c>
      <c r="E3387">
        <v>4</v>
      </c>
      <c r="F3387" t="str">
        <f>"21-K05-02"</f>
        <v>21-K05-02</v>
      </c>
      <c r="G3387">
        <v>0.84299999999999997</v>
      </c>
      <c r="H3387" t="s">
        <v>11</v>
      </c>
      <c r="I3387" t="s">
        <v>10</v>
      </c>
    </row>
    <row r="3388" spans="1:9" x14ac:dyDescent="0.25">
      <c r="A3388" t="str">
        <f t="shared" si="91"/>
        <v>89301000</v>
      </c>
      <c r="B3388" t="str">
        <f>"346229428"</f>
        <v>346229428</v>
      </c>
      <c r="C3388" s="1">
        <v>44980</v>
      </c>
      <c r="D3388" s="1">
        <v>44984</v>
      </c>
      <c r="E3388">
        <v>2</v>
      </c>
      <c r="F3388" t="str">
        <f>"07-M02-04"</f>
        <v>07-M02-04</v>
      </c>
      <c r="G3388">
        <v>0.77339999999999998</v>
      </c>
      <c r="H3388" t="s">
        <v>12</v>
      </c>
      <c r="I3388" t="s">
        <v>10</v>
      </c>
    </row>
    <row r="3389" spans="1:9" x14ac:dyDescent="0.25">
      <c r="A3389" t="str">
        <f t="shared" si="91"/>
        <v>89301000</v>
      </c>
      <c r="B3389" t="str">
        <f>"350327460"</f>
        <v>350327460</v>
      </c>
      <c r="C3389" s="1">
        <v>45017</v>
      </c>
      <c r="D3389" s="1">
        <v>45020</v>
      </c>
      <c r="E3389">
        <v>8</v>
      </c>
      <c r="F3389" t="str">
        <f>"07-K06-02"</f>
        <v>07-K06-02</v>
      </c>
      <c r="G3389">
        <v>0.47520000000000001</v>
      </c>
      <c r="H3389" t="s">
        <v>11</v>
      </c>
      <c r="I3389" t="s">
        <v>10</v>
      </c>
    </row>
    <row r="3390" spans="1:9" x14ac:dyDescent="0.25">
      <c r="A3390" t="str">
        <f t="shared" si="91"/>
        <v>89301000</v>
      </c>
      <c r="B3390" t="str">
        <f>"350327460"</f>
        <v>350327460</v>
      </c>
      <c r="C3390" s="1">
        <v>44907</v>
      </c>
      <c r="D3390" s="1">
        <v>44929</v>
      </c>
      <c r="E3390">
        <v>4</v>
      </c>
      <c r="F3390" t="str">
        <f>"10-K14-03"</f>
        <v>10-K14-03</v>
      </c>
      <c r="G3390">
        <v>1.0254000000000001</v>
      </c>
      <c r="H3390" t="s">
        <v>11</v>
      </c>
      <c r="I3390" t="s">
        <v>10</v>
      </c>
    </row>
    <row r="3391" spans="1:9" x14ac:dyDescent="0.25">
      <c r="A3391" t="str">
        <f t="shared" si="91"/>
        <v>89301000</v>
      </c>
      <c r="B3391" t="str">
        <f>"350421423"</f>
        <v>350421423</v>
      </c>
      <c r="C3391" s="1">
        <v>45089</v>
      </c>
      <c r="D3391" s="1">
        <v>45091</v>
      </c>
      <c r="E3391">
        <v>1</v>
      </c>
      <c r="F3391" t="str">
        <f>"05-M04-04"</f>
        <v>05-M04-04</v>
      </c>
      <c r="G3391">
        <v>2.4062000000000001</v>
      </c>
      <c r="H3391" t="s">
        <v>12</v>
      </c>
      <c r="I3391" t="s">
        <v>10</v>
      </c>
    </row>
    <row r="3392" spans="1:9" x14ac:dyDescent="0.25">
      <c r="A3392" t="str">
        <f t="shared" si="91"/>
        <v>89301000</v>
      </c>
      <c r="B3392" t="str">
        <f>"350502415"</f>
        <v>350502415</v>
      </c>
      <c r="C3392" s="1">
        <v>45129</v>
      </c>
      <c r="D3392" s="1">
        <v>45130</v>
      </c>
      <c r="E3392">
        <v>1</v>
      </c>
      <c r="F3392" t="str">
        <f>"05-M06-08"</f>
        <v>05-M06-08</v>
      </c>
      <c r="G3392">
        <v>1.4228000000000001</v>
      </c>
      <c r="H3392" t="s">
        <v>12</v>
      </c>
      <c r="I3392" t="s">
        <v>10</v>
      </c>
    </row>
    <row r="3393" spans="1:9" x14ac:dyDescent="0.25">
      <c r="A3393" t="str">
        <f t="shared" si="91"/>
        <v>89301000</v>
      </c>
      <c r="B3393" t="str">
        <f>"350619435"</f>
        <v>350619435</v>
      </c>
      <c r="C3393" s="1">
        <v>45212</v>
      </c>
      <c r="D3393" s="1">
        <v>45214</v>
      </c>
      <c r="E3393">
        <v>1</v>
      </c>
      <c r="F3393" t="str">
        <f>"16-K02-03"</f>
        <v>16-K02-03</v>
      </c>
      <c r="G3393">
        <v>0.58299999999999996</v>
      </c>
      <c r="H3393" t="s">
        <v>11</v>
      </c>
      <c r="I3393" t="s">
        <v>10</v>
      </c>
    </row>
    <row r="3394" spans="1:9" x14ac:dyDescent="0.25">
      <c r="A3394" t="str">
        <f t="shared" si="91"/>
        <v>89301000</v>
      </c>
      <c r="B3394" t="str">
        <f>"350703421"</f>
        <v>350703421</v>
      </c>
      <c r="C3394" s="1">
        <v>45028</v>
      </c>
      <c r="D3394" s="1">
        <v>45035</v>
      </c>
      <c r="E3394">
        <v>1</v>
      </c>
      <c r="F3394" t="str">
        <f>"05-K13-02"</f>
        <v>05-K13-02</v>
      </c>
      <c r="G3394">
        <v>0.57220000000000004</v>
      </c>
      <c r="H3394" t="s">
        <v>11</v>
      </c>
      <c r="I3394" t="s">
        <v>10</v>
      </c>
    </row>
    <row r="3395" spans="1:9" x14ac:dyDescent="0.25">
      <c r="A3395" t="str">
        <f t="shared" si="91"/>
        <v>89301000</v>
      </c>
      <c r="B3395" t="str">
        <f>"350913406"</f>
        <v>350913406</v>
      </c>
      <c r="C3395" s="1">
        <v>44943</v>
      </c>
      <c r="D3395" s="1">
        <v>44972</v>
      </c>
      <c r="E3395">
        <v>4</v>
      </c>
      <c r="F3395" t="str">
        <f>"01-K04-01"</f>
        <v>01-K04-01</v>
      </c>
      <c r="G3395">
        <v>1.5924</v>
      </c>
      <c r="H3395" t="s">
        <v>11</v>
      </c>
      <c r="I3395" t="s">
        <v>10</v>
      </c>
    </row>
    <row r="3396" spans="1:9" x14ac:dyDescent="0.25">
      <c r="A3396" t="str">
        <f t="shared" si="91"/>
        <v>89301000</v>
      </c>
      <c r="B3396" t="str">
        <f>"351105427"</f>
        <v>351105427</v>
      </c>
      <c r="C3396" s="1">
        <v>44979</v>
      </c>
      <c r="D3396" s="1">
        <v>44981</v>
      </c>
      <c r="E3396">
        <v>1</v>
      </c>
      <c r="F3396" t="str">
        <f>"05-I14-02"</f>
        <v>05-I14-02</v>
      </c>
      <c r="G3396">
        <v>6.4595000000000002</v>
      </c>
      <c r="H3396" t="s">
        <v>12</v>
      </c>
      <c r="I3396" t="s">
        <v>10</v>
      </c>
    </row>
    <row r="3397" spans="1:9" x14ac:dyDescent="0.25">
      <c r="A3397" t="str">
        <f t="shared" si="91"/>
        <v>89301000</v>
      </c>
      <c r="B3397" t="str">
        <f>"351122410"</f>
        <v>351122410</v>
      </c>
      <c r="C3397" s="1">
        <v>45157</v>
      </c>
      <c r="D3397" s="1">
        <v>45169</v>
      </c>
      <c r="E3397">
        <v>5</v>
      </c>
      <c r="F3397" t="str">
        <f>"17-K03-02"</f>
        <v>17-K03-02</v>
      </c>
      <c r="G3397">
        <v>1.008</v>
      </c>
      <c r="H3397" t="s">
        <v>11</v>
      </c>
      <c r="I3397" t="s">
        <v>10</v>
      </c>
    </row>
    <row r="3398" spans="1:9" x14ac:dyDescent="0.25">
      <c r="A3398" t="str">
        <f t="shared" si="91"/>
        <v>89301000</v>
      </c>
      <c r="B3398" t="str">
        <f>"355122426"</f>
        <v>355122426</v>
      </c>
      <c r="C3398" s="1">
        <v>45103</v>
      </c>
      <c r="D3398" s="1">
        <v>45155</v>
      </c>
      <c r="E3398">
        <v>4</v>
      </c>
      <c r="F3398" t="str">
        <f>"04-K02-03"</f>
        <v>04-K02-03</v>
      </c>
      <c r="G3398">
        <v>3.2440000000000002</v>
      </c>
      <c r="H3398" t="s">
        <v>11</v>
      </c>
      <c r="I3398" t="s">
        <v>10</v>
      </c>
    </row>
    <row r="3399" spans="1:9" x14ac:dyDescent="0.25">
      <c r="A3399" t="str">
        <f t="shared" si="91"/>
        <v>89301000</v>
      </c>
      <c r="B3399" t="str">
        <f>"355525422"</f>
        <v>355525422</v>
      </c>
      <c r="C3399" s="1">
        <v>44975</v>
      </c>
      <c r="D3399" s="1">
        <v>45001</v>
      </c>
      <c r="E3399">
        <v>1</v>
      </c>
      <c r="F3399" t="str">
        <f>"05-M01-01"</f>
        <v>05-M01-01</v>
      </c>
      <c r="G3399">
        <v>14.8607</v>
      </c>
      <c r="H3399" t="s">
        <v>12</v>
      </c>
      <c r="I3399" t="s">
        <v>10</v>
      </c>
    </row>
    <row r="3400" spans="1:9" x14ac:dyDescent="0.25">
      <c r="A3400" t="str">
        <f t="shared" si="91"/>
        <v>89301000</v>
      </c>
      <c r="B3400" t="str">
        <f>"355704408"</f>
        <v>355704408</v>
      </c>
      <c r="C3400" s="1">
        <v>45081</v>
      </c>
      <c r="D3400" s="1">
        <v>45085</v>
      </c>
      <c r="E3400">
        <v>4</v>
      </c>
      <c r="F3400" t="str">
        <f>"01-K10-03"</f>
        <v>01-K10-03</v>
      </c>
      <c r="G3400">
        <v>1.0443</v>
      </c>
      <c r="H3400" t="s">
        <v>11</v>
      </c>
      <c r="I3400" t="s">
        <v>10</v>
      </c>
    </row>
    <row r="3401" spans="1:9" x14ac:dyDescent="0.25">
      <c r="A3401" t="str">
        <f t="shared" si="91"/>
        <v>89301000</v>
      </c>
      <c r="B3401" t="str">
        <f>"355731428"</f>
        <v>355731428</v>
      </c>
      <c r="C3401" s="1">
        <v>45021</v>
      </c>
      <c r="D3401" s="1">
        <v>45022</v>
      </c>
      <c r="E3401">
        <v>5</v>
      </c>
      <c r="F3401" t="str">
        <f>"05-M06-06"</f>
        <v>05-M06-06</v>
      </c>
      <c r="G3401">
        <v>1.8264</v>
      </c>
      <c r="H3401" t="s">
        <v>12</v>
      </c>
      <c r="I3401" t="s">
        <v>10</v>
      </c>
    </row>
    <row r="3402" spans="1:9" x14ac:dyDescent="0.25">
      <c r="A3402" t="str">
        <f t="shared" si="91"/>
        <v>89301000</v>
      </c>
      <c r="B3402" t="str">
        <f>"355803720"</f>
        <v>355803720</v>
      </c>
      <c r="C3402" s="1">
        <v>45214</v>
      </c>
      <c r="D3402" s="1">
        <v>45242</v>
      </c>
      <c r="E3402">
        <v>8</v>
      </c>
      <c r="F3402" t="str">
        <f>"04-K02-04"</f>
        <v>04-K02-04</v>
      </c>
      <c r="G3402">
        <v>1.6623000000000001</v>
      </c>
      <c r="H3402" t="s">
        <v>11</v>
      </c>
      <c r="I3402" t="s">
        <v>10</v>
      </c>
    </row>
    <row r="3403" spans="1:9" x14ac:dyDescent="0.25">
      <c r="A3403" t="str">
        <f t="shared" si="91"/>
        <v>89301000</v>
      </c>
      <c r="B3403" t="str">
        <f>"355803720"</f>
        <v>355803720</v>
      </c>
      <c r="C3403" s="1">
        <v>45180</v>
      </c>
      <c r="D3403" s="1">
        <v>45203</v>
      </c>
      <c r="E3403">
        <v>1</v>
      </c>
      <c r="F3403" t="str">
        <f>"04-K05-03"</f>
        <v>04-K05-03</v>
      </c>
      <c r="G3403">
        <v>1.4870000000000001</v>
      </c>
      <c r="H3403" t="s">
        <v>11</v>
      </c>
      <c r="I3403" t="s">
        <v>10</v>
      </c>
    </row>
    <row r="3404" spans="1:9" x14ac:dyDescent="0.25">
      <c r="A3404" t="str">
        <f t="shared" si="91"/>
        <v>89301000</v>
      </c>
      <c r="B3404" t="str">
        <f>"355808429"</f>
        <v>355808429</v>
      </c>
      <c r="C3404" s="1">
        <v>45212</v>
      </c>
      <c r="D3404" s="1">
        <v>45254</v>
      </c>
      <c r="E3404">
        <v>8</v>
      </c>
      <c r="F3404" t="str">
        <f>"01-K08-01"</f>
        <v>01-K08-01</v>
      </c>
      <c r="G3404">
        <v>2.7892000000000001</v>
      </c>
      <c r="H3404" t="s">
        <v>11</v>
      </c>
      <c r="I3404" t="s">
        <v>10</v>
      </c>
    </row>
    <row r="3405" spans="1:9" x14ac:dyDescent="0.25">
      <c r="A3405" t="str">
        <f t="shared" si="91"/>
        <v>89301000</v>
      </c>
      <c r="B3405" t="str">
        <f>"355822433"</f>
        <v>355822433</v>
      </c>
      <c r="C3405" s="1">
        <v>44926</v>
      </c>
      <c r="D3405" s="1">
        <v>44945</v>
      </c>
      <c r="E3405">
        <v>4</v>
      </c>
      <c r="F3405" t="str">
        <f>"01-C02-01"</f>
        <v>01-C02-01</v>
      </c>
      <c r="G3405">
        <v>2.5163000000000002</v>
      </c>
      <c r="H3405" t="s">
        <v>11</v>
      </c>
      <c r="I3405" t="s">
        <v>10</v>
      </c>
    </row>
    <row r="3406" spans="1:9" x14ac:dyDescent="0.25">
      <c r="A3406" t="str">
        <f t="shared" si="91"/>
        <v>89301000</v>
      </c>
      <c r="B3406" t="str">
        <f>"355824438"</f>
        <v>355824438</v>
      </c>
      <c r="C3406" s="1">
        <v>45251</v>
      </c>
      <c r="D3406" s="1">
        <v>45255</v>
      </c>
      <c r="E3406">
        <v>1</v>
      </c>
      <c r="F3406" t="str">
        <f>"06-K02-04"</f>
        <v>06-K02-04</v>
      </c>
      <c r="G3406">
        <v>0.37659999999999999</v>
      </c>
      <c r="H3406" t="s">
        <v>11</v>
      </c>
      <c r="I3406" t="s">
        <v>10</v>
      </c>
    </row>
    <row r="3407" spans="1:9" x14ac:dyDescent="0.25">
      <c r="A3407" t="str">
        <f t="shared" si="91"/>
        <v>89301000</v>
      </c>
      <c r="B3407" t="str">
        <f>"355908748"</f>
        <v>355908748</v>
      </c>
      <c r="C3407" s="1">
        <v>45251</v>
      </c>
      <c r="D3407" s="1">
        <v>45267</v>
      </c>
      <c r="E3407">
        <v>4</v>
      </c>
      <c r="F3407" t="str">
        <f>"06-M01-01"</f>
        <v>06-M01-01</v>
      </c>
      <c r="G3407">
        <v>2.5865</v>
      </c>
      <c r="H3407" t="s">
        <v>11</v>
      </c>
      <c r="I3407" t="s">
        <v>10</v>
      </c>
    </row>
    <row r="3408" spans="1:9" x14ac:dyDescent="0.25">
      <c r="A3408" t="str">
        <f t="shared" si="91"/>
        <v>89301000</v>
      </c>
      <c r="B3408" t="str">
        <f>"355914410"</f>
        <v>355914410</v>
      </c>
      <c r="C3408" s="1">
        <v>45038</v>
      </c>
      <c r="D3408" s="1">
        <v>45051</v>
      </c>
      <c r="E3408">
        <v>1</v>
      </c>
      <c r="F3408" t="str">
        <f>"04-K02-04"</f>
        <v>04-K02-04</v>
      </c>
      <c r="G3408">
        <v>0.82099999999999995</v>
      </c>
      <c r="H3408" t="s">
        <v>11</v>
      </c>
      <c r="I3408" t="s">
        <v>10</v>
      </c>
    </row>
    <row r="3409" spans="1:9" x14ac:dyDescent="0.25">
      <c r="A3409" t="str">
        <f t="shared" si="91"/>
        <v>89301000</v>
      </c>
      <c r="B3409" t="str">
        <f>"355927416"</f>
        <v>355927416</v>
      </c>
      <c r="C3409" s="1">
        <v>44992</v>
      </c>
      <c r="D3409" s="1">
        <v>45021</v>
      </c>
      <c r="E3409">
        <v>4</v>
      </c>
      <c r="F3409" t="str">
        <f>"09-K13-02"</f>
        <v>09-K13-02</v>
      </c>
      <c r="G3409">
        <v>1.7688999999999999</v>
      </c>
      <c r="H3409" t="s">
        <v>11</v>
      </c>
      <c r="I3409" t="s">
        <v>10</v>
      </c>
    </row>
    <row r="3410" spans="1:9" x14ac:dyDescent="0.25">
      <c r="A3410" t="str">
        <f t="shared" si="91"/>
        <v>89301000</v>
      </c>
      <c r="B3410" t="str">
        <f>"356007438"</f>
        <v>356007438</v>
      </c>
      <c r="C3410" s="1">
        <v>45187</v>
      </c>
      <c r="D3410" s="1">
        <v>45191</v>
      </c>
      <c r="E3410">
        <v>1</v>
      </c>
      <c r="F3410" t="str">
        <f>"06-I16-04"</f>
        <v>06-I16-04</v>
      </c>
      <c r="G3410">
        <v>0.68920000000000003</v>
      </c>
      <c r="H3410" t="s">
        <v>9</v>
      </c>
      <c r="I3410" t="s">
        <v>10</v>
      </c>
    </row>
    <row r="3411" spans="1:9" x14ac:dyDescent="0.25">
      <c r="A3411" t="str">
        <f t="shared" si="91"/>
        <v>89301000</v>
      </c>
      <c r="B3411" t="str">
        <f>"356009772"</f>
        <v>356009772</v>
      </c>
      <c r="C3411" s="1">
        <v>45125</v>
      </c>
      <c r="D3411" s="1">
        <v>45132</v>
      </c>
      <c r="E3411">
        <v>1</v>
      </c>
      <c r="F3411" t="str">
        <f>"05-K14-02"</f>
        <v>05-K14-02</v>
      </c>
      <c r="G3411">
        <v>0.9103</v>
      </c>
      <c r="H3411" t="s">
        <v>11</v>
      </c>
      <c r="I3411" t="s">
        <v>10</v>
      </c>
    </row>
    <row r="3412" spans="1:9" x14ac:dyDescent="0.25">
      <c r="A3412" t="str">
        <f t="shared" si="91"/>
        <v>89301000</v>
      </c>
      <c r="B3412" t="str">
        <f>"356219413"</f>
        <v>356219413</v>
      </c>
      <c r="C3412" s="1">
        <v>44950</v>
      </c>
      <c r="D3412" s="1">
        <v>44952</v>
      </c>
      <c r="E3412">
        <v>1</v>
      </c>
      <c r="F3412" t="str">
        <f>"05-I25-03"</f>
        <v>05-I25-03</v>
      </c>
      <c r="G3412">
        <v>1.633</v>
      </c>
      <c r="H3412" t="s">
        <v>12</v>
      </c>
      <c r="I3412" t="s">
        <v>10</v>
      </c>
    </row>
    <row r="3413" spans="1:9" x14ac:dyDescent="0.25">
      <c r="A3413" t="str">
        <f t="shared" si="91"/>
        <v>89301000</v>
      </c>
      <c r="B3413" t="str">
        <f>"356227425"</f>
        <v>356227425</v>
      </c>
      <c r="C3413" s="1">
        <v>44923</v>
      </c>
      <c r="D3413" s="1">
        <v>44932</v>
      </c>
      <c r="E3413">
        <v>4</v>
      </c>
      <c r="F3413" t="str">
        <f>"04-K05-02"</f>
        <v>04-K05-02</v>
      </c>
      <c r="G3413">
        <v>1.4463999999999999</v>
      </c>
      <c r="H3413" t="s">
        <v>11</v>
      </c>
      <c r="I3413" t="s">
        <v>10</v>
      </c>
    </row>
    <row r="3414" spans="1:9" x14ac:dyDescent="0.25">
      <c r="A3414" t="str">
        <f t="shared" si="91"/>
        <v>89301000</v>
      </c>
      <c r="B3414" t="str">
        <f>"360108420"</f>
        <v>360108420</v>
      </c>
      <c r="C3414" s="1">
        <v>44988</v>
      </c>
      <c r="D3414" s="1">
        <v>44989</v>
      </c>
      <c r="E3414">
        <v>1</v>
      </c>
      <c r="F3414" t="str">
        <f>"05-M06-08"</f>
        <v>05-M06-08</v>
      </c>
      <c r="G3414">
        <v>1.4228000000000001</v>
      </c>
      <c r="H3414" t="s">
        <v>12</v>
      </c>
      <c r="I3414" t="s">
        <v>10</v>
      </c>
    </row>
    <row r="3415" spans="1:9" x14ac:dyDescent="0.25">
      <c r="A3415" t="str">
        <f t="shared" si="91"/>
        <v>89301000</v>
      </c>
      <c r="B3415" t="str">
        <f>"360207417"</f>
        <v>360207417</v>
      </c>
      <c r="C3415" s="1">
        <v>44997</v>
      </c>
      <c r="D3415" s="1">
        <v>44999</v>
      </c>
      <c r="E3415">
        <v>1</v>
      </c>
      <c r="F3415" t="str">
        <f>"05-I25-04"</f>
        <v>05-I25-04</v>
      </c>
      <c r="G3415">
        <v>2.2688999999999999</v>
      </c>
      <c r="H3415" t="s">
        <v>12</v>
      </c>
      <c r="I3415" t="s">
        <v>10</v>
      </c>
    </row>
    <row r="3416" spans="1:9" x14ac:dyDescent="0.25">
      <c r="A3416" t="str">
        <f t="shared" si="91"/>
        <v>89301000</v>
      </c>
      <c r="B3416" t="str">
        <f>"360215408"</f>
        <v>360215408</v>
      </c>
      <c r="C3416" s="1">
        <v>44939</v>
      </c>
      <c r="D3416" s="1">
        <v>44953</v>
      </c>
      <c r="E3416">
        <v>4</v>
      </c>
      <c r="F3416" t="str">
        <f>"04-K02-04"</f>
        <v>04-K02-04</v>
      </c>
      <c r="G3416">
        <v>0.82099999999999995</v>
      </c>
      <c r="H3416" t="s">
        <v>11</v>
      </c>
      <c r="I3416" t="s">
        <v>10</v>
      </c>
    </row>
    <row r="3417" spans="1:9" x14ac:dyDescent="0.25">
      <c r="A3417" t="str">
        <f t="shared" si="91"/>
        <v>89301000</v>
      </c>
      <c r="B3417" t="str">
        <f>"360411427"</f>
        <v>360411427</v>
      </c>
      <c r="C3417" s="1">
        <v>45030</v>
      </c>
      <c r="D3417" s="1">
        <v>45033</v>
      </c>
      <c r="E3417">
        <v>8</v>
      </c>
      <c r="F3417" t="str">
        <f>"01-K12-01"</f>
        <v>01-K12-01</v>
      </c>
      <c r="G3417">
        <v>0.74309999999999998</v>
      </c>
      <c r="H3417" t="s">
        <v>11</v>
      </c>
      <c r="I3417" t="s">
        <v>10</v>
      </c>
    </row>
    <row r="3418" spans="1:9" x14ac:dyDescent="0.25">
      <c r="A3418" t="str">
        <f t="shared" si="91"/>
        <v>89301000</v>
      </c>
      <c r="B3418" t="str">
        <f>"360411427"</f>
        <v>360411427</v>
      </c>
      <c r="C3418" s="1">
        <v>45014</v>
      </c>
      <c r="D3418" s="1">
        <v>45016</v>
      </c>
      <c r="E3418">
        <v>1</v>
      </c>
      <c r="F3418" t="str">
        <f>"01-K08-01"</f>
        <v>01-K08-01</v>
      </c>
      <c r="G3418">
        <v>1.2258</v>
      </c>
      <c r="H3418" t="s">
        <v>11</v>
      </c>
      <c r="I3418" t="s">
        <v>10</v>
      </c>
    </row>
    <row r="3419" spans="1:9" x14ac:dyDescent="0.25">
      <c r="A3419" t="str">
        <f t="shared" si="91"/>
        <v>89301000</v>
      </c>
      <c r="B3419" t="str">
        <f>"360417797"</f>
        <v>360417797</v>
      </c>
      <c r="C3419" s="1">
        <v>44968</v>
      </c>
      <c r="D3419" s="1">
        <v>44974</v>
      </c>
      <c r="E3419">
        <v>1</v>
      </c>
      <c r="F3419" t="str">
        <f>"04-K02-04"</f>
        <v>04-K02-04</v>
      </c>
      <c r="G3419">
        <v>0.82099999999999995</v>
      </c>
      <c r="H3419" t="s">
        <v>11</v>
      </c>
      <c r="I3419" t="s">
        <v>10</v>
      </c>
    </row>
    <row r="3420" spans="1:9" x14ac:dyDescent="0.25">
      <c r="A3420" t="str">
        <f t="shared" si="91"/>
        <v>89301000</v>
      </c>
      <c r="B3420" t="str">
        <f>"360417797"</f>
        <v>360417797</v>
      </c>
      <c r="C3420" s="1">
        <v>44986</v>
      </c>
      <c r="D3420" s="1">
        <v>44999</v>
      </c>
      <c r="E3420">
        <v>1</v>
      </c>
      <c r="F3420" t="str">
        <f>"04-K07-02"</f>
        <v>04-K07-02</v>
      </c>
      <c r="G3420">
        <v>1.1116999999999999</v>
      </c>
      <c r="H3420" t="s">
        <v>11</v>
      </c>
      <c r="I3420" t="s">
        <v>10</v>
      </c>
    </row>
    <row r="3421" spans="1:9" x14ac:dyDescent="0.25">
      <c r="A3421" t="str">
        <f t="shared" si="91"/>
        <v>89301000</v>
      </c>
      <c r="B3421" t="str">
        <f>"360417797"</f>
        <v>360417797</v>
      </c>
      <c r="C3421" s="1">
        <v>45056</v>
      </c>
      <c r="D3421" s="1">
        <v>45064</v>
      </c>
      <c r="E3421">
        <v>4</v>
      </c>
      <c r="F3421" t="str">
        <f>"04-K08-03"</f>
        <v>04-K08-03</v>
      </c>
      <c r="G3421">
        <v>1.8479000000000001</v>
      </c>
      <c r="H3421" t="s">
        <v>11</v>
      </c>
      <c r="I3421" t="s">
        <v>10</v>
      </c>
    </row>
    <row r="3422" spans="1:9" x14ac:dyDescent="0.25">
      <c r="A3422" t="str">
        <f t="shared" si="91"/>
        <v>89301000</v>
      </c>
      <c r="B3422" t="str">
        <f>"360420417"</f>
        <v>360420417</v>
      </c>
      <c r="C3422" s="1">
        <v>45242</v>
      </c>
      <c r="D3422" s="1">
        <v>45245</v>
      </c>
      <c r="E3422">
        <v>8</v>
      </c>
      <c r="F3422" t="str">
        <f>"01-K10-03"</f>
        <v>01-K10-03</v>
      </c>
      <c r="G3422">
        <v>1.0348999999999999</v>
      </c>
      <c r="H3422" t="s">
        <v>11</v>
      </c>
      <c r="I3422" t="s">
        <v>10</v>
      </c>
    </row>
    <row r="3423" spans="1:9" x14ac:dyDescent="0.25">
      <c r="A3423" t="str">
        <f t="shared" si="91"/>
        <v>89301000</v>
      </c>
      <c r="B3423" t="str">
        <f>"360501418"</f>
        <v>360501418</v>
      </c>
      <c r="C3423" s="1">
        <v>44974</v>
      </c>
      <c r="D3423" s="1">
        <v>44977</v>
      </c>
      <c r="E3423">
        <v>1</v>
      </c>
      <c r="F3423" t="str">
        <f>"05-M06-05"</f>
        <v>05-M06-05</v>
      </c>
      <c r="G3423">
        <v>2.3681000000000001</v>
      </c>
      <c r="H3423" t="s">
        <v>12</v>
      </c>
      <c r="I3423" t="s">
        <v>10</v>
      </c>
    </row>
    <row r="3424" spans="1:9" x14ac:dyDescent="0.25">
      <c r="A3424" t="str">
        <f t="shared" si="91"/>
        <v>89301000</v>
      </c>
      <c r="B3424" t="str">
        <f>"360703447"</f>
        <v>360703447</v>
      </c>
      <c r="C3424" s="1">
        <v>44939</v>
      </c>
      <c r="D3424" s="1">
        <v>44952</v>
      </c>
      <c r="E3424">
        <v>1</v>
      </c>
      <c r="F3424" t="str">
        <f>"05-I14-03"</f>
        <v>05-I14-03</v>
      </c>
      <c r="G3424">
        <v>7.1706000000000003</v>
      </c>
      <c r="H3424" t="s">
        <v>12</v>
      </c>
      <c r="I3424" t="s">
        <v>10</v>
      </c>
    </row>
    <row r="3425" spans="1:9" x14ac:dyDescent="0.25">
      <c r="A3425" t="str">
        <f t="shared" si="91"/>
        <v>89301000</v>
      </c>
      <c r="B3425" t="str">
        <f>"360801068"</f>
        <v>360801068</v>
      </c>
      <c r="C3425" s="1">
        <v>45196</v>
      </c>
      <c r="D3425" s="1">
        <v>45198</v>
      </c>
      <c r="E3425">
        <v>1</v>
      </c>
      <c r="F3425" t="str">
        <f>"02-I06-04"</f>
        <v>02-I06-04</v>
      </c>
      <c r="G3425">
        <v>0.79630000000000001</v>
      </c>
      <c r="H3425" t="s">
        <v>12</v>
      </c>
      <c r="I3425" t="s">
        <v>10</v>
      </c>
    </row>
    <row r="3426" spans="1:9" x14ac:dyDescent="0.25">
      <c r="A3426" t="str">
        <f t="shared" si="91"/>
        <v>89301000</v>
      </c>
      <c r="B3426" t="str">
        <f>"360926411"</f>
        <v>360926411</v>
      </c>
      <c r="C3426" s="1">
        <v>45007</v>
      </c>
      <c r="D3426" s="1">
        <v>45013</v>
      </c>
      <c r="E3426">
        <v>1</v>
      </c>
      <c r="F3426" t="str">
        <f>"06-M01-03"</f>
        <v>06-M01-03</v>
      </c>
      <c r="G3426">
        <v>0.82350000000000001</v>
      </c>
      <c r="H3426" t="s">
        <v>11</v>
      </c>
      <c r="I3426" t="s">
        <v>10</v>
      </c>
    </row>
    <row r="3427" spans="1:9" x14ac:dyDescent="0.25">
      <c r="A3427" t="str">
        <f t="shared" si="91"/>
        <v>89301000</v>
      </c>
      <c r="B3427" t="str">
        <f>"361005445"</f>
        <v>361005445</v>
      </c>
      <c r="C3427" s="1">
        <v>45106</v>
      </c>
      <c r="D3427" s="1">
        <v>45111</v>
      </c>
      <c r="E3427">
        <v>7</v>
      </c>
      <c r="F3427" t="str">
        <f>"01-K11-02"</f>
        <v>01-K11-02</v>
      </c>
      <c r="G3427">
        <v>2.2684000000000002</v>
      </c>
      <c r="H3427" t="s">
        <v>11</v>
      </c>
      <c r="I3427" t="s">
        <v>10</v>
      </c>
    </row>
    <row r="3428" spans="1:9" x14ac:dyDescent="0.25">
      <c r="A3428" t="str">
        <f t="shared" si="91"/>
        <v>89301000</v>
      </c>
      <c r="B3428" t="str">
        <f>"361127414"</f>
        <v>361127414</v>
      </c>
      <c r="C3428" s="1">
        <v>45244</v>
      </c>
      <c r="D3428" s="1">
        <v>45244</v>
      </c>
      <c r="E3428">
        <v>1</v>
      </c>
      <c r="F3428" t="str">
        <f>"05-I25-03"</f>
        <v>05-I25-03</v>
      </c>
      <c r="G3428">
        <v>1.3169</v>
      </c>
      <c r="H3428" t="s">
        <v>12</v>
      </c>
      <c r="I3428" t="s">
        <v>10</v>
      </c>
    </row>
    <row r="3429" spans="1:9" x14ac:dyDescent="0.25">
      <c r="A3429" t="str">
        <f t="shared" si="91"/>
        <v>89301000</v>
      </c>
      <c r="B3429" t="str">
        <f>"361216455"</f>
        <v>361216455</v>
      </c>
      <c r="C3429" s="1">
        <v>45268</v>
      </c>
      <c r="D3429" s="1">
        <v>45269</v>
      </c>
      <c r="E3429">
        <v>4</v>
      </c>
      <c r="F3429" t="str">
        <f>"01-I08-04"</f>
        <v>01-I08-04</v>
      </c>
      <c r="G3429">
        <v>0.99519999999999997</v>
      </c>
      <c r="H3429" t="s">
        <v>14</v>
      </c>
      <c r="I3429" t="s">
        <v>10</v>
      </c>
    </row>
    <row r="3430" spans="1:9" x14ac:dyDescent="0.25">
      <c r="A3430" t="str">
        <f t="shared" si="91"/>
        <v>89301000</v>
      </c>
      <c r="B3430" t="str">
        <f>"365122420"</f>
        <v>365122420</v>
      </c>
      <c r="C3430" s="1">
        <v>45197</v>
      </c>
      <c r="D3430" s="1">
        <v>45202</v>
      </c>
      <c r="E3430">
        <v>5</v>
      </c>
      <c r="F3430" t="str">
        <f>"01-M02-00"</f>
        <v>01-M02-00</v>
      </c>
      <c r="G3430">
        <v>5.3973000000000004</v>
      </c>
      <c r="H3430" t="s">
        <v>12</v>
      </c>
      <c r="I3430" t="s">
        <v>10</v>
      </c>
    </row>
    <row r="3431" spans="1:9" x14ac:dyDescent="0.25">
      <c r="A3431" t="str">
        <f t="shared" si="91"/>
        <v>89301000</v>
      </c>
      <c r="B3431" t="str">
        <f>"365126420"</f>
        <v>365126420</v>
      </c>
      <c r="C3431" s="1">
        <v>45020</v>
      </c>
      <c r="D3431" s="1">
        <v>45022</v>
      </c>
      <c r="E3431">
        <v>4</v>
      </c>
      <c r="F3431" t="str">
        <f>"05-D01-04"</f>
        <v>05-D01-04</v>
      </c>
      <c r="G3431">
        <v>1.9817</v>
      </c>
      <c r="H3431" t="s">
        <v>11</v>
      </c>
      <c r="I3431" t="s">
        <v>10</v>
      </c>
    </row>
    <row r="3432" spans="1:9" x14ac:dyDescent="0.25">
      <c r="A3432" t="str">
        <f t="shared" si="91"/>
        <v>89301000</v>
      </c>
      <c r="B3432" t="str">
        <f>"365126420"</f>
        <v>365126420</v>
      </c>
      <c r="C3432" s="1">
        <v>44978</v>
      </c>
      <c r="D3432" s="1">
        <v>44985</v>
      </c>
      <c r="E3432">
        <v>1</v>
      </c>
      <c r="F3432" t="str">
        <f>"04-K05-03"</f>
        <v>04-K05-03</v>
      </c>
      <c r="G3432">
        <v>0.74039999999999995</v>
      </c>
      <c r="H3432" t="s">
        <v>11</v>
      </c>
      <c r="I3432" t="s">
        <v>10</v>
      </c>
    </row>
    <row r="3433" spans="1:9" x14ac:dyDescent="0.25">
      <c r="A3433" t="str">
        <f t="shared" si="91"/>
        <v>89301000</v>
      </c>
      <c r="B3433" t="str">
        <f>"365126420"</f>
        <v>365126420</v>
      </c>
      <c r="C3433" s="1">
        <v>45035</v>
      </c>
      <c r="D3433" s="1">
        <v>45036</v>
      </c>
      <c r="E3433">
        <v>1</v>
      </c>
      <c r="F3433" t="str">
        <f>"07-M02-04"</f>
        <v>07-M02-04</v>
      </c>
      <c r="G3433">
        <v>0.77339999999999998</v>
      </c>
      <c r="H3433" t="s">
        <v>12</v>
      </c>
      <c r="I3433" t="s">
        <v>10</v>
      </c>
    </row>
    <row r="3434" spans="1:9" x14ac:dyDescent="0.25">
      <c r="A3434" t="str">
        <f t="shared" si="91"/>
        <v>89301000</v>
      </c>
      <c r="B3434" t="str">
        <f>"365211422"</f>
        <v>365211422</v>
      </c>
      <c r="C3434" s="1">
        <v>44944</v>
      </c>
      <c r="D3434" s="1">
        <v>44949</v>
      </c>
      <c r="E3434">
        <v>1</v>
      </c>
      <c r="F3434" t="str">
        <f>"16-K02-02"</f>
        <v>16-K02-02</v>
      </c>
      <c r="G3434">
        <v>0.76349999999999996</v>
      </c>
      <c r="H3434" t="s">
        <v>11</v>
      </c>
      <c r="I3434" t="s">
        <v>10</v>
      </c>
    </row>
    <row r="3435" spans="1:9" x14ac:dyDescent="0.25">
      <c r="A3435" t="str">
        <f t="shared" si="91"/>
        <v>89301000</v>
      </c>
      <c r="B3435" t="str">
        <f>"365305429"</f>
        <v>365305429</v>
      </c>
      <c r="C3435" s="1">
        <v>45091</v>
      </c>
      <c r="D3435" s="1">
        <v>45097</v>
      </c>
      <c r="E3435">
        <v>4</v>
      </c>
      <c r="F3435" t="str">
        <f>"04-K05-03"</f>
        <v>04-K05-03</v>
      </c>
      <c r="G3435">
        <v>0.74039999999999995</v>
      </c>
      <c r="H3435" t="s">
        <v>11</v>
      </c>
      <c r="I3435" t="s">
        <v>10</v>
      </c>
    </row>
    <row r="3436" spans="1:9" x14ac:dyDescent="0.25">
      <c r="A3436" t="str">
        <f t="shared" si="91"/>
        <v>89301000</v>
      </c>
      <c r="B3436" t="str">
        <f>"365305429"</f>
        <v>365305429</v>
      </c>
      <c r="C3436" s="1">
        <v>45203</v>
      </c>
      <c r="D3436" s="1">
        <v>45216</v>
      </c>
      <c r="E3436">
        <v>1</v>
      </c>
      <c r="F3436" t="str">
        <f>"01-K04-02"</f>
        <v>01-K04-02</v>
      </c>
      <c r="G3436">
        <v>0.79990000000000006</v>
      </c>
      <c r="H3436" t="s">
        <v>11</v>
      </c>
      <c r="I3436" t="s">
        <v>10</v>
      </c>
    </row>
    <row r="3437" spans="1:9" x14ac:dyDescent="0.25">
      <c r="A3437" t="str">
        <f t="shared" ref="A3437:A3500" si="92">"89301000"</f>
        <v>89301000</v>
      </c>
      <c r="B3437" t="str">
        <f>"365401415"</f>
        <v>365401415</v>
      </c>
      <c r="C3437" s="1">
        <v>45080</v>
      </c>
      <c r="D3437" s="1">
        <v>45084</v>
      </c>
      <c r="E3437">
        <v>4</v>
      </c>
      <c r="F3437" t="str">
        <f>"05-K14-02"</f>
        <v>05-K14-02</v>
      </c>
      <c r="G3437">
        <v>0.9103</v>
      </c>
      <c r="H3437" t="s">
        <v>11</v>
      </c>
      <c r="I3437" t="s">
        <v>10</v>
      </c>
    </row>
    <row r="3438" spans="1:9" x14ac:dyDescent="0.25">
      <c r="A3438" t="str">
        <f t="shared" si="92"/>
        <v>89301000</v>
      </c>
      <c r="B3438" t="str">
        <f>"365504415"</f>
        <v>365504415</v>
      </c>
      <c r="C3438" s="1">
        <v>44954</v>
      </c>
      <c r="D3438" s="1">
        <v>44960</v>
      </c>
      <c r="E3438">
        <v>1</v>
      </c>
      <c r="F3438" t="str">
        <f>"05-K14-01"</f>
        <v>05-K14-01</v>
      </c>
      <c r="G3438">
        <v>1.1436999999999999</v>
      </c>
      <c r="H3438" t="s">
        <v>11</v>
      </c>
      <c r="I3438" t="s">
        <v>10</v>
      </c>
    </row>
    <row r="3439" spans="1:9" x14ac:dyDescent="0.25">
      <c r="A3439" t="str">
        <f t="shared" si="92"/>
        <v>89301000</v>
      </c>
      <c r="B3439" t="str">
        <f>"365507428"</f>
        <v>365507428</v>
      </c>
      <c r="C3439" s="1">
        <v>44951</v>
      </c>
      <c r="D3439" s="1">
        <v>44953</v>
      </c>
      <c r="E3439">
        <v>1</v>
      </c>
      <c r="F3439" t="str">
        <f>"16-K02-03"</f>
        <v>16-K02-03</v>
      </c>
      <c r="G3439">
        <v>0.58299999999999996</v>
      </c>
      <c r="H3439" t="s">
        <v>11</v>
      </c>
      <c r="I3439" t="s">
        <v>10</v>
      </c>
    </row>
    <row r="3440" spans="1:9" x14ac:dyDescent="0.25">
      <c r="A3440" t="str">
        <f t="shared" si="92"/>
        <v>89301000</v>
      </c>
      <c r="B3440" t="str">
        <f>"365507428"</f>
        <v>365507428</v>
      </c>
      <c r="C3440" s="1">
        <v>45002</v>
      </c>
      <c r="D3440" s="1">
        <v>45003</v>
      </c>
      <c r="E3440">
        <v>1</v>
      </c>
      <c r="F3440" t="str">
        <f>"16-K02-03"</f>
        <v>16-K02-03</v>
      </c>
      <c r="G3440">
        <v>0.58299999999999996</v>
      </c>
      <c r="H3440" t="s">
        <v>11</v>
      </c>
      <c r="I3440" t="s">
        <v>10</v>
      </c>
    </row>
    <row r="3441" spans="1:9" x14ac:dyDescent="0.25">
      <c r="A3441" t="str">
        <f t="shared" si="92"/>
        <v>89301000</v>
      </c>
      <c r="B3441" t="str">
        <f>"365507428"</f>
        <v>365507428</v>
      </c>
      <c r="C3441" s="1">
        <v>45063</v>
      </c>
      <c r="D3441" s="1">
        <v>45065</v>
      </c>
      <c r="E3441">
        <v>1</v>
      </c>
      <c r="F3441" t="str">
        <f>"05-K14-02"</f>
        <v>05-K14-02</v>
      </c>
      <c r="G3441">
        <v>0.99250000000000005</v>
      </c>
      <c r="H3441" t="s">
        <v>11</v>
      </c>
      <c r="I3441" t="s">
        <v>10</v>
      </c>
    </row>
    <row r="3442" spans="1:9" x14ac:dyDescent="0.25">
      <c r="A3442" t="str">
        <f t="shared" si="92"/>
        <v>89301000</v>
      </c>
      <c r="B3442" t="str">
        <f>"365518417"</f>
        <v>365518417</v>
      </c>
      <c r="C3442" s="1">
        <v>44999</v>
      </c>
      <c r="D3442" s="1">
        <v>45000</v>
      </c>
      <c r="E3442">
        <v>1</v>
      </c>
      <c r="F3442" t="str">
        <f>"02-I08-02"</f>
        <v>02-I08-02</v>
      </c>
      <c r="G3442">
        <v>0.60729999999999995</v>
      </c>
      <c r="H3442" t="s">
        <v>12</v>
      </c>
      <c r="I3442" t="s">
        <v>10</v>
      </c>
    </row>
    <row r="3443" spans="1:9" x14ac:dyDescent="0.25">
      <c r="A3443" t="str">
        <f t="shared" si="92"/>
        <v>89301000</v>
      </c>
      <c r="B3443" t="str">
        <f>"365610064"</f>
        <v>365610064</v>
      </c>
      <c r="C3443" s="1">
        <v>45098</v>
      </c>
      <c r="D3443" s="1">
        <v>45105</v>
      </c>
      <c r="E3443">
        <v>1</v>
      </c>
      <c r="F3443" t="str">
        <f>"05-K07-04"</f>
        <v>05-K07-04</v>
      </c>
      <c r="G3443">
        <v>1.0598000000000001</v>
      </c>
      <c r="H3443" t="s">
        <v>11</v>
      </c>
      <c r="I3443" t="s">
        <v>10</v>
      </c>
    </row>
    <row r="3444" spans="1:9" x14ac:dyDescent="0.25">
      <c r="A3444" t="str">
        <f t="shared" si="92"/>
        <v>89301000</v>
      </c>
      <c r="B3444" t="str">
        <f>"365712430"</f>
        <v>365712430</v>
      </c>
      <c r="C3444" s="1">
        <v>45125</v>
      </c>
      <c r="D3444" s="1">
        <v>45132</v>
      </c>
      <c r="E3444">
        <v>1</v>
      </c>
      <c r="F3444" t="str">
        <f>"13-I06-02"</f>
        <v>13-I06-02</v>
      </c>
      <c r="G3444">
        <v>1.8261000000000001</v>
      </c>
      <c r="H3444" t="s">
        <v>14</v>
      </c>
      <c r="I3444" t="s">
        <v>10</v>
      </c>
    </row>
    <row r="3445" spans="1:9" x14ac:dyDescent="0.25">
      <c r="A3445" t="str">
        <f t="shared" si="92"/>
        <v>89301000</v>
      </c>
      <c r="B3445" t="str">
        <f>"365811442"</f>
        <v>365811442</v>
      </c>
      <c r="C3445" s="1">
        <v>45274</v>
      </c>
      <c r="D3445" s="1">
        <v>45279</v>
      </c>
      <c r="E3445">
        <v>1</v>
      </c>
      <c r="F3445" t="str">
        <f>"10-K06-00"</f>
        <v>10-K06-00</v>
      </c>
      <c r="G3445">
        <v>0.48139999999999999</v>
      </c>
      <c r="H3445" t="s">
        <v>11</v>
      </c>
      <c r="I3445" t="s">
        <v>10</v>
      </c>
    </row>
    <row r="3446" spans="1:9" x14ac:dyDescent="0.25">
      <c r="A3446" t="str">
        <f t="shared" si="92"/>
        <v>89301000</v>
      </c>
      <c r="B3446" t="str">
        <f>"365816445"</f>
        <v>365816445</v>
      </c>
      <c r="C3446" s="1">
        <v>45008</v>
      </c>
      <c r="D3446" s="1">
        <v>45010</v>
      </c>
      <c r="E3446">
        <v>8</v>
      </c>
      <c r="F3446" t="str">
        <f>"05-M06-06"</f>
        <v>05-M06-06</v>
      </c>
      <c r="G3446">
        <v>1.8264</v>
      </c>
      <c r="H3446" t="s">
        <v>12</v>
      </c>
      <c r="I3446" t="s">
        <v>10</v>
      </c>
    </row>
    <row r="3447" spans="1:9" x14ac:dyDescent="0.25">
      <c r="A3447" t="str">
        <f t="shared" si="92"/>
        <v>89301000</v>
      </c>
      <c r="B3447" t="str">
        <f>"3658510515"</f>
        <v>3658510515</v>
      </c>
      <c r="C3447" s="1">
        <v>45236</v>
      </c>
      <c r="D3447" s="1">
        <v>45241</v>
      </c>
      <c r="E3447">
        <v>8</v>
      </c>
      <c r="F3447" t="str">
        <f>"01-K11-02"</f>
        <v>01-K11-02</v>
      </c>
      <c r="G3447">
        <v>2.2684000000000002</v>
      </c>
      <c r="H3447" t="s">
        <v>11</v>
      </c>
      <c r="I3447" t="s">
        <v>10</v>
      </c>
    </row>
    <row r="3448" spans="1:9" x14ac:dyDescent="0.25">
      <c r="A3448" t="str">
        <f t="shared" si="92"/>
        <v>89301000</v>
      </c>
      <c r="B3448" t="str">
        <f>"365912409"</f>
        <v>365912409</v>
      </c>
      <c r="C3448" s="1">
        <v>45115</v>
      </c>
      <c r="D3448" s="1">
        <v>45118</v>
      </c>
      <c r="E3448">
        <v>4</v>
      </c>
      <c r="F3448" t="str">
        <f>"05-K07-04"</f>
        <v>05-K07-04</v>
      </c>
      <c r="G3448">
        <v>1.0598000000000001</v>
      </c>
      <c r="H3448" t="s">
        <v>11</v>
      </c>
      <c r="I3448" t="s">
        <v>10</v>
      </c>
    </row>
    <row r="3449" spans="1:9" x14ac:dyDescent="0.25">
      <c r="A3449" t="str">
        <f t="shared" si="92"/>
        <v>89301000</v>
      </c>
      <c r="B3449" t="str">
        <f>"365912409"</f>
        <v>365912409</v>
      </c>
      <c r="C3449" s="1">
        <v>45101</v>
      </c>
      <c r="D3449" s="1">
        <v>45106</v>
      </c>
      <c r="E3449">
        <v>1</v>
      </c>
      <c r="F3449" t="str">
        <f>"05-K07-04"</f>
        <v>05-K07-04</v>
      </c>
      <c r="G3449">
        <v>1.0760000000000001</v>
      </c>
      <c r="H3449" t="s">
        <v>11</v>
      </c>
      <c r="I3449" t="s">
        <v>10</v>
      </c>
    </row>
    <row r="3450" spans="1:9" x14ac:dyDescent="0.25">
      <c r="A3450" t="str">
        <f t="shared" si="92"/>
        <v>89301000</v>
      </c>
      <c r="B3450" t="str">
        <f>"365927416"</f>
        <v>365927416</v>
      </c>
      <c r="C3450" s="1">
        <v>44992</v>
      </c>
      <c r="D3450" s="1">
        <v>45013</v>
      </c>
      <c r="E3450">
        <v>4</v>
      </c>
      <c r="F3450" t="str">
        <f>"08-I13-04"</f>
        <v>08-I13-04</v>
      </c>
      <c r="G3450">
        <v>4.1078000000000001</v>
      </c>
      <c r="H3450" t="s">
        <v>12</v>
      </c>
      <c r="I3450" t="s">
        <v>10</v>
      </c>
    </row>
    <row r="3451" spans="1:9" x14ac:dyDescent="0.25">
      <c r="A3451" t="str">
        <f t="shared" si="92"/>
        <v>89301000</v>
      </c>
      <c r="B3451" t="str">
        <f>"365927416"</f>
        <v>365927416</v>
      </c>
      <c r="C3451" s="1">
        <v>44952</v>
      </c>
      <c r="D3451" s="1">
        <v>44953</v>
      </c>
      <c r="E3451">
        <v>1</v>
      </c>
      <c r="F3451" t="str">
        <f>"01-K11-02"</f>
        <v>01-K11-02</v>
      </c>
      <c r="G3451">
        <v>1.1342000000000001</v>
      </c>
      <c r="H3451" t="s">
        <v>11</v>
      </c>
      <c r="I3451" t="s">
        <v>10</v>
      </c>
    </row>
    <row r="3452" spans="1:9" x14ac:dyDescent="0.25">
      <c r="A3452" t="str">
        <f t="shared" si="92"/>
        <v>89301000</v>
      </c>
      <c r="B3452" t="str">
        <f>"366009412"</f>
        <v>366009412</v>
      </c>
      <c r="C3452" s="1">
        <v>44965</v>
      </c>
      <c r="D3452" s="1">
        <v>44973</v>
      </c>
      <c r="E3452">
        <v>8</v>
      </c>
      <c r="F3452" t="str">
        <f>"04-I08-03"</f>
        <v>04-I08-03</v>
      </c>
      <c r="G3452">
        <v>1.6777</v>
      </c>
      <c r="H3452" t="s">
        <v>11</v>
      </c>
      <c r="I3452" t="s">
        <v>10</v>
      </c>
    </row>
    <row r="3453" spans="1:9" x14ac:dyDescent="0.25">
      <c r="A3453" t="str">
        <f t="shared" si="92"/>
        <v>89301000</v>
      </c>
      <c r="B3453" t="str">
        <f>"366022705"</f>
        <v>366022705</v>
      </c>
      <c r="C3453" s="1">
        <v>44979</v>
      </c>
      <c r="D3453" s="1">
        <v>44991</v>
      </c>
      <c r="E3453">
        <v>4</v>
      </c>
      <c r="F3453" t="str">
        <f>"08-I05-03"</f>
        <v>08-I05-03</v>
      </c>
      <c r="G3453">
        <v>3.3738000000000001</v>
      </c>
      <c r="H3453" t="s">
        <v>12</v>
      </c>
      <c r="I3453" t="s">
        <v>10</v>
      </c>
    </row>
    <row r="3454" spans="1:9" x14ac:dyDescent="0.25">
      <c r="A3454" t="str">
        <f t="shared" si="92"/>
        <v>89301000</v>
      </c>
      <c r="B3454" t="str">
        <f>"366028443"</f>
        <v>366028443</v>
      </c>
      <c r="C3454" s="1">
        <v>45001</v>
      </c>
      <c r="D3454" s="1">
        <v>45002</v>
      </c>
      <c r="E3454">
        <v>1</v>
      </c>
      <c r="F3454" t="str">
        <f>"02-I08-02"</f>
        <v>02-I08-02</v>
      </c>
      <c r="G3454">
        <v>0.60729999999999995</v>
      </c>
      <c r="H3454" t="s">
        <v>12</v>
      </c>
      <c r="I3454" t="s">
        <v>10</v>
      </c>
    </row>
    <row r="3455" spans="1:9" x14ac:dyDescent="0.25">
      <c r="A3455" t="str">
        <f t="shared" si="92"/>
        <v>89301000</v>
      </c>
      <c r="B3455" t="str">
        <f>"366030429"</f>
        <v>366030429</v>
      </c>
      <c r="C3455" s="1">
        <v>45273</v>
      </c>
      <c r="D3455" s="1">
        <v>45282</v>
      </c>
      <c r="E3455">
        <v>8</v>
      </c>
      <c r="F3455" t="str">
        <f>"16-K02-01"</f>
        <v>16-K02-01</v>
      </c>
      <c r="G3455">
        <v>1.3922000000000001</v>
      </c>
      <c r="H3455" t="s">
        <v>11</v>
      </c>
      <c r="I3455" t="s">
        <v>10</v>
      </c>
    </row>
    <row r="3456" spans="1:9" x14ac:dyDescent="0.25">
      <c r="A3456" t="str">
        <f t="shared" si="92"/>
        <v>89301000</v>
      </c>
      <c r="B3456" t="str">
        <f>"366101457"</f>
        <v>366101457</v>
      </c>
      <c r="C3456" s="1">
        <v>45189</v>
      </c>
      <c r="D3456" s="1">
        <v>45217</v>
      </c>
      <c r="E3456">
        <v>4</v>
      </c>
      <c r="F3456" t="str">
        <f>"01-K11-03"</f>
        <v>01-K11-03</v>
      </c>
      <c r="G3456">
        <v>2.6261999999999999</v>
      </c>
      <c r="H3456" t="s">
        <v>11</v>
      </c>
      <c r="I3456" t="s">
        <v>10</v>
      </c>
    </row>
    <row r="3457" spans="1:9" x14ac:dyDescent="0.25">
      <c r="A3457" t="str">
        <f t="shared" si="92"/>
        <v>89301000</v>
      </c>
      <c r="B3457" t="str">
        <f>"366123408"</f>
        <v>366123408</v>
      </c>
      <c r="C3457" s="1">
        <v>45005</v>
      </c>
      <c r="D3457" s="1">
        <v>45013</v>
      </c>
      <c r="E3457">
        <v>1</v>
      </c>
      <c r="F3457" t="str">
        <f>"01-K12-01"</f>
        <v>01-K12-01</v>
      </c>
      <c r="G3457">
        <v>0.72709999999999997</v>
      </c>
      <c r="H3457" t="s">
        <v>11</v>
      </c>
      <c r="I3457" t="s">
        <v>10</v>
      </c>
    </row>
    <row r="3458" spans="1:9" x14ac:dyDescent="0.25">
      <c r="A3458" t="str">
        <f t="shared" si="92"/>
        <v>89301000</v>
      </c>
      <c r="B3458" t="str">
        <f>"366123408"</f>
        <v>366123408</v>
      </c>
      <c r="C3458" s="1">
        <v>45101</v>
      </c>
      <c r="D3458" s="1">
        <v>45131</v>
      </c>
      <c r="E3458">
        <v>1</v>
      </c>
      <c r="F3458" t="str">
        <f>"11-K03-02"</f>
        <v>11-K03-02</v>
      </c>
      <c r="G3458">
        <v>1.7416</v>
      </c>
      <c r="H3458" t="s">
        <v>11</v>
      </c>
      <c r="I3458" t="s">
        <v>10</v>
      </c>
    </row>
    <row r="3459" spans="1:9" x14ac:dyDescent="0.25">
      <c r="A3459" t="str">
        <f t="shared" si="92"/>
        <v>89301000</v>
      </c>
      <c r="B3459" t="str">
        <f>"366123408"</f>
        <v>366123408</v>
      </c>
      <c r="C3459" s="1">
        <v>45191</v>
      </c>
      <c r="D3459" s="1">
        <v>45196</v>
      </c>
      <c r="E3459">
        <v>1</v>
      </c>
      <c r="F3459" t="str">
        <f>"06-K22-02"</f>
        <v>06-K22-02</v>
      </c>
      <c r="G3459">
        <v>0.50229999999999997</v>
      </c>
      <c r="H3459" t="s">
        <v>11</v>
      </c>
      <c r="I3459" t="s">
        <v>10</v>
      </c>
    </row>
    <row r="3460" spans="1:9" x14ac:dyDescent="0.25">
      <c r="A3460" t="str">
        <f t="shared" si="92"/>
        <v>89301000</v>
      </c>
      <c r="B3460" t="str">
        <f>"366123416"</f>
        <v>366123416</v>
      </c>
      <c r="C3460" s="1">
        <v>45151</v>
      </c>
      <c r="D3460" s="1">
        <v>45155</v>
      </c>
      <c r="E3460">
        <v>1</v>
      </c>
      <c r="F3460" t="str">
        <f>"06-K02-04"</f>
        <v>06-K02-04</v>
      </c>
      <c r="G3460">
        <v>0.37659999999999999</v>
      </c>
      <c r="H3460" t="s">
        <v>11</v>
      </c>
      <c r="I3460" t="s">
        <v>10</v>
      </c>
    </row>
    <row r="3461" spans="1:9" x14ac:dyDescent="0.25">
      <c r="A3461" t="str">
        <f t="shared" si="92"/>
        <v>89301000</v>
      </c>
      <c r="B3461" t="str">
        <f>"366129093"</f>
        <v>366129093</v>
      </c>
      <c r="C3461" s="1">
        <v>45148</v>
      </c>
      <c r="D3461" s="1">
        <v>45151</v>
      </c>
      <c r="E3461">
        <v>1</v>
      </c>
      <c r="F3461" t="str">
        <f>"05-M04-04"</f>
        <v>05-M04-04</v>
      </c>
      <c r="G3461">
        <v>2.2888999999999999</v>
      </c>
      <c r="H3461" t="s">
        <v>12</v>
      </c>
      <c r="I3461" t="s">
        <v>10</v>
      </c>
    </row>
    <row r="3462" spans="1:9" x14ac:dyDescent="0.25">
      <c r="A3462" t="str">
        <f t="shared" si="92"/>
        <v>89301000</v>
      </c>
      <c r="B3462" t="str">
        <f>"366208434"</f>
        <v>366208434</v>
      </c>
      <c r="C3462" s="1">
        <v>45076</v>
      </c>
      <c r="D3462" s="1">
        <v>45083</v>
      </c>
      <c r="E3462">
        <v>2</v>
      </c>
      <c r="F3462" t="str">
        <f>"10-K04-04"</f>
        <v>10-K04-04</v>
      </c>
      <c r="G3462">
        <v>0.54310000000000003</v>
      </c>
      <c r="H3462" t="s">
        <v>11</v>
      </c>
      <c r="I3462" t="s">
        <v>10</v>
      </c>
    </row>
    <row r="3463" spans="1:9" x14ac:dyDescent="0.25">
      <c r="A3463" t="str">
        <f t="shared" si="92"/>
        <v>89301000</v>
      </c>
      <c r="B3463" t="str">
        <f>"366208434"</f>
        <v>366208434</v>
      </c>
      <c r="C3463" s="1">
        <v>45152</v>
      </c>
      <c r="D3463" s="1">
        <v>45156</v>
      </c>
      <c r="E3463">
        <v>2</v>
      </c>
      <c r="F3463" t="str">
        <f>"07-K05-02"</f>
        <v>07-K05-02</v>
      </c>
      <c r="G3463">
        <v>0.64410000000000001</v>
      </c>
      <c r="H3463" t="s">
        <v>11</v>
      </c>
      <c r="I3463" t="s">
        <v>10</v>
      </c>
    </row>
    <row r="3464" spans="1:9" x14ac:dyDescent="0.25">
      <c r="A3464" t="str">
        <f t="shared" si="92"/>
        <v>89301000</v>
      </c>
      <c r="B3464" t="str">
        <f>"366208434"</f>
        <v>366208434</v>
      </c>
      <c r="C3464" s="1">
        <v>44943</v>
      </c>
      <c r="D3464" s="1">
        <v>44950</v>
      </c>
      <c r="E3464">
        <v>1</v>
      </c>
      <c r="F3464" t="str">
        <f>"18-I01-02"</f>
        <v>18-I01-02</v>
      </c>
      <c r="G3464">
        <v>3.2707000000000002</v>
      </c>
      <c r="H3464" t="s">
        <v>11</v>
      </c>
      <c r="I3464" t="s">
        <v>10</v>
      </c>
    </row>
    <row r="3465" spans="1:9" x14ac:dyDescent="0.25">
      <c r="A3465" t="str">
        <f t="shared" si="92"/>
        <v>89301000</v>
      </c>
      <c r="B3465" t="str">
        <f>"366217441"</f>
        <v>366217441</v>
      </c>
      <c r="C3465" s="1">
        <v>45266</v>
      </c>
      <c r="D3465" s="1">
        <v>45274</v>
      </c>
      <c r="E3465">
        <v>4</v>
      </c>
      <c r="F3465" t="str">
        <f>"08-I13-05"</f>
        <v>08-I13-05</v>
      </c>
      <c r="G3465">
        <v>2.343</v>
      </c>
      <c r="H3465" t="s">
        <v>12</v>
      </c>
      <c r="I3465" t="s">
        <v>10</v>
      </c>
    </row>
    <row r="3466" spans="1:9" x14ac:dyDescent="0.25">
      <c r="A3466" t="str">
        <f t="shared" si="92"/>
        <v>89301000</v>
      </c>
      <c r="B3466" t="str">
        <f>"366217441"</f>
        <v>366217441</v>
      </c>
      <c r="C3466" s="1">
        <v>45074</v>
      </c>
      <c r="D3466" s="1">
        <v>45078</v>
      </c>
      <c r="E3466">
        <v>4</v>
      </c>
      <c r="F3466" t="str">
        <f>"08-I13-05"</f>
        <v>08-I13-05</v>
      </c>
      <c r="G3466">
        <v>2.343</v>
      </c>
      <c r="H3466" t="s">
        <v>12</v>
      </c>
      <c r="I3466" t="s">
        <v>10</v>
      </c>
    </row>
    <row r="3467" spans="1:9" x14ac:dyDescent="0.25">
      <c r="A3467" t="str">
        <f t="shared" si="92"/>
        <v>89301000</v>
      </c>
      <c r="B3467" t="str">
        <f>"370102418"</f>
        <v>370102418</v>
      </c>
      <c r="C3467" s="1">
        <v>45216</v>
      </c>
      <c r="D3467" s="1">
        <v>45225</v>
      </c>
      <c r="E3467">
        <v>1</v>
      </c>
      <c r="F3467" t="str">
        <f>"09-K01-04"</f>
        <v>09-K01-04</v>
      </c>
      <c r="G3467">
        <v>0.59330000000000005</v>
      </c>
      <c r="H3467" t="s">
        <v>11</v>
      </c>
      <c r="I3467" t="s">
        <v>10</v>
      </c>
    </row>
    <row r="3468" spans="1:9" x14ac:dyDescent="0.25">
      <c r="A3468" t="str">
        <f t="shared" si="92"/>
        <v>89301000</v>
      </c>
      <c r="B3468" t="str">
        <f>"370108431"</f>
        <v>370108431</v>
      </c>
      <c r="C3468" s="1">
        <v>45187</v>
      </c>
      <c r="D3468" s="1">
        <v>45189</v>
      </c>
      <c r="E3468">
        <v>1</v>
      </c>
      <c r="F3468" t="str">
        <f>"07-M02-04"</f>
        <v>07-M02-04</v>
      </c>
      <c r="G3468">
        <v>0.77339999999999998</v>
      </c>
      <c r="H3468" t="s">
        <v>12</v>
      </c>
      <c r="I3468" t="s">
        <v>10</v>
      </c>
    </row>
    <row r="3469" spans="1:9" x14ac:dyDescent="0.25">
      <c r="A3469" t="str">
        <f t="shared" si="92"/>
        <v>89301000</v>
      </c>
      <c r="B3469" t="str">
        <f>"370108431"</f>
        <v>370108431</v>
      </c>
      <c r="C3469" s="1">
        <v>45092</v>
      </c>
      <c r="D3469" s="1">
        <v>45095</v>
      </c>
      <c r="E3469">
        <v>1</v>
      </c>
      <c r="F3469" t="str">
        <f>"07-M02-04"</f>
        <v>07-M02-04</v>
      </c>
      <c r="G3469">
        <v>1.5035000000000001</v>
      </c>
      <c r="H3469" t="s">
        <v>12</v>
      </c>
      <c r="I3469" t="s">
        <v>10</v>
      </c>
    </row>
    <row r="3470" spans="1:9" x14ac:dyDescent="0.25">
      <c r="A3470" t="str">
        <f t="shared" si="92"/>
        <v>89301000</v>
      </c>
      <c r="B3470" t="str">
        <f>"370108431"</f>
        <v>370108431</v>
      </c>
      <c r="C3470" s="1">
        <v>45022</v>
      </c>
      <c r="D3470" s="1">
        <v>45027</v>
      </c>
      <c r="E3470">
        <v>1</v>
      </c>
      <c r="F3470" t="str">
        <f>"07-M02-04"</f>
        <v>07-M02-04</v>
      </c>
      <c r="G3470">
        <v>0.79930000000000001</v>
      </c>
      <c r="H3470" t="s">
        <v>12</v>
      </c>
      <c r="I3470" t="s">
        <v>10</v>
      </c>
    </row>
    <row r="3471" spans="1:9" x14ac:dyDescent="0.25">
      <c r="A3471" t="str">
        <f t="shared" si="92"/>
        <v>89301000</v>
      </c>
      <c r="B3471" t="str">
        <f>"370217404"</f>
        <v>370217404</v>
      </c>
      <c r="C3471" s="1">
        <v>45261</v>
      </c>
      <c r="D3471" s="1">
        <v>45268</v>
      </c>
      <c r="E3471">
        <v>1</v>
      </c>
      <c r="F3471" t="str">
        <f>"11-K01-04"</f>
        <v>11-K01-04</v>
      </c>
      <c r="G3471">
        <v>0.57130000000000003</v>
      </c>
      <c r="H3471" t="s">
        <v>11</v>
      </c>
      <c r="I3471" t="s">
        <v>10</v>
      </c>
    </row>
    <row r="3472" spans="1:9" x14ac:dyDescent="0.25">
      <c r="A3472" t="str">
        <f t="shared" si="92"/>
        <v>89301000</v>
      </c>
      <c r="B3472" t="str">
        <f>"370306448"</f>
        <v>370306448</v>
      </c>
      <c r="C3472" s="1">
        <v>44928</v>
      </c>
      <c r="D3472" s="1">
        <v>44929</v>
      </c>
      <c r="E3472">
        <v>1</v>
      </c>
      <c r="F3472" t="str">
        <f>"05-M06-08"</f>
        <v>05-M06-08</v>
      </c>
      <c r="G3472">
        <v>1.4005000000000001</v>
      </c>
      <c r="H3472" t="s">
        <v>12</v>
      </c>
      <c r="I3472" t="s">
        <v>10</v>
      </c>
    </row>
    <row r="3473" spans="1:9" x14ac:dyDescent="0.25">
      <c r="A3473" t="str">
        <f t="shared" si="92"/>
        <v>89301000</v>
      </c>
      <c r="B3473" t="str">
        <f>"370319438"</f>
        <v>370319438</v>
      </c>
      <c r="C3473" s="1">
        <v>45252</v>
      </c>
      <c r="D3473" s="1">
        <v>45252</v>
      </c>
      <c r="E3473">
        <v>1</v>
      </c>
      <c r="F3473" t="str">
        <f>"05-M06-08"</f>
        <v>05-M06-08</v>
      </c>
      <c r="G3473">
        <v>1.1012</v>
      </c>
      <c r="H3473" t="s">
        <v>12</v>
      </c>
      <c r="I3473" t="s">
        <v>10</v>
      </c>
    </row>
    <row r="3474" spans="1:9" x14ac:dyDescent="0.25">
      <c r="A3474" t="str">
        <f t="shared" si="92"/>
        <v>89301000</v>
      </c>
      <c r="B3474" t="str">
        <f>"370322414"</f>
        <v>370322414</v>
      </c>
      <c r="C3474" s="1">
        <v>45026</v>
      </c>
      <c r="D3474" s="1">
        <v>45044</v>
      </c>
      <c r="E3474">
        <v>2</v>
      </c>
      <c r="F3474" t="str">
        <f>"08-K07-00"</f>
        <v>08-K07-00</v>
      </c>
      <c r="G3474">
        <v>1.1147</v>
      </c>
      <c r="H3474" t="s">
        <v>11</v>
      </c>
      <c r="I3474" t="s">
        <v>10</v>
      </c>
    </row>
    <row r="3475" spans="1:9" x14ac:dyDescent="0.25">
      <c r="A3475" t="str">
        <f t="shared" si="92"/>
        <v>89301000</v>
      </c>
      <c r="B3475" t="str">
        <f>"370403451"</f>
        <v>370403451</v>
      </c>
      <c r="C3475" s="1">
        <v>44959</v>
      </c>
      <c r="D3475" s="1">
        <v>44978</v>
      </c>
      <c r="E3475">
        <v>4</v>
      </c>
      <c r="F3475" t="str">
        <f>"08-I13-05"</f>
        <v>08-I13-05</v>
      </c>
      <c r="G3475">
        <v>2.343</v>
      </c>
      <c r="H3475" t="s">
        <v>12</v>
      </c>
      <c r="I3475" t="s">
        <v>10</v>
      </c>
    </row>
    <row r="3476" spans="1:9" x14ac:dyDescent="0.25">
      <c r="A3476" t="str">
        <f t="shared" si="92"/>
        <v>89301000</v>
      </c>
      <c r="B3476" t="str">
        <f>"370403451"</f>
        <v>370403451</v>
      </c>
      <c r="C3476" s="1">
        <v>45068</v>
      </c>
      <c r="D3476" s="1">
        <v>45077</v>
      </c>
      <c r="E3476">
        <v>4</v>
      </c>
      <c r="F3476" t="str">
        <f>"11-K02-03"</f>
        <v>11-K02-03</v>
      </c>
      <c r="G3476">
        <v>0.86360000000000003</v>
      </c>
      <c r="H3476" t="s">
        <v>11</v>
      </c>
      <c r="I3476" t="s">
        <v>10</v>
      </c>
    </row>
    <row r="3477" spans="1:9" x14ac:dyDescent="0.25">
      <c r="A3477" t="str">
        <f t="shared" si="92"/>
        <v>89301000</v>
      </c>
      <c r="B3477" t="str">
        <f>"370411425"</f>
        <v>370411425</v>
      </c>
      <c r="C3477" s="1">
        <v>45143</v>
      </c>
      <c r="D3477" s="1">
        <v>45155</v>
      </c>
      <c r="E3477">
        <v>8</v>
      </c>
      <c r="F3477" t="str">
        <f>"04-K02-03"</f>
        <v>04-K02-03</v>
      </c>
      <c r="G3477">
        <v>1.298</v>
      </c>
      <c r="H3477" t="s">
        <v>11</v>
      </c>
      <c r="I3477" t="s">
        <v>10</v>
      </c>
    </row>
    <row r="3478" spans="1:9" x14ac:dyDescent="0.25">
      <c r="A3478" t="str">
        <f t="shared" si="92"/>
        <v>89301000</v>
      </c>
      <c r="B3478" t="str">
        <f>"370411436"</f>
        <v>370411436</v>
      </c>
      <c r="C3478" s="1">
        <v>45116</v>
      </c>
      <c r="D3478" s="1">
        <v>45120</v>
      </c>
      <c r="E3478">
        <v>7</v>
      </c>
      <c r="F3478" t="str">
        <f>"18-K01-05"</f>
        <v>18-K01-05</v>
      </c>
      <c r="G3478">
        <v>1.8069999999999999</v>
      </c>
      <c r="H3478" t="s">
        <v>11</v>
      </c>
      <c r="I3478" t="s">
        <v>10</v>
      </c>
    </row>
    <row r="3479" spans="1:9" x14ac:dyDescent="0.25">
      <c r="A3479" t="str">
        <f t="shared" si="92"/>
        <v>89301000</v>
      </c>
      <c r="B3479" t="str">
        <f>"370428456"</f>
        <v>370428456</v>
      </c>
      <c r="C3479" s="1">
        <v>45089</v>
      </c>
      <c r="D3479" s="1">
        <v>45091</v>
      </c>
      <c r="E3479">
        <v>2</v>
      </c>
      <c r="F3479" t="str">
        <f>"09-I13-05"</f>
        <v>09-I13-05</v>
      </c>
      <c r="G3479">
        <v>0.42509999999999998</v>
      </c>
      <c r="H3479" t="s">
        <v>11</v>
      </c>
      <c r="I3479" t="s">
        <v>10</v>
      </c>
    </row>
    <row r="3480" spans="1:9" x14ac:dyDescent="0.25">
      <c r="A3480" t="str">
        <f t="shared" si="92"/>
        <v>89301000</v>
      </c>
      <c r="B3480" t="str">
        <f>"370518421"</f>
        <v>370518421</v>
      </c>
      <c r="C3480" s="1">
        <v>44996</v>
      </c>
      <c r="D3480" s="1">
        <v>44999</v>
      </c>
      <c r="E3480">
        <v>1</v>
      </c>
      <c r="F3480" t="str">
        <f>"06-K21-03"</f>
        <v>06-K21-03</v>
      </c>
      <c r="G3480">
        <v>0.38040000000000002</v>
      </c>
      <c r="H3480" t="s">
        <v>11</v>
      </c>
      <c r="I3480" t="s">
        <v>10</v>
      </c>
    </row>
    <row r="3481" spans="1:9" x14ac:dyDescent="0.25">
      <c r="A3481" t="str">
        <f t="shared" si="92"/>
        <v>89301000</v>
      </c>
      <c r="B3481" t="str">
        <f>"370626450"</f>
        <v>370626450</v>
      </c>
      <c r="C3481" s="1">
        <v>45004</v>
      </c>
      <c r="D3481" s="1">
        <v>45006</v>
      </c>
      <c r="E3481">
        <v>1</v>
      </c>
      <c r="F3481" t="str">
        <f>"05-I14-04"</f>
        <v>05-I14-04</v>
      </c>
      <c r="G3481">
        <v>5.2220000000000004</v>
      </c>
      <c r="H3481" t="s">
        <v>12</v>
      </c>
      <c r="I3481" t="s">
        <v>10</v>
      </c>
    </row>
    <row r="3482" spans="1:9" x14ac:dyDescent="0.25">
      <c r="A3482" t="str">
        <f t="shared" si="92"/>
        <v>89301000</v>
      </c>
      <c r="B3482" t="str">
        <f>"370715427"</f>
        <v>370715427</v>
      </c>
      <c r="C3482" s="1">
        <v>45040</v>
      </c>
      <c r="D3482" s="1">
        <v>45042</v>
      </c>
      <c r="E3482">
        <v>1</v>
      </c>
      <c r="F3482" t="str">
        <f>"05-I25-03"</f>
        <v>05-I25-03</v>
      </c>
      <c r="G3482">
        <v>1.633</v>
      </c>
      <c r="H3482" t="s">
        <v>12</v>
      </c>
      <c r="I3482" t="s">
        <v>10</v>
      </c>
    </row>
    <row r="3483" spans="1:9" x14ac:dyDescent="0.25">
      <c r="A3483" t="str">
        <f t="shared" si="92"/>
        <v>89301000</v>
      </c>
      <c r="B3483" t="str">
        <f>"370805447"</f>
        <v>370805447</v>
      </c>
      <c r="C3483" s="1">
        <v>44955</v>
      </c>
      <c r="D3483" s="1">
        <v>44957</v>
      </c>
      <c r="E3483">
        <v>4</v>
      </c>
      <c r="F3483" t="str">
        <f>"06-K21-02"</f>
        <v>06-K21-02</v>
      </c>
      <c r="G3483">
        <v>0.85919999999999996</v>
      </c>
      <c r="H3483" t="s">
        <v>11</v>
      </c>
      <c r="I3483" t="s">
        <v>10</v>
      </c>
    </row>
    <row r="3484" spans="1:9" x14ac:dyDescent="0.25">
      <c r="A3484" t="str">
        <f t="shared" si="92"/>
        <v>89301000</v>
      </c>
      <c r="B3484" t="str">
        <f>"370810453"</f>
        <v>370810453</v>
      </c>
      <c r="C3484" s="1">
        <v>45037</v>
      </c>
      <c r="D3484" s="1">
        <v>45043</v>
      </c>
      <c r="E3484">
        <v>1</v>
      </c>
      <c r="F3484" t="str">
        <f>"01-K12-01"</f>
        <v>01-K12-01</v>
      </c>
      <c r="G3484">
        <v>0.72709999999999997</v>
      </c>
      <c r="H3484" t="s">
        <v>11</v>
      </c>
      <c r="I3484" t="s">
        <v>10</v>
      </c>
    </row>
    <row r="3485" spans="1:9" x14ac:dyDescent="0.25">
      <c r="A3485" t="str">
        <f t="shared" si="92"/>
        <v>89301000</v>
      </c>
      <c r="B3485" t="str">
        <f>"370812441"</f>
        <v>370812441</v>
      </c>
      <c r="C3485" s="1">
        <v>44971</v>
      </c>
      <c r="D3485" s="1">
        <v>44998</v>
      </c>
      <c r="E3485">
        <v>7</v>
      </c>
      <c r="F3485" t="str">
        <f>"04-K02-02"</f>
        <v>04-K02-02</v>
      </c>
      <c r="G3485">
        <v>2.8616999999999999</v>
      </c>
      <c r="H3485" t="s">
        <v>11</v>
      </c>
      <c r="I3485" t="s">
        <v>10</v>
      </c>
    </row>
    <row r="3486" spans="1:9" x14ac:dyDescent="0.25">
      <c r="A3486" t="str">
        <f t="shared" si="92"/>
        <v>89301000</v>
      </c>
      <c r="B3486" t="str">
        <f>"370812441"</f>
        <v>370812441</v>
      </c>
      <c r="C3486" s="1">
        <v>44925</v>
      </c>
      <c r="D3486" s="1">
        <v>44949</v>
      </c>
      <c r="E3486">
        <v>1</v>
      </c>
      <c r="F3486" t="str">
        <f>"04-K02-03"</f>
        <v>04-K02-03</v>
      </c>
      <c r="G3486">
        <v>1.4850000000000001</v>
      </c>
      <c r="H3486" t="s">
        <v>11</v>
      </c>
      <c r="I3486" t="s">
        <v>10</v>
      </c>
    </row>
    <row r="3487" spans="1:9" x14ac:dyDescent="0.25">
      <c r="A3487" t="str">
        <f t="shared" si="92"/>
        <v>89301000</v>
      </c>
      <c r="B3487" t="str">
        <f>"370917452"</f>
        <v>370917452</v>
      </c>
      <c r="C3487" s="1">
        <v>44927</v>
      </c>
      <c r="D3487" s="1">
        <v>44946</v>
      </c>
      <c r="E3487">
        <v>1</v>
      </c>
      <c r="F3487" t="str">
        <f>"05-K06-01"</f>
        <v>05-K06-01</v>
      </c>
      <c r="G3487">
        <v>3.3330000000000002</v>
      </c>
      <c r="H3487" t="s">
        <v>11</v>
      </c>
      <c r="I3487" t="s">
        <v>10</v>
      </c>
    </row>
    <row r="3488" spans="1:9" x14ac:dyDescent="0.25">
      <c r="A3488" t="str">
        <f t="shared" si="92"/>
        <v>89301000</v>
      </c>
      <c r="B3488" t="str">
        <f>"370919956"</f>
        <v>370919956</v>
      </c>
      <c r="C3488" s="1">
        <v>45126</v>
      </c>
      <c r="D3488" s="1">
        <v>45129</v>
      </c>
      <c r="E3488">
        <v>1</v>
      </c>
      <c r="F3488" t="str">
        <f>"11-M06-03"</f>
        <v>11-M06-03</v>
      </c>
      <c r="G3488">
        <v>0.62939999999999996</v>
      </c>
      <c r="H3488" t="s">
        <v>12</v>
      </c>
      <c r="I3488" t="s">
        <v>10</v>
      </c>
    </row>
    <row r="3489" spans="1:9" x14ac:dyDescent="0.25">
      <c r="A3489" t="str">
        <f t="shared" si="92"/>
        <v>89301000</v>
      </c>
      <c r="B3489" t="str">
        <f>"370919956"</f>
        <v>370919956</v>
      </c>
      <c r="C3489" s="1">
        <v>45230</v>
      </c>
      <c r="D3489" s="1">
        <v>45232</v>
      </c>
      <c r="E3489">
        <v>1</v>
      </c>
      <c r="F3489" t="str">
        <f>"11-M06-03"</f>
        <v>11-M06-03</v>
      </c>
      <c r="G3489">
        <v>0.61150000000000004</v>
      </c>
      <c r="H3489" t="s">
        <v>12</v>
      </c>
      <c r="I3489" t="s">
        <v>10</v>
      </c>
    </row>
    <row r="3490" spans="1:9" x14ac:dyDescent="0.25">
      <c r="A3490" t="str">
        <f t="shared" si="92"/>
        <v>89301000</v>
      </c>
      <c r="B3490" t="str">
        <f>"370922436"</f>
        <v>370922436</v>
      </c>
      <c r="C3490" s="1">
        <v>45243</v>
      </c>
      <c r="D3490" s="1">
        <v>45254</v>
      </c>
      <c r="E3490">
        <v>1</v>
      </c>
      <c r="F3490" t="str">
        <f>"08-K08-00"</f>
        <v>08-K08-00</v>
      </c>
      <c r="G3490">
        <v>0.56279999999999997</v>
      </c>
      <c r="H3490" t="s">
        <v>11</v>
      </c>
      <c r="I3490" t="s">
        <v>10</v>
      </c>
    </row>
    <row r="3491" spans="1:9" x14ac:dyDescent="0.25">
      <c r="A3491" t="str">
        <f t="shared" si="92"/>
        <v>89301000</v>
      </c>
      <c r="B3491" t="str">
        <f>"371014448"</f>
        <v>371014448</v>
      </c>
      <c r="C3491" s="1">
        <v>45025</v>
      </c>
      <c r="D3491" s="1">
        <v>45029</v>
      </c>
      <c r="E3491">
        <v>1</v>
      </c>
      <c r="F3491" t="str">
        <f>"01-K12-01"</f>
        <v>01-K12-01</v>
      </c>
      <c r="G3491">
        <v>0.72709999999999997</v>
      </c>
      <c r="H3491" t="s">
        <v>11</v>
      </c>
      <c r="I3491" t="s">
        <v>10</v>
      </c>
    </row>
    <row r="3492" spans="1:9" x14ac:dyDescent="0.25">
      <c r="A3492" t="str">
        <f t="shared" si="92"/>
        <v>89301000</v>
      </c>
      <c r="B3492" t="str">
        <f>"371015418"</f>
        <v>371015418</v>
      </c>
      <c r="C3492" s="1">
        <v>45114</v>
      </c>
      <c r="D3492" s="1">
        <v>45121</v>
      </c>
      <c r="E3492">
        <v>1</v>
      </c>
      <c r="F3492" t="str">
        <f>"05-K12-02"</f>
        <v>05-K12-02</v>
      </c>
      <c r="G3492">
        <v>0.48820000000000002</v>
      </c>
      <c r="H3492" t="s">
        <v>11</v>
      </c>
      <c r="I3492" t="s">
        <v>10</v>
      </c>
    </row>
    <row r="3493" spans="1:9" x14ac:dyDescent="0.25">
      <c r="A3493" t="str">
        <f t="shared" si="92"/>
        <v>89301000</v>
      </c>
      <c r="B3493" t="str">
        <f>"371024434"</f>
        <v>371024434</v>
      </c>
      <c r="C3493" s="1">
        <v>45020</v>
      </c>
      <c r="D3493" s="1">
        <v>45021</v>
      </c>
      <c r="E3493">
        <v>1</v>
      </c>
      <c r="F3493" t="str">
        <f>"05-M06-08"</f>
        <v>05-M06-08</v>
      </c>
      <c r="G3493">
        <v>1.4228000000000001</v>
      </c>
      <c r="H3493" t="s">
        <v>12</v>
      </c>
      <c r="I3493" t="s">
        <v>10</v>
      </c>
    </row>
    <row r="3494" spans="1:9" x14ac:dyDescent="0.25">
      <c r="A3494" t="str">
        <f t="shared" si="92"/>
        <v>89301000</v>
      </c>
      <c r="B3494" t="str">
        <f>"371028402"</f>
        <v>371028402</v>
      </c>
      <c r="C3494" s="1">
        <v>45089</v>
      </c>
      <c r="D3494" s="1">
        <v>45092</v>
      </c>
      <c r="E3494">
        <v>1</v>
      </c>
      <c r="F3494" t="str">
        <f>"06-K14-02"</f>
        <v>06-K14-02</v>
      </c>
      <c r="G3494">
        <v>0.61380000000000001</v>
      </c>
      <c r="H3494" t="s">
        <v>11</v>
      </c>
      <c r="I3494" t="s">
        <v>10</v>
      </c>
    </row>
    <row r="3495" spans="1:9" x14ac:dyDescent="0.25">
      <c r="A3495" t="str">
        <f t="shared" si="92"/>
        <v>89301000</v>
      </c>
      <c r="B3495" t="str">
        <f>"371028402"</f>
        <v>371028402</v>
      </c>
      <c r="C3495" s="1">
        <v>45157</v>
      </c>
      <c r="D3495" s="1">
        <v>45159</v>
      </c>
      <c r="E3495">
        <v>1</v>
      </c>
      <c r="F3495" t="str">
        <f>"16-K02-02"</f>
        <v>16-K02-02</v>
      </c>
      <c r="G3495">
        <v>0.76349999999999996</v>
      </c>
      <c r="H3495" t="s">
        <v>11</v>
      </c>
      <c r="I3495" t="s">
        <v>10</v>
      </c>
    </row>
    <row r="3496" spans="1:9" x14ac:dyDescent="0.25">
      <c r="A3496" t="str">
        <f t="shared" si="92"/>
        <v>89301000</v>
      </c>
      <c r="B3496" t="str">
        <f>"371028402"</f>
        <v>371028402</v>
      </c>
      <c r="C3496" s="1">
        <v>45171</v>
      </c>
      <c r="D3496" s="1">
        <v>45180</v>
      </c>
      <c r="E3496">
        <v>4</v>
      </c>
      <c r="F3496" t="str">
        <f>"11-K01-02"</f>
        <v>11-K01-02</v>
      </c>
      <c r="G3496">
        <v>0.86480000000000001</v>
      </c>
      <c r="H3496" t="s">
        <v>11</v>
      </c>
      <c r="I3496" t="s">
        <v>10</v>
      </c>
    </row>
    <row r="3497" spans="1:9" x14ac:dyDescent="0.25">
      <c r="A3497" t="str">
        <f t="shared" si="92"/>
        <v>89301000</v>
      </c>
      <c r="B3497" t="str">
        <f>"371116417"</f>
        <v>371116417</v>
      </c>
      <c r="C3497" s="1">
        <v>45224</v>
      </c>
      <c r="D3497" s="1">
        <v>45225</v>
      </c>
      <c r="E3497">
        <v>1</v>
      </c>
      <c r="F3497" t="str">
        <f>"05-D01-08"</f>
        <v>05-D01-08</v>
      </c>
      <c r="G3497">
        <v>0.43159999999999998</v>
      </c>
      <c r="H3497" t="s">
        <v>11</v>
      </c>
      <c r="I3497" t="s">
        <v>10</v>
      </c>
    </row>
    <row r="3498" spans="1:9" x14ac:dyDescent="0.25">
      <c r="A3498" t="str">
        <f t="shared" si="92"/>
        <v>89301000</v>
      </c>
      <c r="B3498" t="str">
        <f>"371125458"</f>
        <v>371125458</v>
      </c>
      <c r="C3498" s="1">
        <v>45030</v>
      </c>
      <c r="D3498" s="1">
        <v>45031</v>
      </c>
      <c r="E3498">
        <v>1</v>
      </c>
      <c r="F3498" t="str">
        <f>"05-I25-04"</f>
        <v>05-I25-04</v>
      </c>
      <c r="G3498">
        <v>1.2108000000000001</v>
      </c>
      <c r="H3498" t="s">
        <v>12</v>
      </c>
      <c r="I3498" t="s">
        <v>10</v>
      </c>
    </row>
    <row r="3499" spans="1:9" x14ac:dyDescent="0.25">
      <c r="A3499" t="str">
        <f t="shared" si="92"/>
        <v>89301000</v>
      </c>
      <c r="B3499" t="str">
        <f>"371208026"</f>
        <v>371208026</v>
      </c>
      <c r="C3499" s="1">
        <v>45113</v>
      </c>
      <c r="D3499" s="1">
        <v>45114</v>
      </c>
      <c r="E3499">
        <v>5</v>
      </c>
      <c r="F3499" t="str">
        <f>"01-I06-05"</f>
        <v>01-I06-05</v>
      </c>
      <c r="G3499">
        <v>1.8596999999999999</v>
      </c>
      <c r="H3499" t="s">
        <v>12</v>
      </c>
      <c r="I3499" t="s">
        <v>10</v>
      </c>
    </row>
    <row r="3500" spans="1:9" x14ac:dyDescent="0.25">
      <c r="A3500" t="str">
        <f t="shared" si="92"/>
        <v>89301000</v>
      </c>
      <c r="B3500" t="str">
        <f>"375106433"</f>
        <v>375106433</v>
      </c>
      <c r="C3500" s="1">
        <v>45086</v>
      </c>
      <c r="D3500" s="1">
        <v>45090</v>
      </c>
      <c r="E3500">
        <v>1</v>
      </c>
      <c r="F3500" t="str">
        <f>"02-I08-02"</f>
        <v>02-I08-02</v>
      </c>
      <c r="G3500">
        <v>0.60729999999999995</v>
      </c>
      <c r="H3500" t="s">
        <v>12</v>
      </c>
      <c r="I3500" t="s">
        <v>10</v>
      </c>
    </row>
    <row r="3501" spans="1:9" x14ac:dyDescent="0.25">
      <c r="A3501" t="str">
        <f t="shared" ref="A3501:A3564" si="93">"89301000"</f>
        <v>89301000</v>
      </c>
      <c r="B3501" t="str">
        <f>"375106433"</f>
        <v>375106433</v>
      </c>
      <c r="C3501" s="1">
        <v>44957</v>
      </c>
      <c r="D3501" s="1">
        <v>44963</v>
      </c>
      <c r="E3501">
        <v>4</v>
      </c>
      <c r="F3501" t="str">
        <f>"08-K13-02"</f>
        <v>08-K13-02</v>
      </c>
      <c r="G3501">
        <v>0.43059999999999998</v>
      </c>
      <c r="H3501" t="s">
        <v>11</v>
      </c>
      <c r="I3501" t="s">
        <v>10</v>
      </c>
    </row>
    <row r="3502" spans="1:9" x14ac:dyDescent="0.25">
      <c r="A3502" t="str">
        <f t="shared" si="93"/>
        <v>89301000</v>
      </c>
      <c r="B3502" t="str">
        <f>"375107449"</f>
        <v>375107449</v>
      </c>
      <c r="C3502" s="1">
        <v>45187</v>
      </c>
      <c r="D3502" s="1">
        <v>45194</v>
      </c>
      <c r="E3502">
        <v>1</v>
      </c>
      <c r="F3502" t="str">
        <f>"05-K14-02"</f>
        <v>05-K14-02</v>
      </c>
      <c r="G3502">
        <v>0.92110000000000003</v>
      </c>
      <c r="H3502" t="s">
        <v>11</v>
      </c>
      <c r="I3502" t="s">
        <v>10</v>
      </c>
    </row>
    <row r="3503" spans="1:9" x14ac:dyDescent="0.25">
      <c r="A3503" t="str">
        <f t="shared" si="93"/>
        <v>89301000</v>
      </c>
      <c r="B3503" t="str">
        <f>"375122050"</f>
        <v>375122050</v>
      </c>
      <c r="C3503" s="1">
        <v>44976</v>
      </c>
      <c r="D3503" s="1">
        <v>44987</v>
      </c>
      <c r="E3503">
        <v>1</v>
      </c>
      <c r="F3503" t="str">
        <f>"18-I01-02"</f>
        <v>18-I01-02</v>
      </c>
      <c r="G3503">
        <v>3.2707000000000002</v>
      </c>
      <c r="H3503" t="s">
        <v>11</v>
      </c>
      <c r="I3503" t="s">
        <v>10</v>
      </c>
    </row>
    <row r="3504" spans="1:9" x14ac:dyDescent="0.25">
      <c r="A3504" t="str">
        <f t="shared" si="93"/>
        <v>89301000</v>
      </c>
      <c r="B3504" t="str">
        <f>"375127426"</f>
        <v>375127426</v>
      </c>
      <c r="C3504" s="1">
        <v>45249</v>
      </c>
      <c r="D3504" s="1">
        <v>45253</v>
      </c>
      <c r="E3504">
        <v>4</v>
      </c>
      <c r="F3504" t="str">
        <f>"08-I13-05"</f>
        <v>08-I13-05</v>
      </c>
      <c r="G3504">
        <v>2.343</v>
      </c>
      <c r="H3504" t="s">
        <v>12</v>
      </c>
      <c r="I3504" t="s">
        <v>10</v>
      </c>
    </row>
    <row r="3505" spans="1:9" x14ac:dyDescent="0.25">
      <c r="A3505" t="str">
        <f t="shared" si="93"/>
        <v>89301000</v>
      </c>
      <c r="B3505" t="str">
        <f>"375203430"</f>
        <v>375203430</v>
      </c>
      <c r="C3505" s="1">
        <v>45000</v>
      </c>
      <c r="D3505" s="1">
        <v>45030</v>
      </c>
      <c r="E3505">
        <v>1</v>
      </c>
      <c r="F3505" t="str">
        <f>"06-K04-03"</f>
        <v>06-K04-03</v>
      </c>
      <c r="G3505">
        <v>1.6966000000000001</v>
      </c>
      <c r="H3505" t="s">
        <v>11</v>
      </c>
      <c r="I3505" t="s">
        <v>10</v>
      </c>
    </row>
    <row r="3506" spans="1:9" x14ac:dyDescent="0.25">
      <c r="A3506" t="str">
        <f t="shared" si="93"/>
        <v>89301000</v>
      </c>
      <c r="B3506" t="str">
        <f>"375204431"</f>
        <v>375204431</v>
      </c>
      <c r="C3506" s="1">
        <v>45133</v>
      </c>
      <c r="D3506" s="1">
        <v>45139</v>
      </c>
      <c r="E3506">
        <v>4</v>
      </c>
      <c r="F3506" t="str">
        <f>"08-I05-06"</f>
        <v>08-I05-06</v>
      </c>
      <c r="G3506">
        <v>2.0308000000000002</v>
      </c>
      <c r="H3506" t="s">
        <v>12</v>
      </c>
      <c r="I3506" t="s">
        <v>10</v>
      </c>
    </row>
    <row r="3507" spans="1:9" x14ac:dyDescent="0.25">
      <c r="A3507" t="str">
        <f t="shared" si="93"/>
        <v>89301000</v>
      </c>
      <c r="B3507" t="str">
        <f>"375213073"</f>
        <v>375213073</v>
      </c>
      <c r="C3507" s="1">
        <v>45260</v>
      </c>
      <c r="D3507" s="1">
        <v>45261</v>
      </c>
      <c r="E3507">
        <v>1</v>
      </c>
      <c r="F3507" t="str">
        <f>"02-I06-03"</f>
        <v>02-I06-03</v>
      </c>
      <c r="G3507">
        <v>0.99260000000000004</v>
      </c>
      <c r="H3507" t="s">
        <v>12</v>
      </c>
      <c r="I3507" t="s">
        <v>10</v>
      </c>
    </row>
    <row r="3508" spans="1:9" x14ac:dyDescent="0.25">
      <c r="A3508" t="str">
        <f t="shared" si="93"/>
        <v>89301000</v>
      </c>
      <c r="B3508" t="str">
        <f>"375322446"</f>
        <v>375322446</v>
      </c>
      <c r="C3508" s="1">
        <v>45051</v>
      </c>
      <c r="D3508" s="1">
        <v>45082</v>
      </c>
      <c r="E3508">
        <v>1</v>
      </c>
      <c r="F3508" t="str">
        <f>"08-I05-07"</f>
        <v>08-I05-07</v>
      </c>
      <c r="G3508">
        <v>2.8264</v>
      </c>
      <c r="H3508" t="s">
        <v>12</v>
      </c>
      <c r="I3508" t="s">
        <v>10</v>
      </c>
    </row>
    <row r="3509" spans="1:9" x14ac:dyDescent="0.25">
      <c r="A3509" t="str">
        <f t="shared" si="93"/>
        <v>89301000</v>
      </c>
      <c r="B3509" t="str">
        <f>"375408432"</f>
        <v>375408432</v>
      </c>
      <c r="C3509" s="1">
        <v>45062</v>
      </c>
      <c r="D3509" s="1">
        <v>45062</v>
      </c>
      <c r="E3509">
        <v>7</v>
      </c>
      <c r="F3509" t="str">
        <f>"05-D01-04"</f>
        <v>05-D01-04</v>
      </c>
      <c r="G3509">
        <v>0.72460000000000002</v>
      </c>
      <c r="H3509" t="s">
        <v>11</v>
      </c>
      <c r="I3509" t="s">
        <v>10</v>
      </c>
    </row>
    <row r="3510" spans="1:9" x14ac:dyDescent="0.25">
      <c r="A3510" t="str">
        <f t="shared" si="93"/>
        <v>89301000</v>
      </c>
      <c r="B3510" t="str">
        <f>"375427454"</f>
        <v>375427454</v>
      </c>
      <c r="C3510" s="1">
        <v>44987</v>
      </c>
      <c r="D3510" s="1">
        <v>44991</v>
      </c>
      <c r="E3510">
        <v>4</v>
      </c>
      <c r="F3510" t="str">
        <f>"05-K07-04"</f>
        <v>05-K07-04</v>
      </c>
      <c r="G3510">
        <v>1.0598000000000001</v>
      </c>
      <c r="H3510" t="s">
        <v>11</v>
      </c>
      <c r="I3510" t="s">
        <v>10</v>
      </c>
    </row>
    <row r="3511" spans="1:9" x14ac:dyDescent="0.25">
      <c r="A3511" t="str">
        <f t="shared" si="93"/>
        <v>89301000</v>
      </c>
      <c r="B3511" t="str">
        <f>"375427454"</f>
        <v>375427454</v>
      </c>
      <c r="C3511" s="1">
        <v>45168</v>
      </c>
      <c r="D3511" s="1">
        <v>45170</v>
      </c>
      <c r="E3511">
        <v>4</v>
      </c>
      <c r="F3511" t="str">
        <f>"05-K07-05"</f>
        <v>05-K07-05</v>
      </c>
      <c r="G3511">
        <v>0.75139999999999996</v>
      </c>
      <c r="H3511" t="s">
        <v>11</v>
      </c>
      <c r="I3511" t="s">
        <v>10</v>
      </c>
    </row>
    <row r="3512" spans="1:9" x14ac:dyDescent="0.25">
      <c r="A3512" t="str">
        <f t="shared" si="93"/>
        <v>89301000</v>
      </c>
      <c r="B3512" t="str">
        <f>"375509460"</f>
        <v>375509460</v>
      </c>
      <c r="C3512" s="1">
        <v>45121</v>
      </c>
      <c r="D3512" s="1">
        <v>45127</v>
      </c>
      <c r="E3512">
        <v>5</v>
      </c>
      <c r="F3512" t="str">
        <f>"01-K10-02"</f>
        <v>01-K10-02</v>
      </c>
      <c r="G3512">
        <v>1.7815000000000001</v>
      </c>
      <c r="H3512" t="s">
        <v>11</v>
      </c>
      <c r="I3512" t="s">
        <v>10</v>
      </c>
    </row>
    <row r="3513" spans="1:9" x14ac:dyDescent="0.25">
      <c r="A3513" t="str">
        <f t="shared" si="93"/>
        <v>89301000</v>
      </c>
      <c r="B3513" t="str">
        <f>"375517449"</f>
        <v>375517449</v>
      </c>
      <c r="C3513" s="1">
        <v>45187</v>
      </c>
      <c r="D3513" s="1">
        <v>45194</v>
      </c>
      <c r="E3513">
        <v>1</v>
      </c>
      <c r="F3513" t="str">
        <f>"05-M06-08"</f>
        <v>05-M06-08</v>
      </c>
      <c r="G3513">
        <v>2.2488000000000001</v>
      </c>
      <c r="H3513" t="s">
        <v>12</v>
      </c>
      <c r="I3513" t="s">
        <v>10</v>
      </c>
    </row>
    <row r="3514" spans="1:9" x14ac:dyDescent="0.25">
      <c r="A3514" t="str">
        <f t="shared" si="93"/>
        <v>89301000</v>
      </c>
      <c r="B3514" t="str">
        <f>"375521433"</f>
        <v>375521433</v>
      </c>
      <c r="C3514" s="1">
        <v>45160</v>
      </c>
      <c r="D3514" s="1">
        <v>45175</v>
      </c>
      <c r="E3514">
        <v>4</v>
      </c>
      <c r="F3514" t="str">
        <f>"01-K04-02"</f>
        <v>01-K04-02</v>
      </c>
      <c r="G3514">
        <v>0.79990000000000006</v>
      </c>
      <c r="H3514" t="s">
        <v>11</v>
      </c>
      <c r="I3514" t="s">
        <v>10</v>
      </c>
    </row>
    <row r="3515" spans="1:9" x14ac:dyDescent="0.25">
      <c r="A3515" t="str">
        <f t="shared" si="93"/>
        <v>89301000</v>
      </c>
      <c r="B3515" t="str">
        <f>"375526417"</f>
        <v>375526417</v>
      </c>
      <c r="C3515" s="1">
        <v>45265</v>
      </c>
      <c r="D3515" s="1">
        <v>45267</v>
      </c>
      <c r="E3515">
        <v>1</v>
      </c>
      <c r="F3515" t="str">
        <f>"09-K13-02"</f>
        <v>09-K13-02</v>
      </c>
      <c r="G3515">
        <v>0.31190000000000001</v>
      </c>
      <c r="H3515" t="s">
        <v>11</v>
      </c>
      <c r="I3515" t="s">
        <v>10</v>
      </c>
    </row>
    <row r="3516" spans="1:9" x14ac:dyDescent="0.25">
      <c r="A3516" t="str">
        <f t="shared" si="93"/>
        <v>89301000</v>
      </c>
      <c r="B3516" t="str">
        <f>"375705069"</f>
        <v>375705069</v>
      </c>
      <c r="C3516" s="1">
        <v>44947</v>
      </c>
      <c r="D3516" s="1">
        <v>44953</v>
      </c>
      <c r="E3516">
        <v>1</v>
      </c>
      <c r="F3516" t="str">
        <f>"09-K01-03"</f>
        <v>09-K01-03</v>
      </c>
      <c r="G3516">
        <v>0.85919999999999996</v>
      </c>
      <c r="H3516" t="s">
        <v>11</v>
      </c>
      <c r="I3516" t="s">
        <v>10</v>
      </c>
    </row>
    <row r="3517" spans="1:9" x14ac:dyDescent="0.25">
      <c r="A3517" t="str">
        <f t="shared" si="93"/>
        <v>89301000</v>
      </c>
      <c r="B3517" t="str">
        <f>"375705457"</f>
        <v>375705457</v>
      </c>
      <c r="C3517" s="1">
        <v>44928</v>
      </c>
      <c r="D3517" s="1">
        <v>44932</v>
      </c>
      <c r="E3517">
        <v>1</v>
      </c>
      <c r="F3517" t="str">
        <f>"05-D01-01"</f>
        <v>05-D01-01</v>
      </c>
      <c r="G3517">
        <v>2.3754</v>
      </c>
      <c r="H3517" t="s">
        <v>11</v>
      </c>
      <c r="I3517" t="s">
        <v>10</v>
      </c>
    </row>
    <row r="3518" spans="1:9" x14ac:dyDescent="0.25">
      <c r="A3518" t="str">
        <f t="shared" si="93"/>
        <v>89301000</v>
      </c>
      <c r="B3518" t="str">
        <f>"375705457"</f>
        <v>375705457</v>
      </c>
      <c r="C3518" s="1">
        <v>44974</v>
      </c>
      <c r="D3518" s="1">
        <v>44975</v>
      </c>
      <c r="E3518">
        <v>1</v>
      </c>
      <c r="F3518" t="str">
        <f>"05-I25-03"</f>
        <v>05-I25-03</v>
      </c>
      <c r="G3518">
        <v>1.633</v>
      </c>
      <c r="H3518" t="s">
        <v>12</v>
      </c>
      <c r="I3518" t="s">
        <v>10</v>
      </c>
    </row>
    <row r="3519" spans="1:9" x14ac:dyDescent="0.25">
      <c r="A3519" t="str">
        <f t="shared" si="93"/>
        <v>89301000</v>
      </c>
      <c r="B3519" t="str">
        <f>"375824434"</f>
        <v>375824434</v>
      </c>
      <c r="C3519" s="1">
        <v>45088</v>
      </c>
      <c r="D3519" s="1">
        <v>45099</v>
      </c>
      <c r="E3519">
        <v>1</v>
      </c>
      <c r="F3519" t="str">
        <f>"04-K13-01"</f>
        <v>04-K13-01</v>
      </c>
      <c r="G3519">
        <v>0.76970000000000005</v>
      </c>
      <c r="H3519" t="s">
        <v>11</v>
      </c>
      <c r="I3519" t="s">
        <v>10</v>
      </c>
    </row>
    <row r="3520" spans="1:9" x14ac:dyDescent="0.25">
      <c r="A3520" t="str">
        <f t="shared" si="93"/>
        <v>89301000</v>
      </c>
      <c r="B3520" t="str">
        <f>"375901461"</f>
        <v>375901461</v>
      </c>
      <c r="C3520" s="1">
        <v>44942</v>
      </c>
      <c r="D3520" s="1">
        <v>44944</v>
      </c>
      <c r="E3520">
        <v>1</v>
      </c>
      <c r="F3520" t="str">
        <f>"05-D01-08"</f>
        <v>05-D01-08</v>
      </c>
      <c r="G3520">
        <v>0.43159999999999998</v>
      </c>
      <c r="H3520" t="s">
        <v>11</v>
      </c>
      <c r="I3520" t="s">
        <v>10</v>
      </c>
    </row>
    <row r="3521" spans="1:9" x14ac:dyDescent="0.25">
      <c r="A3521" t="str">
        <f t="shared" si="93"/>
        <v>89301000</v>
      </c>
      <c r="B3521" t="str">
        <f>"375901461"</f>
        <v>375901461</v>
      </c>
      <c r="C3521" s="1">
        <v>45007</v>
      </c>
      <c r="D3521" s="1">
        <v>45009</v>
      </c>
      <c r="E3521">
        <v>7</v>
      </c>
      <c r="F3521" t="str">
        <f>"05-M01-03"</f>
        <v>05-M01-03</v>
      </c>
      <c r="G3521">
        <v>11.4411</v>
      </c>
      <c r="H3521" t="s">
        <v>12</v>
      </c>
      <c r="I3521" t="s">
        <v>10</v>
      </c>
    </row>
    <row r="3522" spans="1:9" x14ac:dyDescent="0.25">
      <c r="A3522" t="str">
        <f t="shared" si="93"/>
        <v>89301000</v>
      </c>
      <c r="B3522" t="str">
        <f>"376010040"</f>
        <v>376010040</v>
      </c>
      <c r="C3522" s="1">
        <v>45194</v>
      </c>
      <c r="D3522" s="1">
        <v>45202</v>
      </c>
      <c r="E3522">
        <v>4</v>
      </c>
      <c r="F3522" t="str">
        <f>"08-I17-01"</f>
        <v>08-I17-01</v>
      </c>
      <c r="G3522">
        <v>1.6462000000000001</v>
      </c>
      <c r="H3522" t="s">
        <v>11</v>
      </c>
      <c r="I3522" t="s">
        <v>10</v>
      </c>
    </row>
    <row r="3523" spans="1:9" x14ac:dyDescent="0.25">
      <c r="A3523" t="str">
        <f t="shared" si="93"/>
        <v>89301000</v>
      </c>
      <c r="B3523" t="str">
        <f>"376023441"</f>
        <v>376023441</v>
      </c>
      <c r="C3523" s="1">
        <v>45208</v>
      </c>
      <c r="D3523" s="1">
        <v>45225</v>
      </c>
      <c r="E3523">
        <v>4</v>
      </c>
      <c r="F3523" t="str">
        <f>"11-K01-01"</f>
        <v>11-K01-01</v>
      </c>
      <c r="G3523">
        <v>1.377</v>
      </c>
      <c r="H3523" t="s">
        <v>11</v>
      </c>
      <c r="I3523" t="s">
        <v>10</v>
      </c>
    </row>
    <row r="3524" spans="1:9" x14ac:dyDescent="0.25">
      <c r="A3524" t="str">
        <f t="shared" si="93"/>
        <v>89301000</v>
      </c>
      <c r="B3524" t="str">
        <f>"376103018"</f>
        <v>376103018</v>
      </c>
      <c r="C3524" s="1">
        <v>45137</v>
      </c>
      <c r="D3524" s="1">
        <v>45141</v>
      </c>
      <c r="E3524">
        <v>1</v>
      </c>
      <c r="F3524" t="str">
        <f>"02-I02-01"</f>
        <v>02-I02-01</v>
      </c>
      <c r="G3524">
        <v>1.2369000000000001</v>
      </c>
      <c r="H3524" t="s">
        <v>12</v>
      </c>
      <c r="I3524" t="s">
        <v>10</v>
      </c>
    </row>
    <row r="3525" spans="1:9" x14ac:dyDescent="0.25">
      <c r="A3525" t="str">
        <f t="shared" si="93"/>
        <v>89301000</v>
      </c>
      <c r="B3525" t="str">
        <f>"376108051"</f>
        <v>376108051</v>
      </c>
      <c r="C3525" s="1">
        <v>45147</v>
      </c>
      <c r="D3525" s="1">
        <v>45155</v>
      </c>
      <c r="E3525">
        <v>1</v>
      </c>
      <c r="F3525" t="str">
        <f>"06-M01-03"</f>
        <v>06-M01-03</v>
      </c>
      <c r="G3525">
        <v>0.82350000000000001</v>
      </c>
      <c r="H3525" t="s">
        <v>11</v>
      </c>
      <c r="I3525" t="s">
        <v>10</v>
      </c>
    </row>
    <row r="3526" spans="1:9" x14ac:dyDescent="0.25">
      <c r="A3526" t="str">
        <f t="shared" si="93"/>
        <v>89301000</v>
      </c>
      <c r="B3526" t="str">
        <f>"376108051"</f>
        <v>376108051</v>
      </c>
      <c r="C3526" s="1">
        <v>45107</v>
      </c>
      <c r="D3526" s="1">
        <v>45110</v>
      </c>
      <c r="E3526">
        <v>1</v>
      </c>
      <c r="F3526" t="str">
        <f>"05-M06-08"</f>
        <v>05-M06-08</v>
      </c>
      <c r="G3526">
        <v>1.4228000000000001</v>
      </c>
      <c r="H3526" t="s">
        <v>12</v>
      </c>
      <c r="I3526" t="s">
        <v>10</v>
      </c>
    </row>
    <row r="3527" spans="1:9" x14ac:dyDescent="0.25">
      <c r="A3527" t="str">
        <f t="shared" si="93"/>
        <v>89301000</v>
      </c>
      <c r="B3527" t="str">
        <f>"376108051"</f>
        <v>376108051</v>
      </c>
      <c r="C3527" s="1">
        <v>45259</v>
      </c>
      <c r="D3527" s="1">
        <v>45262</v>
      </c>
      <c r="E3527">
        <v>1</v>
      </c>
      <c r="F3527" t="str">
        <f>"05-K14-02"</f>
        <v>05-K14-02</v>
      </c>
      <c r="G3527">
        <v>0.9103</v>
      </c>
      <c r="H3527" t="s">
        <v>11</v>
      </c>
      <c r="I3527" t="s">
        <v>10</v>
      </c>
    </row>
    <row r="3528" spans="1:9" x14ac:dyDescent="0.25">
      <c r="A3528" t="str">
        <f t="shared" si="93"/>
        <v>89301000</v>
      </c>
      <c r="B3528" t="str">
        <f>"376220409"</f>
        <v>376220409</v>
      </c>
      <c r="C3528" s="1">
        <v>44937</v>
      </c>
      <c r="D3528" s="1">
        <v>44938</v>
      </c>
      <c r="E3528">
        <v>1</v>
      </c>
      <c r="F3528" t="str">
        <f>"05-D01-08"</f>
        <v>05-D01-08</v>
      </c>
      <c r="G3528">
        <v>0.43159999999999998</v>
      </c>
      <c r="H3528" t="s">
        <v>11</v>
      </c>
      <c r="I3528" t="s">
        <v>10</v>
      </c>
    </row>
    <row r="3529" spans="1:9" x14ac:dyDescent="0.25">
      <c r="A3529" t="str">
        <f t="shared" si="93"/>
        <v>89301000</v>
      </c>
      <c r="B3529" t="str">
        <f>"376221731"</f>
        <v>376221731</v>
      </c>
      <c r="C3529" s="1">
        <v>45202</v>
      </c>
      <c r="D3529" s="1">
        <v>45203</v>
      </c>
      <c r="E3529">
        <v>1</v>
      </c>
      <c r="F3529" t="str">
        <f>"05-D01-08"</f>
        <v>05-D01-08</v>
      </c>
      <c r="G3529">
        <v>0.43159999999999998</v>
      </c>
      <c r="H3529" t="s">
        <v>11</v>
      </c>
      <c r="I3529" t="s">
        <v>10</v>
      </c>
    </row>
    <row r="3530" spans="1:9" x14ac:dyDescent="0.25">
      <c r="A3530" t="str">
        <f t="shared" si="93"/>
        <v>89301000</v>
      </c>
      <c r="B3530" t="str">
        <f>"376224785"</f>
        <v>376224785</v>
      </c>
      <c r="C3530" s="1">
        <v>45146</v>
      </c>
      <c r="D3530" s="1">
        <v>45181</v>
      </c>
      <c r="E3530">
        <v>4</v>
      </c>
      <c r="F3530" t="str">
        <f>"06-K20-03"</f>
        <v>06-K20-03</v>
      </c>
      <c r="G3530">
        <v>2.1017000000000001</v>
      </c>
      <c r="H3530" t="s">
        <v>11</v>
      </c>
      <c r="I3530" t="s">
        <v>10</v>
      </c>
    </row>
    <row r="3531" spans="1:9" x14ac:dyDescent="0.25">
      <c r="A3531" t="str">
        <f t="shared" si="93"/>
        <v>89301000</v>
      </c>
      <c r="B3531" t="str">
        <f>"376225447"</f>
        <v>376225447</v>
      </c>
      <c r="C3531" s="1">
        <v>44931</v>
      </c>
      <c r="D3531" s="1">
        <v>44932</v>
      </c>
      <c r="E3531">
        <v>1</v>
      </c>
      <c r="F3531" t="str">
        <f>"05-D01-08"</f>
        <v>05-D01-08</v>
      </c>
      <c r="G3531">
        <v>0.43159999999999998</v>
      </c>
      <c r="H3531" t="s">
        <v>11</v>
      </c>
      <c r="I3531" t="s">
        <v>10</v>
      </c>
    </row>
    <row r="3532" spans="1:9" x14ac:dyDescent="0.25">
      <c r="A3532" t="str">
        <f t="shared" si="93"/>
        <v>89301000</v>
      </c>
      <c r="B3532" t="str">
        <f>"376226451"</f>
        <v>376226451</v>
      </c>
      <c r="C3532" s="1">
        <v>44993</v>
      </c>
      <c r="D3532" s="1">
        <v>44998</v>
      </c>
      <c r="E3532">
        <v>5</v>
      </c>
      <c r="F3532" t="str">
        <f>"05-M01-03"</f>
        <v>05-M01-03</v>
      </c>
      <c r="G3532">
        <v>11.4411</v>
      </c>
      <c r="H3532" t="s">
        <v>12</v>
      </c>
      <c r="I3532" t="s">
        <v>10</v>
      </c>
    </row>
    <row r="3533" spans="1:9" x14ac:dyDescent="0.25">
      <c r="A3533" t="str">
        <f t="shared" si="93"/>
        <v>89301000</v>
      </c>
      <c r="B3533" t="str">
        <f>"376226452"</f>
        <v>376226452</v>
      </c>
      <c r="C3533" s="1">
        <v>45187</v>
      </c>
      <c r="D3533" s="1">
        <v>45209</v>
      </c>
      <c r="E3533">
        <v>4</v>
      </c>
      <c r="F3533" t="str">
        <f>"08-I21-01"</f>
        <v>08-I21-01</v>
      </c>
      <c r="G3533">
        <v>2.3639999999999999</v>
      </c>
      <c r="H3533" t="s">
        <v>12</v>
      </c>
      <c r="I3533" t="s">
        <v>10</v>
      </c>
    </row>
    <row r="3534" spans="1:9" x14ac:dyDescent="0.25">
      <c r="A3534" t="str">
        <f t="shared" si="93"/>
        <v>89301000</v>
      </c>
      <c r="B3534" t="str">
        <f>"380119425"</f>
        <v>380119425</v>
      </c>
      <c r="C3534" s="1">
        <v>44966</v>
      </c>
      <c r="D3534" s="1">
        <v>44970</v>
      </c>
      <c r="E3534">
        <v>1</v>
      </c>
      <c r="F3534" t="str">
        <f>"11-K14-02"</f>
        <v>11-K14-02</v>
      </c>
      <c r="G3534">
        <v>0.48649999999999999</v>
      </c>
      <c r="H3534" t="s">
        <v>11</v>
      </c>
      <c r="I3534" t="s">
        <v>10</v>
      </c>
    </row>
    <row r="3535" spans="1:9" x14ac:dyDescent="0.25">
      <c r="A3535" t="str">
        <f t="shared" si="93"/>
        <v>89301000</v>
      </c>
      <c r="B3535" t="str">
        <f>"380129453"</f>
        <v>380129453</v>
      </c>
      <c r="C3535" s="1">
        <v>44969</v>
      </c>
      <c r="D3535" s="1">
        <v>44977</v>
      </c>
      <c r="E3535">
        <v>4</v>
      </c>
      <c r="F3535" t="str">
        <f>"08-I13-05"</f>
        <v>08-I13-05</v>
      </c>
      <c r="G3535">
        <v>2.343</v>
      </c>
      <c r="H3535" t="s">
        <v>12</v>
      </c>
      <c r="I3535" t="s">
        <v>10</v>
      </c>
    </row>
    <row r="3536" spans="1:9" x14ac:dyDescent="0.25">
      <c r="A3536" t="str">
        <f t="shared" si="93"/>
        <v>89301000</v>
      </c>
      <c r="B3536" t="str">
        <f>"380207457"</f>
        <v>380207457</v>
      </c>
      <c r="C3536" s="1">
        <v>44962</v>
      </c>
      <c r="D3536" s="1">
        <v>45006</v>
      </c>
      <c r="E3536">
        <v>4</v>
      </c>
      <c r="F3536" t="str">
        <f>"11-K02-03"</f>
        <v>11-K02-03</v>
      </c>
      <c r="G3536">
        <v>2.7599</v>
      </c>
      <c r="H3536" t="s">
        <v>11</v>
      </c>
      <c r="I3536" t="s">
        <v>10</v>
      </c>
    </row>
    <row r="3537" spans="1:9" x14ac:dyDescent="0.25">
      <c r="A3537" t="str">
        <f t="shared" si="93"/>
        <v>89301000</v>
      </c>
      <c r="B3537" t="str">
        <f>"380215446"</f>
        <v>380215446</v>
      </c>
      <c r="C3537" s="1">
        <v>45108</v>
      </c>
      <c r="D3537" s="1">
        <v>45111</v>
      </c>
      <c r="E3537">
        <v>1</v>
      </c>
      <c r="F3537" t="str">
        <f>"05-I25-03"</f>
        <v>05-I25-03</v>
      </c>
      <c r="G3537">
        <v>1.633</v>
      </c>
      <c r="H3537" t="s">
        <v>12</v>
      </c>
      <c r="I3537" t="s">
        <v>10</v>
      </c>
    </row>
    <row r="3538" spans="1:9" x14ac:dyDescent="0.25">
      <c r="A3538" t="str">
        <f t="shared" si="93"/>
        <v>89301000</v>
      </c>
      <c r="B3538" t="str">
        <f>"380216441"</f>
        <v>380216441</v>
      </c>
      <c r="C3538" s="1">
        <v>45208</v>
      </c>
      <c r="D3538" s="1">
        <v>45212</v>
      </c>
      <c r="E3538">
        <v>3</v>
      </c>
      <c r="F3538" t="str">
        <f>"08-I06-04"</f>
        <v>08-I06-04</v>
      </c>
      <c r="G3538">
        <v>2.3563999999999998</v>
      </c>
      <c r="H3538" t="s">
        <v>9</v>
      </c>
      <c r="I3538" t="s">
        <v>10</v>
      </c>
    </row>
    <row r="3539" spans="1:9" x14ac:dyDescent="0.25">
      <c r="A3539" t="str">
        <f t="shared" si="93"/>
        <v>89301000</v>
      </c>
      <c r="B3539" t="str">
        <f>"380216441"</f>
        <v>380216441</v>
      </c>
      <c r="C3539" s="1">
        <v>45212</v>
      </c>
      <c r="D3539" s="1">
        <v>45226</v>
      </c>
      <c r="E3539">
        <v>1</v>
      </c>
      <c r="F3539" t="str">
        <f>"24-M06-02"</f>
        <v>24-M06-02</v>
      </c>
      <c r="G3539">
        <v>1.0699000000000001</v>
      </c>
      <c r="H3539" t="s">
        <v>11</v>
      </c>
      <c r="I3539" t="s">
        <v>10</v>
      </c>
    </row>
    <row r="3540" spans="1:9" x14ac:dyDescent="0.25">
      <c r="A3540" t="str">
        <f t="shared" si="93"/>
        <v>89301000</v>
      </c>
      <c r="B3540" t="str">
        <f>"380217439"</f>
        <v>380217439</v>
      </c>
      <c r="C3540" s="1">
        <v>45108</v>
      </c>
      <c r="D3540" s="1">
        <v>45114</v>
      </c>
      <c r="E3540">
        <v>4</v>
      </c>
      <c r="F3540" t="str">
        <f>"04-K13-01"</f>
        <v>04-K13-01</v>
      </c>
      <c r="G3540">
        <v>0.68720000000000003</v>
      </c>
      <c r="H3540" t="s">
        <v>11</v>
      </c>
      <c r="I3540" t="s">
        <v>10</v>
      </c>
    </row>
    <row r="3541" spans="1:9" x14ac:dyDescent="0.25">
      <c r="A3541" t="str">
        <f t="shared" si="93"/>
        <v>89301000</v>
      </c>
      <c r="B3541" t="str">
        <f>"380226426"</f>
        <v>380226426</v>
      </c>
      <c r="C3541" s="1">
        <v>45254</v>
      </c>
      <c r="D3541" s="1">
        <v>45258</v>
      </c>
      <c r="E3541">
        <v>5</v>
      </c>
      <c r="F3541" t="str">
        <f>"01-K12-01"</f>
        <v>01-K12-01</v>
      </c>
      <c r="G3541">
        <v>0.73780000000000001</v>
      </c>
      <c r="H3541" t="s">
        <v>11</v>
      </c>
      <c r="I3541" t="s">
        <v>10</v>
      </c>
    </row>
    <row r="3542" spans="1:9" x14ac:dyDescent="0.25">
      <c r="A3542" t="str">
        <f t="shared" si="93"/>
        <v>89301000</v>
      </c>
      <c r="B3542" t="str">
        <f>"380306479"</f>
        <v>380306479</v>
      </c>
      <c r="C3542" s="1">
        <v>45013</v>
      </c>
      <c r="D3542" s="1">
        <v>45016</v>
      </c>
      <c r="E3542">
        <v>1</v>
      </c>
      <c r="F3542" t="str">
        <f>"05-K07-05"</f>
        <v>05-K07-05</v>
      </c>
      <c r="G3542">
        <v>0.74719999999999998</v>
      </c>
      <c r="H3542" t="s">
        <v>11</v>
      </c>
      <c r="I3542" t="s">
        <v>10</v>
      </c>
    </row>
    <row r="3543" spans="1:9" x14ac:dyDescent="0.25">
      <c r="A3543" t="str">
        <f t="shared" si="93"/>
        <v>89301000</v>
      </c>
      <c r="B3543" t="str">
        <f>"380517438"</f>
        <v>380517438</v>
      </c>
      <c r="C3543" s="1">
        <v>45232</v>
      </c>
      <c r="D3543" s="1">
        <v>45234</v>
      </c>
      <c r="E3543">
        <v>1</v>
      </c>
      <c r="F3543" t="str">
        <f>"05-I14-03"</f>
        <v>05-I14-03</v>
      </c>
      <c r="G3543">
        <v>6.0362</v>
      </c>
      <c r="H3543" t="s">
        <v>12</v>
      </c>
      <c r="I3543" t="s">
        <v>10</v>
      </c>
    </row>
    <row r="3544" spans="1:9" x14ac:dyDescent="0.25">
      <c r="A3544" t="str">
        <f t="shared" si="93"/>
        <v>89301000</v>
      </c>
      <c r="B3544" t="str">
        <f>"380529443"</f>
        <v>380529443</v>
      </c>
      <c r="C3544" s="1">
        <v>44966</v>
      </c>
      <c r="D3544" s="1">
        <v>44967</v>
      </c>
      <c r="E3544">
        <v>1</v>
      </c>
      <c r="F3544" t="str">
        <f>"05-M06-08"</f>
        <v>05-M06-08</v>
      </c>
      <c r="G3544">
        <v>1.4228000000000001</v>
      </c>
      <c r="H3544" t="s">
        <v>12</v>
      </c>
      <c r="I3544" t="s">
        <v>10</v>
      </c>
    </row>
    <row r="3545" spans="1:9" x14ac:dyDescent="0.25">
      <c r="A3545" t="str">
        <f t="shared" si="93"/>
        <v>89301000</v>
      </c>
      <c r="B3545" t="str">
        <f>"380529443"</f>
        <v>380529443</v>
      </c>
      <c r="C3545" s="1">
        <v>45267</v>
      </c>
      <c r="D3545" s="1">
        <v>45268</v>
      </c>
      <c r="E3545">
        <v>1</v>
      </c>
      <c r="F3545" t="str">
        <f>"05-D01-08"</f>
        <v>05-D01-08</v>
      </c>
      <c r="G3545">
        <v>0.43159999999999998</v>
      </c>
      <c r="H3545" t="s">
        <v>11</v>
      </c>
      <c r="I3545" t="s">
        <v>10</v>
      </c>
    </row>
    <row r="3546" spans="1:9" x14ac:dyDescent="0.25">
      <c r="A3546" t="str">
        <f t="shared" si="93"/>
        <v>89301000</v>
      </c>
      <c r="B3546" t="str">
        <f>"380725061"</f>
        <v>380725061</v>
      </c>
      <c r="C3546" s="1">
        <v>45035</v>
      </c>
      <c r="D3546" s="1">
        <v>45040</v>
      </c>
      <c r="E3546">
        <v>1</v>
      </c>
      <c r="F3546" t="str">
        <f>"05-M01-03"</f>
        <v>05-M01-03</v>
      </c>
      <c r="G3546">
        <v>11.4411</v>
      </c>
      <c r="H3546" t="s">
        <v>12</v>
      </c>
      <c r="I3546" t="s">
        <v>10</v>
      </c>
    </row>
    <row r="3547" spans="1:9" x14ac:dyDescent="0.25">
      <c r="A3547" t="str">
        <f t="shared" si="93"/>
        <v>89301000</v>
      </c>
      <c r="B3547" t="str">
        <f>"380725061"</f>
        <v>380725061</v>
      </c>
      <c r="C3547" s="1">
        <v>45012</v>
      </c>
      <c r="D3547" s="1">
        <v>45015</v>
      </c>
      <c r="E3547">
        <v>1</v>
      </c>
      <c r="F3547" t="str">
        <f>"05-D01-06"</f>
        <v>05-D01-06</v>
      </c>
      <c r="G3547">
        <v>0.7571</v>
      </c>
      <c r="H3547" t="s">
        <v>11</v>
      </c>
      <c r="I3547" t="s">
        <v>10</v>
      </c>
    </row>
    <row r="3548" spans="1:9" x14ac:dyDescent="0.25">
      <c r="A3548" t="str">
        <f t="shared" si="93"/>
        <v>89301000</v>
      </c>
      <c r="B3548" t="str">
        <f>"380921027"</f>
        <v>380921027</v>
      </c>
      <c r="C3548" s="1">
        <v>45230</v>
      </c>
      <c r="D3548" s="1">
        <v>45234</v>
      </c>
      <c r="E3548">
        <v>1</v>
      </c>
      <c r="F3548" t="str">
        <f>"11-I07-01"</f>
        <v>11-I07-01</v>
      </c>
      <c r="G3548">
        <v>2.7482000000000002</v>
      </c>
      <c r="H3548" t="s">
        <v>9</v>
      </c>
      <c r="I3548" t="s">
        <v>10</v>
      </c>
    </row>
    <row r="3549" spans="1:9" x14ac:dyDescent="0.25">
      <c r="A3549" t="str">
        <f t="shared" si="93"/>
        <v>89301000</v>
      </c>
      <c r="B3549" t="str">
        <f>"381023433"</f>
        <v>381023433</v>
      </c>
      <c r="C3549" s="1">
        <v>45243</v>
      </c>
      <c r="D3549" s="1">
        <v>45251</v>
      </c>
      <c r="E3549">
        <v>1</v>
      </c>
      <c r="F3549" t="str">
        <f>"05-K07-04"</f>
        <v>05-K07-04</v>
      </c>
      <c r="G3549">
        <v>1.0760000000000001</v>
      </c>
      <c r="H3549" t="s">
        <v>11</v>
      </c>
      <c r="I3549" t="s">
        <v>10</v>
      </c>
    </row>
    <row r="3550" spans="1:9" x14ac:dyDescent="0.25">
      <c r="A3550" t="str">
        <f t="shared" si="93"/>
        <v>89301000</v>
      </c>
      <c r="B3550" t="str">
        <f>"381126411"</f>
        <v>381126411</v>
      </c>
      <c r="C3550" s="1">
        <v>44973</v>
      </c>
      <c r="D3550" s="1">
        <v>44985</v>
      </c>
      <c r="E3550">
        <v>4</v>
      </c>
      <c r="F3550" t="str">
        <f>"08-I05-06"</f>
        <v>08-I05-06</v>
      </c>
      <c r="G3550">
        <v>2.0911</v>
      </c>
      <c r="H3550" t="s">
        <v>12</v>
      </c>
      <c r="I3550" t="s">
        <v>10</v>
      </c>
    </row>
    <row r="3551" spans="1:9" x14ac:dyDescent="0.25">
      <c r="A3551" t="str">
        <f t="shared" si="93"/>
        <v>89301000</v>
      </c>
      <c r="B3551" t="str">
        <f>"381126411"</f>
        <v>381126411</v>
      </c>
      <c r="C3551" s="1">
        <v>44988</v>
      </c>
      <c r="D3551" s="1">
        <v>44995</v>
      </c>
      <c r="E3551">
        <v>1</v>
      </c>
      <c r="F3551" t="str">
        <f>"03-K02-01"</f>
        <v>03-K02-01</v>
      </c>
      <c r="G3551">
        <v>1.1753</v>
      </c>
      <c r="H3551" t="s">
        <v>11</v>
      </c>
      <c r="I3551" t="s">
        <v>10</v>
      </c>
    </row>
    <row r="3552" spans="1:9" x14ac:dyDescent="0.25">
      <c r="A3552" t="str">
        <f t="shared" si="93"/>
        <v>89301000</v>
      </c>
      <c r="B3552" t="str">
        <f>"381210448"</f>
        <v>381210448</v>
      </c>
      <c r="C3552" s="1">
        <v>45167</v>
      </c>
      <c r="D3552" s="1">
        <v>45170</v>
      </c>
      <c r="E3552">
        <v>1</v>
      </c>
      <c r="F3552" t="str">
        <f>"09-I13-05"</f>
        <v>09-I13-05</v>
      </c>
      <c r="G3552">
        <v>0.42509999999999998</v>
      </c>
      <c r="H3552" t="s">
        <v>11</v>
      </c>
      <c r="I3552" t="s">
        <v>10</v>
      </c>
    </row>
    <row r="3553" spans="1:9" x14ac:dyDescent="0.25">
      <c r="A3553" t="str">
        <f t="shared" si="93"/>
        <v>89301000</v>
      </c>
      <c r="B3553" t="str">
        <f>"381217426"</f>
        <v>381217426</v>
      </c>
      <c r="C3553" s="1">
        <v>45082</v>
      </c>
      <c r="D3553" s="1">
        <v>45086</v>
      </c>
      <c r="E3553">
        <v>1</v>
      </c>
      <c r="F3553" t="str">
        <f>"01-K08-02"</f>
        <v>01-K08-02</v>
      </c>
      <c r="G3553">
        <v>0.60619999999999996</v>
      </c>
      <c r="H3553" t="s">
        <v>11</v>
      </c>
      <c r="I3553" t="s">
        <v>10</v>
      </c>
    </row>
    <row r="3554" spans="1:9" x14ac:dyDescent="0.25">
      <c r="A3554" t="str">
        <f t="shared" si="93"/>
        <v>89301000</v>
      </c>
      <c r="B3554" t="str">
        <f>"381217426"</f>
        <v>381217426</v>
      </c>
      <c r="C3554" s="1">
        <v>45235</v>
      </c>
      <c r="D3554" s="1">
        <v>45240</v>
      </c>
      <c r="E3554">
        <v>1</v>
      </c>
      <c r="F3554" t="str">
        <f>"11-K01-04"</f>
        <v>11-K01-04</v>
      </c>
      <c r="G3554">
        <v>0.57130000000000003</v>
      </c>
      <c r="H3554" t="s">
        <v>11</v>
      </c>
      <c r="I3554" t="s">
        <v>10</v>
      </c>
    </row>
    <row r="3555" spans="1:9" x14ac:dyDescent="0.25">
      <c r="A3555" t="str">
        <f t="shared" si="93"/>
        <v>89301000</v>
      </c>
      <c r="B3555" t="str">
        <f>"381220420"</f>
        <v>381220420</v>
      </c>
      <c r="C3555" s="1">
        <v>45238</v>
      </c>
      <c r="D3555" s="1">
        <v>45241</v>
      </c>
      <c r="E3555">
        <v>1</v>
      </c>
      <c r="F3555" t="str">
        <f>"05-M07-04"</f>
        <v>05-M07-04</v>
      </c>
      <c r="G3555">
        <v>1.7571000000000001</v>
      </c>
      <c r="H3555" t="s">
        <v>12</v>
      </c>
      <c r="I3555" t="s">
        <v>10</v>
      </c>
    </row>
    <row r="3556" spans="1:9" x14ac:dyDescent="0.25">
      <c r="A3556" t="str">
        <f t="shared" si="93"/>
        <v>89301000</v>
      </c>
      <c r="B3556" t="str">
        <f>"381220420"</f>
        <v>381220420</v>
      </c>
      <c r="C3556" s="1">
        <v>44943</v>
      </c>
      <c r="D3556" s="1">
        <v>44950</v>
      </c>
      <c r="E3556">
        <v>1</v>
      </c>
      <c r="F3556" t="str">
        <f>"05-I24-02"</f>
        <v>05-I24-02</v>
      </c>
      <c r="G3556">
        <v>3.9392</v>
      </c>
      <c r="H3556" t="s">
        <v>12</v>
      </c>
      <c r="I3556" t="s">
        <v>10</v>
      </c>
    </row>
    <row r="3557" spans="1:9" x14ac:dyDescent="0.25">
      <c r="A3557" t="str">
        <f t="shared" si="93"/>
        <v>89301000</v>
      </c>
      <c r="B3557" t="str">
        <f>"385107079"</f>
        <v>385107079</v>
      </c>
      <c r="C3557" s="1">
        <v>45248</v>
      </c>
      <c r="D3557" s="1">
        <v>45253</v>
      </c>
      <c r="E3557">
        <v>5</v>
      </c>
      <c r="F3557" t="str">
        <f>"25-K01-02"</f>
        <v>25-K01-02</v>
      </c>
      <c r="G3557">
        <v>2.3247</v>
      </c>
      <c r="H3557" t="s">
        <v>14</v>
      </c>
      <c r="I3557" t="s">
        <v>10</v>
      </c>
    </row>
    <row r="3558" spans="1:9" x14ac:dyDescent="0.25">
      <c r="A3558" t="str">
        <f t="shared" si="93"/>
        <v>89301000</v>
      </c>
      <c r="B3558" t="str">
        <f>"385207450"</f>
        <v>385207450</v>
      </c>
      <c r="C3558" s="1">
        <v>45265</v>
      </c>
      <c r="D3558" s="1">
        <v>45266</v>
      </c>
      <c r="E3558">
        <v>5</v>
      </c>
      <c r="F3558" t="str">
        <f>"05-D01-06"</f>
        <v>05-D01-06</v>
      </c>
      <c r="G3558">
        <v>0.7571</v>
      </c>
      <c r="H3558" t="s">
        <v>11</v>
      </c>
      <c r="I3558" t="s">
        <v>10</v>
      </c>
    </row>
    <row r="3559" spans="1:9" x14ac:dyDescent="0.25">
      <c r="A3559" t="str">
        <f t="shared" si="93"/>
        <v>89301000</v>
      </c>
      <c r="B3559" t="str">
        <f>"385226444"</f>
        <v>385226444</v>
      </c>
      <c r="C3559" s="1">
        <v>45211</v>
      </c>
      <c r="D3559" s="1">
        <v>45215</v>
      </c>
      <c r="E3559">
        <v>1</v>
      </c>
      <c r="F3559" t="str">
        <f>"06-I17-04"</f>
        <v>06-I17-04</v>
      </c>
      <c r="G3559">
        <v>0.49869999999999998</v>
      </c>
      <c r="H3559" t="s">
        <v>12</v>
      </c>
      <c r="I3559" t="s">
        <v>10</v>
      </c>
    </row>
    <row r="3560" spans="1:9" x14ac:dyDescent="0.25">
      <c r="A3560" t="str">
        <f t="shared" si="93"/>
        <v>89301000</v>
      </c>
      <c r="B3560" t="str">
        <f>"385226444"</f>
        <v>385226444</v>
      </c>
      <c r="C3560" s="1">
        <v>45015</v>
      </c>
      <c r="D3560" s="1">
        <v>45016</v>
      </c>
      <c r="E3560">
        <v>1</v>
      </c>
      <c r="F3560" t="str">
        <f>"10-K12-03"</f>
        <v>10-K12-03</v>
      </c>
      <c r="G3560">
        <v>0.5091</v>
      </c>
      <c r="H3560" t="s">
        <v>11</v>
      </c>
      <c r="I3560" t="s">
        <v>10</v>
      </c>
    </row>
    <row r="3561" spans="1:9" x14ac:dyDescent="0.25">
      <c r="A3561" t="str">
        <f t="shared" si="93"/>
        <v>89301000</v>
      </c>
      <c r="B3561" t="str">
        <f>"385226474"</f>
        <v>385226474</v>
      </c>
      <c r="C3561" s="1">
        <v>45015</v>
      </c>
      <c r="D3561" s="1">
        <v>45018</v>
      </c>
      <c r="E3561">
        <v>1</v>
      </c>
      <c r="F3561" t="str">
        <f>"06-K15-02"</f>
        <v>06-K15-02</v>
      </c>
      <c r="G3561">
        <v>0.26600000000000001</v>
      </c>
      <c r="H3561" t="s">
        <v>11</v>
      </c>
      <c r="I3561" t="s">
        <v>10</v>
      </c>
    </row>
    <row r="3562" spans="1:9" x14ac:dyDescent="0.25">
      <c r="A3562" t="str">
        <f t="shared" si="93"/>
        <v>89301000</v>
      </c>
      <c r="B3562" t="str">
        <f>"385228407"</f>
        <v>385228407</v>
      </c>
      <c r="C3562" s="1">
        <v>45034</v>
      </c>
      <c r="D3562" s="1">
        <v>45036</v>
      </c>
      <c r="E3562">
        <v>5</v>
      </c>
      <c r="F3562" t="str">
        <f>"05-M04-04"</f>
        <v>05-M04-04</v>
      </c>
      <c r="G3562">
        <v>2.4062000000000001</v>
      </c>
      <c r="H3562" t="s">
        <v>12</v>
      </c>
      <c r="I3562" t="s">
        <v>10</v>
      </c>
    </row>
    <row r="3563" spans="1:9" x14ac:dyDescent="0.25">
      <c r="A3563" t="str">
        <f t="shared" si="93"/>
        <v>89301000</v>
      </c>
      <c r="B3563" t="str">
        <f>"385304409"</f>
        <v>385304409</v>
      </c>
      <c r="C3563" s="1">
        <v>45126</v>
      </c>
      <c r="D3563" s="1">
        <v>45129</v>
      </c>
      <c r="E3563">
        <v>1</v>
      </c>
      <c r="F3563" t="str">
        <f>"05-K14-03"</f>
        <v>05-K14-03</v>
      </c>
      <c r="G3563">
        <v>0.3997</v>
      </c>
      <c r="H3563" t="s">
        <v>11</v>
      </c>
      <c r="I3563" t="s">
        <v>10</v>
      </c>
    </row>
    <row r="3564" spans="1:9" x14ac:dyDescent="0.25">
      <c r="A3564" t="str">
        <f t="shared" si="93"/>
        <v>89301000</v>
      </c>
      <c r="B3564" t="str">
        <f>"385305442"</f>
        <v>385305442</v>
      </c>
      <c r="C3564" s="1">
        <v>45028</v>
      </c>
      <c r="D3564" s="1">
        <v>45031</v>
      </c>
      <c r="E3564">
        <v>1</v>
      </c>
      <c r="F3564" t="str">
        <f>"13-K08-01"</f>
        <v>13-K08-01</v>
      </c>
      <c r="G3564">
        <v>1.2566999999999999</v>
      </c>
      <c r="H3564" t="s">
        <v>11</v>
      </c>
      <c r="I3564" t="s">
        <v>10</v>
      </c>
    </row>
    <row r="3565" spans="1:9" x14ac:dyDescent="0.25">
      <c r="A3565" t="str">
        <f t="shared" ref="A3565:A3627" si="94">"89301000"</f>
        <v>89301000</v>
      </c>
      <c r="B3565" t="str">
        <f>"385305442"</f>
        <v>385305442</v>
      </c>
      <c r="C3565" s="1">
        <v>45205</v>
      </c>
      <c r="D3565" s="1">
        <v>45208</v>
      </c>
      <c r="E3565">
        <v>1</v>
      </c>
      <c r="F3565" t="str">
        <f>"07-K04-03"</f>
        <v>07-K04-03</v>
      </c>
      <c r="G3565">
        <v>0.98650000000000004</v>
      </c>
      <c r="H3565" t="s">
        <v>11</v>
      </c>
      <c r="I3565" t="s">
        <v>10</v>
      </c>
    </row>
    <row r="3566" spans="1:9" x14ac:dyDescent="0.25">
      <c r="A3566" t="str">
        <f t="shared" si="94"/>
        <v>89301000</v>
      </c>
      <c r="B3566" t="str">
        <f>"385331445"</f>
        <v>385331445</v>
      </c>
      <c r="C3566" s="1">
        <v>45229</v>
      </c>
      <c r="D3566" s="1">
        <v>45236</v>
      </c>
      <c r="E3566">
        <v>4</v>
      </c>
      <c r="F3566" t="str">
        <f>"06-K21-03"</f>
        <v>06-K21-03</v>
      </c>
      <c r="G3566">
        <v>0.38040000000000002</v>
      </c>
      <c r="H3566" t="s">
        <v>11</v>
      </c>
      <c r="I3566" t="s">
        <v>10</v>
      </c>
    </row>
    <row r="3567" spans="1:9" x14ac:dyDescent="0.25">
      <c r="A3567" t="str">
        <f t="shared" si="94"/>
        <v>89301000</v>
      </c>
      <c r="B3567" t="str">
        <f>"385428426"</f>
        <v>385428426</v>
      </c>
      <c r="C3567" s="1">
        <v>45125</v>
      </c>
      <c r="D3567" s="1">
        <v>45132</v>
      </c>
      <c r="E3567">
        <v>1</v>
      </c>
      <c r="F3567" t="str">
        <f>"04-K06-01"</f>
        <v>04-K06-01</v>
      </c>
      <c r="G3567">
        <v>2.1379000000000001</v>
      </c>
      <c r="H3567" t="s">
        <v>11</v>
      </c>
      <c r="I3567" t="s">
        <v>10</v>
      </c>
    </row>
    <row r="3568" spans="1:9" x14ac:dyDescent="0.25">
      <c r="A3568" t="str">
        <f t="shared" si="94"/>
        <v>89301000</v>
      </c>
      <c r="B3568" t="str">
        <f>"385510432"</f>
        <v>385510432</v>
      </c>
      <c r="C3568" s="1">
        <v>45152</v>
      </c>
      <c r="D3568" s="1">
        <v>45154</v>
      </c>
      <c r="E3568">
        <v>1</v>
      </c>
      <c r="F3568" t="str">
        <f>"11-M05-02"</f>
        <v>11-M05-02</v>
      </c>
      <c r="G3568">
        <v>0.6694</v>
      </c>
      <c r="H3568" t="s">
        <v>12</v>
      </c>
      <c r="I3568" t="s">
        <v>10</v>
      </c>
    </row>
    <row r="3569" spans="1:9" x14ac:dyDescent="0.25">
      <c r="A3569" t="str">
        <f t="shared" si="94"/>
        <v>89301000</v>
      </c>
      <c r="B3569" t="str">
        <f>"385510432"</f>
        <v>385510432</v>
      </c>
      <c r="C3569" s="1">
        <v>45264</v>
      </c>
      <c r="D3569" s="1">
        <v>45268</v>
      </c>
      <c r="E3569">
        <v>1</v>
      </c>
      <c r="F3569" t="str">
        <f>"11-K01-04"</f>
        <v>11-K01-04</v>
      </c>
      <c r="G3569">
        <v>0.57130000000000003</v>
      </c>
      <c r="H3569" t="s">
        <v>11</v>
      </c>
      <c r="I3569" t="s">
        <v>10</v>
      </c>
    </row>
    <row r="3570" spans="1:9" x14ac:dyDescent="0.25">
      <c r="A3570" t="str">
        <f t="shared" si="94"/>
        <v>89301000</v>
      </c>
      <c r="B3570" t="str">
        <f>"385610449"</f>
        <v>385610449</v>
      </c>
      <c r="C3570" s="1">
        <v>45188</v>
      </c>
      <c r="D3570" s="1">
        <v>45211</v>
      </c>
      <c r="E3570">
        <v>4</v>
      </c>
      <c r="F3570" t="str">
        <f>"08-K13-01"</f>
        <v>08-K13-01</v>
      </c>
      <c r="G3570">
        <v>1.23</v>
      </c>
      <c r="H3570" t="s">
        <v>11</v>
      </c>
      <c r="I3570" t="s">
        <v>10</v>
      </c>
    </row>
    <row r="3571" spans="1:9" x14ac:dyDescent="0.25">
      <c r="A3571" t="str">
        <f t="shared" si="94"/>
        <v>89301000</v>
      </c>
      <c r="B3571" t="str">
        <f>"385628445"</f>
        <v>385628445</v>
      </c>
      <c r="C3571" s="1">
        <v>45224</v>
      </c>
      <c r="D3571" s="1">
        <v>45243</v>
      </c>
      <c r="E3571">
        <v>4</v>
      </c>
      <c r="F3571" t="str">
        <f>"13-I13-02"</f>
        <v>13-I13-02</v>
      </c>
      <c r="G3571">
        <v>2.2038000000000002</v>
      </c>
      <c r="H3571" t="s">
        <v>12</v>
      </c>
      <c r="I3571" t="s">
        <v>10</v>
      </c>
    </row>
    <row r="3572" spans="1:9" x14ac:dyDescent="0.25">
      <c r="A3572" t="str">
        <f t="shared" si="94"/>
        <v>89301000</v>
      </c>
      <c r="B3572" t="str">
        <f>"385710442"</f>
        <v>385710442</v>
      </c>
      <c r="C3572" s="1">
        <v>45128</v>
      </c>
      <c r="D3572" s="1">
        <v>45133</v>
      </c>
      <c r="E3572">
        <v>1</v>
      </c>
      <c r="F3572" t="str">
        <f>"11-K01-04"</f>
        <v>11-K01-04</v>
      </c>
      <c r="G3572">
        <v>0.57130000000000003</v>
      </c>
      <c r="H3572" t="s">
        <v>11</v>
      </c>
      <c r="I3572" t="s">
        <v>10</v>
      </c>
    </row>
    <row r="3573" spans="1:9" x14ac:dyDescent="0.25">
      <c r="A3573" t="str">
        <f t="shared" si="94"/>
        <v>89301000</v>
      </c>
      <c r="B3573" t="str">
        <f>"385721440"</f>
        <v>385721440</v>
      </c>
      <c r="C3573" s="1">
        <v>45189</v>
      </c>
      <c r="D3573" s="1">
        <v>45193</v>
      </c>
      <c r="E3573">
        <v>6</v>
      </c>
      <c r="F3573" t="str">
        <f>"10-I13-02"</f>
        <v>10-I13-02</v>
      </c>
      <c r="G3573">
        <v>1.1227</v>
      </c>
      <c r="H3573" t="s">
        <v>9</v>
      </c>
      <c r="I3573" t="s">
        <v>10</v>
      </c>
    </row>
    <row r="3574" spans="1:9" x14ac:dyDescent="0.25">
      <c r="A3574" t="str">
        <f t="shared" si="94"/>
        <v>89301000</v>
      </c>
      <c r="B3574" t="str">
        <f>"385805437"</f>
        <v>385805437</v>
      </c>
      <c r="C3574" s="1">
        <v>45002</v>
      </c>
      <c r="D3574" s="1">
        <v>45003</v>
      </c>
      <c r="E3574">
        <v>1</v>
      </c>
      <c r="F3574" t="str">
        <f>"05-I25-03"</f>
        <v>05-I25-03</v>
      </c>
      <c r="G3574">
        <v>1.633</v>
      </c>
      <c r="H3574" t="s">
        <v>12</v>
      </c>
      <c r="I3574" t="s">
        <v>10</v>
      </c>
    </row>
    <row r="3575" spans="1:9" x14ac:dyDescent="0.25">
      <c r="A3575" t="str">
        <f t="shared" si="94"/>
        <v>89301000</v>
      </c>
      <c r="B3575" t="str">
        <f>"385805443"</f>
        <v>385805443</v>
      </c>
      <c r="C3575" s="1">
        <v>45176</v>
      </c>
      <c r="D3575" s="1">
        <v>45180</v>
      </c>
      <c r="E3575">
        <v>1</v>
      </c>
      <c r="F3575" t="str">
        <f>"07-M02-04"</f>
        <v>07-M02-04</v>
      </c>
      <c r="G3575">
        <v>0.77339999999999998</v>
      </c>
      <c r="H3575" t="s">
        <v>12</v>
      </c>
      <c r="I3575" t="s">
        <v>10</v>
      </c>
    </row>
    <row r="3576" spans="1:9" x14ac:dyDescent="0.25">
      <c r="A3576" t="str">
        <f t="shared" si="94"/>
        <v>89301000</v>
      </c>
      <c r="B3576" t="str">
        <f>"385805443"</f>
        <v>385805443</v>
      </c>
      <c r="C3576" s="1">
        <v>45271</v>
      </c>
      <c r="D3576" s="1">
        <v>45274</v>
      </c>
      <c r="E3576">
        <v>1</v>
      </c>
      <c r="F3576" t="str">
        <f>"07-M02-04"</f>
        <v>07-M02-04</v>
      </c>
      <c r="G3576">
        <v>0.77339999999999998</v>
      </c>
      <c r="H3576" t="s">
        <v>12</v>
      </c>
      <c r="I3576" t="s">
        <v>10</v>
      </c>
    </row>
    <row r="3577" spans="1:9" x14ac:dyDescent="0.25">
      <c r="A3577" t="str">
        <f t="shared" si="94"/>
        <v>89301000</v>
      </c>
      <c r="B3577" t="str">
        <f>"385805443"</f>
        <v>385805443</v>
      </c>
      <c r="C3577" s="1">
        <v>45099</v>
      </c>
      <c r="D3577" s="1">
        <v>45105</v>
      </c>
      <c r="E3577">
        <v>1</v>
      </c>
      <c r="F3577" t="str">
        <f>"07-M02-02"</f>
        <v>07-M02-02</v>
      </c>
      <c r="G3577">
        <v>2.0733000000000001</v>
      </c>
      <c r="H3577" t="s">
        <v>12</v>
      </c>
      <c r="I3577" t="s">
        <v>10</v>
      </c>
    </row>
    <row r="3578" spans="1:9" x14ac:dyDescent="0.25">
      <c r="A3578" t="str">
        <f t="shared" si="94"/>
        <v>89301000</v>
      </c>
      <c r="B3578" t="str">
        <f>"385911451"</f>
        <v>385911451</v>
      </c>
      <c r="C3578" s="1">
        <v>44972</v>
      </c>
      <c r="D3578" s="1">
        <v>44974</v>
      </c>
      <c r="E3578">
        <v>1</v>
      </c>
      <c r="F3578" t="str">
        <f>"02-I06-04"</f>
        <v>02-I06-04</v>
      </c>
      <c r="G3578">
        <v>0.79630000000000001</v>
      </c>
      <c r="H3578" t="s">
        <v>12</v>
      </c>
      <c r="I3578" t="s">
        <v>10</v>
      </c>
    </row>
    <row r="3579" spans="1:9" x14ac:dyDescent="0.25">
      <c r="A3579" t="str">
        <f t="shared" si="94"/>
        <v>89301000</v>
      </c>
      <c r="B3579" t="str">
        <f>"385913430"</f>
        <v>385913430</v>
      </c>
      <c r="C3579" s="1">
        <v>44978</v>
      </c>
      <c r="D3579" s="1">
        <v>45005</v>
      </c>
      <c r="E3579">
        <v>4</v>
      </c>
      <c r="F3579" t="str">
        <f>"18-K02-02"</f>
        <v>18-K02-02</v>
      </c>
      <c r="G3579">
        <v>1.7025999999999999</v>
      </c>
      <c r="H3579" t="s">
        <v>11</v>
      </c>
      <c r="I3579" t="s">
        <v>10</v>
      </c>
    </row>
    <row r="3580" spans="1:9" x14ac:dyDescent="0.25">
      <c r="A3580" t="str">
        <f t="shared" si="94"/>
        <v>89301000</v>
      </c>
      <c r="B3580" t="str">
        <f>"385921038"</f>
        <v>385921038</v>
      </c>
      <c r="C3580" s="1">
        <v>45076</v>
      </c>
      <c r="D3580" s="1">
        <v>45077</v>
      </c>
      <c r="E3580">
        <v>1</v>
      </c>
      <c r="F3580" t="str">
        <f>"02-I13-01"</f>
        <v>02-I13-01</v>
      </c>
      <c r="G3580">
        <v>0.63970000000000005</v>
      </c>
      <c r="H3580" t="s">
        <v>11</v>
      </c>
      <c r="I3580" t="s">
        <v>10</v>
      </c>
    </row>
    <row r="3581" spans="1:9" x14ac:dyDescent="0.25">
      <c r="A3581" t="str">
        <f t="shared" si="94"/>
        <v>89301000</v>
      </c>
      <c r="B3581" t="str">
        <f>"386026410"</f>
        <v>386026410</v>
      </c>
      <c r="C3581" s="1">
        <v>45100</v>
      </c>
      <c r="D3581" s="1">
        <v>45131</v>
      </c>
      <c r="E3581">
        <v>1</v>
      </c>
      <c r="F3581" t="str">
        <f>"08-R02-03"</f>
        <v>08-R02-03</v>
      </c>
      <c r="G3581">
        <v>3.4180000000000001</v>
      </c>
      <c r="H3581" t="s">
        <v>11</v>
      </c>
      <c r="I3581" t="s">
        <v>10</v>
      </c>
    </row>
    <row r="3582" spans="1:9" x14ac:dyDescent="0.25">
      <c r="A3582" t="str">
        <f t="shared" si="94"/>
        <v>89301000</v>
      </c>
      <c r="B3582" t="str">
        <f>"386110414"</f>
        <v>386110414</v>
      </c>
      <c r="C3582" s="1">
        <v>45225</v>
      </c>
      <c r="D3582" s="1">
        <v>45226</v>
      </c>
      <c r="E3582">
        <v>1</v>
      </c>
      <c r="F3582" t="str">
        <f>"05-M06-08"</f>
        <v>05-M06-08</v>
      </c>
      <c r="G3582">
        <v>1.4228000000000001</v>
      </c>
      <c r="H3582" t="s">
        <v>12</v>
      </c>
      <c r="I3582" t="s">
        <v>10</v>
      </c>
    </row>
    <row r="3583" spans="1:9" x14ac:dyDescent="0.25">
      <c r="A3583" t="str">
        <f t="shared" si="94"/>
        <v>89301000</v>
      </c>
      <c r="B3583" t="str">
        <f>"386119709"</f>
        <v>386119709</v>
      </c>
      <c r="C3583" s="1">
        <v>45056</v>
      </c>
      <c r="D3583" s="1">
        <v>45057</v>
      </c>
      <c r="E3583">
        <v>1</v>
      </c>
      <c r="F3583" t="str">
        <f>"05-M06-08"</f>
        <v>05-M06-08</v>
      </c>
      <c r="G3583">
        <v>1.4228000000000001</v>
      </c>
      <c r="H3583" t="s">
        <v>12</v>
      </c>
      <c r="I3583" t="s">
        <v>10</v>
      </c>
    </row>
    <row r="3584" spans="1:9" x14ac:dyDescent="0.25">
      <c r="A3584" t="str">
        <f t="shared" si="94"/>
        <v>89301000</v>
      </c>
      <c r="B3584" t="str">
        <f>"386119709"</f>
        <v>386119709</v>
      </c>
      <c r="C3584" s="1">
        <v>45084</v>
      </c>
      <c r="D3584" s="1">
        <v>45089</v>
      </c>
      <c r="E3584">
        <v>1</v>
      </c>
      <c r="F3584" t="str">
        <f>"05-M01-03"</f>
        <v>05-M01-03</v>
      </c>
      <c r="G3584">
        <v>11.4411</v>
      </c>
      <c r="H3584" t="s">
        <v>12</v>
      </c>
      <c r="I3584" t="s">
        <v>10</v>
      </c>
    </row>
    <row r="3585" spans="1:9" x14ac:dyDescent="0.25">
      <c r="A3585" t="str">
        <f t="shared" si="94"/>
        <v>89301000</v>
      </c>
      <c r="B3585" t="str">
        <f>"386120433"</f>
        <v>386120433</v>
      </c>
      <c r="C3585" s="1">
        <v>45055</v>
      </c>
      <c r="D3585" s="1">
        <v>45082</v>
      </c>
      <c r="E3585">
        <v>5</v>
      </c>
      <c r="F3585" t="str">
        <f>"08-I13-05"</f>
        <v>08-I13-05</v>
      </c>
      <c r="G3585">
        <v>2.9420000000000002</v>
      </c>
      <c r="H3585" t="s">
        <v>12</v>
      </c>
      <c r="I3585" t="s">
        <v>10</v>
      </c>
    </row>
    <row r="3586" spans="1:9" x14ac:dyDescent="0.25">
      <c r="A3586" t="str">
        <f t="shared" si="94"/>
        <v>89301000</v>
      </c>
      <c r="B3586" t="str">
        <f>"386120433"</f>
        <v>386120433</v>
      </c>
      <c r="C3586" s="1">
        <v>45277</v>
      </c>
      <c r="D3586" s="1">
        <v>45282</v>
      </c>
      <c r="E3586">
        <v>4</v>
      </c>
      <c r="F3586" t="str">
        <f>"08-I06-04"</f>
        <v>08-I06-04</v>
      </c>
      <c r="G3586">
        <v>2.3489</v>
      </c>
      <c r="H3586" t="s">
        <v>9</v>
      </c>
      <c r="I3586" t="s">
        <v>10</v>
      </c>
    </row>
    <row r="3587" spans="1:9" x14ac:dyDescent="0.25">
      <c r="A3587" t="str">
        <f t="shared" si="94"/>
        <v>89301000</v>
      </c>
      <c r="B3587" t="str">
        <f>"386125430"</f>
        <v>386125430</v>
      </c>
      <c r="C3587" s="1">
        <v>45202</v>
      </c>
      <c r="D3587" s="1">
        <v>45211</v>
      </c>
      <c r="E3587">
        <v>4</v>
      </c>
      <c r="F3587" t="str">
        <f>"06-I12-03"</f>
        <v>06-I12-03</v>
      </c>
      <c r="G3587">
        <v>1.9540999999999999</v>
      </c>
      <c r="H3587" t="s">
        <v>11</v>
      </c>
      <c r="I3587" t="s">
        <v>10</v>
      </c>
    </row>
    <row r="3588" spans="1:9" x14ac:dyDescent="0.25">
      <c r="A3588" t="str">
        <f t="shared" si="94"/>
        <v>89301000</v>
      </c>
      <c r="B3588" t="str">
        <f>"386205426"</f>
        <v>386205426</v>
      </c>
      <c r="C3588" s="1">
        <v>45280</v>
      </c>
      <c r="D3588" s="1">
        <v>45282</v>
      </c>
      <c r="E3588">
        <v>1</v>
      </c>
      <c r="F3588" t="str">
        <f>"04-K03-02"</f>
        <v>04-K03-02</v>
      </c>
      <c r="G3588">
        <v>0.79500000000000004</v>
      </c>
      <c r="H3588" t="s">
        <v>11</v>
      </c>
      <c r="I3588" t="s">
        <v>10</v>
      </c>
    </row>
    <row r="3589" spans="1:9" x14ac:dyDescent="0.25">
      <c r="A3589" t="str">
        <f t="shared" si="94"/>
        <v>89301000</v>
      </c>
      <c r="B3589" t="str">
        <f>"386222427"</f>
        <v>386222427</v>
      </c>
      <c r="C3589" s="1">
        <v>44946</v>
      </c>
      <c r="D3589" s="1">
        <v>44965</v>
      </c>
      <c r="E3589">
        <v>4</v>
      </c>
      <c r="F3589" t="str">
        <f>"10-I02-01"</f>
        <v>10-I02-01</v>
      </c>
      <c r="G3589">
        <v>4.4240000000000004</v>
      </c>
      <c r="H3589" t="s">
        <v>12</v>
      </c>
      <c r="I3589" t="s">
        <v>10</v>
      </c>
    </row>
    <row r="3590" spans="1:9" x14ac:dyDescent="0.25">
      <c r="A3590" t="str">
        <f t="shared" si="94"/>
        <v>89301000</v>
      </c>
      <c r="B3590" t="str">
        <f>"390115425"</f>
        <v>390115425</v>
      </c>
      <c r="C3590" s="1">
        <v>45205</v>
      </c>
      <c r="D3590" s="1">
        <v>45205</v>
      </c>
      <c r="E3590">
        <v>1</v>
      </c>
      <c r="F3590" t="str">
        <f>"05-M06-07"</f>
        <v>05-M06-07</v>
      </c>
      <c r="G3590">
        <v>1.6095999999999999</v>
      </c>
      <c r="H3590" t="s">
        <v>12</v>
      </c>
      <c r="I3590" t="s">
        <v>10</v>
      </c>
    </row>
    <row r="3591" spans="1:9" x14ac:dyDescent="0.25">
      <c r="A3591" t="str">
        <f t="shared" si="94"/>
        <v>89301000</v>
      </c>
      <c r="B3591" t="str">
        <f>"390118428"</f>
        <v>390118428</v>
      </c>
      <c r="C3591" s="1">
        <v>45263</v>
      </c>
      <c r="D3591" s="1">
        <v>45272</v>
      </c>
      <c r="E3591">
        <v>2</v>
      </c>
      <c r="F3591" t="str">
        <f>"11-K01-02"</f>
        <v>11-K01-02</v>
      </c>
      <c r="G3591">
        <v>0.86480000000000001</v>
      </c>
      <c r="H3591" t="s">
        <v>11</v>
      </c>
      <c r="I3591" t="s">
        <v>10</v>
      </c>
    </row>
    <row r="3592" spans="1:9" x14ac:dyDescent="0.25">
      <c r="A3592" t="str">
        <f t="shared" si="94"/>
        <v>89301000</v>
      </c>
      <c r="B3592" t="str">
        <f>"390130440"</f>
        <v>390130440</v>
      </c>
      <c r="C3592" s="1">
        <v>44951</v>
      </c>
      <c r="D3592" s="1">
        <v>44959</v>
      </c>
      <c r="E3592">
        <v>1</v>
      </c>
      <c r="F3592" t="str">
        <f>"03-K02-02"</f>
        <v>03-K02-02</v>
      </c>
      <c r="G3592">
        <v>0.57650000000000001</v>
      </c>
      <c r="H3592" t="s">
        <v>11</v>
      </c>
      <c r="I3592" t="s">
        <v>10</v>
      </c>
    </row>
    <row r="3593" spans="1:9" x14ac:dyDescent="0.25">
      <c r="A3593" t="str">
        <f t="shared" si="94"/>
        <v>89301000</v>
      </c>
      <c r="B3593" t="str">
        <f>"390130440"</f>
        <v>390130440</v>
      </c>
      <c r="C3593" s="1">
        <v>45012</v>
      </c>
      <c r="D3593" s="1">
        <v>45019</v>
      </c>
      <c r="E3593">
        <v>1</v>
      </c>
      <c r="F3593" t="str">
        <f>"06-K13-02"</f>
        <v>06-K13-02</v>
      </c>
      <c r="G3593">
        <v>0.66739999999999999</v>
      </c>
      <c r="H3593" t="s">
        <v>11</v>
      </c>
      <c r="I3593" t="s">
        <v>10</v>
      </c>
    </row>
    <row r="3594" spans="1:9" x14ac:dyDescent="0.25">
      <c r="A3594" t="str">
        <f t="shared" si="94"/>
        <v>89301000</v>
      </c>
      <c r="B3594" t="str">
        <f>"390130440"</f>
        <v>390130440</v>
      </c>
      <c r="C3594" s="1">
        <v>44944</v>
      </c>
      <c r="D3594" s="1">
        <v>44946</v>
      </c>
      <c r="E3594">
        <v>1</v>
      </c>
      <c r="F3594" t="str">
        <f>"06-K13-01"</f>
        <v>06-K13-01</v>
      </c>
      <c r="G3594">
        <v>1.1842999999999999</v>
      </c>
      <c r="H3594" t="s">
        <v>11</v>
      </c>
      <c r="I3594" t="s">
        <v>10</v>
      </c>
    </row>
    <row r="3595" spans="1:9" x14ac:dyDescent="0.25">
      <c r="A3595" t="str">
        <f t="shared" si="94"/>
        <v>89301000</v>
      </c>
      <c r="B3595" t="str">
        <f>"390214011"</f>
        <v>390214011</v>
      </c>
      <c r="C3595" s="1">
        <v>45082</v>
      </c>
      <c r="D3595" s="1">
        <v>45083</v>
      </c>
      <c r="E3595">
        <v>1</v>
      </c>
      <c r="F3595" t="str">
        <f>"05-K15-02"</f>
        <v>05-K15-02</v>
      </c>
      <c r="G3595">
        <v>0.45369999999999999</v>
      </c>
      <c r="H3595" t="s">
        <v>11</v>
      </c>
      <c r="I3595" t="s">
        <v>10</v>
      </c>
    </row>
    <row r="3596" spans="1:9" x14ac:dyDescent="0.25">
      <c r="A3596" t="str">
        <f t="shared" si="94"/>
        <v>89301000</v>
      </c>
      <c r="B3596" t="str">
        <f>"390301404"</f>
        <v>390301404</v>
      </c>
      <c r="C3596" s="1">
        <v>45063</v>
      </c>
      <c r="D3596" s="1">
        <v>45071</v>
      </c>
      <c r="E3596">
        <v>4</v>
      </c>
      <c r="F3596" t="str">
        <f>"05-K07-05"</f>
        <v>05-K07-05</v>
      </c>
      <c r="G3596">
        <v>0.74719999999999998</v>
      </c>
      <c r="H3596" t="s">
        <v>11</v>
      </c>
      <c r="I3596" t="s">
        <v>10</v>
      </c>
    </row>
    <row r="3597" spans="1:9" x14ac:dyDescent="0.25">
      <c r="A3597" t="str">
        <f t="shared" si="94"/>
        <v>89301000</v>
      </c>
      <c r="B3597" t="str">
        <f>"390322455"</f>
        <v>390322455</v>
      </c>
      <c r="C3597" s="1">
        <v>45195</v>
      </c>
      <c r="D3597" s="1">
        <v>45199</v>
      </c>
      <c r="E3597">
        <v>1</v>
      </c>
      <c r="F3597" t="str">
        <f>"06-I16-04"</f>
        <v>06-I16-04</v>
      </c>
      <c r="G3597">
        <v>0.68920000000000003</v>
      </c>
      <c r="H3597" t="s">
        <v>9</v>
      </c>
      <c r="I3597" t="s">
        <v>10</v>
      </c>
    </row>
    <row r="3598" spans="1:9" x14ac:dyDescent="0.25">
      <c r="A3598" t="str">
        <f t="shared" si="94"/>
        <v>89301000</v>
      </c>
      <c r="B3598" t="str">
        <f>"390326459"</f>
        <v>390326459</v>
      </c>
      <c r="C3598" s="1">
        <v>45099</v>
      </c>
      <c r="D3598" s="1">
        <v>45100</v>
      </c>
      <c r="E3598">
        <v>1</v>
      </c>
      <c r="F3598" t="str">
        <f>"12-K02-02"</f>
        <v>12-K02-02</v>
      </c>
      <c r="G3598">
        <v>0.39479999999999998</v>
      </c>
      <c r="H3598" t="s">
        <v>11</v>
      </c>
      <c r="I3598" t="s">
        <v>10</v>
      </c>
    </row>
    <row r="3599" spans="1:9" x14ac:dyDescent="0.25">
      <c r="A3599" t="str">
        <f t="shared" si="94"/>
        <v>89301000</v>
      </c>
      <c r="B3599" t="str">
        <f>"390407117"</f>
        <v>390407117</v>
      </c>
      <c r="C3599" s="1">
        <v>45237</v>
      </c>
      <c r="D3599" s="1">
        <v>45239</v>
      </c>
      <c r="E3599">
        <v>1</v>
      </c>
      <c r="F3599" t="str">
        <f>"03-I24-00"</f>
        <v>03-I24-00</v>
      </c>
      <c r="G3599">
        <v>0.40899999999999997</v>
      </c>
      <c r="H3599" t="s">
        <v>11</v>
      </c>
      <c r="I3599" t="s">
        <v>10</v>
      </c>
    </row>
    <row r="3600" spans="1:9" x14ac:dyDescent="0.25">
      <c r="A3600" t="str">
        <f t="shared" si="94"/>
        <v>89301000</v>
      </c>
      <c r="B3600" t="str">
        <f>"390509421"</f>
        <v>390509421</v>
      </c>
      <c r="C3600" s="1">
        <v>45223</v>
      </c>
      <c r="D3600" s="1">
        <v>45224</v>
      </c>
      <c r="E3600">
        <v>1</v>
      </c>
      <c r="F3600" t="str">
        <f>"02-I06-04"</f>
        <v>02-I06-04</v>
      </c>
      <c r="G3600">
        <v>0.76139999999999997</v>
      </c>
      <c r="H3600" t="s">
        <v>12</v>
      </c>
      <c r="I3600" t="s">
        <v>10</v>
      </c>
    </row>
    <row r="3601" spans="1:9" x14ac:dyDescent="0.25">
      <c r="A3601" t="str">
        <f t="shared" si="94"/>
        <v>89301000</v>
      </c>
      <c r="B3601" t="str">
        <f>"390610439"</f>
        <v>390610439</v>
      </c>
      <c r="C3601" s="1">
        <v>45093</v>
      </c>
      <c r="D3601" s="1">
        <v>45097</v>
      </c>
      <c r="E3601">
        <v>1</v>
      </c>
      <c r="F3601" t="str">
        <f>"03-I19-03"</f>
        <v>03-I19-03</v>
      </c>
      <c r="G3601">
        <v>0.53420000000000001</v>
      </c>
      <c r="H3601" t="s">
        <v>11</v>
      </c>
      <c r="I3601" t="s">
        <v>10</v>
      </c>
    </row>
    <row r="3602" spans="1:9" x14ac:dyDescent="0.25">
      <c r="A3602" t="str">
        <f t="shared" si="94"/>
        <v>89301000</v>
      </c>
      <c r="B3602" t="str">
        <f>"390611433"</f>
        <v>390611433</v>
      </c>
      <c r="C3602" s="1">
        <v>45035</v>
      </c>
      <c r="D3602" s="1">
        <v>45037</v>
      </c>
      <c r="E3602">
        <v>1</v>
      </c>
      <c r="F3602" t="str">
        <f>"05-I14-03"</f>
        <v>05-I14-03</v>
      </c>
      <c r="G3602">
        <v>6.0362</v>
      </c>
      <c r="H3602" t="s">
        <v>12</v>
      </c>
      <c r="I3602" t="s">
        <v>10</v>
      </c>
    </row>
    <row r="3603" spans="1:9" x14ac:dyDescent="0.25">
      <c r="A3603" t="str">
        <f t="shared" si="94"/>
        <v>89301000</v>
      </c>
      <c r="B3603" t="str">
        <f>"390613001"</f>
        <v>390613001</v>
      </c>
      <c r="C3603" s="1">
        <v>45041</v>
      </c>
      <c r="D3603" s="1">
        <v>45048</v>
      </c>
      <c r="E3603">
        <v>1</v>
      </c>
      <c r="F3603" t="str">
        <f>"01-I09-02"</f>
        <v>01-I09-02</v>
      </c>
      <c r="G3603">
        <v>1.5277000000000001</v>
      </c>
      <c r="H3603" t="s">
        <v>12</v>
      </c>
      <c r="I3603" t="s">
        <v>10</v>
      </c>
    </row>
    <row r="3604" spans="1:9" x14ac:dyDescent="0.25">
      <c r="A3604" t="str">
        <f t="shared" si="94"/>
        <v>89301000</v>
      </c>
      <c r="B3604" t="str">
        <f>"390620434"</f>
        <v>390620434</v>
      </c>
      <c r="C3604" s="1">
        <v>44976</v>
      </c>
      <c r="D3604" s="1">
        <v>44984</v>
      </c>
      <c r="E3604">
        <v>4</v>
      </c>
      <c r="F3604" t="str">
        <f>"04-K02-04"</f>
        <v>04-K02-04</v>
      </c>
      <c r="G3604">
        <v>0.82099999999999995</v>
      </c>
      <c r="H3604" t="s">
        <v>11</v>
      </c>
      <c r="I3604" t="s">
        <v>10</v>
      </c>
    </row>
    <row r="3605" spans="1:9" x14ac:dyDescent="0.25">
      <c r="A3605" t="str">
        <f t="shared" si="94"/>
        <v>89301000</v>
      </c>
      <c r="B3605" t="str">
        <f>"390620434"</f>
        <v>390620434</v>
      </c>
      <c r="C3605" s="1">
        <v>45076</v>
      </c>
      <c r="D3605" s="1">
        <v>45092</v>
      </c>
      <c r="E3605">
        <v>1</v>
      </c>
      <c r="F3605" t="str">
        <f>"11-M06-02"</f>
        <v>11-M06-02</v>
      </c>
      <c r="G3605">
        <v>1.5630999999999999</v>
      </c>
      <c r="H3605" t="s">
        <v>12</v>
      </c>
      <c r="I3605" t="s">
        <v>10</v>
      </c>
    </row>
    <row r="3606" spans="1:9" x14ac:dyDescent="0.25">
      <c r="A3606" t="str">
        <f t="shared" si="94"/>
        <v>89301000</v>
      </c>
      <c r="B3606" t="str">
        <f>"390624426"</f>
        <v>390624426</v>
      </c>
      <c r="C3606" s="1">
        <v>45019</v>
      </c>
      <c r="D3606" s="1">
        <v>45022</v>
      </c>
      <c r="E3606">
        <v>1</v>
      </c>
      <c r="F3606" t="str">
        <f>"05-K07-04"</f>
        <v>05-K07-04</v>
      </c>
      <c r="G3606">
        <v>1.0598000000000001</v>
      </c>
      <c r="H3606" t="s">
        <v>11</v>
      </c>
      <c r="I3606" t="s">
        <v>10</v>
      </c>
    </row>
    <row r="3607" spans="1:9" x14ac:dyDescent="0.25">
      <c r="A3607" t="str">
        <f t="shared" si="94"/>
        <v>89301000</v>
      </c>
      <c r="B3607" t="str">
        <f>"390624426"</f>
        <v>390624426</v>
      </c>
      <c r="C3607" s="1">
        <v>45027</v>
      </c>
      <c r="D3607" s="1">
        <v>45049</v>
      </c>
      <c r="E3607">
        <v>8</v>
      </c>
      <c r="F3607" t="str">
        <f>"05-K08-01"</f>
        <v>05-K08-01</v>
      </c>
      <c r="G3607">
        <v>4.7702999999999998</v>
      </c>
      <c r="H3607" t="s">
        <v>11</v>
      </c>
      <c r="I3607" t="s">
        <v>10</v>
      </c>
    </row>
    <row r="3608" spans="1:9" x14ac:dyDescent="0.25">
      <c r="A3608" t="str">
        <f t="shared" si="94"/>
        <v>89301000</v>
      </c>
      <c r="B3608" t="str">
        <f>"390701032"</f>
        <v>390701032</v>
      </c>
      <c r="C3608" s="1">
        <v>45049</v>
      </c>
      <c r="D3608" s="1">
        <v>45051</v>
      </c>
      <c r="E3608">
        <v>2</v>
      </c>
      <c r="F3608" t="str">
        <f>"16-K02-02"</f>
        <v>16-K02-02</v>
      </c>
      <c r="G3608">
        <v>0.76349999999999996</v>
      </c>
      <c r="H3608" t="s">
        <v>11</v>
      </c>
      <c r="I3608" t="s">
        <v>10</v>
      </c>
    </row>
    <row r="3609" spans="1:9" x14ac:dyDescent="0.25">
      <c r="A3609" t="str">
        <f t="shared" si="94"/>
        <v>89301000</v>
      </c>
      <c r="B3609" t="str">
        <f>"390701032"</f>
        <v>390701032</v>
      </c>
      <c r="C3609" s="1">
        <v>45062</v>
      </c>
      <c r="D3609" s="1">
        <v>45065</v>
      </c>
      <c r="E3609">
        <v>2</v>
      </c>
      <c r="F3609" t="str">
        <f>"16-K02-02"</f>
        <v>16-K02-02</v>
      </c>
      <c r="G3609">
        <v>0.76349999999999996</v>
      </c>
      <c r="H3609" t="s">
        <v>11</v>
      </c>
      <c r="I3609" t="s">
        <v>10</v>
      </c>
    </row>
    <row r="3610" spans="1:9" x14ac:dyDescent="0.25">
      <c r="A3610" t="str">
        <f t="shared" si="94"/>
        <v>89301000</v>
      </c>
      <c r="B3610" t="str">
        <f>"390701032"</f>
        <v>390701032</v>
      </c>
      <c r="C3610" s="1">
        <v>44934</v>
      </c>
      <c r="D3610" s="1">
        <v>44950</v>
      </c>
      <c r="E3610">
        <v>4</v>
      </c>
      <c r="F3610" t="str">
        <f>"16-K02-01"</f>
        <v>16-K02-01</v>
      </c>
      <c r="G3610">
        <v>1.3922000000000001</v>
      </c>
      <c r="H3610" t="s">
        <v>11</v>
      </c>
      <c r="I3610" t="s">
        <v>10</v>
      </c>
    </row>
    <row r="3611" spans="1:9" x14ac:dyDescent="0.25">
      <c r="A3611" t="str">
        <f t="shared" si="94"/>
        <v>89301000</v>
      </c>
      <c r="B3611" t="str">
        <f>"390720046"</f>
        <v>390720046</v>
      </c>
      <c r="C3611" s="1">
        <v>45208</v>
      </c>
      <c r="D3611" s="1">
        <v>45215</v>
      </c>
      <c r="E3611">
        <v>1</v>
      </c>
      <c r="F3611" t="str">
        <f>"06-K14-02"</f>
        <v>06-K14-02</v>
      </c>
      <c r="G3611">
        <v>0.61380000000000001</v>
      </c>
      <c r="H3611" t="s">
        <v>11</v>
      </c>
      <c r="I3611" t="s">
        <v>10</v>
      </c>
    </row>
    <row r="3612" spans="1:9" x14ac:dyDescent="0.25">
      <c r="A3612" t="str">
        <f t="shared" si="94"/>
        <v>89301000</v>
      </c>
      <c r="B3612" t="str">
        <f>"390720046"</f>
        <v>390720046</v>
      </c>
      <c r="C3612" s="1">
        <v>45105</v>
      </c>
      <c r="D3612" s="1">
        <v>45111</v>
      </c>
      <c r="E3612">
        <v>1</v>
      </c>
      <c r="F3612" t="str">
        <f>"04-R02-08"</f>
        <v>04-R02-08</v>
      </c>
      <c r="G3612">
        <v>1.054</v>
      </c>
      <c r="H3612" t="s">
        <v>11</v>
      </c>
      <c r="I3612" t="s">
        <v>10</v>
      </c>
    </row>
    <row r="3613" spans="1:9" x14ac:dyDescent="0.25">
      <c r="A3613" t="str">
        <f t="shared" si="94"/>
        <v>89301000</v>
      </c>
      <c r="B3613" t="str">
        <f>"390720046"</f>
        <v>390720046</v>
      </c>
      <c r="C3613" s="1">
        <v>45189</v>
      </c>
      <c r="D3613" s="1">
        <v>45198</v>
      </c>
      <c r="E3613">
        <v>1</v>
      </c>
      <c r="F3613" t="str">
        <f>"06-I07-05"</f>
        <v>06-I07-05</v>
      </c>
      <c r="G3613">
        <v>2.7919999999999998</v>
      </c>
      <c r="H3613" t="s">
        <v>12</v>
      </c>
      <c r="I3613" t="s">
        <v>10</v>
      </c>
    </row>
    <row r="3614" spans="1:9" x14ac:dyDescent="0.25">
      <c r="A3614" t="str">
        <f t="shared" si="94"/>
        <v>89301000</v>
      </c>
      <c r="B3614" t="str">
        <f>"390720046"</f>
        <v>390720046</v>
      </c>
      <c r="C3614" s="1">
        <v>45153</v>
      </c>
      <c r="D3614" s="1">
        <v>45154</v>
      </c>
      <c r="E3614">
        <v>1</v>
      </c>
      <c r="F3614" t="str">
        <f>"06-K14-02"</f>
        <v>06-K14-02</v>
      </c>
      <c r="G3614">
        <v>0.61380000000000001</v>
      </c>
      <c r="H3614" t="s">
        <v>11</v>
      </c>
      <c r="I3614" t="s">
        <v>10</v>
      </c>
    </row>
    <row r="3615" spans="1:9" x14ac:dyDescent="0.25">
      <c r="A3615" t="str">
        <f t="shared" si="94"/>
        <v>89301000</v>
      </c>
      <c r="B3615" t="str">
        <f>"390720046"</f>
        <v>390720046</v>
      </c>
      <c r="C3615" s="1">
        <v>44952</v>
      </c>
      <c r="D3615" s="1">
        <v>44957</v>
      </c>
      <c r="E3615">
        <v>1</v>
      </c>
      <c r="F3615" t="str">
        <f>"04-K10-02"</f>
        <v>04-K10-02</v>
      </c>
      <c r="G3615">
        <v>0.59470000000000001</v>
      </c>
      <c r="H3615" t="s">
        <v>11</v>
      </c>
      <c r="I3615" t="s">
        <v>10</v>
      </c>
    </row>
    <row r="3616" spans="1:9" x14ac:dyDescent="0.25">
      <c r="A3616" t="str">
        <f t="shared" si="94"/>
        <v>89301000</v>
      </c>
      <c r="B3616" t="str">
        <f>"390722408"</f>
        <v>390722408</v>
      </c>
      <c r="C3616" s="1">
        <v>45181</v>
      </c>
      <c r="D3616" s="1">
        <v>45186</v>
      </c>
      <c r="E3616">
        <v>1</v>
      </c>
      <c r="F3616" t="str">
        <f>"11-M06-03"</f>
        <v>11-M06-03</v>
      </c>
      <c r="G3616">
        <v>0.62009999999999998</v>
      </c>
      <c r="H3616" t="s">
        <v>12</v>
      </c>
      <c r="I3616" t="s">
        <v>10</v>
      </c>
    </row>
    <row r="3617" spans="1:9" x14ac:dyDescent="0.25">
      <c r="A3617" t="str">
        <f t="shared" si="94"/>
        <v>89301000</v>
      </c>
      <c r="B3617" t="str">
        <f>"390722408"</f>
        <v>390722408</v>
      </c>
      <c r="C3617" s="1">
        <v>45217</v>
      </c>
      <c r="D3617" s="1">
        <v>45221</v>
      </c>
      <c r="E3617">
        <v>1</v>
      </c>
      <c r="F3617" t="str">
        <f>"11-M06-03"</f>
        <v>11-M06-03</v>
      </c>
      <c r="G3617">
        <v>0.62009999999999998</v>
      </c>
      <c r="H3617" t="s">
        <v>12</v>
      </c>
      <c r="I3617" t="s">
        <v>10</v>
      </c>
    </row>
    <row r="3618" spans="1:9" x14ac:dyDescent="0.25">
      <c r="A3618" t="str">
        <f t="shared" si="94"/>
        <v>89301000</v>
      </c>
      <c r="B3618" t="str">
        <f>"390722408"</f>
        <v>390722408</v>
      </c>
      <c r="C3618" s="1">
        <v>45279</v>
      </c>
      <c r="D3618" s="1">
        <v>45282</v>
      </c>
      <c r="E3618">
        <v>1</v>
      </c>
      <c r="F3618" t="str">
        <f>"11-M06-03"</f>
        <v>11-M06-03</v>
      </c>
      <c r="G3618">
        <v>0.61150000000000004</v>
      </c>
      <c r="H3618" t="s">
        <v>12</v>
      </c>
      <c r="I3618" t="s">
        <v>10</v>
      </c>
    </row>
    <row r="3619" spans="1:9" x14ac:dyDescent="0.25">
      <c r="A3619" t="str">
        <f t="shared" si="94"/>
        <v>89301000</v>
      </c>
      <c r="B3619" t="str">
        <f>"390809408"</f>
        <v>390809408</v>
      </c>
      <c r="C3619" s="1">
        <v>45152</v>
      </c>
      <c r="D3619" s="1">
        <v>45156</v>
      </c>
      <c r="E3619">
        <v>1</v>
      </c>
      <c r="F3619" t="str">
        <f>"11-M05-01"</f>
        <v>11-M05-01</v>
      </c>
      <c r="G3619">
        <v>0.83750000000000002</v>
      </c>
      <c r="H3619" t="s">
        <v>12</v>
      </c>
      <c r="I3619" t="s">
        <v>10</v>
      </c>
    </row>
    <row r="3620" spans="1:9" x14ac:dyDescent="0.25">
      <c r="A3620" t="str">
        <f t="shared" si="94"/>
        <v>89301000</v>
      </c>
      <c r="B3620" t="str">
        <f>"390814438"</f>
        <v>390814438</v>
      </c>
      <c r="C3620" s="1">
        <v>44925</v>
      </c>
      <c r="D3620" s="1">
        <v>44930</v>
      </c>
      <c r="E3620">
        <v>1</v>
      </c>
      <c r="F3620" t="str">
        <f>"04-K08-03"</f>
        <v>04-K08-03</v>
      </c>
      <c r="G3620">
        <v>1.8479000000000001</v>
      </c>
      <c r="H3620" t="s">
        <v>11</v>
      </c>
      <c r="I3620" t="s">
        <v>10</v>
      </c>
    </row>
    <row r="3621" spans="1:9" x14ac:dyDescent="0.25">
      <c r="A3621" t="str">
        <f t="shared" si="94"/>
        <v>89301000</v>
      </c>
      <c r="B3621" t="str">
        <f>"390814438"</f>
        <v>390814438</v>
      </c>
      <c r="C3621" s="1">
        <v>45238</v>
      </c>
      <c r="D3621" s="1">
        <v>45254</v>
      </c>
      <c r="E3621">
        <v>1</v>
      </c>
      <c r="F3621" t="str">
        <f>"04-K09-02"</f>
        <v>04-K09-02</v>
      </c>
      <c r="G3621">
        <v>1.155</v>
      </c>
      <c r="H3621" t="s">
        <v>11</v>
      </c>
      <c r="I3621" t="s">
        <v>10</v>
      </c>
    </row>
    <row r="3622" spans="1:9" x14ac:dyDescent="0.25">
      <c r="A3622" t="str">
        <f t="shared" si="94"/>
        <v>89301000</v>
      </c>
      <c r="B3622" t="str">
        <f>"390815026"</f>
        <v>390815026</v>
      </c>
      <c r="C3622" s="1">
        <v>45270</v>
      </c>
      <c r="D3622" s="1">
        <v>45278</v>
      </c>
      <c r="E3622">
        <v>2</v>
      </c>
      <c r="F3622" t="str">
        <f>"04-K02-04"</f>
        <v>04-K02-04</v>
      </c>
      <c r="G3622">
        <v>0.82099999999999995</v>
      </c>
      <c r="H3622" t="s">
        <v>11</v>
      </c>
      <c r="I3622" t="s">
        <v>10</v>
      </c>
    </row>
    <row r="3623" spans="1:9" x14ac:dyDescent="0.25">
      <c r="A3623" t="str">
        <f t="shared" si="94"/>
        <v>89301000</v>
      </c>
      <c r="B3623" t="str">
        <f>"390818446"</f>
        <v>390818446</v>
      </c>
      <c r="C3623" s="1">
        <v>45090</v>
      </c>
      <c r="D3623" s="1">
        <v>45092</v>
      </c>
      <c r="E3623">
        <v>1</v>
      </c>
      <c r="F3623" t="str">
        <f>"05-I25-03"</f>
        <v>05-I25-03</v>
      </c>
      <c r="G3623">
        <v>1.633</v>
      </c>
      <c r="H3623" t="s">
        <v>12</v>
      </c>
      <c r="I3623" t="s">
        <v>10</v>
      </c>
    </row>
    <row r="3624" spans="1:9" x14ac:dyDescent="0.25">
      <c r="A3624" t="str">
        <f t="shared" si="94"/>
        <v>89301000</v>
      </c>
      <c r="B3624" t="str">
        <f>"390820472"</f>
        <v>390820472</v>
      </c>
      <c r="C3624" s="1">
        <v>45271</v>
      </c>
      <c r="D3624" s="1">
        <v>45278</v>
      </c>
      <c r="E3624">
        <v>4</v>
      </c>
      <c r="F3624" t="str">
        <f>"04-K02-04"</f>
        <v>04-K02-04</v>
      </c>
      <c r="G3624">
        <v>0.82099999999999995</v>
      </c>
      <c r="H3624" t="s">
        <v>11</v>
      </c>
      <c r="I3624" t="s">
        <v>10</v>
      </c>
    </row>
    <row r="3625" spans="1:9" x14ac:dyDescent="0.25">
      <c r="A3625" t="str">
        <f t="shared" si="94"/>
        <v>89301000</v>
      </c>
      <c r="B3625" t="str">
        <f>"390903480"</f>
        <v>390903480</v>
      </c>
      <c r="C3625" s="1">
        <v>45268</v>
      </c>
      <c r="D3625" s="1">
        <v>45275</v>
      </c>
      <c r="E3625">
        <v>4</v>
      </c>
      <c r="F3625" t="str">
        <f>"08-I04-02"</f>
        <v>08-I04-02</v>
      </c>
      <c r="G3625">
        <v>1.6229</v>
      </c>
      <c r="H3625" t="s">
        <v>14</v>
      </c>
      <c r="I3625" t="s">
        <v>10</v>
      </c>
    </row>
    <row r="3626" spans="1:9" x14ac:dyDescent="0.25">
      <c r="A3626" t="str">
        <f t="shared" si="94"/>
        <v>89301000</v>
      </c>
      <c r="B3626" t="str">
        <f>"390904412"</f>
        <v>390904412</v>
      </c>
      <c r="C3626" s="1">
        <v>45041</v>
      </c>
      <c r="D3626" s="1">
        <v>45043</v>
      </c>
      <c r="E3626">
        <v>1</v>
      </c>
      <c r="F3626" t="str">
        <f>"04-K09-03"</f>
        <v>04-K09-03</v>
      </c>
      <c r="G3626">
        <v>0.629</v>
      </c>
      <c r="H3626" t="s">
        <v>11</v>
      </c>
      <c r="I3626" t="s">
        <v>10</v>
      </c>
    </row>
    <row r="3627" spans="1:9" x14ac:dyDescent="0.25">
      <c r="A3627" t="str">
        <f t="shared" si="94"/>
        <v>89301000</v>
      </c>
      <c r="B3627" t="str">
        <f>"390904412"</f>
        <v>390904412</v>
      </c>
      <c r="C3627" s="1">
        <v>45027</v>
      </c>
      <c r="D3627" s="1">
        <v>45028</v>
      </c>
      <c r="E3627">
        <v>1</v>
      </c>
      <c r="F3627" t="str">
        <f>"04-K10-02"</f>
        <v>04-K10-02</v>
      </c>
      <c r="G3627">
        <v>0.40129999999999999</v>
      </c>
      <c r="H3627" t="s">
        <v>11</v>
      </c>
      <c r="I3627" t="s">
        <v>10</v>
      </c>
    </row>
    <row r="3628" spans="1:9" x14ac:dyDescent="0.25">
      <c r="A3628" t="str">
        <f t="shared" ref="A3628:A3690" si="95">"89301000"</f>
        <v>89301000</v>
      </c>
      <c r="B3628" t="str">
        <f>"391021406"</f>
        <v>391021406</v>
      </c>
      <c r="C3628" s="1">
        <v>45244</v>
      </c>
      <c r="D3628" s="1">
        <v>45246</v>
      </c>
      <c r="E3628">
        <v>1</v>
      </c>
      <c r="F3628" t="str">
        <f>"11-K01-04"</f>
        <v>11-K01-04</v>
      </c>
      <c r="G3628">
        <v>0.55759999999999998</v>
      </c>
      <c r="H3628" t="s">
        <v>11</v>
      </c>
      <c r="I3628" t="s">
        <v>10</v>
      </c>
    </row>
    <row r="3629" spans="1:9" x14ac:dyDescent="0.25">
      <c r="A3629" t="str">
        <f t="shared" si="95"/>
        <v>89301000</v>
      </c>
      <c r="B3629" t="str">
        <f>"391026444"</f>
        <v>391026444</v>
      </c>
      <c r="C3629" s="1">
        <v>45145</v>
      </c>
      <c r="D3629" s="1">
        <v>45148</v>
      </c>
      <c r="E3629">
        <v>1</v>
      </c>
      <c r="F3629" t="str">
        <f>"03-I19-03"</f>
        <v>03-I19-03</v>
      </c>
      <c r="G3629">
        <v>0.53249999999999997</v>
      </c>
      <c r="H3629" t="s">
        <v>11</v>
      </c>
      <c r="I3629" t="s">
        <v>10</v>
      </c>
    </row>
    <row r="3630" spans="1:9" x14ac:dyDescent="0.25">
      <c r="A3630" t="str">
        <f t="shared" si="95"/>
        <v>89301000</v>
      </c>
      <c r="B3630" t="str">
        <f>"391103443"</f>
        <v>391103443</v>
      </c>
      <c r="C3630" s="1">
        <v>45011</v>
      </c>
      <c r="D3630" s="1">
        <v>45019</v>
      </c>
      <c r="E3630">
        <v>8</v>
      </c>
      <c r="F3630" t="str">
        <f>"04-K08-04"</f>
        <v>04-K08-04</v>
      </c>
      <c r="G3630">
        <v>0.99750000000000005</v>
      </c>
      <c r="H3630" t="s">
        <v>11</v>
      </c>
      <c r="I3630" t="s">
        <v>10</v>
      </c>
    </row>
    <row r="3631" spans="1:9" x14ac:dyDescent="0.25">
      <c r="A3631" t="str">
        <f t="shared" si="95"/>
        <v>89301000</v>
      </c>
      <c r="B3631" t="str">
        <f>"391107437"</f>
        <v>391107437</v>
      </c>
      <c r="C3631" s="1">
        <v>45148</v>
      </c>
      <c r="D3631" s="1">
        <v>45151</v>
      </c>
      <c r="E3631">
        <v>1</v>
      </c>
      <c r="F3631" t="str">
        <f>"11-M06-03"</f>
        <v>11-M06-03</v>
      </c>
      <c r="G3631">
        <v>0.62009999999999998</v>
      </c>
      <c r="H3631" t="s">
        <v>12</v>
      </c>
      <c r="I3631" t="s">
        <v>10</v>
      </c>
    </row>
    <row r="3632" spans="1:9" x14ac:dyDescent="0.25">
      <c r="A3632" t="str">
        <f t="shared" si="95"/>
        <v>89301000</v>
      </c>
      <c r="B3632" t="str">
        <f>"395101469"</f>
        <v>395101469</v>
      </c>
      <c r="C3632" s="1">
        <v>44978</v>
      </c>
      <c r="D3632" s="1">
        <v>44986</v>
      </c>
      <c r="E3632">
        <v>1</v>
      </c>
      <c r="F3632" t="str">
        <f>"05-I18-04"</f>
        <v>05-I18-04</v>
      </c>
      <c r="G3632">
        <v>7.6277999999999997</v>
      </c>
      <c r="H3632" t="s">
        <v>12</v>
      </c>
      <c r="I3632" t="s">
        <v>10</v>
      </c>
    </row>
    <row r="3633" spans="1:9" x14ac:dyDescent="0.25">
      <c r="A3633" t="str">
        <f t="shared" si="95"/>
        <v>89301000</v>
      </c>
      <c r="B3633" t="str">
        <f>"395112050"</f>
        <v>395112050</v>
      </c>
      <c r="C3633" s="1">
        <v>45009</v>
      </c>
      <c r="D3633" s="1">
        <v>45017</v>
      </c>
      <c r="E3633">
        <v>7</v>
      </c>
      <c r="F3633" t="str">
        <f>"05-K07-03"</f>
        <v>05-K07-03</v>
      </c>
      <c r="G3633">
        <v>1.8048</v>
      </c>
      <c r="H3633" t="s">
        <v>11</v>
      </c>
      <c r="I3633" t="s">
        <v>10</v>
      </c>
    </row>
    <row r="3634" spans="1:9" x14ac:dyDescent="0.25">
      <c r="A3634" t="str">
        <f t="shared" si="95"/>
        <v>89301000</v>
      </c>
      <c r="B3634" t="str">
        <f>"395123426"</f>
        <v>395123426</v>
      </c>
      <c r="C3634" s="1">
        <v>44963</v>
      </c>
      <c r="D3634" s="1">
        <v>44964</v>
      </c>
      <c r="E3634">
        <v>1</v>
      </c>
      <c r="F3634" t="str">
        <f>"03-I24-00"</f>
        <v>03-I24-00</v>
      </c>
      <c r="G3634">
        <v>0.40670000000000001</v>
      </c>
      <c r="H3634" t="s">
        <v>11</v>
      </c>
      <c r="I3634" t="s">
        <v>10</v>
      </c>
    </row>
    <row r="3635" spans="1:9" x14ac:dyDescent="0.25">
      <c r="A3635" t="str">
        <f t="shared" si="95"/>
        <v>89301000</v>
      </c>
      <c r="B3635" t="str">
        <f>"395123455"</f>
        <v>395123455</v>
      </c>
      <c r="C3635" s="1">
        <v>44951</v>
      </c>
      <c r="D3635" s="1">
        <v>44959</v>
      </c>
      <c r="E3635">
        <v>1</v>
      </c>
      <c r="F3635" t="str">
        <f>"05-M06-06"</f>
        <v>05-M06-06</v>
      </c>
      <c r="G3635">
        <v>1.9834000000000001</v>
      </c>
      <c r="H3635" t="s">
        <v>12</v>
      </c>
      <c r="I3635" t="s">
        <v>10</v>
      </c>
    </row>
    <row r="3636" spans="1:9" x14ac:dyDescent="0.25">
      <c r="A3636" t="str">
        <f t="shared" si="95"/>
        <v>89301000</v>
      </c>
      <c r="B3636" t="str">
        <f>"395214406"</f>
        <v>395214406</v>
      </c>
      <c r="C3636" s="1">
        <v>45201</v>
      </c>
      <c r="D3636" s="1">
        <v>45203</v>
      </c>
      <c r="E3636">
        <v>8</v>
      </c>
      <c r="F3636" t="str">
        <f>"05-M06-06"</f>
        <v>05-M06-06</v>
      </c>
      <c r="G3636">
        <v>1.8264</v>
      </c>
      <c r="H3636" t="s">
        <v>12</v>
      </c>
      <c r="I3636" t="s">
        <v>10</v>
      </c>
    </row>
    <row r="3637" spans="1:9" x14ac:dyDescent="0.25">
      <c r="A3637" t="str">
        <f t="shared" si="95"/>
        <v>89301000</v>
      </c>
      <c r="B3637" t="str">
        <f>"395330426"</f>
        <v>395330426</v>
      </c>
      <c r="C3637" s="1">
        <v>44988</v>
      </c>
      <c r="D3637" s="1">
        <v>44995</v>
      </c>
      <c r="E3637">
        <v>2</v>
      </c>
      <c r="F3637" t="str">
        <f>"04-K03-03"</f>
        <v>04-K03-03</v>
      </c>
      <c r="G3637">
        <v>0.56110000000000004</v>
      </c>
      <c r="H3637" t="s">
        <v>11</v>
      </c>
      <c r="I3637" t="s">
        <v>10</v>
      </c>
    </row>
    <row r="3638" spans="1:9" x14ac:dyDescent="0.25">
      <c r="A3638" t="str">
        <f t="shared" si="95"/>
        <v>89301000</v>
      </c>
      <c r="B3638" t="str">
        <f>"395331434"</f>
        <v>395331434</v>
      </c>
      <c r="C3638" s="1">
        <v>44976</v>
      </c>
      <c r="D3638" s="1">
        <v>44978</v>
      </c>
      <c r="E3638">
        <v>1</v>
      </c>
      <c r="F3638" t="str">
        <f>"05-I14-03"</f>
        <v>05-I14-03</v>
      </c>
      <c r="G3638">
        <v>6.0362</v>
      </c>
      <c r="H3638" t="s">
        <v>12</v>
      </c>
      <c r="I3638" t="s">
        <v>10</v>
      </c>
    </row>
    <row r="3639" spans="1:9" x14ac:dyDescent="0.25">
      <c r="A3639" t="str">
        <f t="shared" si="95"/>
        <v>89301000</v>
      </c>
      <c r="B3639" t="str">
        <f>"395421417"</f>
        <v>395421417</v>
      </c>
      <c r="C3639" s="1">
        <v>45049</v>
      </c>
      <c r="D3639" s="1">
        <v>45057</v>
      </c>
      <c r="E3639">
        <v>1</v>
      </c>
      <c r="F3639" t="str">
        <f>"06-I07-05"</f>
        <v>06-I07-05</v>
      </c>
      <c r="G3639">
        <v>2.7919999999999998</v>
      </c>
      <c r="H3639" t="s">
        <v>12</v>
      </c>
      <c r="I3639" t="s">
        <v>10</v>
      </c>
    </row>
    <row r="3640" spans="1:9" x14ac:dyDescent="0.25">
      <c r="A3640" t="str">
        <f t="shared" si="95"/>
        <v>89301000</v>
      </c>
      <c r="B3640" t="str">
        <f>"395429447"</f>
        <v>395429447</v>
      </c>
      <c r="C3640" s="1">
        <v>45150</v>
      </c>
      <c r="D3640" s="1">
        <v>45156</v>
      </c>
      <c r="E3640">
        <v>4</v>
      </c>
      <c r="F3640" t="str">
        <f>"01-K04-02"</f>
        <v>01-K04-02</v>
      </c>
      <c r="G3640">
        <v>0.79990000000000006</v>
      </c>
      <c r="H3640" t="s">
        <v>11</v>
      </c>
      <c r="I3640" t="s">
        <v>10</v>
      </c>
    </row>
    <row r="3641" spans="1:9" x14ac:dyDescent="0.25">
      <c r="A3641" t="str">
        <f t="shared" si="95"/>
        <v>89301000</v>
      </c>
      <c r="B3641" t="str">
        <f>"395502435"</f>
        <v>395502435</v>
      </c>
      <c r="C3641" s="1">
        <v>45036</v>
      </c>
      <c r="D3641" s="1">
        <v>45040</v>
      </c>
      <c r="E3641">
        <v>1</v>
      </c>
      <c r="F3641" t="str">
        <f>"07-M02-04"</f>
        <v>07-M02-04</v>
      </c>
      <c r="G3641">
        <v>0.77339999999999998</v>
      </c>
      <c r="H3641" t="s">
        <v>12</v>
      </c>
      <c r="I3641" t="s">
        <v>10</v>
      </c>
    </row>
    <row r="3642" spans="1:9" x14ac:dyDescent="0.25">
      <c r="A3642" t="str">
        <f t="shared" si="95"/>
        <v>89301000</v>
      </c>
      <c r="B3642" t="str">
        <f>"395502435"</f>
        <v>395502435</v>
      </c>
      <c r="C3642" s="1">
        <v>44945</v>
      </c>
      <c r="D3642" s="1">
        <v>44949</v>
      </c>
      <c r="E3642">
        <v>1</v>
      </c>
      <c r="F3642" t="str">
        <f>"07-M02-04"</f>
        <v>07-M02-04</v>
      </c>
      <c r="G3642">
        <v>0.86550000000000005</v>
      </c>
      <c r="H3642" t="s">
        <v>12</v>
      </c>
      <c r="I3642" t="s">
        <v>10</v>
      </c>
    </row>
    <row r="3643" spans="1:9" x14ac:dyDescent="0.25">
      <c r="A3643" t="str">
        <f t="shared" si="95"/>
        <v>89301000</v>
      </c>
      <c r="B3643" t="str">
        <f>"395509452"</f>
        <v>395509452</v>
      </c>
      <c r="C3643" s="1">
        <v>45210</v>
      </c>
      <c r="D3643" s="1">
        <v>45211</v>
      </c>
      <c r="E3643">
        <v>1</v>
      </c>
      <c r="F3643" t="str">
        <f>"05-I14-03"</f>
        <v>05-I14-03</v>
      </c>
      <c r="G3643">
        <v>6.0362</v>
      </c>
      <c r="H3643" t="s">
        <v>12</v>
      </c>
      <c r="I3643" t="s">
        <v>10</v>
      </c>
    </row>
    <row r="3644" spans="1:9" x14ac:dyDescent="0.25">
      <c r="A3644" t="str">
        <f t="shared" si="95"/>
        <v>89301000</v>
      </c>
      <c r="B3644" t="str">
        <f>"395516441"</f>
        <v>395516441</v>
      </c>
      <c r="C3644" s="1">
        <v>45226</v>
      </c>
      <c r="D3644" s="1">
        <v>45260</v>
      </c>
      <c r="E3644">
        <v>1</v>
      </c>
      <c r="F3644" t="str">
        <f>"10-K13-02"</f>
        <v>10-K13-02</v>
      </c>
      <c r="G3644">
        <v>2.1413000000000002</v>
      </c>
      <c r="H3644" t="s">
        <v>11</v>
      </c>
      <c r="I3644" t="s">
        <v>10</v>
      </c>
    </row>
    <row r="3645" spans="1:9" x14ac:dyDescent="0.25">
      <c r="A3645" t="str">
        <f t="shared" si="95"/>
        <v>89301000</v>
      </c>
      <c r="B3645" t="str">
        <f>"395518427"</f>
        <v>395518427</v>
      </c>
      <c r="C3645" s="1">
        <v>45221</v>
      </c>
      <c r="D3645" s="1">
        <v>45226</v>
      </c>
      <c r="E3645">
        <v>1</v>
      </c>
      <c r="F3645" t="str">
        <f>"05-K07-04"</f>
        <v>05-K07-04</v>
      </c>
      <c r="G3645">
        <v>1.0760000000000001</v>
      </c>
      <c r="H3645" t="s">
        <v>11</v>
      </c>
      <c r="I3645" t="s">
        <v>10</v>
      </c>
    </row>
    <row r="3646" spans="1:9" x14ac:dyDescent="0.25">
      <c r="A3646" t="str">
        <f t="shared" si="95"/>
        <v>89301000</v>
      </c>
      <c r="B3646" t="str">
        <f>"395528046"</f>
        <v>395528046</v>
      </c>
      <c r="C3646" s="1">
        <v>45131</v>
      </c>
      <c r="D3646" s="1">
        <v>45142</v>
      </c>
      <c r="E3646">
        <v>1</v>
      </c>
      <c r="F3646" t="str">
        <f>"24-M06-02"</f>
        <v>24-M06-02</v>
      </c>
      <c r="G3646">
        <v>1.0699000000000001</v>
      </c>
      <c r="H3646" t="s">
        <v>11</v>
      </c>
      <c r="I3646" t="s">
        <v>10</v>
      </c>
    </row>
    <row r="3647" spans="1:9" x14ac:dyDescent="0.25">
      <c r="A3647" t="str">
        <f t="shared" si="95"/>
        <v>89301000</v>
      </c>
      <c r="B3647" t="str">
        <f>"395528046"</f>
        <v>395528046</v>
      </c>
      <c r="C3647" s="1">
        <v>45125</v>
      </c>
      <c r="D3647" s="1">
        <v>45131</v>
      </c>
      <c r="E3647">
        <v>3</v>
      </c>
      <c r="F3647" t="str">
        <f>"08-I06-04"</f>
        <v>08-I06-04</v>
      </c>
      <c r="G3647">
        <v>2.4180000000000001</v>
      </c>
      <c r="H3647" t="s">
        <v>9</v>
      </c>
      <c r="I3647" t="s">
        <v>10</v>
      </c>
    </row>
    <row r="3648" spans="1:9" x14ac:dyDescent="0.25">
      <c r="A3648" t="str">
        <f t="shared" si="95"/>
        <v>89301000</v>
      </c>
      <c r="B3648" t="str">
        <f>"395621433"</f>
        <v>395621433</v>
      </c>
      <c r="C3648" s="1">
        <v>44977</v>
      </c>
      <c r="D3648" s="1">
        <v>44977</v>
      </c>
      <c r="E3648">
        <v>1</v>
      </c>
      <c r="F3648" t="str">
        <f>"05-D01-08"</f>
        <v>05-D01-08</v>
      </c>
      <c r="G3648">
        <v>0.2303</v>
      </c>
      <c r="H3648" t="s">
        <v>11</v>
      </c>
      <c r="I3648" t="s">
        <v>10</v>
      </c>
    </row>
    <row r="3649" spans="1:9" x14ac:dyDescent="0.25">
      <c r="A3649" t="str">
        <f t="shared" si="95"/>
        <v>89301000</v>
      </c>
      <c r="B3649" t="str">
        <f>"395722423"</f>
        <v>395722423</v>
      </c>
      <c r="C3649" s="1">
        <v>45281</v>
      </c>
      <c r="D3649" s="1">
        <v>45282</v>
      </c>
      <c r="E3649">
        <v>7</v>
      </c>
      <c r="F3649" t="str">
        <f>"05-M06-02"</f>
        <v>05-M06-02</v>
      </c>
      <c r="G3649">
        <v>3.0922000000000001</v>
      </c>
      <c r="H3649" t="s">
        <v>12</v>
      </c>
      <c r="I3649" t="s">
        <v>10</v>
      </c>
    </row>
    <row r="3650" spans="1:9" x14ac:dyDescent="0.25">
      <c r="A3650" t="str">
        <f t="shared" si="95"/>
        <v>89301000</v>
      </c>
      <c r="B3650" t="str">
        <f>"395724406"</f>
        <v>395724406</v>
      </c>
      <c r="C3650" s="1">
        <v>45263</v>
      </c>
      <c r="D3650" s="1">
        <v>45264</v>
      </c>
      <c r="E3650">
        <v>5</v>
      </c>
      <c r="F3650" t="str">
        <f>"05-D01-06"</f>
        <v>05-D01-06</v>
      </c>
      <c r="G3650">
        <v>0.7571</v>
      </c>
      <c r="H3650" t="s">
        <v>11</v>
      </c>
      <c r="I3650" t="s">
        <v>10</v>
      </c>
    </row>
    <row r="3651" spans="1:9" x14ac:dyDescent="0.25">
      <c r="A3651" t="str">
        <f t="shared" si="95"/>
        <v>89301000</v>
      </c>
      <c r="B3651" t="str">
        <f>"395804448"</f>
        <v>395804448</v>
      </c>
      <c r="C3651" s="1">
        <v>45231</v>
      </c>
      <c r="D3651" s="1">
        <v>45236</v>
      </c>
      <c r="E3651">
        <v>1</v>
      </c>
      <c r="F3651" t="str">
        <f>"02-I06-03"</f>
        <v>02-I06-03</v>
      </c>
      <c r="G3651">
        <v>0.99260000000000004</v>
      </c>
      <c r="H3651" t="s">
        <v>12</v>
      </c>
      <c r="I3651" t="s">
        <v>10</v>
      </c>
    </row>
    <row r="3652" spans="1:9" x14ac:dyDescent="0.25">
      <c r="A3652" t="str">
        <f t="shared" si="95"/>
        <v>89301000</v>
      </c>
      <c r="B3652" t="str">
        <f>"395804448"</f>
        <v>395804448</v>
      </c>
      <c r="C3652" s="1">
        <v>45176</v>
      </c>
      <c r="D3652" s="1">
        <v>45180</v>
      </c>
      <c r="E3652">
        <v>1</v>
      </c>
      <c r="F3652" t="str">
        <f>"02-I06-04"</f>
        <v>02-I06-04</v>
      </c>
      <c r="G3652">
        <v>0.79630000000000001</v>
      </c>
      <c r="H3652" t="s">
        <v>12</v>
      </c>
      <c r="I3652" t="s">
        <v>10</v>
      </c>
    </row>
    <row r="3653" spans="1:9" x14ac:dyDescent="0.25">
      <c r="A3653" t="str">
        <f t="shared" si="95"/>
        <v>89301000</v>
      </c>
      <c r="B3653" t="str">
        <f>"395805458"</f>
        <v>395805458</v>
      </c>
      <c r="C3653" s="1">
        <v>45167</v>
      </c>
      <c r="D3653" s="1">
        <v>45168</v>
      </c>
      <c r="E3653">
        <v>1</v>
      </c>
      <c r="F3653" t="str">
        <f>"05-M06-06"</f>
        <v>05-M06-06</v>
      </c>
      <c r="G3653">
        <v>1.8264</v>
      </c>
      <c r="H3653" t="s">
        <v>12</v>
      </c>
      <c r="I3653" t="s">
        <v>10</v>
      </c>
    </row>
    <row r="3654" spans="1:9" x14ac:dyDescent="0.25">
      <c r="A3654" t="str">
        <f t="shared" si="95"/>
        <v>89301000</v>
      </c>
      <c r="B3654" t="str">
        <f>"395816411"</f>
        <v>395816411</v>
      </c>
      <c r="C3654" s="1">
        <v>44992</v>
      </c>
      <c r="D3654" s="1">
        <v>44993</v>
      </c>
      <c r="E3654">
        <v>1</v>
      </c>
      <c r="F3654" t="str">
        <f>"05-M06-08"</f>
        <v>05-M06-08</v>
      </c>
      <c r="G3654">
        <v>1.4228000000000001</v>
      </c>
      <c r="H3654" t="s">
        <v>12</v>
      </c>
      <c r="I3654" t="s">
        <v>10</v>
      </c>
    </row>
    <row r="3655" spans="1:9" x14ac:dyDescent="0.25">
      <c r="A3655" t="str">
        <f t="shared" si="95"/>
        <v>89301000</v>
      </c>
      <c r="B3655" t="str">
        <f>"395826424"</f>
        <v>395826424</v>
      </c>
      <c r="C3655" s="1">
        <v>45006</v>
      </c>
      <c r="D3655" s="1">
        <v>45018</v>
      </c>
      <c r="E3655">
        <v>7</v>
      </c>
      <c r="F3655" t="str">
        <f>"01-M02-00"</f>
        <v>01-M02-00</v>
      </c>
      <c r="G3655">
        <v>4.9393000000000002</v>
      </c>
      <c r="H3655" t="s">
        <v>12</v>
      </c>
      <c r="I3655" t="s">
        <v>10</v>
      </c>
    </row>
    <row r="3656" spans="1:9" x14ac:dyDescent="0.25">
      <c r="A3656" t="str">
        <f t="shared" si="95"/>
        <v>89301000</v>
      </c>
      <c r="B3656" t="str">
        <f>"395912431"</f>
        <v>395912431</v>
      </c>
      <c r="C3656" s="1">
        <v>45197</v>
      </c>
      <c r="D3656" s="1">
        <v>45205</v>
      </c>
      <c r="E3656">
        <v>1</v>
      </c>
      <c r="F3656" t="str">
        <f>"05-K07-03"</f>
        <v>05-K07-03</v>
      </c>
      <c r="G3656">
        <v>1.8048</v>
      </c>
      <c r="H3656" t="s">
        <v>11</v>
      </c>
      <c r="I3656" t="s">
        <v>10</v>
      </c>
    </row>
    <row r="3657" spans="1:9" x14ac:dyDescent="0.25">
      <c r="A3657" t="str">
        <f t="shared" si="95"/>
        <v>89301000</v>
      </c>
      <c r="B3657" t="str">
        <f>"395917412"</f>
        <v>395917412</v>
      </c>
      <c r="C3657" s="1">
        <v>44964</v>
      </c>
      <c r="D3657" s="1">
        <v>44972</v>
      </c>
      <c r="E3657">
        <v>1</v>
      </c>
      <c r="F3657" t="str">
        <f>"09-K01-02"</f>
        <v>09-K01-02</v>
      </c>
      <c r="G3657">
        <v>1.0014000000000001</v>
      </c>
      <c r="H3657" t="s">
        <v>11</v>
      </c>
      <c r="I3657" t="s">
        <v>10</v>
      </c>
    </row>
    <row r="3658" spans="1:9" x14ac:dyDescent="0.25">
      <c r="A3658" t="str">
        <f t="shared" si="95"/>
        <v>89301000</v>
      </c>
      <c r="B3658" t="str">
        <f>"395918458"</f>
        <v>395918458</v>
      </c>
      <c r="C3658" s="1">
        <v>44974</v>
      </c>
      <c r="D3658" s="1">
        <v>44974</v>
      </c>
      <c r="E3658">
        <v>1</v>
      </c>
      <c r="F3658" t="str">
        <f>"05-K05-05"</f>
        <v>05-K05-05</v>
      </c>
      <c r="G3658">
        <v>0.17829999999999999</v>
      </c>
      <c r="H3658" t="s">
        <v>11</v>
      </c>
      <c r="I3658" t="s">
        <v>10</v>
      </c>
    </row>
    <row r="3659" spans="1:9" x14ac:dyDescent="0.25">
      <c r="A3659" t="str">
        <f t="shared" si="95"/>
        <v>89301000</v>
      </c>
      <c r="B3659" t="str">
        <f>"395918458"</f>
        <v>395918458</v>
      </c>
      <c r="C3659" s="1">
        <v>44991</v>
      </c>
      <c r="D3659" s="1">
        <v>44992</v>
      </c>
      <c r="E3659">
        <v>1</v>
      </c>
      <c r="F3659" t="str">
        <f>"05-M09-00"</f>
        <v>05-M09-00</v>
      </c>
      <c r="G3659">
        <v>1.2278</v>
      </c>
      <c r="H3659" t="s">
        <v>11</v>
      </c>
      <c r="I3659" t="s">
        <v>10</v>
      </c>
    </row>
    <row r="3660" spans="1:9" x14ac:dyDescent="0.25">
      <c r="A3660" t="str">
        <f t="shared" si="95"/>
        <v>89301000</v>
      </c>
      <c r="B3660" t="str">
        <f>"395918458"</f>
        <v>395918458</v>
      </c>
      <c r="C3660" s="1">
        <v>44959</v>
      </c>
      <c r="D3660" s="1">
        <v>44964</v>
      </c>
      <c r="E3660">
        <v>1</v>
      </c>
      <c r="F3660" t="str">
        <f>"05-I14-03"</f>
        <v>05-I14-03</v>
      </c>
      <c r="G3660">
        <v>6.0362</v>
      </c>
      <c r="H3660" t="s">
        <v>12</v>
      </c>
      <c r="I3660" t="s">
        <v>10</v>
      </c>
    </row>
    <row r="3661" spans="1:9" x14ac:dyDescent="0.25">
      <c r="A3661" t="str">
        <f t="shared" si="95"/>
        <v>89301000</v>
      </c>
      <c r="B3661" t="str">
        <f>"395922103"</f>
        <v>395922103</v>
      </c>
      <c r="C3661" s="1">
        <v>44990</v>
      </c>
      <c r="D3661" s="1">
        <v>44999</v>
      </c>
      <c r="E3661">
        <v>1</v>
      </c>
      <c r="F3661" t="str">
        <f>"04-K02-04"</f>
        <v>04-K02-04</v>
      </c>
      <c r="G3661">
        <v>0.82099999999999995</v>
      </c>
      <c r="H3661" t="s">
        <v>11</v>
      </c>
      <c r="I3661" t="s">
        <v>10</v>
      </c>
    </row>
    <row r="3662" spans="1:9" x14ac:dyDescent="0.25">
      <c r="A3662" t="str">
        <f t="shared" si="95"/>
        <v>89301000</v>
      </c>
      <c r="B3662" t="str">
        <f>"396001428"</f>
        <v>396001428</v>
      </c>
      <c r="C3662" s="1">
        <v>45216</v>
      </c>
      <c r="D3662" s="1">
        <v>45224</v>
      </c>
      <c r="E3662">
        <v>2</v>
      </c>
      <c r="F3662" t="str">
        <f>"08-K08-00"</f>
        <v>08-K08-00</v>
      </c>
      <c r="G3662">
        <v>0.52949999999999997</v>
      </c>
      <c r="H3662" t="s">
        <v>11</v>
      </c>
      <c r="I3662" t="s">
        <v>10</v>
      </c>
    </row>
    <row r="3663" spans="1:9" x14ac:dyDescent="0.25">
      <c r="A3663" t="str">
        <f t="shared" si="95"/>
        <v>89301000</v>
      </c>
      <c r="B3663" t="str">
        <f>"396024091"</f>
        <v>396024091</v>
      </c>
      <c r="C3663" s="1">
        <v>45195</v>
      </c>
      <c r="D3663" s="1">
        <v>45202</v>
      </c>
      <c r="E3663">
        <v>4</v>
      </c>
      <c r="F3663" t="str">
        <f>"08-I15-02"</f>
        <v>08-I15-02</v>
      </c>
      <c r="G3663">
        <v>1.5535000000000001</v>
      </c>
      <c r="H3663" t="s">
        <v>12</v>
      </c>
      <c r="I3663" t="s">
        <v>10</v>
      </c>
    </row>
    <row r="3664" spans="1:9" x14ac:dyDescent="0.25">
      <c r="A3664" t="str">
        <f t="shared" si="95"/>
        <v>89301000</v>
      </c>
      <c r="B3664" t="str">
        <f>"396121417"</f>
        <v>396121417</v>
      </c>
      <c r="C3664" s="1">
        <v>45070</v>
      </c>
      <c r="D3664" s="1">
        <v>45085</v>
      </c>
      <c r="E3664">
        <v>1</v>
      </c>
      <c r="F3664" t="str">
        <f>"11-K01-04"</f>
        <v>11-K01-04</v>
      </c>
      <c r="G3664">
        <v>0.7147</v>
      </c>
      <c r="H3664" t="s">
        <v>11</v>
      </c>
      <c r="I3664" t="s">
        <v>10</v>
      </c>
    </row>
    <row r="3665" spans="1:9" x14ac:dyDescent="0.25">
      <c r="A3665" t="str">
        <f t="shared" si="95"/>
        <v>89301000</v>
      </c>
      <c r="B3665" t="str">
        <f>"396206429"</f>
        <v>396206429</v>
      </c>
      <c r="C3665" s="1">
        <v>45102</v>
      </c>
      <c r="D3665" s="1">
        <v>45107</v>
      </c>
      <c r="E3665">
        <v>1</v>
      </c>
      <c r="F3665" t="str">
        <f>"11-I08-03"</f>
        <v>11-I08-03</v>
      </c>
      <c r="G3665">
        <v>2.0529999999999999</v>
      </c>
      <c r="H3665" t="s">
        <v>9</v>
      </c>
      <c r="I3665" t="s">
        <v>10</v>
      </c>
    </row>
    <row r="3666" spans="1:9" x14ac:dyDescent="0.25">
      <c r="A3666" t="str">
        <f t="shared" si="95"/>
        <v>89301000</v>
      </c>
      <c r="B3666" t="str">
        <f>"396206437"</f>
        <v>396206437</v>
      </c>
      <c r="C3666" s="1">
        <v>45027</v>
      </c>
      <c r="D3666" s="1">
        <v>45040</v>
      </c>
      <c r="E3666">
        <v>4</v>
      </c>
      <c r="F3666" t="str">
        <f>"06-K13-02"</f>
        <v>06-K13-02</v>
      </c>
      <c r="G3666">
        <v>0.62629999999999997</v>
      </c>
      <c r="H3666" t="s">
        <v>11</v>
      </c>
      <c r="I3666" t="s">
        <v>10</v>
      </c>
    </row>
    <row r="3667" spans="1:9" x14ac:dyDescent="0.25">
      <c r="A3667" t="str">
        <f t="shared" si="95"/>
        <v>89301000</v>
      </c>
      <c r="B3667" t="str">
        <f>"396213443"</f>
        <v>396213443</v>
      </c>
      <c r="C3667" s="1">
        <v>45254</v>
      </c>
      <c r="D3667" s="1">
        <v>45260</v>
      </c>
      <c r="E3667">
        <v>4</v>
      </c>
      <c r="F3667" t="str">
        <f>"01-K16-02"</f>
        <v>01-K16-02</v>
      </c>
      <c r="G3667">
        <v>1.0049999999999999</v>
      </c>
      <c r="H3667" t="s">
        <v>11</v>
      </c>
      <c r="I3667" t="s">
        <v>10</v>
      </c>
    </row>
    <row r="3668" spans="1:9" x14ac:dyDescent="0.25">
      <c r="A3668" t="str">
        <f t="shared" si="95"/>
        <v>89301000</v>
      </c>
      <c r="B3668" t="str">
        <f>"396215445"</f>
        <v>396215445</v>
      </c>
      <c r="C3668" s="1">
        <v>45123</v>
      </c>
      <c r="D3668" s="1">
        <v>45125</v>
      </c>
      <c r="E3668">
        <v>4</v>
      </c>
      <c r="F3668" t="str">
        <f>"08-K12-02"</f>
        <v>08-K12-02</v>
      </c>
      <c r="G3668">
        <v>0.75429999999999997</v>
      </c>
      <c r="H3668" t="s">
        <v>11</v>
      </c>
      <c r="I3668" t="s">
        <v>10</v>
      </c>
    </row>
    <row r="3669" spans="1:9" x14ac:dyDescent="0.25">
      <c r="A3669" t="str">
        <f t="shared" si="95"/>
        <v>89301000</v>
      </c>
      <c r="B3669" t="str">
        <f>"396215445"</f>
        <v>396215445</v>
      </c>
      <c r="C3669" s="1">
        <v>44934</v>
      </c>
      <c r="D3669" s="1">
        <v>44939</v>
      </c>
      <c r="E3669">
        <v>1</v>
      </c>
      <c r="F3669" t="str">
        <f>"03-K02-02"</f>
        <v>03-K02-02</v>
      </c>
      <c r="G3669">
        <v>0.57650000000000001</v>
      </c>
      <c r="H3669" t="s">
        <v>11</v>
      </c>
      <c r="I3669" t="s">
        <v>10</v>
      </c>
    </row>
    <row r="3670" spans="1:9" x14ac:dyDescent="0.25">
      <c r="A3670" t="str">
        <f t="shared" si="95"/>
        <v>89301000</v>
      </c>
      <c r="B3670" t="str">
        <f>"400101422"</f>
        <v>400101422</v>
      </c>
      <c r="C3670" s="1">
        <v>45128</v>
      </c>
      <c r="D3670" s="1">
        <v>45135</v>
      </c>
      <c r="E3670">
        <v>1</v>
      </c>
      <c r="F3670" t="str">
        <f>"06-K10-03"</f>
        <v>06-K10-03</v>
      </c>
      <c r="G3670">
        <v>0.43519999999999998</v>
      </c>
      <c r="H3670" t="s">
        <v>11</v>
      </c>
      <c r="I3670" t="s">
        <v>10</v>
      </c>
    </row>
    <row r="3671" spans="1:9" x14ac:dyDescent="0.25">
      <c r="A3671" t="str">
        <f t="shared" si="95"/>
        <v>89301000</v>
      </c>
      <c r="B3671" t="str">
        <f>"400117436"</f>
        <v>400117436</v>
      </c>
      <c r="C3671" s="1">
        <v>45085</v>
      </c>
      <c r="D3671" s="1">
        <v>45086</v>
      </c>
      <c r="E3671">
        <v>1</v>
      </c>
      <c r="F3671" t="str">
        <f>"05-M06-08"</f>
        <v>05-M06-08</v>
      </c>
      <c r="G3671">
        <v>1.4228000000000001</v>
      </c>
      <c r="H3671" t="s">
        <v>12</v>
      </c>
      <c r="I3671" t="s">
        <v>10</v>
      </c>
    </row>
    <row r="3672" spans="1:9" x14ac:dyDescent="0.25">
      <c r="A3672" t="str">
        <f t="shared" si="95"/>
        <v>89301000</v>
      </c>
      <c r="B3672" t="str">
        <f>"400224443"</f>
        <v>400224443</v>
      </c>
      <c r="C3672" s="1">
        <v>44971</v>
      </c>
      <c r="D3672" s="1">
        <v>44973</v>
      </c>
      <c r="E3672">
        <v>1</v>
      </c>
      <c r="F3672" t="str">
        <f>"01-K04-02"</f>
        <v>01-K04-02</v>
      </c>
      <c r="G3672">
        <v>0.79990000000000006</v>
      </c>
      <c r="H3672" t="s">
        <v>11</v>
      </c>
      <c r="I3672" t="s">
        <v>10</v>
      </c>
    </row>
    <row r="3673" spans="1:9" x14ac:dyDescent="0.25">
      <c r="A3673" t="str">
        <f t="shared" si="95"/>
        <v>89301000</v>
      </c>
      <c r="B3673" t="str">
        <f>"400304466"</f>
        <v>400304466</v>
      </c>
      <c r="C3673" s="1">
        <v>45167</v>
      </c>
      <c r="D3673" s="1">
        <v>45187</v>
      </c>
      <c r="E3673">
        <v>1</v>
      </c>
      <c r="F3673" t="str">
        <f>"01-K04-02"</f>
        <v>01-K04-02</v>
      </c>
      <c r="G3673">
        <v>1.1186</v>
      </c>
      <c r="H3673" t="s">
        <v>11</v>
      </c>
      <c r="I3673" t="s">
        <v>10</v>
      </c>
    </row>
    <row r="3674" spans="1:9" x14ac:dyDescent="0.25">
      <c r="A3674" t="str">
        <f t="shared" si="95"/>
        <v>89301000</v>
      </c>
      <c r="B3674" t="str">
        <f>"400304469"</f>
        <v>400304469</v>
      </c>
      <c r="C3674" s="1">
        <v>45098</v>
      </c>
      <c r="D3674" s="1">
        <v>45138</v>
      </c>
      <c r="E3674">
        <v>1</v>
      </c>
      <c r="F3674" t="str">
        <f>"10-K13-02"</f>
        <v>10-K13-02</v>
      </c>
      <c r="G3674">
        <v>2.2957999999999998</v>
      </c>
      <c r="H3674" t="s">
        <v>11</v>
      </c>
      <c r="I3674" t="s">
        <v>10</v>
      </c>
    </row>
    <row r="3675" spans="1:9" x14ac:dyDescent="0.25">
      <c r="A3675" t="str">
        <f t="shared" si="95"/>
        <v>89301000</v>
      </c>
      <c r="B3675" t="str">
        <f>"400316467"</f>
        <v>400316467</v>
      </c>
      <c r="C3675" s="1">
        <v>45268</v>
      </c>
      <c r="D3675" s="1">
        <v>45273</v>
      </c>
      <c r="E3675">
        <v>1</v>
      </c>
      <c r="F3675" t="str">
        <f>"05-K14-02"</f>
        <v>05-K14-02</v>
      </c>
      <c r="G3675">
        <v>0.9103</v>
      </c>
      <c r="H3675" t="s">
        <v>11</v>
      </c>
      <c r="I3675" t="s">
        <v>16</v>
      </c>
    </row>
    <row r="3676" spans="1:9" x14ac:dyDescent="0.25">
      <c r="A3676" t="str">
        <f t="shared" si="95"/>
        <v>89301000</v>
      </c>
      <c r="B3676" t="str">
        <f>"400322423"</f>
        <v>400322423</v>
      </c>
      <c r="C3676" s="1">
        <v>44935</v>
      </c>
      <c r="D3676" s="1">
        <v>44937</v>
      </c>
      <c r="E3676">
        <v>1</v>
      </c>
      <c r="F3676" t="str">
        <f>"05-I29-03"</f>
        <v>05-I29-03</v>
      </c>
      <c r="G3676">
        <v>1.0078</v>
      </c>
      <c r="H3676" t="s">
        <v>12</v>
      </c>
      <c r="I3676" t="s">
        <v>10</v>
      </c>
    </row>
    <row r="3677" spans="1:9" x14ac:dyDescent="0.25">
      <c r="A3677" t="str">
        <f t="shared" si="95"/>
        <v>89301000</v>
      </c>
      <c r="B3677" t="str">
        <f>"400329443"</f>
        <v>400329443</v>
      </c>
      <c r="C3677" s="1">
        <v>44950</v>
      </c>
      <c r="D3677" s="1">
        <v>44972</v>
      </c>
      <c r="E3677">
        <v>1</v>
      </c>
      <c r="F3677" t="str">
        <f>"06-K13-02"</f>
        <v>06-K13-02</v>
      </c>
      <c r="G3677">
        <v>1.1684000000000001</v>
      </c>
      <c r="H3677" t="s">
        <v>11</v>
      </c>
      <c r="I3677" t="s">
        <v>10</v>
      </c>
    </row>
    <row r="3678" spans="1:9" x14ac:dyDescent="0.25">
      <c r="A3678" t="str">
        <f t="shared" si="95"/>
        <v>89301000</v>
      </c>
      <c r="B3678" t="str">
        <f>"400409454"</f>
        <v>400409454</v>
      </c>
      <c r="C3678" s="1">
        <v>44941</v>
      </c>
      <c r="D3678" s="1">
        <v>44946</v>
      </c>
      <c r="E3678">
        <v>1</v>
      </c>
      <c r="F3678" t="str">
        <f>"11-K01-04"</f>
        <v>11-K01-04</v>
      </c>
      <c r="G3678">
        <v>0.57130000000000003</v>
      </c>
      <c r="H3678" t="s">
        <v>11</v>
      </c>
      <c r="I3678" t="s">
        <v>10</v>
      </c>
    </row>
    <row r="3679" spans="1:9" x14ac:dyDescent="0.25">
      <c r="A3679" t="str">
        <f t="shared" si="95"/>
        <v>89301000</v>
      </c>
      <c r="B3679" t="str">
        <f>"400513452"</f>
        <v>400513452</v>
      </c>
      <c r="C3679" s="1">
        <v>45153</v>
      </c>
      <c r="D3679" s="1">
        <v>45155</v>
      </c>
      <c r="E3679">
        <v>1</v>
      </c>
      <c r="F3679" t="str">
        <f>"11-M06-03"</f>
        <v>11-M06-03</v>
      </c>
      <c r="G3679">
        <v>0.62009999999999998</v>
      </c>
      <c r="H3679" t="s">
        <v>12</v>
      </c>
      <c r="I3679" t="s">
        <v>10</v>
      </c>
    </row>
    <row r="3680" spans="1:9" x14ac:dyDescent="0.25">
      <c r="A3680" t="str">
        <f t="shared" si="95"/>
        <v>89301000</v>
      </c>
      <c r="B3680" t="str">
        <f>"400513452"</f>
        <v>400513452</v>
      </c>
      <c r="C3680" s="1">
        <v>44943</v>
      </c>
      <c r="D3680" s="1">
        <v>44947</v>
      </c>
      <c r="E3680">
        <v>1</v>
      </c>
      <c r="F3680" t="str">
        <f>"11-M06-03"</f>
        <v>11-M06-03</v>
      </c>
      <c r="G3680">
        <v>0.62009999999999998</v>
      </c>
      <c r="H3680" t="s">
        <v>12</v>
      </c>
      <c r="I3680" t="s">
        <v>10</v>
      </c>
    </row>
    <row r="3681" spans="1:9" x14ac:dyDescent="0.25">
      <c r="A3681" t="str">
        <f t="shared" si="95"/>
        <v>89301000</v>
      </c>
      <c r="B3681" t="str">
        <f>"400513452"</f>
        <v>400513452</v>
      </c>
      <c r="C3681" s="1">
        <v>45056</v>
      </c>
      <c r="D3681" s="1">
        <v>45058</v>
      </c>
      <c r="E3681">
        <v>1</v>
      </c>
      <c r="F3681" t="str">
        <f>"11-M06-03"</f>
        <v>11-M06-03</v>
      </c>
      <c r="G3681">
        <v>0.62009999999999998</v>
      </c>
      <c r="H3681" t="s">
        <v>12</v>
      </c>
      <c r="I3681" t="s">
        <v>10</v>
      </c>
    </row>
    <row r="3682" spans="1:9" x14ac:dyDescent="0.25">
      <c r="A3682" t="str">
        <f t="shared" si="95"/>
        <v>89301000</v>
      </c>
      <c r="B3682" t="str">
        <f>"400527412"</f>
        <v>400527412</v>
      </c>
      <c r="C3682" s="1">
        <v>45091</v>
      </c>
      <c r="D3682" s="1">
        <v>45096</v>
      </c>
      <c r="E3682">
        <v>2</v>
      </c>
      <c r="F3682" t="str">
        <f>"16-K02-02"</f>
        <v>16-K02-02</v>
      </c>
      <c r="G3682">
        <v>0.76349999999999996</v>
      </c>
      <c r="H3682" t="s">
        <v>11</v>
      </c>
      <c r="I3682" t="s">
        <v>10</v>
      </c>
    </row>
    <row r="3683" spans="1:9" x14ac:dyDescent="0.25">
      <c r="A3683" t="str">
        <f t="shared" si="95"/>
        <v>89301000</v>
      </c>
      <c r="B3683" t="str">
        <f>"400613452"</f>
        <v>400613452</v>
      </c>
      <c r="C3683" s="1">
        <v>45049</v>
      </c>
      <c r="D3683" s="1">
        <v>45061</v>
      </c>
      <c r="E3683">
        <v>5</v>
      </c>
      <c r="F3683" t="str">
        <f>"05-K07-04"</f>
        <v>05-K07-04</v>
      </c>
      <c r="G3683">
        <v>1.0760000000000001</v>
      </c>
      <c r="H3683" t="s">
        <v>11</v>
      </c>
      <c r="I3683" t="s">
        <v>10</v>
      </c>
    </row>
    <row r="3684" spans="1:9" x14ac:dyDescent="0.25">
      <c r="A3684" t="str">
        <f t="shared" si="95"/>
        <v>89301000</v>
      </c>
      <c r="B3684" t="str">
        <f>"400721412"</f>
        <v>400721412</v>
      </c>
      <c r="C3684" s="1">
        <v>45272</v>
      </c>
      <c r="D3684" s="1">
        <v>45274</v>
      </c>
      <c r="E3684">
        <v>1</v>
      </c>
      <c r="F3684" t="str">
        <f t="shared" ref="F3684:F3689" si="96">"11-M06-03"</f>
        <v>11-M06-03</v>
      </c>
      <c r="G3684">
        <v>0.61150000000000004</v>
      </c>
      <c r="H3684" t="s">
        <v>12</v>
      </c>
      <c r="I3684" t="s">
        <v>10</v>
      </c>
    </row>
    <row r="3685" spans="1:9" x14ac:dyDescent="0.25">
      <c r="A3685" t="str">
        <f t="shared" si="95"/>
        <v>89301000</v>
      </c>
      <c r="B3685" t="str">
        <f>"400721412"</f>
        <v>400721412</v>
      </c>
      <c r="C3685" s="1">
        <v>45076</v>
      </c>
      <c r="D3685" s="1">
        <v>45081</v>
      </c>
      <c r="E3685">
        <v>1</v>
      </c>
      <c r="F3685" t="str">
        <f t="shared" si="96"/>
        <v>11-M06-03</v>
      </c>
      <c r="G3685">
        <v>0.62009999999999998</v>
      </c>
      <c r="H3685" t="s">
        <v>12</v>
      </c>
      <c r="I3685" t="s">
        <v>10</v>
      </c>
    </row>
    <row r="3686" spans="1:9" x14ac:dyDescent="0.25">
      <c r="A3686" t="str">
        <f t="shared" si="95"/>
        <v>89301000</v>
      </c>
      <c r="B3686" t="str">
        <f>"400721412"</f>
        <v>400721412</v>
      </c>
      <c r="C3686" s="1">
        <v>45126</v>
      </c>
      <c r="D3686" s="1">
        <v>45127</v>
      </c>
      <c r="E3686">
        <v>1</v>
      </c>
      <c r="F3686" t="str">
        <f t="shared" si="96"/>
        <v>11-M06-03</v>
      </c>
      <c r="G3686">
        <v>0.62009999999999998</v>
      </c>
      <c r="H3686" t="s">
        <v>12</v>
      </c>
      <c r="I3686" t="s">
        <v>10</v>
      </c>
    </row>
    <row r="3687" spans="1:9" x14ac:dyDescent="0.25">
      <c r="A3687" t="str">
        <f t="shared" si="95"/>
        <v>89301000</v>
      </c>
      <c r="B3687" t="str">
        <f>"400804467"</f>
        <v>400804467</v>
      </c>
      <c r="C3687" s="1">
        <v>45208</v>
      </c>
      <c r="D3687" s="1">
        <v>45210</v>
      </c>
      <c r="E3687">
        <v>1</v>
      </c>
      <c r="F3687" t="str">
        <f t="shared" si="96"/>
        <v>11-M06-03</v>
      </c>
      <c r="G3687">
        <v>0.61150000000000004</v>
      </c>
      <c r="H3687" t="s">
        <v>12</v>
      </c>
      <c r="I3687" t="s">
        <v>10</v>
      </c>
    </row>
    <row r="3688" spans="1:9" x14ac:dyDescent="0.25">
      <c r="A3688" t="str">
        <f t="shared" si="95"/>
        <v>89301000</v>
      </c>
      <c r="B3688" t="str">
        <f>"400804467"</f>
        <v>400804467</v>
      </c>
      <c r="C3688" s="1">
        <v>44957</v>
      </c>
      <c r="D3688" s="1">
        <v>44961</v>
      </c>
      <c r="E3688">
        <v>1</v>
      </c>
      <c r="F3688" t="str">
        <f t="shared" si="96"/>
        <v>11-M06-03</v>
      </c>
      <c r="G3688">
        <v>0.62009999999999998</v>
      </c>
      <c r="H3688" t="s">
        <v>12</v>
      </c>
      <c r="I3688" t="s">
        <v>10</v>
      </c>
    </row>
    <row r="3689" spans="1:9" x14ac:dyDescent="0.25">
      <c r="A3689" t="str">
        <f t="shared" si="95"/>
        <v>89301000</v>
      </c>
      <c r="B3689" t="str">
        <f>"400804467"</f>
        <v>400804467</v>
      </c>
      <c r="C3689" s="1">
        <v>45070</v>
      </c>
      <c r="D3689" s="1">
        <v>45073</v>
      </c>
      <c r="E3689">
        <v>1</v>
      </c>
      <c r="F3689" t="str">
        <f t="shared" si="96"/>
        <v>11-M06-03</v>
      </c>
      <c r="G3689">
        <v>0.62009999999999998</v>
      </c>
      <c r="H3689" t="s">
        <v>12</v>
      </c>
      <c r="I3689" t="s">
        <v>10</v>
      </c>
    </row>
    <row r="3690" spans="1:9" x14ac:dyDescent="0.25">
      <c r="A3690" t="str">
        <f t="shared" si="95"/>
        <v>89301000</v>
      </c>
      <c r="B3690" t="str">
        <f>"400823436"</f>
        <v>400823436</v>
      </c>
      <c r="C3690" s="1">
        <v>45184</v>
      </c>
      <c r="D3690" s="1">
        <v>45188</v>
      </c>
      <c r="E3690">
        <v>1</v>
      </c>
      <c r="F3690" t="str">
        <f>"01-K12-01"</f>
        <v>01-K12-01</v>
      </c>
      <c r="G3690">
        <v>0.72709999999999997</v>
      </c>
      <c r="H3690" t="s">
        <v>11</v>
      </c>
      <c r="I3690" t="s">
        <v>10</v>
      </c>
    </row>
    <row r="3691" spans="1:9" x14ac:dyDescent="0.25">
      <c r="A3691" t="str">
        <f t="shared" ref="A3691:A3751" si="97">"89301000"</f>
        <v>89301000</v>
      </c>
      <c r="B3691" t="str">
        <f>"400901148"</f>
        <v>400901148</v>
      </c>
      <c r="C3691" s="1">
        <v>44951</v>
      </c>
      <c r="D3691" s="1">
        <v>44952</v>
      </c>
      <c r="E3691">
        <v>8</v>
      </c>
      <c r="F3691" t="str">
        <f>"18-K01-05"</f>
        <v>18-K01-05</v>
      </c>
      <c r="G3691">
        <v>0.84809999999999997</v>
      </c>
      <c r="H3691" t="s">
        <v>11</v>
      </c>
      <c r="I3691" t="s">
        <v>10</v>
      </c>
    </row>
    <row r="3692" spans="1:9" x14ac:dyDescent="0.25">
      <c r="A3692" t="str">
        <f t="shared" si="97"/>
        <v>89301000</v>
      </c>
      <c r="B3692" t="str">
        <f>"400915440"</f>
        <v>400915440</v>
      </c>
      <c r="C3692" s="1">
        <v>45256</v>
      </c>
      <c r="D3692" s="1">
        <v>45258</v>
      </c>
      <c r="E3692">
        <v>1</v>
      </c>
      <c r="F3692" t="str">
        <f>"05-M05-03"</f>
        <v>05-M05-03</v>
      </c>
      <c r="G3692">
        <v>2.0312999999999999</v>
      </c>
      <c r="H3692" t="s">
        <v>14</v>
      </c>
      <c r="I3692" t="s">
        <v>10</v>
      </c>
    </row>
    <row r="3693" spans="1:9" x14ac:dyDescent="0.25">
      <c r="A3693" t="str">
        <f t="shared" si="97"/>
        <v>89301000</v>
      </c>
      <c r="B3693" t="str">
        <f>"400915440"</f>
        <v>400915440</v>
      </c>
      <c r="C3693" s="1">
        <v>45042</v>
      </c>
      <c r="D3693" s="1">
        <v>45044</v>
      </c>
      <c r="E3693">
        <v>1</v>
      </c>
      <c r="F3693" t="str">
        <f>"05-I14-03"</f>
        <v>05-I14-03</v>
      </c>
      <c r="G3693">
        <v>6.0362</v>
      </c>
      <c r="H3693" t="s">
        <v>12</v>
      </c>
      <c r="I3693" t="s">
        <v>10</v>
      </c>
    </row>
    <row r="3694" spans="1:9" x14ac:dyDescent="0.25">
      <c r="A3694" t="str">
        <f t="shared" si="97"/>
        <v>89301000</v>
      </c>
      <c r="B3694" t="str">
        <f>"400923460"</f>
        <v>400923460</v>
      </c>
      <c r="C3694" s="1">
        <v>45179</v>
      </c>
      <c r="D3694" s="1">
        <v>45184</v>
      </c>
      <c r="E3694">
        <v>4</v>
      </c>
      <c r="F3694" t="str">
        <f>"08-I06-04"</f>
        <v>08-I06-04</v>
      </c>
      <c r="G3694">
        <v>2.4180000000000001</v>
      </c>
      <c r="H3694" t="s">
        <v>9</v>
      </c>
      <c r="I3694" t="s">
        <v>10</v>
      </c>
    </row>
    <row r="3695" spans="1:9" x14ac:dyDescent="0.25">
      <c r="A3695" t="str">
        <f t="shared" si="97"/>
        <v>89301000</v>
      </c>
      <c r="B3695" t="str">
        <f>"400923460"</f>
        <v>400923460</v>
      </c>
      <c r="C3695" s="1">
        <v>45043</v>
      </c>
      <c r="D3695" s="1">
        <v>45048</v>
      </c>
      <c r="E3695">
        <v>1</v>
      </c>
      <c r="F3695" t="str">
        <f>"06-I16-04"</f>
        <v>06-I16-04</v>
      </c>
      <c r="G3695">
        <v>0.68920000000000003</v>
      </c>
      <c r="H3695" t="s">
        <v>9</v>
      </c>
      <c r="I3695" t="s">
        <v>10</v>
      </c>
    </row>
    <row r="3696" spans="1:9" x14ac:dyDescent="0.25">
      <c r="A3696" t="str">
        <f t="shared" si="97"/>
        <v>89301000</v>
      </c>
      <c r="B3696" t="str">
        <f>"401008412"</f>
        <v>401008412</v>
      </c>
      <c r="C3696" s="1">
        <v>45069</v>
      </c>
      <c r="D3696" s="1">
        <v>45071</v>
      </c>
      <c r="E3696">
        <v>1</v>
      </c>
      <c r="F3696" t="str">
        <f>"05-D01-06"</f>
        <v>05-D01-06</v>
      </c>
      <c r="G3696">
        <v>0.7571</v>
      </c>
      <c r="H3696" t="s">
        <v>11</v>
      </c>
      <c r="I3696" t="s">
        <v>10</v>
      </c>
    </row>
    <row r="3697" spans="1:9" x14ac:dyDescent="0.25">
      <c r="A3697" t="str">
        <f t="shared" si="97"/>
        <v>89301000</v>
      </c>
      <c r="B3697" t="str">
        <f>"401017436"</f>
        <v>401017436</v>
      </c>
      <c r="C3697" s="1">
        <v>45081</v>
      </c>
      <c r="D3697" s="1">
        <v>45087</v>
      </c>
      <c r="E3697">
        <v>1</v>
      </c>
      <c r="F3697" t="str">
        <f>"11-I08-02"</f>
        <v>11-I08-02</v>
      </c>
      <c r="G3697">
        <v>3.0893999999999999</v>
      </c>
      <c r="H3697" t="s">
        <v>9</v>
      </c>
      <c r="I3697" t="s">
        <v>10</v>
      </c>
    </row>
    <row r="3698" spans="1:9" x14ac:dyDescent="0.25">
      <c r="A3698" t="str">
        <f t="shared" si="97"/>
        <v>89301000</v>
      </c>
      <c r="B3698" t="str">
        <f>"401027418"</f>
        <v>401027418</v>
      </c>
      <c r="C3698" s="1">
        <v>45206</v>
      </c>
      <c r="D3698" s="1">
        <v>45218</v>
      </c>
      <c r="E3698">
        <v>1</v>
      </c>
      <c r="F3698" t="str">
        <f>"04-K02-02"</f>
        <v>04-K02-02</v>
      </c>
      <c r="G3698">
        <v>2.8616999999999999</v>
      </c>
      <c r="H3698" t="s">
        <v>11</v>
      </c>
      <c r="I3698" t="s">
        <v>10</v>
      </c>
    </row>
    <row r="3699" spans="1:9" x14ac:dyDescent="0.25">
      <c r="A3699" t="str">
        <f t="shared" si="97"/>
        <v>89301000</v>
      </c>
      <c r="B3699" t="str">
        <f>"401027418"</f>
        <v>401027418</v>
      </c>
      <c r="C3699" s="1">
        <v>45225</v>
      </c>
      <c r="D3699" s="1">
        <v>45231</v>
      </c>
      <c r="E3699">
        <v>1</v>
      </c>
      <c r="F3699" t="str">
        <f>"04-K02-03"</f>
        <v>04-K02-03</v>
      </c>
      <c r="G3699">
        <v>1.298</v>
      </c>
      <c r="H3699" t="s">
        <v>11</v>
      </c>
      <c r="I3699" t="s">
        <v>10</v>
      </c>
    </row>
    <row r="3700" spans="1:9" x14ac:dyDescent="0.25">
      <c r="A3700" t="str">
        <f t="shared" si="97"/>
        <v>89301000</v>
      </c>
      <c r="B3700" t="str">
        <f>"401117401"</f>
        <v>401117401</v>
      </c>
      <c r="C3700" s="1">
        <v>45027</v>
      </c>
      <c r="D3700" s="1">
        <v>45037</v>
      </c>
      <c r="E3700">
        <v>1</v>
      </c>
      <c r="F3700" t="str">
        <f>"12-I03-04"</f>
        <v>12-I03-04</v>
      </c>
      <c r="G3700">
        <v>1.7813000000000001</v>
      </c>
      <c r="H3700" t="s">
        <v>9</v>
      </c>
      <c r="I3700" t="s">
        <v>10</v>
      </c>
    </row>
    <row r="3701" spans="1:9" x14ac:dyDescent="0.25">
      <c r="A3701" t="str">
        <f t="shared" si="97"/>
        <v>89301000</v>
      </c>
      <c r="B3701" t="str">
        <f>"401117401"</f>
        <v>401117401</v>
      </c>
      <c r="C3701" s="1">
        <v>45040</v>
      </c>
      <c r="D3701" s="1">
        <v>45046</v>
      </c>
      <c r="E3701">
        <v>1</v>
      </c>
      <c r="F3701" t="str">
        <f>"12-K05-02"</f>
        <v>12-K05-02</v>
      </c>
      <c r="G3701">
        <v>0.52569999999999995</v>
      </c>
      <c r="H3701" t="s">
        <v>11</v>
      </c>
      <c r="I3701" t="s">
        <v>10</v>
      </c>
    </row>
    <row r="3702" spans="1:9" x14ac:dyDescent="0.25">
      <c r="A3702" t="str">
        <f t="shared" si="97"/>
        <v>89301000</v>
      </c>
      <c r="B3702" t="str">
        <f>"401120417"</f>
        <v>401120417</v>
      </c>
      <c r="C3702" s="1">
        <v>45024</v>
      </c>
      <c r="D3702" s="1">
        <v>45025</v>
      </c>
      <c r="E3702">
        <v>6</v>
      </c>
      <c r="F3702" t="str">
        <f>"01-K12-01"</f>
        <v>01-K12-01</v>
      </c>
      <c r="G3702">
        <v>0.72709999999999997</v>
      </c>
      <c r="H3702" t="s">
        <v>11</v>
      </c>
      <c r="I3702" t="s">
        <v>10</v>
      </c>
    </row>
    <row r="3703" spans="1:9" x14ac:dyDescent="0.25">
      <c r="A3703" t="str">
        <f t="shared" si="97"/>
        <v>89301000</v>
      </c>
      <c r="B3703" t="str">
        <f>"401127450"</f>
        <v>401127450</v>
      </c>
      <c r="C3703" s="1">
        <v>45084</v>
      </c>
      <c r="D3703" s="1">
        <v>45090</v>
      </c>
      <c r="E3703">
        <v>1</v>
      </c>
      <c r="F3703" t="str">
        <f>"11-I16-02"</f>
        <v>11-I16-02</v>
      </c>
      <c r="G3703">
        <v>0.63859999999999995</v>
      </c>
      <c r="H3703" t="s">
        <v>11</v>
      </c>
      <c r="I3703" t="s">
        <v>10</v>
      </c>
    </row>
    <row r="3704" spans="1:9" x14ac:dyDescent="0.25">
      <c r="A3704" t="str">
        <f t="shared" si="97"/>
        <v>89301000</v>
      </c>
      <c r="B3704" t="str">
        <f>"401127450"</f>
        <v>401127450</v>
      </c>
      <c r="C3704" s="1">
        <v>45028</v>
      </c>
      <c r="D3704" s="1">
        <v>45034</v>
      </c>
      <c r="E3704">
        <v>1</v>
      </c>
      <c r="F3704" t="str">
        <f>"11-K03-01"</f>
        <v>11-K03-01</v>
      </c>
      <c r="G3704">
        <v>1.2875000000000001</v>
      </c>
      <c r="H3704" t="s">
        <v>11</v>
      </c>
      <c r="I3704" t="s">
        <v>10</v>
      </c>
    </row>
    <row r="3705" spans="1:9" x14ac:dyDescent="0.25">
      <c r="A3705" t="str">
        <f t="shared" si="97"/>
        <v>89301000</v>
      </c>
      <c r="B3705" t="str">
        <f>"401127450"</f>
        <v>401127450</v>
      </c>
      <c r="C3705" s="1">
        <v>44978</v>
      </c>
      <c r="D3705" s="1">
        <v>44984</v>
      </c>
      <c r="E3705">
        <v>1</v>
      </c>
      <c r="F3705" t="str">
        <f>"05-I24-04"</f>
        <v>05-I24-04</v>
      </c>
      <c r="G3705">
        <v>2.1989000000000001</v>
      </c>
      <c r="H3705" t="s">
        <v>12</v>
      </c>
      <c r="I3705" t="s">
        <v>10</v>
      </c>
    </row>
    <row r="3706" spans="1:9" x14ac:dyDescent="0.25">
      <c r="A3706" t="str">
        <f t="shared" si="97"/>
        <v>89301000</v>
      </c>
      <c r="B3706" t="str">
        <f>"401228447"</f>
        <v>401228447</v>
      </c>
      <c r="C3706" s="1">
        <v>45127</v>
      </c>
      <c r="D3706" s="1">
        <v>45131</v>
      </c>
      <c r="E3706">
        <v>1</v>
      </c>
      <c r="F3706" t="str">
        <f>"05-M06-02"</f>
        <v>05-M06-02</v>
      </c>
      <c r="G3706">
        <v>3.8536000000000001</v>
      </c>
      <c r="H3706" t="s">
        <v>12</v>
      </c>
      <c r="I3706" t="s">
        <v>10</v>
      </c>
    </row>
    <row r="3707" spans="1:9" x14ac:dyDescent="0.25">
      <c r="A3707" t="str">
        <f t="shared" si="97"/>
        <v>89301000</v>
      </c>
      <c r="B3707" t="str">
        <f>"405101481"</f>
        <v>405101481</v>
      </c>
      <c r="C3707" s="1">
        <v>45205</v>
      </c>
      <c r="D3707" s="1">
        <v>45267</v>
      </c>
      <c r="E3707">
        <v>2</v>
      </c>
      <c r="F3707" t="str">
        <f>"04-I08-01"</f>
        <v>04-I08-01</v>
      </c>
      <c r="G3707">
        <v>6.008</v>
      </c>
      <c r="H3707" t="s">
        <v>11</v>
      </c>
      <c r="I3707" t="s">
        <v>10</v>
      </c>
    </row>
    <row r="3708" spans="1:9" x14ac:dyDescent="0.25">
      <c r="A3708" t="str">
        <f t="shared" si="97"/>
        <v>89301000</v>
      </c>
      <c r="B3708" t="str">
        <f>"405103423"</f>
        <v>405103423</v>
      </c>
      <c r="C3708" s="1">
        <v>45034</v>
      </c>
      <c r="D3708" s="1">
        <v>45035</v>
      </c>
      <c r="E3708">
        <v>1</v>
      </c>
      <c r="F3708" t="str">
        <f>"02-I13-02"</f>
        <v>02-I13-02</v>
      </c>
      <c r="G3708">
        <v>0.4259</v>
      </c>
      <c r="H3708" t="s">
        <v>11</v>
      </c>
      <c r="I3708" t="s">
        <v>10</v>
      </c>
    </row>
    <row r="3709" spans="1:9" x14ac:dyDescent="0.25">
      <c r="A3709" t="str">
        <f t="shared" si="97"/>
        <v>89301000</v>
      </c>
      <c r="B3709" t="str">
        <f>"405103428"</f>
        <v>405103428</v>
      </c>
      <c r="C3709" s="1">
        <v>45124</v>
      </c>
      <c r="D3709" s="1">
        <v>45129</v>
      </c>
      <c r="E3709">
        <v>1</v>
      </c>
      <c r="F3709" t="str">
        <f>"08-I06-04"</f>
        <v>08-I06-04</v>
      </c>
      <c r="G3709">
        <v>2.4180000000000001</v>
      </c>
      <c r="H3709" t="s">
        <v>9</v>
      </c>
      <c r="I3709" t="s">
        <v>10</v>
      </c>
    </row>
    <row r="3710" spans="1:9" x14ac:dyDescent="0.25">
      <c r="A3710" t="str">
        <f t="shared" si="97"/>
        <v>89301000</v>
      </c>
      <c r="B3710" t="str">
        <f>"405110412"</f>
        <v>405110412</v>
      </c>
      <c r="C3710" s="1">
        <v>45215</v>
      </c>
      <c r="D3710" s="1">
        <v>45219</v>
      </c>
      <c r="E3710">
        <v>1</v>
      </c>
      <c r="F3710" t="str">
        <f>"11-K01-04"</f>
        <v>11-K01-04</v>
      </c>
      <c r="G3710">
        <v>0.57130000000000003</v>
      </c>
      <c r="H3710" t="s">
        <v>11</v>
      </c>
      <c r="I3710" t="s">
        <v>10</v>
      </c>
    </row>
    <row r="3711" spans="1:9" x14ac:dyDescent="0.25">
      <c r="A3711" t="str">
        <f t="shared" si="97"/>
        <v>89301000</v>
      </c>
      <c r="B3711" t="str">
        <f>"405112452"</f>
        <v>405112452</v>
      </c>
      <c r="C3711" s="1">
        <v>45282</v>
      </c>
      <c r="D3711" s="1">
        <v>45283</v>
      </c>
      <c r="E3711">
        <v>1</v>
      </c>
      <c r="F3711" t="str">
        <f>"05-I25-02"</f>
        <v>05-I25-02</v>
      </c>
      <c r="G3711">
        <v>2.9415</v>
      </c>
      <c r="H3711" t="s">
        <v>12</v>
      </c>
      <c r="I3711" t="s">
        <v>10</v>
      </c>
    </row>
    <row r="3712" spans="1:9" x14ac:dyDescent="0.25">
      <c r="A3712" t="str">
        <f t="shared" si="97"/>
        <v>89301000</v>
      </c>
      <c r="B3712" t="str">
        <f>"405113404"</f>
        <v>405113404</v>
      </c>
      <c r="C3712" s="1">
        <v>44986</v>
      </c>
      <c r="D3712" s="1">
        <v>44995</v>
      </c>
      <c r="E3712">
        <v>1</v>
      </c>
      <c r="F3712" t="str">
        <f>"24-M06-02"</f>
        <v>24-M06-02</v>
      </c>
      <c r="G3712">
        <v>1.0699000000000001</v>
      </c>
      <c r="H3712" t="s">
        <v>11</v>
      </c>
      <c r="I3712" t="s">
        <v>10</v>
      </c>
    </row>
    <row r="3713" spans="1:9" x14ac:dyDescent="0.25">
      <c r="A3713" t="str">
        <f t="shared" si="97"/>
        <v>89301000</v>
      </c>
      <c r="B3713" t="str">
        <f>"405113404"</f>
        <v>405113404</v>
      </c>
      <c r="C3713" s="1">
        <v>44970</v>
      </c>
      <c r="D3713" s="1">
        <v>44974</v>
      </c>
      <c r="E3713">
        <v>1</v>
      </c>
      <c r="F3713" t="str">
        <f>"24-M05-02"</f>
        <v>24-M05-02</v>
      </c>
      <c r="G3713">
        <v>0.58660000000000001</v>
      </c>
      <c r="H3713" t="s">
        <v>11</v>
      </c>
      <c r="I3713" t="s">
        <v>10</v>
      </c>
    </row>
    <row r="3714" spans="1:9" x14ac:dyDescent="0.25">
      <c r="A3714" t="str">
        <f t="shared" si="97"/>
        <v>89301000</v>
      </c>
      <c r="B3714" t="str">
        <f>"405113404"</f>
        <v>405113404</v>
      </c>
      <c r="C3714" s="1">
        <v>44962</v>
      </c>
      <c r="D3714" s="1">
        <v>44970</v>
      </c>
      <c r="E3714">
        <v>3</v>
      </c>
      <c r="F3714" t="str">
        <f>"08-I05-06"</f>
        <v>08-I05-06</v>
      </c>
      <c r="G3714">
        <v>2.0308000000000002</v>
      </c>
      <c r="H3714" t="s">
        <v>12</v>
      </c>
      <c r="I3714" t="s">
        <v>10</v>
      </c>
    </row>
    <row r="3715" spans="1:9" x14ac:dyDescent="0.25">
      <c r="A3715" t="str">
        <f t="shared" si="97"/>
        <v>89301000</v>
      </c>
      <c r="B3715" t="str">
        <f>"405114709"</f>
        <v>405114709</v>
      </c>
      <c r="C3715" s="1">
        <v>45244</v>
      </c>
      <c r="D3715" s="1">
        <v>45252</v>
      </c>
      <c r="E3715">
        <v>1</v>
      </c>
      <c r="F3715" t="str">
        <f>"13-I11-03"</f>
        <v>13-I11-03</v>
      </c>
      <c r="G3715">
        <v>1.4332</v>
      </c>
      <c r="H3715" t="s">
        <v>9</v>
      </c>
      <c r="I3715" t="s">
        <v>10</v>
      </c>
    </row>
    <row r="3716" spans="1:9" x14ac:dyDescent="0.25">
      <c r="A3716" t="str">
        <f t="shared" si="97"/>
        <v>89301000</v>
      </c>
      <c r="B3716" t="str">
        <f>"405115401"</f>
        <v>405115401</v>
      </c>
      <c r="C3716" s="1">
        <v>45031</v>
      </c>
      <c r="D3716" s="1">
        <v>45034</v>
      </c>
      <c r="E3716">
        <v>1</v>
      </c>
      <c r="F3716" t="str">
        <f>"23-K04-01"</f>
        <v>23-K04-01</v>
      </c>
      <c r="G3716">
        <v>0.46829999999999999</v>
      </c>
      <c r="H3716" t="s">
        <v>11</v>
      </c>
      <c r="I3716" t="s">
        <v>10</v>
      </c>
    </row>
    <row r="3717" spans="1:9" x14ac:dyDescent="0.25">
      <c r="A3717" t="str">
        <f t="shared" si="97"/>
        <v>89301000</v>
      </c>
      <c r="B3717" t="str">
        <f>"405127405"</f>
        <v>405127405</v>
      </c>
      <c r="C3717" s="1">
        <v>45174</v>
      </c>
      <c r="D3717" s="1">
        <v>45175</v>
      </c>
      <c r="E3717">
        <v>1</v>
      </c>
      <c r="F3717" t="str">
        <f>"04-K15-03"</f>
        <v>04-K15-03</v>
      </c>
      <c r="G3717">
        <v>0.49790000000000001</v>
      </c>
      <c r="H3717" t="s">
        <v>11</v>
      </c>
      <c r="I3717" t="s">
        <v>10</v>
      </c>
    </row>
    <row r="3718" spans="1:9" x14ac:dyDescent="0.25">
      <c r="A3718" t="str">
        <f t="shared" si="97"/>
        <v>89301000</v>
      </c>
      <c r="B3718" t="str">
        <f>"405127405"</f>
        <v>405127405</v>
      </c>
      <c r="C3718" s="1">
        <v>45183</v>
      </c>
      <c r="D3718" s="1">
        <v>45194</v>
      </c>
      <c r="E3718">
        <v>5</v>
      </c>
      <c r="F3718" t="str">
        <f>"05-M01-03"</f>
        <v>05-M01-03</v>
      </c>
      <c r="G3718">
        <v>11.4411</v>
      </c>
      <c r="H3718" t="s">
        <v>12</v>
      </c>
      <c r="I3718" t="s">
        <v>10</v>
      </c>
    </row>
    <row r="3719" spans="1:9" x14ac:dyDescent="0.25">
      <c r="A3719" t="str">
        <f t="shared" si="97"/>
        <v>89301000</v>
      </c>
      <c r="B3719" t="str">
        <f>"405127465"</f>
        <v>405127465</v>
      </c>
      <c r="C3719" s="1">
        <v>45095</v>
      </c>
      <c r="D3719" s="1">
        <v>45098</v>
      </c>
      <c r="E3719">
        <v>7</v>
      </c>
      <c r="F3719" t="str">
        <f>"01-K11-03"</f>
        <v>01-K11-03</v>
      </c>
      <c r="G3719">
        <v>1.6337999999999999</v>
      </c>
      <c r="H3719" t="s">
        <v>11</v>
      </c>
      <c r="I3719" t="s">
        <v>10</v>
      </c>
    </row>
    <row r="3720" spans="1:9" x14ac:dyDescent="0.25">
      <c r="A3720" t="str">
        <f t="shared" si="97"/>
        <v>89301000</v>
      </c>
      <c r="B3720" t="str">
        <f>"405208702"</f>
        <v>405208702</v>
      </c>
      <c r="C3720" s="1">
        <v>45245</v>
      </c>
      <c r="D3720" s="1">
        <v>45250</v>
      </c>
      <c r="E3720">
        <v>4</v>
      </c>
      <c r="F3720" t="str">
        <f>"04-K06-03"</f>
        <v>04-K06-03</v>
      </c>
      <c r="G3720">
        <v>0.62519999999999998</v>
      </c>
      <c r="H3720" t="s">
        <v>11</v>
      </c>
      <c r="I3720" t="s">
        <v>10</v>
      </c>
    </row>
    <row r="3721" spans="1:9" x14ac:dyDescent="0.25">
      <c r="A3721" t="str">
        <f t="shared" si="97"/>
        <v>89301000</v>
      </c>
      <c r="B3721" t="str">
        <f>"405208702"</f>
        <v>405208702</v>
      </c>
      <c r="C3721" s="1">
        <v>45228</v>
      </c>
      <c r="D3721" s="1">
        <v>45239</v>
      </c>
      <c r="E3721">
        <v>1</v>
      </c>
      <c r="F3721" t="str">
        <f>"08-K13-02"</f>
        <v>08-K13-02</v>
      </c>
      <c r="G3721">
        <v>0.68430000000000002</v>
      </c>
      <c r="H3721" t="s">
        <v>11</v>
      </c>
      <c r="I3721" t="s">
        <v>10</v>
      </c>
    </row>
    <row r="3722" spans="1:9" x14ac:dyDescent="0.25">
      <c r="A3722" t="str">
        <f t="shared" si="97"/>
        <v>89301000</v>
      </c>
      <c r="B3722" t="str">
        <f>"405208702"</f>
        <v>405208702</v>
      </c>
      <c r="C3722" s="1">
        <v>45014</v>
      </c>
      <c r="D3722" s="1">
        <v>45027</v>
      </c>
      <c r="E3722">
        <v>2</v>
      </c>
      <c r="F3722" t="str">
        <f>"04-K06-03"</f>
        <v>04-K06-03</v>
      </c>
      <c r="G3722">
        <v>0.63190000000000002</v>
      </c>
      <c r="H3722" t="s">
        <v>11</v>
      </c>
      <c r="I3722" t="s">
        <v>10</v>
      </c>
    </row>
    <row r="3723" spans="1:9" x14ac:dyDescent="0.25">
      <c r="A3723" t="str">
        <f t="shared" si="97"/>
        <v>89301000</v>
      </c>
      <c r="B3723" t="str">
        <f>"405209410"</f>
        <v>405209410</v>
      </c>
      <c r="C3723" s="1">
        <v>44930</v>
      </c>
      <c r="D3723" s="1">
        <v>44961</v>
      </c>
      <c r="E3723">
        <v>8</v>
      </c>
      <c r="F3723" t="str">
        <f>"07-M02-01"</f>
        <v>07-M02-01</v>
      </c>
      <c r="G3723">
        <v>3.8361999999999998</v>
      </c>
      <c r="H3723" t="s">
        <v>12</v>
      </c>
      <c r="I3723" t="s">
        <v>10</v>
      </c>
    </row>
    <row r="3724" spans="1:9" x14ac:dyDescent="0.25">
      <c r="A3724" t="str">
        <f t="shared" si="97"/>
        <v>89301000</v>
      </c>
      <c r="B3724" t="str">
        <f>"405209446"</f>
        <v>405209446</v>
      </c>
      <c r="C3724" s="1">
        <v>45100</v>
      </c>
      <c r="D3724" s="1">
        <v>45107</v>
      </c>
      <c r="E3724">
        <v>1</v>
      </c>
      <c r="F3724" t="str">
        <f>"16-K02-03"</f>
        <v>16-K02-03</v>
      </c>
      <c r="G3724">
        <v>0.58299999999999996</v>
      </c>
      <c r="H3724" t="s">
        <v>11</v>
      </c>
      <c r="I3724" t="s">
        <v>10</v>
      </c>
    </row>
    <row r="3725" spans="1:9" x14ac:dyDescent="0.25">
      <c r="A3725" t="str">
        <f t="shared" si="97"/>
        <v>89301000</v>
      </c>
      <c r="B3725" t="str">
        <f>"405212401"</f>
        <v>405212401</v>
      </c>
      <c r="C3725" s="1">
        <v>45211</v>
      </c>
      <c r="D3725" s="1">
        <v>45215</v>
      </c>
      <c r="E3725">
        <v>8</v>
      </c>
      <c r="F3725" t="str">
        <f>"01-K10-02"</f>
        <v>01-K10-02</v>
      </c>
      <c r="G3725">
        <v>1.6027</v>
      </c>
      <c r="H3725" t="s">
        <v>11</v>
      </c>
      <c r="I3725" t="s">
        <v>10</v>
      </c>
    </row>
    <row r="3726" spans="1:9" x14ac:dyDescent="0.25">
      <c r="A3726" t="str">
        <f t="shared" si="97"/>
        <v>89301000</v>
      </c>
      <c r="B3726" t="str">
        <f>"405213425"</f>
        <v>405213425</v>
      </c>
      <c r="C3726" s="1">
        <v>45057</v>
      </c>
      <c r="D3726" s="1">
        <v>45061</v>
      </c>
      <c r="E3726">
        <v>1</v>
      </c>
      <c r="F3726" t="str">
        <f>"02-I02-01"</f>
        <v>02-I02-01</v>
      </c>
      <c r="G3726">
        <v>1.2369000000000001</v>
      </c>
      <c r="H3726" t="s">
        <v>12</v>
      </c>
      <c r="I3726" t="s">
        <v>10</v>
      </c>
    </row>
    <row r="3727" spans="1:9" x14ac:dyDescent="0.25">
      <c r="A3727" t="str">
        <f t="shared" si="97"/>
        <v>89301000</v>
      </c>
      <c r="B3727" t="str">
        <f>"405214442"</f>
        <v>405214442</v>
      </c>
      <c r="C3727" s="1">
        <v>44956</v>
      </c>
      <c r="D3727" s="1">
        <v>44958</v>
      </c>
      <c r="E3727">
        <v>1</v>
      </c>
      <c r="F3727" t="str">
        <f>"07-M02-04"</f>
        <v>07-M02-04</v>
      </c>
      <c r="G3727">
        <v>0.77339999999999998</v>
      </c>
      <c r="H3727" t="s">
        <v>12</v>
      </c>
      <c r="I3727" t="s">
        <v>10</v>
      </c>
    </row>
    <row r="3728" spans="1:9" x14ac:dyDescent="0.25">
      <c r="A3728" t="str">
        <f t="shared" si="97"/>
        <v>89301000</v>
      </c>
      <c r="B3728" t="str">
        <f>"405214442"</f>
        <v>405214442</v>
      </c>
      <c r="C3728" s="1">
        <v>45015</v>
      </c>
      <c r="D3728" s="1">
        <v>45019</v>
      </c>
      <c r="E3728">
        <v>1</v>
      </c>
      <c r="F3728" t="str">
        <f>"07-M02-04"</f>
        <v>07-M02-04</v>
      </c>
      <c r="G3728">
        <v>0.81850000000000001</v>
      </c>
      <c r="H3728" t="s">
        <v>12</v>
      </c>
      <c r="I3728" t="s">
        <v>10</v>
      </c>
    </row>
    <row r="3729" spans="1:9" x14ac:dyDescent="0.25">
      <c r="A3729" t="str">
        <f t="shared" si="97"/>
        <v>89301000</v>
      </c>
      <c r="B3729" t="str">
        <f>"405214442"</f>
        <v>405214442</v>
      </c>
      <c r="C3729" s="1">
        <v>45187</v>
      </c>
      <c r="D3729" s="1">
        <v>45189</v>
      </c>
      <c r="E3729">
        <v>1</v>
      </c>
      <c r="F3729" t="str">
        <f>"07-K07-02"</f>
        <v>07-K07-02</v>
      </c>
      <c r="G3729">
        <v>0.53069999999999995</v>
      </c>
      <c r="H3729" t="s">
        <v>11</v>
      </c>
      <c r="I3729" t="s">
        <v>10</v>
      </c>
    </row>
    <row r="3730" spans="1:9" x14ac:dyDescent="0.25">
      <c r="A3730" t="str">
        <f t="shared" si="97"/>
        <v>89301000</v>
      </c>
      <c r="B3730" t="str">
        <f>"405215414"</f>
        <v>405215414</v>
      </c>
      <c r="C3730" s="1">
        <v>45013</v>
      </c>
      <c r="D3730" s="1">
        <v>45015</v>
      </c>
      <c r="E3730">
        <v>1</v>
      </c>
      <c r="F3730" t="str">
        <f>"05-I25-02"</f>
        <v>05-I25-02</v>
      </c>
      <c r="G3730">
        <v>2.9415</v>
      </c>
      <c r="H3730" t="s">
        <v>12</v>
      </c>
      <c r="I3730" t="s">
        <v>10</v>
      </c>
    </row>
    <row r="3731" spans="1:9" x14ac:dyDescent="0.25">
      <c r="A3731" t="str">
        <f t="shared" si="97"/>
        <v>89301000</v>
      </c>
      <c r="B3731" t="str">
        <f>"405216430"</f>
        <v>405216430</v>
      </c>
      <c r="C3731" s="1">
        <v>45163</v>
      </c>
      <c r="D3731" s="1">
        <v>45163</v>
      </c>
      <c r="E3731">
        <v>7</v>
      </c>
      <c r="F3731" t="str">
        <f>"05-I16-04"</f>
        <v>05-I16-04</v>
      </c>
      <c r="G3731">
        <v>2.4014000000000002</v>
      </c>
      <c r="H3731" t="s">
        <v>14</v>
      </c>
      <c r="I3731" t="s">
        <v>10</v>
      </c>
    </row>
    <row r="3732" spans="1:9" x14ac:dyDescent="0.25">
      <c r="A3732" t="str">
        <f t="shared" si="97"/>
        <v>89301000</v>
      </c>
      <c r="B3732" t="str">
        <f>"405217440"</f>
        <v>405217440</v>
      </c>
      <c r="C3732" s="1">
        <v>45261</v>
      </c>
      <c r="D3732" s="1">
        <v>45262</v>
      </c>
      <c r="E3732">
        <v>1</v>
      </c>
      <c r="F3732" t="str">
        <f>"05-D01-08"</f>
        <v>05-D01-08</v>
      </c>
      <c r="G3732">
        <v>0.43159999999999998</v>
      </c>
      <c r="H3732" t="s">
        <v>11</v>
      </c>
      <c r="I3732" t="s">
        <v>10</v>
      </c>
    </row>
    <row r="3733" spans="1:9" x14ac:dyDescent="0.25">
      <c r="A3733" t="str">
        <f t="shared" si="97"/>
        <v>89301000</v>
      </c>
      <c r="B3733" t="str">
        <f>"405226425"</f>
        <v>405226425</v>
      </c>
      <c r="C3733" s="1">
        <v>45004</v>
      </c>
      <c r="D3733" s="1">
        <v>45012</v>
      </c>
      <c r="E3733">
        <v>1</v>
      </c>
      <c r="F3733" t="str">
        <f>"11-K01-04"</f>
        <v>11-K01-04</v>
      </c>
      <c r="G3733">
        <v>0.57130000000000003</v>
      </c>
      <c r="H3733" t="s">
        <v>11</v>
      </c>
      <c r="I3733" t="s">
        <v>10</v>
      </c>
    </row>
    <row r="3734" spans="1:9" x14ac:dyDescent="0.25">
      <c r="A3734" t="str">
        <f t="shared" si="97"/>
        <v>89301000</v>
      </c>
      <c r="B3734" t="str">
        <f>"405309456"</f>
        <v>405309456</v>
      </c>
      <c r="C3734" s="1">
        <v>45253</v>
      </c>
      <c r="D3734" s="1">
        <v>45257</v>
      </c>
      <c r="E3734">
        <v>1</v>
      </c>
      <c r="F3734" t="str">
        <f>"09-I06-04"</f>
        <v>09-I06-04</v>
      </c>
      <c r="G3734">
        <v>0.95069999999999999</v>
      </c>
      <c r="H3734" t="s">
        <v>12</v>
      </c>
      <c r="I3734" t="s">
        <v>10</v>
      </c>
    </row>
    <row r="3735" spans="1:9" x14ac:dyDescent="0.25">
      <c r="A3735" t="str">
        <f t="shared" si="97"/>
        <v>89301000</v>
      </c>
      <c r="B3735" t="str">
        <f>"405310439"</f>
        <v>405310439</v>
      </c>
      <c r="C3735" s="1">
        <v>45049</v>
      </c>
      <c r="D3735" s="1">
        <v>45050</v>
      </c>
      <c r="E3735">
        <v>1</v>
      </c>
      <c r="F3735" t="str">
        <f>"05-D01-06"</f>
        <v>05-D01-06</v>
      </c>
      <c r="G3735">
        <v>0.7571</v>
      </c>
      <c r="H3735" t="s">
        <v>11</v>
      </c>
      <c r="I3735" t="s">
        <v>10</v>
      </c>
    </row>
    <row r="3736" spans="1:9" x14ac:dyDescent="0.25">
      <c r="A3736" t="str">
        <f t="shared" si="97"/>
        <v>89301000</v>
      </c>
      <c r="B3736" t="str">
        <f>"405311423"</f>
        <v>405311423</v>
      </c>
      <c r="C3736" s="1">
        <v>45224</v>
      </c>
      <c r="D3736" s="1">
        <v>45236</v>
      </c>
      <c r="E3736">
        <v>4</v>
      </c>
      <c r="F3736" t="str">
        <f>"01-K04-01"</f>
        <v>01-K04-01</v>
      </c>
      <c r="G3736">
        <v>1.1131</v>
      </c>
      <c r="H3736" t="s">
        <v>11</v>
      </c>
      <c r="I3736" t="s">
        <v>10</v>
      </c>
    </row>
    <row r="3737" spans="1:9" x14ac:dyDescent="0.25">
      <c r="A3737" t="str">
        <f t="shared" si="97"/>
        <v>89301000</v>
      </c>
      <c r="B3737" t="str">
        <f>"405330461"</f>
        <v>405330461</v>
      </c>
      <c r="C3737" s="1">
        <v>44993</v>
      </c>
      <c r="D3737" s="1">
        <v>45007</v>
      </c>
      <c r="E3737">
        <v>1</v>
      </c>
      <c r="F3737" t="str">
        <f>"04-K09-03"</f>
        <v>04-K09-03</v>
      </c>
      <c r="G3737">
        <v>0.78180000000000005</v>
      </c>
      <c r="H3737" t="s">
        <v>11</v>
      </c>
      <c r="I3737" t="s">
        <v>10</v>
      </c>
    </row>
    <row r="3738" spans="1:9" x14ac:dyDescent="0.25">
      <c r="A3738" t="str">
        <f t="shared" si="97"/>
        <v>89301000</v>
      </c>
      <c r="B3738" t="str">
        <f>"405330461"</f>
        <v>405330461</v>
      </c>
      <c r="C3738" s="1">
        <v>45016</v>
      </c>
      <c r="D3738" s="1">
        <v>45029</v>
      </c>
      <c r="E3738">
        <v>4</v>
      </c>
      <c r="F3738" t="str">
        <f>"04-K09-02"</f>
        <v>04-K09-02</v>
      </c>
      <c r="G3738">
        <v>1.155</v>
      </c>
      <c r="H3738" t="s">
        <v>11</v>
      </c>
      <c r="I3738" t="s">
        <v>10</v>
      </c>
    </row>
    <row r="3739" spans="1:9" x14ac:dyDescent="0.25">
      <c r="A3739" t="str">
        <f t="shared" si="97"/>
        <v>89301000</v>
      </c>
      <c r="B3739" t="str">
        <f>"405405419"</f>
        <v>405405419</v>
      </c>
      <c r="C3739" s="1">
        <v>44958</v>
      </c>
      <c r="D3739" s="1">
        <v>44959</v>
      </c>
      <c r="E3739">
        <v>1</v>
      </c>
      <c r="F3739" t="str">
        <f>"02-I13-02"</f>
        <v>02-I13-02</v>
      </c>
      <c r="G3739">
        <v>0.4259</v>
      </c>
      <c r="H3739" t="s">
        <v>11</v>
      </c>
      <c r="I3739" t="s">
        <v>10</v>
      </c>
    </row>
    <row r="3740" spans="1:9" x14ac:dyDescent="0.25">
      <c r="A3740" t="str">
        <f t="shared" si="97"/>
        <v>89301000</v>
      </c>
      <c r="B3740" t="str">
        <f>"405406408"</f>
        <v>405406408</v>
      </c>
      <c r="C3740" s="1">
        <v>45070</v>
      </c>
      <c r="D3740" s="1">
        <v>45085</v>
      </c>
      <c r="E3740">
        <v>1</v>
      </c>
      <c r="F3740" t="str">
        <f>"08-I13-04"</f>
        <v>08-I13-04</v>
      </c>
      <c r="G3740">
        <v>4.1078000000000001</v>
      </c>
      <c r="H3740" t="s">
        <v>12</v>
      </c>
      <c r="I3740" t="s">
        <v>10</v>
      </c>
    </row>
    <row r="3741" spans="1:9" x14ac:dyDescent="0.25">
      <c r="A3741" t="str">
        <f t="shared" si="97"/>
        <v>89301000</v>
      </c>
      <c r="B3741" t="str">
        <f>"405423435"</f>
        <v>405423435</v>
      </c>
      <c r="C3741" s="1">
        <v>45258</v>
      </c>
      <c r="D3741" s="1">
        <v>45259</v>
      </c>
      <c r="E3741">
        <v>1</v>
      </c>
      <c r="F3741" t="str">
        <f>"05-D01-08"</f>
        <v>05-D01-08</v>
      </c>
      <c r="G3741">
        <v>0.43159999999999998</v>
      </c>
      <c r="H3741" t="s">
        <v>11</v>
      </c>
      <c r="I3741" t="s">
        <v>10</v>
      </c>
    </row>
    <row r="3742" spans="1:9" x14ac:dyDescent="0.25">
      <c r="A3742" t="str">
        <f t="shared" si="97"/>
        <v>89301000</v>
      </c>
      <c r="B3742" t="str">
        <f>"405430436"</f>
        <v>405430436</v>
      </c>
      <c r="C3742" s="1">
        <v>45210</v>
      </c>
      <c r="D3742" s="1">
        <v>45222</v>
      </c>
      <c r="E3742">
        <v>1</v>
      </c>
      <c r="F3742" t="str">
        <f>"01-M02-00"</f>
        <v>01-M02-00</v>
      </c>
      <c r="G3742">
        <v>5.3973000000000004</v>
      </c>
      <c r="H3742" t="s">
        <v>12</v>
      </c>
      <c r="I3742" t="s">
        <v>10</v>
      </c>
    </row>
    <row r="3743" spans="1:9" x14ac:dyDescent="0.25">
      <c r="A3743" t="str">
        <f t="shared" si="97"/>
        <v>89301000</v>
      </c>
      <c r="B3743" t="str">
        <f>"405504451"</f>
        <v>405504451</v>
      </c>
      <c r="C3743" s="1">
        <v>45156</v>
      </c>
      <c r="D3743" s="1">
        <v>45158</v>
      </c>
      <c r="E3743">
        <v>8</v>
      </c>
      <c r="F3743" t="str">
        <f>"05-K07-03"</f>
        <v>05-K07-03</v>
      </c>
      <c r="G3743">
        <v>1.3641000000000001</v>
      </c>
      <c r="H3743" t="s">
        <v>11</v>
      </c>
      <c r="I3743" t="s">
        <v>10</v>
      </c>
    </row>
    <row r="3744" spans="1:9" x14ac:dyDescent="0.25">
      <c r="A3744" t="str">
        <f t="shared" si="97"/>
        <v>89301000</v>
      </c>
      <c r="B3744" t="str">
        <f>"405506466"</f>
        <v>405506466</v>
      </c>
      <c r="C3744" s="1">
        <v>45243</v>
      </c>
      <c r="D3744" s="1">
        <v>45250</v>
      </c>
      <c r="E3744">
        <v>4</v>
      </c>
      <c r="F3744" t="str">
        <f>"10-K12-02"</f>
        <v>10-K12-02</v>
      </c>
      <c r="G3744">
        <v>0.88600000000000001</v>
      </c>
      <c r="H3744" t="s">
        <v>11</v>
      </c>
      <c r="I3744" t="s">
        <v>10</v>
      </c>
    </row>
    <row r="3745" spans="1:9" x14ac:dyDescent="0.25">
      <c r="A3745" t="str">
        <f t="shared" si="97"/>
        <v>89301000</v>
      </c>
      <c r="B3745" t="str">
        <f>"405509458"</f>
        <v>405509458</v>
      </c>
      <c r="C3745" s="1">
        <v>45251</v>
      </c>
      <c r="D3745" s="1">
        <v>45254</v>
      </c>
      <c r="E3745">
        <v>1</v>
      </c>
      <c r="F3745" t="str">
        <f>"01-K01-01"</f>
        <v>01-K01-01</v>
      </c>
      <c r="G3745">
        <v>0.9234</v>
      </c>
      <c r="H3745" t="s">
        <v>11</v>
      </c>
      <c r="I3745" t="s">
        <v>10</v>
      </c>
    </row>
    <row r="3746" spans="1:9" x14ac:dyDescent="0.25">
      <c r="A3746" t="str">
        <f t="shared" si="97"/>
        <v>89301000</v>
      </c>
      <c r="B3746" t="str">
        <f>"405509458"</f>
        <v>405509458</v>
      </c>
      <c r="C3746" s="1">
        <v>45189</v>
      </c>
      <c r="D3746" s="1">
        <v>45198</v>
      </c>
      <c r="E3746">
        <v>1</v>
      </c>
      <c r="F3746" t="str">
        <f>"01-K01-02"</f>
        <v>01-K01-02</v>
      </c>
      <c r="G3746">
        <v>0.57650000000000001</v>
      </c>
      <c r="H3746" t="s">
        <v>11</v>
      </c>
      <c r="I3746" t="s">
        <v>10</v>
      </c>
    </row>
    <row r="3747" spans="1:9" x14ac:dyDescent="0.25">
      <c r="A3747" t="str">
        <f t="shared" si="97"/>
        <v>89301000</v>
      </c>
      <c r="B3747" t="str">
        <f>"405517402"</f>
        <v>405517402</v>
      </c>
      <c r="C3747" s="1">
        <v>45224</v>
      </c>
      <c r="D3747" s="1">
        <v>45229</v>
      </c>
      <c r="E3747">
        <v>1</v>
      </c>
      <c r="F3747" t="str">
        <f>"08-I05-05"</f>
        <v>08-I05-05</v>
      </c>
      <c r="G3747">
        <v>2.2633000000000001</v>
      </c>
      <c r="H3747" t="s">
        <v>12</v>
      </c>
      <c r="I3747" t="s">
        <v>10</v>
      </c>
    </row>
    <row r="3748" spans="1:9" x14ac:dyDescent="0.25">
      <c r="A3748" t="str">
        <f t="shared" si="97"/>
        <v>89301000</v>
      </c>
      <c r="B3748" t="str">
        <f>"405517429"</f>
        <v>405517429</v>
      </c>
      <c r="C3748" s="1">
        <v>44948</v>
      </c>
      <c r="D3748" s="1">
        <v>44950</v>
      </c>
      <c r="E3748">
        <v>1</v>
      </c>
      <c r="F3748" t="str">
        <f>"05-M05-02"</f>
        <v>05-M05-02</v>
      </c>
      <c r="G3748">
        <v>3.4817999999999998</v>
      </c>
      <c r="H3748" t="s">
        <v>14</v>
      </c>
      <c r="I3748" t="s">
        <v>10</v>
      </c>
    </row>
    <row r="3749" spans="1:9" x14ac:dyDescent="0.25">
      <c r="A3749" t="str">
        <f t="shared" si="97"/>
        <v>89301000</v>
      </c>
      <c r="B3749" t="str">
        <f>"405517429"</f>
        <v>405517429</v>
      </c>
      <c r="C3749" s="1">
        <v>45110</v>
      </c>
      <c r="D3749" s="1">
        <v>45112</v>
      </c>
      <c r="E3749">
        <v>1</v>
      </c>
      <c r="F3749" t="str">
        <f>"05-I14-03"</f>
        <v>05-I14-03</v>
      </c>
      <c r="G3749">
        <v>6.0362</v>
      </c>
      <c r="H3749" t="s">
        <v>12</v>
      </c>
      <c r="I3749" t="s">
        <v>10</v>
      </c>
    </row>
    <row r="3750" spans="1:9" x14ac:dyDescent="0.25">
      <c r="A3750" t="str">
        <f t="shared" si="97"/>
        <v>89301000</v>
      </c>
      <c r="B3750" t="str">
        <f>"405517429"</f>
        <v>405517429</v>
      </c>
      <c r="C3750" s="1">
        <v>44939</v>
      </c>
      <c r="D3750" s="1">
        <v>44939</v>
      </c>
      <c r="E3750">
        <v>1</v>
      </c>
      <c r="F3750" t="str">
        <f>"05-D01-06"</f>
        <v>05-D01-06</v>
      </c>
      <c r="G3750">
        <v>0.4037</v>
      </c>
      <c r="H3750" t="s">
        <v>11</v>
      </c>
      <c r="I3750" t="s">
        <v>10</v>
      </c>
    </row>
    <row r="3751" spans="1:9" x14ac:dyDescent="0.25">
      <c r="A3751" t="str">
        <f t="shared" si="97"/>
        <v>89301000</v>
      </c>
      <c r="B3751" t="str">
        <f>"405517429"</f>
        <v>405517429</v>
      </c>
      <c r="C3751" s="1">
        <v>44957</v>
      </c>
      <c r="D3751" s="1">
        <v>44957</v>
      </c>
      <c r="E3751">
        <v>1</v>
      </c>
      <c r="F3751" t="str">
        <f>"05-D01-02"</f>
        <v>05-D01-02</v>
      </c>
      <c r="G3751">
        <v>1.5137</v>
      </c>
      <c r="H3751" t="s">
        <v>11</v>
      </c>
      <c r="I3751" t="s">
        <v>10</v>
      </c>
    </row>
    <row r="3752" spans="1:9" x14ac:dyDescent="0.25">
      <c r="A3752" t="str">
        <f t="shared" ref="A3752:A3813" si="98">"89301000"</f>
        <v>89301000</v>
      </c>
      <c r="B3752" t="str">
        <f>"405517429"</f>
        <v>405517429</v>
      </c>
      <c r="C3752" s="1">
        <v>44965</v>
      </c>
      <c r="D3752" s="1">
        <v>44967</v>
      </c>
      <c r="E3752">
        <v>1</v>
      </c>
      <c r="F3752" t="str">
        <f>"05-M05-02"</f>
        <v>05-M05-02</v>
      </c>
      <c r="G3752">
        <v>3.4817999999999998</v>
      </c>
      <c r="H3752" t="s">
        <v>14</v>
      </c>
      <c r="I3752" t="s">
        <v>10</v>
      </c>
    </row>
    <row r="3753" spans="1:9" x14ac:dyDescent="0.25">
      <c r="A3753" t="str">
        <f t="shared" si="98"/>
        <v>89301000</v>
      </c>
      <c r="B3753" t="str">
        <f>"405530072"</f>
        <v>405530072</v>
      </c>
      <c r="C3753" s="1">
        <v>45236</v>
      </c>
      <c r="D3753" s="1">
        <v>45238</v>
      </c>
      <c r="E3753">
        <v>1</v>
      </c>
      <c r="F3753" t="str">
        <f>"16-K02-03"</f>
        <v>16-K02-03</v>
      </c>
      <c r="G3753">
        <v>0.46679999999999999</v>
      </c>
      <c r="H3753" t="s">
        <v>11</v>
      </c>
      <c r="I3753" t="s">
        <v>10</v>
      </c>
    </row>
    <row r="3754" spans="1:9" x14ac:dyDescent="0.25">
      <c r="A3754" t="str">
        <f t="shared" si="98"/>
        <v>89301000</v>
      </c>
      <c r="B3754" t="str">
        <f>"405530072"</f>
        <v>405530072</v>
      </c>
      <c r="C3754" s="1">
        <v>45215</v>
      </c>
      <c r="D3754" s="1">
        <v>45219</v>
      </c>
      <c r="E3754">
        <v>1</v>
      </c>
      <c r="F3754" t="str">
        <f>"06-K04-02"</f>
        <v>06-K04-02</v>
      </c>
      <c r="G3754">
        <v>0.94599999999999995</v>
      </c>
      <c r="H3754" t="s">
        <v>11</v>
      </c>
      <c r="I3754" t="s">
        <v>10</v>
      </c>
    </row>
    <row r="3755" spans="1:9" x14ac:dyDescent="0.25">
      <c r="A3755" t="str">
        <f t="shared" si="98"/>
        <v>89301000</v>
      </c>
      <c r="B3755" t="str">
        <f>"405605425"</f>
        <v>405605425</v>
      </c>
      <c r="C3755" s="1">
        <v>45027</v>
      </c>
      <c r="D3755" s="1">
        <v>45028</v>
      </c>
      <c r="E3755">
        <v>4</v>
      </c>
      <c r="F3755" t="str">
        <f>"05-I25-01"</f>
        <v>05-I25-01</v>
      </c>
      <c r="G3755">
        <v>2.8740000000000001</v>
      </c>
      <c r="H3755" t="s">
        <v>12</v>
      </c>
      <c r="I3755" t="s">
        <v>10</v>
      </c>
    </row>
    <row r="3756" spans="1:9" x14ac:dyDescent="0.25">
      <c r="A3756" t="str">
        <f t="shared" si="98"/>
        <v>89301000</v>
      </c>
      <c r="B3756" t="str">
        <f>"405606456"</f>
        <v>405606456</v>
      </c>
      <c r="C3756" s="1">
        <v>44992</v>
      </c>
      <c r="D3756" s="1">
        <v>44995</v>
      </c>
      <c r="E3756">
        <v>4</v>
      </c>
      <c r="F3756" t="str">
        <f>"08-K13-02"</f>
        <v>08-K13-02</v>
      </c>
      <c r="G3756">
        <v>0.43059999999999998</v>
      </c>
      <c r="H3756" t="s">
        <v>11</v>
      </c>
      <c r="I3756" t="s">
        <v>10</v>
      </c>
    </row>
    <row r="3757" spans="1:9" x14ac:dyDescent="0.25">
      <c r="A3757" t="str">
        <f t="shared" si="98"/>
        <v>89301000</v>
      </c>
      <c r="B3757" t="str">
        <f>"405624411"</f>
        <v>405624411</v>
      </c>
      <c r="C3757" s="1">
        <v>45096</v>
      </c>
      <c r="D3757" s="1">
        <v>45098</v>
      </c>
      <c r="E3757">
        <v>1</v>
      </c>
      <c r="F3757" t="str">
        <f>"06-M01-02"</f>
        <v>06-M01-02</v>
      </c>
      <c r="G3757">
        <v>1.2206999999999999</v>
      </c>
      <c r="H3757" t="s">
        <v>11</v>
      </c>
      <c r="I3757" t="s">
        <v>10</v>
      </c>
    </row>
    <row r="3758" spans="1:9" x14ac:dyDescent="0.25">
      <c r="A3758" t="str">
        <f t="shared" si="98"/>
        <v>89301000</v>
      </c>
      <c r="B3758" t="str">
        <f>"405627457"</f>
        <v>405627457</v>
      </c>
      <c r="C3758" s="1">
        <v>45149</v>
      </c>
      <c r="D3758" s="1">
        <v>45154</v>
      </c>
      <c r="E3758">
        <v>4</v>
      </c>
      <c r="F3758" t="str">
        <f>"08-K12-02"</f>
        <v>08-K12-02</v>
      </c>
      <c r="G3758">
        <v>0.75429999999999997</v>
      </c>
      <c r="H3758" t="s">
        <v>11</v>
      </c>
      <c r="I3758" t="s">
        <v>10</v>
      </c>
    </row>
    <row r="3759" spans="1:9" x14ac:dyDescent="0.25">
      <c r="A3759" t="str">
        <f t="shared" si="98"/>
        <v>89301000</v>
      </c>
      <c r="B3759" t="str">
        <f>"405628738"</f>
        <v>405628738</v>
      </c>
      <c r="C3759" s="1">
        <v>44935</v>
      </c>
      <c r="D3759" s="1">
        <v>44942</v>
      </c>
      <c r="E3759">
        <v>1</v>
      </c>
      <c r="F3759" t="str">
        <f>"04-K02-04"</f>
        <v>04-K02-04</v>
      </c>
      <c r="G3759">
        <v>0.82099999999999995</v>
      </c>
      <c r="H3759" t="s">
        <v>11</v>
      </c>
      <c r="I3759" t="s">
        <v>16</v>
      </c>
    </row>
    <row r="3760" spans="1:9" x14ac:dyDescent="0.25">
      <c r="A3760" t="str">
        <f t="shared" si="98"/>
        <v>89301000</v>
      </c>
      <c r="B3760" t="str">
        <f>"405709468"</f>
        <v>405709468</v>
      </c>
      <c r="C3760" s="1">
        <v>45217</v>
      </c>
      <c r="D3760" s="1">
        <v>45239</v>
      </c>
      <c r="E3760">
        <v>5</v>
      </c>
      <c r="F3760" t="str">
        <f>"05-I13-02"</f>
        <v>05-I13-02</v>
      </c>
      <c r="G3760">
        <v>9.9022000000000006</v>
      </c>
      <c r="H3760" t="s">
        <v>14</v>
      </c>
      <c r="I3760" t="s">
        <v>10</v>
      </c>
    </row>
    <row r="3761" spans="1:9" x14ac:dyDescent="0.25">
      <c r="A3761" t="str">
        <f t="shared" si="98"/>
        <v>89301000</v>
      </c>
      <c r="B3761" t="str">
        <f>"405713420"</f>
        <v>405713420</v>
      </c>
      <c r="C3761" s="1">
        <v>45188</v>
      </c>
      <c r="D3761" s="1">
        <v>45195</v>
      </c>
      <c r="E3761">
        <v>1</v>
      </c>
      <c r="F3761" t="str">
        <f>"09-K05-00"</f>
        <v>09-K05-00</v>
      </c>
      <c r="G3761">
        <v>0.8054</v>
      </c>
      <c r="H3761" t="s">
        <v>11</v>
      </c>
      <c r="I3761" t="s">
        <v>10</v>
      </c>
    </row>
    <row r="3762" spans="1:9" x14ac:dyDescent="0.25">
      <c r="A3762" t="str">
        <f t="shared" si="98"/>
        <v>89301000</v>
      </c>
      <c r="B3762" t="str">
        <f>"405810408"</f>
        <v>405810408</v>
      </c>
      <c r="C3762" s="1">
        <v>44937</v>
      </c>
      <c r="D3762" s="1">
        <v>44944</v>
      </c>
      <c r="E3762">
        <v>5</v>
      </c>
      <c r="F3762" t="str">
        <f>"05-K05-05"</f>
        <v>05-K05-05</v>
      </c>
      <c r="G3762">
        <v>0.3579</v>
      </c>
      <c r="H3762" t="s">
        <v>11</v>
      </c>
      <c r="I3762" t="s">
        <v>10</v>
      </c>
    </row>
    <row r="3763" spans="1:9" x14ac:dyDescent="0.25">
      <c r="A3763" t="str">
        <f t="shared" si="98"/>
        <v>89301000</v>
      </c>
      <c r="B3763" t="str">
        <f>"405810408"</f>
        <v>405810408</v>
      </c>
      <c r="C3763" s="1">
        <v>44950</v>
      </c>
      <c r="D3763" s="1">
        <v>44952</v>
      </c>
      <c r="E3763">
        <v>1</v>
      </c>
      <c r="F3763" t="str">
        <f>"05-I25-04"</f>
        <v>05-I25-04</v>
      </c>
      <c r="G3763">
        <v>1.2108000000000001</v>
      </c>
      <c r="H3763" t="s">
        <v>12</v>
      </c>
      <c r="I3763" t="s">
        <v>10</v>
      </c>
    </row>
    <row r="3764" spans="1:9" x14ac:dyDescent="0.25">
      <c r="A3764" t="str">
        <f t="shared" si="98"/>
        <v>89301000</v>
      </c>
      <c r="B3764" t="str">
        <f>"405810454"</f>
        <v>405810454</v>
      </c>
      <c r="C3764" s="1">
        <v>45142</v>
      </c>
      <c r="D3764" s="1">
        <v>45143</v>
      </c>
      <c r="E3764">
        <v>1</v>
      </c>
      <c r="F3764" t="str">
        <f>"05-M06-08"</f>
        <v>05-M06-08</v>
      </c>
      <c r="G3764">
        <v>1.4228000000000001</v>
      </c>
      <c r="H3764" t="s">
        <v>12</v>
      </c>
      <c r="I3764" t="s">
        <v>10</v>
      </c>
    </row>
    <row r="3765" spans="1:9" x14ac:dyDescent="0.25">
      <c r="A3765" t="str">
        <f t="shared" si="98"/>
        <v>89301000</v>
      </c>
      <c r="B3765" t="str">
        <f>"405819953"</f>
        <v>405819953</v>
      </c>
      <c r="C3765" s="1">
        <v>45035</v>
      </c>
      <c r="D3765" s="1">
        <v>45049</v>
      </c>
      <c r="E3765">
        <v>4</v>
      </c>
      <c r="F3765" t="str">
        <f>"01-K04-01"</f>
        <v>01-K04-01</v>
      </c>
      <c r="G3765">
        <v>1.1131</v>
      </c>
      <c r="H3765" t="s">
        <v>11</v>
      </c>
      <c r="I3765" t="s">
        <v>10</v>
      </c>
    </row>
    <row r="3766" spans="1:9" x14ac:dyDescent="0.25">
      <c r="A3766" t="str">
        <f t="shared" si="98"/>
        <v>89301000</v>
      </c>
      <c r="B3766" t="str">
        <f>"405820403"</f>
        <v>405820403</v>
      </c>
      <c r="C3766" s="1">
        <v>44958</v>
      </c>
      <c r="D3766" s="1">
        <v>44964</v>
      </c>
      <c r="E3766">
        <v>1</v>
      </c>
      <c r="F3766" t="str">
        <f>"05-M01-03"</f>
        <v>05-M01-03</v>
      </c>
      <c r="G3766">
        <v>11.4411</v>
      </c>
      <c r="H3766" t="s">
        <v>12</v>
      </c>
      <c r="I3766" t="s">
        <v>10</v>
      </c>
    </row>
    <row r="3767" spans="1:9" x14ac:dyDescent="0.25">
      <c r="A3767" t="str">
        <f t="shared" si="98"/>
        <v>89301000</v>
      </c>
      <c r="B3767" t="str">
        <f>"405830427"</f>
        <v>405830427</v>
      </c>
      <c r="C3767" s="1">
        <v>45094</v>
      </c>
      <c r="D3767" s="1">
        <v>45107</v>
      </c>
      <c r="E3767">
        <v>1</v>
      </c>
      <c r="F3767" t="str">
        <f>"19-K04-02"</f>
        <v>19-K04-02</v>
      </c>
      <c r="G3767">
        <v>1.3379000000000001</v>
      </c>
      <c r="H3767" t="s">
        <v>15</v>
      </c>
      <c r="I3767" t="s">
        <v>10</v>
      </c>
    </row>
    <row r="3768" spans="1:9" x14ac:dyDescent="0.25">
      <c r="A3768" t="str">
        <f t="shared" si="98"/>
        <v>89301000</v>
      </c>
      <c r="B3768" t="str">
        <f>"405902467"</f>
        <v>405902467</v>
      </c>
      <c r="C3768" s="1">
        <v>45264</v>
      </c>
      <c r="D3768" s="1">
        <v>45266</v>
      </c>
      <c r="E3768">
        <v>1</v>
      </c>
      <c r="F3768" t="str">
        <f>"05-K13-02"</f>
        <v>05-K13-02</v>
      </c>
      <c r="G3768">
        <v>0.57220000000000004</v>
      </c>
      <c r="H3768" t="s">
        <v>11</v>
      </c>
      <c r="I3768" t="s">
        <v>10</v>
      </c>
    </row>
    <row r="3769" spans="1:9" x14ac:dyDescent="0.25">
      <c r="A3769" t="str">
        <f t="shared" si="98"/>
        <v>89301000</v>
      </c>
      <c r="B3769" t="str">
        <f>"405902469"</f>
        <v>405902469</v>
      </c>
      <c r="C3769" s="1">
        <v>44914</v>
      </c>
      <c r="D3769" s="1">
        <v>44931</v>
      </c>
      <c r="E3769">
        <v>1</v>
      </c>
      <c r="F3769" t="str">
        <f>"19-K05-02"</f>
        <v>19-K05-02</v>
      </c>
      <c r="G3769">
        <v>1.7688999999999999</v>
      </c>
      <c r="H3769" t="s">
        <v>15</v>
      </c>
      <c r="I3769" t="s">
        <v>10</v>
      </c>
    </row>
    <row r="3770" spans="1:9" x14ac:dyDescent="0.25">
      <c r="A3770" t="str">
        <f t="shared" si="98"/>
        <v>89301000</v>
      </c>
      <c r="B3770" t="str">
        <f>"405905421"</f>
        <v>405905421</v>
      </c>
      <c r="C3770" s="1">
        <v>45100</v>
      </c>
      <c r="D3770" s="1">
        <v>45111</v>
      </c>
      <c r="E3770">
        <v>1</v>
      </c>
      <c r="F3770" t="str">
        <f>"08-K04-01"</f>
        <v>08-K04-01</v>
      </c>
      <c r="G3770">
        <v>0.90980000000000005</v>
      </c>
      <c r="H3770" t="s">
        <v>11</v>
      </c>
      <c r="I3770" t="s">
        <v>10</v>
      </c>
    </row>
    <row r="3771" spans="1:9" x14ac:dyDescent="0.25">
      <c r="A3771" t="str">
        <f t="shared" si="98"/>
        <v>89301000</v>
      </c>
      <c r="B3771" t="str">
        <f>"405905421"</f>
        <v>405905421</v>
      </c>
      <c r="C3771" s="1">
        <v>45209</v>
      </c>
      <c r="D3771" s="1">
        <v>45211</v>
      </c>
      <c r="E3771">
        <v>1</v>
      </c>
      <c r="F3771" t="str">
        <f>"13-I19-00"</f>
        <v>13-I19-00</v>
      </c>
      <c r="G3771">
        <v>0.28249999999999997</v>
      </c>
      <c r="H3771" t="s">
        <v>11</v>
      </c>
      <c r="I3771" t="s">
        <v>10</v>
      </c>
    </row>
    <row r="3772" spans="1:9" x14ac:dyDescent="0.25">
      <c r="A3772" t="str">
        <f t="shared" si="98"/>
        <v>89301000</v>
      </c>
      <c r="B3772" t="str">
        <f>"405907446"</f>
        <v>405907446</v>
      </c>
      <c r="C3772" s="1">
        <v>45012</v>
      </c>
      <c r="D3772" s="1">
        <v>45027</v>
      </c>
      <c r="E3772">
        <v>4</v>
      </c>
      <c r="F3772" t="str">
        <f>"24-M07-02"</f>
        <v>24-M07-02</v>
      </c>
      <c r="G3772">
        <v>1.5729</v>
      </c>
      <c r="H3772" t="s">
        <v>11</v>
      </c>
      <c r="I3772" t="s">
        <v>10</v>
      </c>
    </row>
    <row r="3773" spans="1:9" x14ac:dyDescent="0.25">
      <c r="A3773" t="str">
        <f t="shared" si="98"/>
        <v>89301000</v>
      </c>
      <c r="B3773" t="str">
        <f>"405907446"</f>
        <v>405907446</v>
      </c>
      <c r="C3773" s="1">
        <v>45004</v>
      </c>
      <c r="D3773" s="1">
        <v>45012</v>
      </c>
      <c r="E3773">
        <v>3</v>
      </c>
      <c r="F3773" t="str">
        <f>"08-I06-04"</f>
        <v>08-I06-04</v>
      </c>
      <c r="G3773">
        <v>2.3370000000000002</v>
      </c>
      <c r="H3773" t="s">
        <v>9</v>
      </c>
      <c r="I3773" t="s">
        <v>10</v>
      </c>
    </row>
    <row r="3774" spans="1:9" x14ac:dyDescent="0.25">
      <c r="A3774" t="str">
        <f t="shared" si="98"/>
        <v>89301000</v>
      </c>
      <c r="B3774" t="str">
        <f>"405911402"</f>
        <v>405911402</v>
      </c>
      <c r="C3774" s="1">
        <v>45173</v>
      </c>
      <c r="D3774" s="1">
        <v>45177</v>
      </c>
      <c r="E3774">
        <v>1</v>
      </c>
      <c r="F3774" t="str">
        <f>"05-M06-03"</f>
        <v>05-M06-03</v>
      </c>
      <c r="G3774">
        <v>2.7477</v>
      </c>
      <c r="H3774" t="s">
        <v>12</v>
      </c>
      <c r="I3774" t="s">
        <v>10</v>
      </c>
    </row>
    <row r="3775" spans="1:9" x14ac:dyDescent="0.25">
      <c r="A3775" t="str">
        <f t="shared" si="98"/>
        <v>89301000</v>
      </c>
      <c r="B3775" t="str">
        <f>"405911402"</f>
        <v>405911402</v>
      </c>
      <c r="C3775" s="1">
        <v>45224</v>
      </c>
      <c r="D3775" s="1">
        <v>45229</v>
      </c>
      <c r="E3775">
        <v>1</v>
      </c>
      <c r="F3775" t="str">
        <f>"05-M01-03"</f>
        <v>05-M01-03</v>
      </c>
      <c r="G3775">
        <v>11.4411</v>
      </c>
      <c r="H3775" t="s">
        <v>12</v>
      </c>
      <c r="I3775" t="s">
        <v>10</v>
      </c>
    </row>
    <row r="3776" spans="1:9" x14ac:dyDescent="0.25">
      <c r="A3776" t="str">
        <f t="shared" si="98"/>
        <v>89301000</v>
      </c>
      <c r="B3776" t="str">
        <f>"405917463"</f>
        <v>405917463</v>
      </c>
      <c r="C3776" s="1">
        <v>44953</v>
      </c>
      <c r="D3776" s="1">
        <v>44963</v>
      </c>
      <c r="E3776">
        <v>4</v>
      </c>
      <c r="F3776" t="str">
        <f>"01-K10-03"</f>
        <v>01-K10-03</v>
      </c>
      <c r="G3776">
        <v>1.0443</v>
      </c>
      <c r="H3776" t="s">
        <v>11</v>
      </c>
      <c r="I3776" t="s">
        <v>10</v>
      </c>
    </row>
    <row r="3777" spans="1:9" x14ac:dyDescent="0.25">
      <c r="A3777" t="str">
        <f t="shared" si="98"/>
        <v>89301000</v>
      </c>
      <c r="B3777" t="str">
        <f>"405917463"</f>
        <v>405917463</v>
      </c>
      <c r="C3777" s="1">
        <v>44945</v>
      </c>
      <c r="D3777" s="1">
        <v>44950</v>
      </c>
      <c r="E3777">
        <v>1</v>
      </c>
      <c r="F3777" t="str">
        <f>"01-K12-01"</f>
        <v>01-K12-01</v>
      </c>
      <c r="G3777">
        <v>0.72709999999999997</v>
      </c>
      <c r="H3777" t="s">
        <v>11</v>
      </c>
      <c r="I3777" t="s">
        <v>10</v>
      </c>
    </row>
    <row r="3778" spans="1:9" x14ac:dyDescent="0.25">
      <c r="A3778" t="str">
        <f t="shared" si="98"/>
        <v>89301000</v>
      </c>
      <c r="B3778" t="str">
        <f>"405927442"</f>
        <v>405927442</v>
      </c>
      <c r="C3778" s="1">
        <v>45124</v>
      </c>
      <c r="D3778" s="1">
        <v>45127</v>
      </c>
      <c r="E3778">
        <v>1</v>
      </c>
      <c r="F3778" t="str">
        <f>"01-K08-01"</f>
        <v>01-K08-01</v>
      </c>
      <c r="G3778">
        <v>1.2258</v>
      </c>
      <c r="H3778" t="s">
        <v>11</v>
      </c>
      <c r="I3778" t="s">
        <v>10</v>
      </c>
    </row>
    <row r="3779" spans="1:9" x14ac:dyDescent="0.25">
      <c r="A3779" t="str">
        <f t="shared" si="98"/>
        <v>89301000</v>
      </c>
      <c r="B3779" t="str">
        <f>"405929447"</f>
        <v>405929447</v>
      </c>
      <c r="C3779" s="1">
        <v>45132</v>
      </c>
      <c r="D3779" s="1">
        <v>45133</v>
      </c>
      <c r="E3779">
        <v>1</v>
      </c>
      <c r="F3779" t="str">
        <f>"05-I25-04"</f>
        <v>05-I25-04</v>
      </c>
      <c r="G3779">
        <v>2.2559999999999998</v>
      </c>
      <c r="H3779" t="s">
        <v>12</v>
      </c>
      <c r="I3779" t="s">
        <v>10</v>
      </c>
    </row>
    <row r="3780" spans="1:9" x14ac:dyDescent="0.25">
      <c r="A3780" t="str">
        <f t="shared" si="98"/>
        <v>89301000</v>
      </c>
      <c r="B3780" t="str">
        <f>"405930412"</f>
        <v>405930412</v>
      </c>
      <c r="C3780" s="1">
        <v>44986</v>
      </c>
      <c r="D3780" s="1">
        <v>44995</v>
      </c>
      <c r="E3780">
        <v>8</v>
      </c>
      <c r="F3780" t="str">
        <f>"04-K02-02"</f>
        <v>04-K02-02</v>
      </c>
      <c r="G3780">
        <v>2.8616999999999999</v>
      </c>
      <c r="H3780" t="s">
        <v>11</v>
      </c>
      <c r="I3780" t="s">
        <v>10</v>
      </c>
    </row>
    <row r="3781" spans="1:9" x14ac:dyDescent="0.25">
      <c r="A3781" t="str">
        <f t="shared" si="98"/>
        <v>89301000</v>
      </c>
      <c r="B3781" t="str">
        <f>"406001454"</f>
        <v>406001454</v>
      </c>
      <c r="C3781" s="1">
        <v>45007</v>
      </c>
      <c r="D3781" s="1">
        <v>45012</v>
      </c>
      <c r="E3781">
        <v>5</v>
      </c>
      <c r="F3781" t="str">
        <f>"11-K01-01"</f>
        <v>11-K01-01</v>
      </c>
      <c r="G3781">
        <v>1.3053999999999999</v>
      </c>
      <c r="H3781" t="s">
        <v>11</v>
      </c>
      <c r="I3781" t="s">
        <v>10</v>
      </c>
    </row>
    <row r="3782" spans="1:9" x14ac:dyDescent="0.25">
      <c r="A3782" t="str">
        <f t="shared" si="98"/>
        <v>89301000</v>
      </c>
      <c r="B3782" t="str">
        <f>"406001454"</f>
        <v>406001454</v>
      </c>
      <c r="C3782" s="1">
        <v>45126</v>
      </c>
      <c r="D3782" s="1">
        <v>45134</v>
      </c>
      <c r="E3782">
        <v>4</v>
      </c>
      <c r="F3782" t="str">
        <f>"04-K02-02"</f>
        <v>04-K02-02</v>
      </c>
      <c r="G3782">
        <v>2.8616999999999999</v>
      </c>
      <c r="H3782" t="s">
        <v>11</v>
      </c>
      <c r="I3782" t="s">
        <v>10</v>
      </c>
    </row>
    <row r="3783" spans="1:9" x14ac:dyDescent="0.25">
      <c r="A3783" t="str">
        <f t="shared" si="98"/>
        <v>89301000</v>
      </c>
      <c r="B3783" t="str">
        <f>"406004447"</f>
        <v>406004447</v>
      </c>
      <c r="C3783" s="1">
        <v>45161</v>
      </c>
      <c r="D3783" s="1">
        <v>45163</v>
      </c>
      <c r="E3783">
        <v>1</v>
      </c>
      <c r="F3783" t="str">
        <f>"05-D01-08"</f>
        <v>05-D01-08</v>
      </c>
      <c r="G3783">
        <v>0.43159999999999998</v>
      </c>
      <c r="H3783" t="s">
        <v>11</v>
      </c>
      <c r="I3783" t="s">
        <v>10</v>
      </c>
    </row>
    <row r="3784" spans="1:9" x14ac:dyDescent="0.25">
      <c r="A3784" t="str">
        <f t="shared" si="98"/>
        <v>89301000</v>
      </c>
      <c r="B3784" t="str">
        <f>"406004447"</f>
        <v>406004447</v>
      </c>
      <c r="C3784" s="1">
        <v>45224</v>
      </c>
      <c r="D3784" s="1">
        <v>45229</v>
      </c>
      <c r="E3784">
        <v>1</v>
      </c>
      <c r="F3784" t="str">
        <f>"05-M01-03"</f>
        <v>05-M01-03</v>
      </c>
      <c r="G3784">
        <v>11.4411</v>
      </c>
      <c r="H3784" t="s">
        <v>12</v>
      </c>
      <c r="I3784" t="s">
        <v>10</v>
      </c>
    </row>
    <row r="3785" spans="1:9" x14ac:dyDescent="0.25">
      <c r="A3785" t="str">
        <f t="shared" si="98"/>
        <v>89301000</v>
      </c>
      <c r="B3785" t="str">
        <f>"406018423"</f>
        <v>406018423</v>
      </c>
      <c r="C3785" s="1">
        <v>44964</v>
      </c>
      <c r="D3785" s="1">
        <v>44973</v>
      </c>
      <c r="E3785">
        <v>4</v>
      </c>
      <c r="F3785" t="str">
        <f>"08-I13-05"</f>
        <v>08-I13-05</v>
      </c>
      <c r="G3785">
        <v>2.343</v>
      </c>
      <c r="H3785" t="s">
        <v>12</v>
      </c>
      <c r="I3785" t="s">
        <v>10</v>
      </c>
    </row>
    <row r="3786" spans="1:9" x14ac:dyDescent="0.25">
      <c r="A3786" t="str">
        <f t="shared" si="98"/>
        <v>89301000</v>
      </c>
      <c r="B3786" t="str">
        <f>"406020416"</f>
        <v>406020416</v>
      </c>
      <c r="C3786" s="1">
        <v>45222</v>
      </c>
      <c r="D3786" s="1">
        <v>45232</v>
      </c>
      <c r="E3786">
        <v>3</v>
      </c>
      <c r="F3786" t="str">
        <f>"01-K10-03"</f>
        <v>01-K10-03</v>
      </c>
      <c r="G3786">
        <v>1.0348999999999999</v>
      </c>
      <c r="H3786" t="s">
        <v>11</v>
      </c>
      <c r="I3786" t="s">
        <v>10</v>
      </c>
    </row>
    <row r="3787" spans="1:9" x14ac:dyDescent="0.25">
      <c r="A3787" t="str">
        <f t="shared" si="98"/>
        <v>89301000</v>
      </c>
      <c r="B3787" t="str">
        <f>"406020416"</f>
        <v>406020416</v>
      </c>
      <c r="C3787" s="1">
        <v>45196</v>
      </c>
      <c r="D3787" s="1">
        <v>45203</v>
      </c>
      <c r="E3787">
        <v>1</v>
      </c>
      <c r="F3787" t="str">
        <f>"06-K07-02"</f>
        <v>06-K07-02</v>
      </c>
      <c r="G3787">
        <v>0.4385</v>
      </c>
      <c r="H3787" t="s">
        <v>11</v>
      </c>
      <c r="I3787" t="s">
        <v>10</v>
      </c>
    </row>
    <row r="3788" spans="1:9" x14ac:dyDescent="0.25">
      <c r="A3788" t="str">
        <f t="shared" si="98"/>
        <v>89301000</v>
      </c>
      <c r="B3788" t="str">
        <f>"406020416"</f>
        <v>406020416</v>
      </c>
      <c r="C3788" s="1">
        <v>45232</v>
      </c>
      <c r="D3788" s="1">
        <v>45236</v>
      </c>
      <c r="E3788">
        <v>1</v>
      </c>
      <c r="F3788" t="str">
        <f>"24-M05-01"</f>
        <v>24-M05-01</v>
      </c>
      <c r="G3788">
        <v>0.63700000000000001</v>
      </c>
      <c r="H3788" t="s">
        <v>11</v>
      </c>
      <c r="I3788" t="s">
        <v>10</v>
      </c>
    </row>
    <row r="3789" spans="1:9" x14ac:dyDescent="0.25">
      <c r="A3789" t="str">
        <f t="shared" si="98"/>
        <v>89301000</v>
      </c>
      <c r="B3789" t="str">
        <f>"406024473"</f>
        <v>406024473</v>
      </c>
      <c r="C3789" s="1">
        <v>45129</v>
      </c>
      <c r="D3789" s="1">
        <v>45134</v>
      </c>
      <c r="E3789">
        <v>1</v>
      </c>
      <c r="F3789" t="str">
        <f>"08-K08-00"</f>
        <v>08-K08-00</v>
      </c>
      <c r="G3789">
        <v>0.5272</v>
      </c>
      <c r="H3789" t="s">
        <v>11</v>
      </c>
      <c r="I3789" t="s">
        <v>10</v>
      </c>
    </row>
    <row r="3790" spans="1:9" x14ac:dyDescent="0.25">
      <c r="A3790" t="str">
        <f t="shared" si="98"/>
        <v>89301000</v>
      </c>
      <c r="B3790" t="str">
        <f>"406024473"</f>
        <v>406024473</v>
      </c>
      <c r="C3790" s="1">
        <v>45238</v>
      </c>
      <c r="D3790" s="1">
        <v>45244</v>
      </c>
      <c r="E3790">
        <v>1</v>
      </c>
      <c r="F3790" t="str">
        <f>"06-K06-01"</f>
        <v>06-K06-01</v>
      </c>
      <c r="G3790">
        <v>1.1567000000000001</v>
      </c>
      <c r="H3790" t="s">
        <v>11</v>
      </c>
      <c r="I3790" t="s">
        <v>10</v>
      </c>
    </row>
    <row r="3791" spans="1:9" x14ac:dyDescent="0.25">
      <c r="A3791" t="str">
        <f t="shared" si="98"/>
        <v>89301000</v>
      </c>
      <c r="B3791" t="str">
        <f>"406026121"</f>
        <v>406026121</v>
      </c>
      <c r="C3791" s="1">
        <v>45113</v>
      </c>
      <c r="D3791" s="1">
        <v>45121</v>
      </c>
      <c r="E3791">
        <v>1</v>
      </c>
      <c r="F3791" t="str">
        <f>"11-M06-03"</f>
        <v>11-M06-03</v>
      </c>
      <c r="G3791">
        <v>0.69350000000000001</v>
      </c>
      <c r="H3791" t="s">
        <v>12</v>
      </c>
      <c r="I3791" t="s">
        <v>10</v>
      </c>
    </row>
    <row r="3792" spans="1:9" x14ac:dyDescent="0.25">
      <c r="A3792" t="str">
        <f t="shared" si="98"/>
        <v>89301000</v>
      </c>
      <c r="B3792" t="str">
        <f>"406026121"</f>
        <v>406026121</v>
      </c>
      <c r="C3792" s="1">
        <v>45180</v>
      </c>
      <c r="D3792" s="1">
        <v>45182</v>
      </c>
      <c r="E3792">
        <v>1</v>
      </c>
      <c r="F3792" t="str">
        <f>"11-K14-03"</f>
        <v>11-K14-03</v>
      </c>
      <c r="G3792">
        <v>0.30259999999999998</v>
      </c>
      <c r="H3792" t="s">
        <v>11</v>
      </c>
      <c r="I3792" t="s">
        <v>10</v>
      </c>
    </row>
    <row r="3793" spans="1:9" x14ac:dyDescent="0.25">
      <c r="A3793" t="str">
        <f t="shared" si="98"/>
        <v>89301000</v>
      </c>
      <c r="B3793" t="str">
        <f>"406026121"</f>
        <v>406026121</v>
      </c>
      <c r="C3793" s="1">
        <v>45188</v>
      </c>
      <c r="D3793" s="1">
        <v>45191</v>
      </c>
      <c r="E3793">
        <v>1</v>
      </c>
      <c r="F3793" t="str">
        <f>"11-K08-02"</f>
        <v>11-K08-02</v>
      </c>
      <c r="G3793">
        <v>0.51959999999999995</v>
      </c>
      <c r="H3793" t="s">
        <v>11</v>
      </c>
      <c r="I3793" t="s">
        <v>10</v>
      </c>
    </row>
    <row r="3794" spans="1:9" x14ac:dyDescent="0.25">
      <c r="A3794" t="str">
        <f t="shared" si="98"/>
        <v>89301000</v>
      </c>
      <c r="B3794" t="str">
        <f>"406117422"</f>
        <v>406117422</v>
      </c>
      <c r="C3794" s="1">
        <v>44920</v>
      </c>
      <c r="D3794" s="1">
        <v>44952</v>
      </c>
      <c r="E3794">
        <v>4</v>
      </c>
      <c r="F3794" t="str">
        <f>"08-I13-05"</f>
        <v>08-I13-05</v>
      </c>
      <c r="G3794">
        <v>3.4411</v>
      </c>
      <c r="H3794" t="s">
        <v>12</v>
      </c>
      <c r="I3794" t="s">
        <v>10</v>
      </c>
    </row>
    <row r="3795" spans="1:9" x14ac:dyDescent="0.25">
      <c r="A3795" t="str">
        <f t="shared" si="98"/>
        <v>89301000</v>
      </c>
      <c r="B3795" t="str">
        <f>"406118430"</f>
        <v>406118430</v>
      </c>
      <c r="C3795" s="1">
        <v>45232</v>
      </c>
      <c r="D3795" s="1">
        <v>45235</v>
      </c>
      <c r="E3795">
        <v>1</v>
      </c>
      <c r="F3795" t="str">
        <f>"09-I09-02"</f>
        <v>09-I09-02</v>
      </c>
      <c r="G3795">
        <v>0.76900000000000002</v>
      </c>
      <c r="H3795" t="s">
        <v>12</v>
      </c>
      <c r="I3795" t="s">
        <v>10</v>
      </c>
    </row>
    <row r="3796" spans="1:9" x14ac:dyDescent="0.25">
      <c r="A3796" t="str">
        <f t="shared" si="98"/>
        <v>89301000</v>
      </c>
      <c r="B3796" t="str">
        <f>"406127430"</f>
        <v>406127430</v>
      </c>
      <c r="C3796" s="1">
        <v>44969</v>
      </c>
      <c r="D3796" s="1">
        <v>44970</v>
      </c>
      <c r="E3796">
        <v>8</v>
      </c>
      <c r="F3796" t="str">
        <f>"06-I06-01"</f>
        <v>06-I06-01</v>
      </c>
      <c r="G3796">
        <v>2.6743000000000001</v>
      </c>
      <c r="H3796" t="s">
        <v>12</v>
      </c>
      <c r="I3796" t="s">
        <v>10</v>
      </c>
    </row>
    <row r="3797" spans="1:9" x14ac:dyDescent="0.25">
      <c r="A3797" t="str">
        <f t="shared" si="98"/>
        <v>89301000</v>
      </c>
      <c r="B3797" t="str">
        <f>"406216438"</f>
        <v>406216438</v>
      </c>
      <c r="C3797" s="1">
        <v>45126</v>
      </c>
      <c r="D3797" s="1">
        <v>45132</v>
      </c>
      <c r="E3797">
        <v>4</v>
      </c>
      <c r="F3797" t="str">
        <f>"04-K02-04"</f>
        <v>04-K02-04</v>
      </c>
      <c r="G3797">
        <v>0.82099999999999995</v>
      </c>
      <c r="H3797" t="s">
        <v>11</v>
      </c>
      <c r="I3797" t="s">
        <v>10</v>
      </c>
    </row>
    <row r="3798" spans="1:9" x14ac:dyDescent="0.25">
      <c r="A3798" t="str">
        <f t="shared" si="98"/>
        <v>89301000</v>
      </c>
      <c r="B3798" t="str">
        <f>"406216438"</f>
        <v>406216438</v>
      </c>
      <c r="C3798" s="1">
        <v>45108</v>
      </c>
      <c r="D3798" s="1">
        <v>45111</v>
      </c>
      <c r="E3798">
        <v>1</v>
      </c>
      <c r="F3798" t="str">
        <f>"05-I25-03"</f>
        <v>05-I25-03</v>
      </c>
      <c r="G3798">
        <v>1.633</v>
      </c>
      <c r="H3798" t="s">
        <v>12</v>
      </c>
      <c r="I3798" t="s">
        <v>10</v>
      </c>
    </row>
    <row r="3799" spans="1:9" x14ac:dyDescent="0.25">
      <c r="A3799" t="str">
        <f t="shared" si="98"/>
        <v>89301000</v>
      </c>
      <c r="B3799" t="str">
        <f>"406216438"</f>
        <v>406216438</v>
      </c>
      <c r="C3799" s="1">
        <v>45006</v>
      </c>
      <c r="D3799" s="1">
        <v>45043</v>
      </c>
      <c r="E3799">
        <v>1</v>
      </c>
      <c r="F3799" t="str">
        <f>"08-K08-00"</f>
        <v>08-K08-00</v>
      </c>
      <c r="G3799">
        <v>1.9094</v>
      </c>
      <c r="H3799" t="s">
        <v>11</v>
      </c>
      <c r="I3799" t="s">
        <v>10</v>
      </c>
    </row>
    <row r="3800" spans="1:9" x14ac:dyDescent="0.25">
      <c r="A3800" t="str">
        <f t="shared" si="98"/>
        <v>89301000</v>
      </c>
      <c r="B3800" t="str">
        <f>"406221406"</f>
        <v>406221406</v>
      </c>
      <c r="C3800" s="1">
        <v>45114</v>
      </c>
      <c r="D3800" s="1">
        <v>45120</v>
      </c>
      <c r="E3800">
        <v>1</v>
      </c>
      <c r="F3800" t="str">
        <f>"01-K03-06"</f>
        <v>01-K03-06</v>
      </c>
      <c r="G3800">
        <v>0.85660000000000003</v>
      </c>
      <c r="H3800" t="s">
        <v>11</v>
      </c>
      <c r="I3800" t="s">
        <v>10</v>
      </c>
    </row>
    <row r="3801" spans="1:9" x14ac:dyDescent="0.25">
      <c r="A3801" t="str">
        <f t="shared" si="98"/>
        <v>89301000</v>
      </c>
      <c r="B3801" t="str">
        <f>"410101410"</f>
        <v>410101410</v>
      </c>
      <c r="C3801" s="1">
        <v>44923</v>
      </c>
      <c r="D3801" s="1">
        <v>44995</v>
      </c>
      <c r="E3801">
        <v>1</v>
      </c>
      <c r="F3801" t="str">
        <f>"10-K13-01"</f>
        <v>10-K13-01</v>
      </c>
      <c r="G3801">
        <v>7.3695000000000004</v>
      </c>
      <c r="H3801" t="s">
        <v>11</v>
      </c>
      <c r="I3801" t="s">
        <v>10</v>
      </c>
    </row>
    <row r="3802" spans="1:9" x14ac:dyDescent="0.25">
      <c r="A3802" t="str">
        <f t="shared" si="98"/>
        <v>89301000</v>
      </c>
      <c r="B3802" t="str">
        <f>"410101410"</f>
        <v>410101410</v>
      </c>
      <c r="C3802" s="1">
        <v>45065</v>
      </c>
      <c r="D3802" s="1">
        <v>45075</v>
      </c>
      <c r="E3802">
        <v>1</v>
      </c>
      <c r="F3802" t="str">
        <f>"04-K06-02"</f>
        <v>04-K06-02</v>
      </c>
      <c r="G3802">
        <v>1.0127999999999999</v>
      </c>
      <c r="H3802" t="s">
        <v>11</v>
      </c>
      <c r="I3802" t="s">
        <v>10</v>
      </c>
    </row>
    <row r="3803" spans="1:9" x14ac:dyDescent="0.25">
      <c r="A3803" t="str">
        <f t="shared" si="98"/>
        <v>89301000</v>
      </c>
      <c r="B3803" t="str">
        <f>"410118411"</f>
        <v>410118411</v>
      </c>
      <c r="C3803" s="1">
        <v>45270</v>
      </c>
      <c r="D3803" s="1">
        <v>45272</v>
      </c>
      <c r="E3803">
        <v>1</v>
      </c>
      <c r="F3803" t="str">
        <f>"05-I14-03"</f>
        <v>05-I14-03</v>
      </c>
      <c r="G3803">
        <v>6.0362</v>
      </c>
      <c r="H3803" t="s">
        <v>12</v>
      </c>
      <c r="I3803" t="s">
        <v>10</v>
      </c>
    </row>
    <row r="3804" spans="1:9" x14ac:dyDescent="0.25">
      <c r="A3804" t="str">
        <f t="shared" si="98"/>
        <v>89301000</v>
      </c>
      <c r="B3804" t="str">
        <f>"410118411"</f>
        <v>410118411</v>
      </c>
      <c r="C3804" s="1">
        <v>45254</v>
      </c>
      <c r="D3804" s="1">
        <v>45257</v>
      </c>
      <c r="E3804">
        <v>5</v>
      </c>
      <c r="F3804" t="str">
        <f>"05-M06-02"</f>
        <v>05-M06-02</v>
      </c>
      <c r="G3804">
        <v>3.8536000000000001</v>
      </c>
      <c r="H3804" t="s">
        <v>12</v>
      </c>
      <c r="I3804" t="s">
        <v>10</v>
      </c>
    </row>
    <row r="3805" spans="1:9" x14ac:dyDescent="0.25">
      <c r="A3805" t="str">
        <f t="shared" si="98"/>
        <v>89301000</v>
      </c>
      <c r="B3805" t="str">
        <f>"410121434"</f>
        <v>410121434</v>
      </c>
      <c r="C3805" s="1">
        <v>45104</v>
      </c>
      <c r="D3805" s="1">
        <v>45131</v>
      </c>
      <c r="E3805">
        <v>4</v>
      </c>
      <c r="F3805" t="str">
        <f>"08-K08-00"</f>
        <v>08-K08-00</v>
      </c>
      <c r="G3805">
        <v>1.4963</v>
      </c>
      <c r="H3805" t="s">
        <v>11</v>
      </c>
      <c r="I3805" t="s">
        <v>10</v>
      </c>
    </row>
    <row r="3806" spans="1:9" x14ac:dyDescent="0.25">
      <c r="A3806" t="str">
        <f t="shared" si="98"/>
        <v>89301000</v>
      </c>
      <c r="B3806" t="str">
        <f>"410208428"</f>
        <v>410208428</v>
      </c>
      <c r="C3806" s="1">
        <v>44980</v>
      </c>
      <c r="D3806" s="1">
        <v>44983</v>
      </c>
      <c r="E3806">
        <v>1</v>
      </c>
      <c r="F3806" t="str">
        <f>"03-I18-03"</f>
        <v>03-I18-03</v>
      </c>
      <c r="G3806">
        <v>0.83940000000000003</v>
      </c>
      <c r="H3806" t="s">
        <v>9</v>
      </c>
      <c r="I3806" t="s">
        <v>10</v>
      </c>
    </row>
    <row r="3807" spans="1:9" x14ac:dyDescent="0.25">
      <c r="A3807" t="str">
        <f t="shared" si="98"/>
        <v>89301000</v>
      </c>
      <c r="B3807" t="str">
        <f>"410214423"</f>
        <v>410214423</v>
      </c>
      <c r="C3807" s="1">
        <v>45012</v>
      </c>
      <c r="D3807" s="1">
        <v>45015</v>
      </c>
      <c r="E3807">
        <v>5</v>
      </c>
      <c r="F3807" t="str">
        <f>"05-M04-04"</f>
        <v>05-M04-04</v>
      </c>
      <c r="G3807">
        <v>2.4062000000000001</v>
      </c>
      <c r="H3807" t="s">
        <v>12</v>
      </c>
      <c r="I3807" t="s">
        <v>10</v>
      </c>
    </row>
    <row r="3808" spans="1:9" x14ac:dyDescent="0.25">
      <c r="A3808" t="str">
        <f t="shared" si="98"/>
        <v>89301000</v>
      </c>
      <c r="B3808" t="str">
        <f>"410218432"</f>
        <v>410218432</v>
      </c>
      <c r="C3808" s="1">
        <v>45063</v>
      </c>
      <c r="D3808" s="1">
        <v>45069</v>
      </c>
      <c r="E3808">
        <v>1</v>
      </c>
      <c r="F3808" t="str">
        <f>"05-K05-02"</f>
        <v>05-K05-02</v>
      </c>
      <c r="G3808">
        <v>0.92349999999999999</v>
      </c>
      <c r="H3808" t="s">
        <v>11</v>
      </c>
      <c r="I3808" t="s">
        <v>10</v>
      </c>
    </row>
    <row r="3809" spans="1:9" x14ac:dyDescent="0.25">
      <c r="A3809" t="str">
        <f t="shared" si="98"/>
        <v>89301000</v>
      </c>
      <c r="B3809" t="str">
        <f>"410312412"</f>
        <v>410312412</v>
      </c>
      <c r="C3809" s="1">
        <v>45203</v>
      </c>
      <c r="D3809" s="1">
        <v>45247</v>
      </c>
      <c r="E3809">
        <v>8</v>
      </c>
      <c r="F3809" t="str">
        <f>"04-K02-02"</f>
        <v>04-K02-02</v>
      </c>
      <c r="G3809">
        <v>4.3571</v>
      </c>
      <c r="H3809" t="s">
        <v>11</v>
      </c>
      <c r="I3809" t="s">
        <v>10</v>
      </c>
    </row>
    <row r="3810" spans="1:9" x14ac:dyDescent="0.25">
      <c r="A3810" t="str">
        <f t="shared" si="98"/>
        <v>89301000</v>
      </c>
      <c r="B3810" t="str">
        <f>"410317403"</f>
        <v>410317403</v>
      </c>
      <c r="C3810" s="1">
        <v>44947</v>
      </c>
      <c r="D3810" s="1">
        <v>44958</v>
      </c>
      <c r="E3810">
        <v>4</v>
      </c>
      <c r="F3810" t="str">
        <f>"08-I13-05"</f>
        <v>08-I13-05</v>
      </c>
      <c r="G3810">
        <v>2.343</v>
      </c>
      <c r="H3810" t="s">
        <v>12</v>
      </c>
      <c r="I3810" t="s">
        <v>10</v>
      </c>
    </row>
    <row r="3811" spans="1:9" x14ac:dyDescent="0.25">
      <c r="A3811" t="str">
        <f t="shared" si="98"/>
        <v>89301000</v>
      </c>
      <c r="B3811" t="str">
        <f>"410326420"</f>
        <v>410326420</v>
      </c>
      <c r="C3811" s="1">
        <v>45274</v>
      </c>
      <c r="D3811" s="1">
        <v>45276</v>
      </c>
      <c r="E3811">
        <v>1</v>
      </c>
      <c r="F3811" t="str">
        <f>"05-M06-06"</f>
        <v>05-M06-06</v>
      </c>
      <c r="G3811">
        <v>1.8264</v>
      </c>
      <c r="H3811" t="s">
        <v>12</v>
      </c>
      <c r="I3811" t="s">
        <v>10</v>
      </c>
    </row>
    <row r="3812" spans="1:9" x14ac:dyDescent="0.25">
      <c r="A3812" t="str">
        <f t="shared" si="98"/>
        <v>89301000</v>
      </c>
      <c r="B3812" t="str">
        <f>"410329430"</f>
        <v>410329430</v>
      </c>
      <c r="C3812" s="1">
        <v>44958</v>
      </c>
      <c r="D3812" s="1">
        <v>44965</v>
      </c>
      <c r="E3812">
        <v>1</v>
      </c>
      <c r="F3812" t="str">
        <f>"04-K02-04"</f>
        <v>04-K02-04</v>
      </c>
      <c r="G3812">
        <v>0.82099999999999995</v>
      </c>
      <c r="H3812" t="s">
        <v>11</v>
      </c>
      <c r="I3812" t="s">
        <v>10</v>
      </c>
    </row>
    <row r="3813" spans="1:9" x14ac:dyDescent="0.25">
      <c r="A3813" t="str">
        <f t="shared" si="98"/>
        <v>89301000</v>
      </c>
      <c r="B3813" t="str">
        <f>"410416454"</f>
        <v>410416454</v>
      </c>
      <c r="C3813" s="1">
        <v>44946</v>
      </c>
      <c r="D3813" s="1">
        <v>44960</v>
      </c>
      <c r="E3813">
        <v>5</v>
      </c>
      <c r="F3813" t="str">
        <f>"07-M02-02"</f>
        <v>07-M02-02</v>
      </c>
      <c r="G3813">
        <v>2.5668000000000002</v>
      </c>
      <c r="H3813" t="s">
        <v>12</v>
      </c>
      <c r="I3813" t="s">
        <v>10</v>
      </c>
    </row>
    <row r="3814" spans="1:9" x14ac:dyDescent="0.25">
      <c r="A3814" t="str">
        <f t="shared" ref="A3814:A3875" si="99">"89301000"</f>
        <v>89301000</v>
      </c>
      <c r="B3814" t="str">
        <f>"410425421"</f>
        <v>410425421</v>
      </c>
      <c r="C3814" s="1">
        <v>45092</v>
      </c>
      <c r="D3814" s="1">
        <v>45094</v>
      </c>
      <c r="E3814">
        <v>1</v>
      </c>
      <c r="F3814" t="str">
        <f>"05-I14-03"</f>
        <v>05-I14-03</v>
      </c>
      <c r="G3814">
        <v>6.0362</v>
      </c>
      <c r="H3814" t="s">
        <v>12</v>
      </c>
      <c r="I3814" t="s">
        <v>10</v>
      </c>
    </row>
    <row r="3815" spans="1:9" x14ac:dyDescent="0.25">
      <c r="A3815" t="str">
        <f t="shared" si="99"/>
        <v>89301000</v>
      </c>
      <c r="B3815" t="str">
        <f>"410425421"</f>
        <v>410425421</v>
      </c>
      <c r="C3815" s="1">
        <v>45075</v>
      </c>
      <c r="D3815" s="1">
        <v>45082</v>
      </c>
      <c r="E3815">
        <v>1</v>
      </c>
      <c r="F3815" t="str">
        <f>"05-K07-03"</f>
        <v>05-K07-03</v>
      </c>
      <c r="G3815">
        <v>1.7626999999999999</v>
      </c>
      <c r="H3815" t="s">
        <v>11</v>
      </c>
      <c r="I3815" t="s">
        <v>10</v>
      </c>
    </row>
    <row r="3816" spans="1:9" x14ac:dyDescent="0.25">
      <c r="A3816" t="str">
        <f t="shared" si="99"/>
        <v>89301000</v>
      </c>
      <c r="B3816" t="str">
        <f>"410510421"</f>
        <v>410510421</v>
      </c>
      <c r="C3816" s="1">
        <v>45183</v>
      </c>
      <c r="D3816" s="1">
        <v>45184</v>
      </c>
      <c r="E3816">
        <v>1</v>
      </c>
      <c r="F3816" t="str">
        <f>"05-I14-03"</f>
        <v>05-I14-03</v>
      </c>
      <c r="G3816">
        <v>6.0362</v>
      </c>
      <c r="H3816" t="s">
        <v>12</v>
      </c>
      <c r="I3816" t="s">
        <v>10</v>
      </c>
    </row>
    <row r="3817" spans="1:9" x14ac:dyDescent="0.25">
      <c r="A3817" t="str">
        <f t="shared" si="99"/>
        <v>89301000</v>
      </c>
      <c r="B3817" t="str">
        <f>"410510421"</f>
        <v>410510421</v>
      </c>
      <c r="C3817" s="1">
        <v>44958</v>
      </c>
      <c r="D3817" s="1">
        <v>44959</v>
      </c>
      <c r="E3817">
        <v>1</v>
      </c>
      <c r="F3817" t="str">
        <f>"05-D01-06"</f>
        <v>05-D01-06</v>
      </c>
      <c r="G3817">
        <v>0.7571</v>
      </c>
      <c r="H3817" t="s">
        <v>11</v>
      </c>
      <c r="I3817" t="s">
        <v>10</v>
      </c>
    </row>
    <row r="3818" spans="1:9" x14ac:dyDescent="0.25">
      <c r="A3818" t="str">
        <f t="shared" si="99"/>
        <v>89301000</v>
      </c>
      <c r="B3818" t="str">
        <f>"410521455"</f>
        <v>410521455</v>
      </c>
      <c r="C3818" s="1">
        <v>45048</v>
      </c>
      <c r="D3818" s="1">
        <v>45050</v>
      </c>
      <c r="E3818">
        <v>1</v>
      </c>
      <c r="F3818" t="str">
        <f>"05-I29-03"</f>
        <v>05-I29-03</v>
      </c>
      <c r="G3818">
        <v>1.0078</v>
      </c>
      <c r="H3818" t="s">
        <v>12</v>
      </c>
      <c r="I3818" t="s">
        <v>10</v>
      </c>
    </row>
    <row r="3819" spans="1:9" x14ac:dyDescent="0.25">
      <c r="A3819" t="str">
        <f t="shared" si="99"/>
        <v>89301000</v>
      </c>
      <c r="B3819" t="str">
        <f>"410613425"</f>
        <v>410613425</v>
      </c>
      <c r="C3819" s="1">
        <v>45111</v>
      </c>
      <c r="D3819" s="1">
        <v>45118</v>
      </c>
      <c r="E3819">
        <v>1</v>
      </c>
      <c r="F3819" t="str">
        <f>"11-K01-04"</f>
        <v>11-K01-04</v>
      </c>
      <c r="G3819">
        <v>0.57130000000000003</v>
      </c>
      <c r="H3819" t="s">
        <v>11</v>
      </c>
      <c r="I3819" t="s">
        <v>10</v>
      </c>
    </row>
    <row r="3820" spans="1:9" x14ac:dyDescent="0.25">
      <c r="A3820" t="str">
        <f t="shared" si="99"/>
        <v>89301000</v>
      </c>
      <c r="B3820" t="str">
        <f>"410621405"</f>
        <v>410621405</v>
      </c>
      <c r="C3820" s="1">
        <v>45250</v>
      </c>
      <c r="D3820" s="1">
        <v>45254</v>
      </c>
      <c r="E3820">
        <v>1</v>
      </c>
      <c r="F3820" t="str">
        <f>"12-I05-00"</f>
        <v>12-I05-00</v>
      </c>
      <c r="G3820">
        <v>2.3058999999999998</v>
      </c>
      <c r="H3820" t="s">
        <v>14</v>
      </c>
      <c r="I3820" t="s">
        <v>10</v>
      </c>
    </row>
    <row r="3821" spans="1:9" x14ac:dyDescent="0.25">
      <c r="A3821" t="str">
        <f t="shared" si="99"/>
        <v>89301000</v>
      </c>
      <c r="B3821" t="str">
        <f>"410621405"</f>
        <v>410621405</v>
      </c>
      <c r="C3821" s="1">
        <v>45174</v>
      </c>
      <c r="D3821" s="1">
        <v>45185</v>
      </c>
      <c r="E3821">
        <v>1</v>
      </c>
      <c r="F3821" t="str">
        <f>"12-I05-00"</f>
        <v>12-I05-00</v>
      </c>
      <c r="G3821">
        <v>1.8758999999999999</v>
      </c>
      <c r="H3821" t="s">
        <v>14</v>
      </c>
      <c r="I3821" t="s">
        <v>10</v>
      </c>
    </row>
    <row r="3822" spans="1:9" x14ac:dyDescent="0.25">
      <c r="A3822" t="str">
        <f t="shared" si="99"/>
        <v>89301000</v>
      </c>
      <c r="B3822" t="str">
        <f>"410702437"</f>
        <v>410702437</v>
      </c>
      <c r="C3822" s="1">
        <v>45176</v>
      </c>
      <c r="D3822" s="1">
        <v>45180</v>
      </c>
      <c r="E3822">
        <v>1</v>
      </c>
      <c r="F3822" t="str">
        <f>"04-K07-03"</f>
        <v>04-K07-03</v>
      </c>
      <c r="G3822">
        <v>0.61119999999999997</v>
      </c>
      <c r="H3822" t="s">
        <v>11</v>
      </c>
      <c r="I3822" t="s">
        <v>10</v>
      </c>
    </row>
    <row r="3823" spans="1:9" x14ac:dyDescent="0.25">
      <c r="A3823" t="str">
        <f t="shared" si="99"/>
        <v>89301000</v>
      </c>
      <c r="B3823" t="str">
        <f>"410706475"</f>
        <v>410706475</v>
      </c>
      <c r="C3823" s="1">
        <v>45184</v>
      </c>
      <c r="D3823" s="1">
        <v>45188</v>
      </c>
      <c r="E3823">
        <v>1</v>
      </c>
      <c r="F3823" t="str">
        <f>"05-D01-06"</f>
        <v>05-D01-06</v>
      </c>
      <c r="G3823">
        <v>0.7571</v>
      </c>
      <c r="H3823" t="s">
        <v>11</v>
      </c>
      <c r="I3823" t="s">
        <v>10</v>
      </c>
    </row>
    <row r="3824" spans="1:9" x14ac:dyDescent="0.25">
      <c r="A3824" t="str">
        <f t="shared" si="99"/>
        <v>89301000</v>
      </c>
      <c r="B3824" t="str">
        <f>"410712443"</f>
        <v>410712443</v>
      </c>
      <c r="C3824" s="1">
        <v>45240</v>
      </c>
      <c r="D3824" s="1">
        <v>45245</v>
      </c>
      <c r="E3824">
        <v>1</v>
      </c>
      <c r="F3824" t="str">
        <f>"03-K12-01"</f>
        <v>03-K12-01</v>
      </c>
      <c r="G3824">
        <v>0.37140000000000001</v>
      </c>
      <c r="H3824" t="s">
        <v>11</v>
      </c>
      <c r="I3824" t="s">
        <v>10</v>
      </c>
    </row>
    <row r="3825" spans="1:9" x14ac:dyDescent="0.25">
      <c r="A3825" t="str">
        <f t="shared" si="99"/>
        <v>89301000</v>
      </c>
      <c r="B3825" t="str">
        <f>"410721434"</f>
        <v>410721434</v>
      </c>
      <c r="C3825" s="1">
        <v>45162</v>
      </c>
      <c r="D3825" s="1">
        <v>45170</v>
      </c>
      <c r="E3825">
        <v>1</v>
      </c>
      <c r="F3825" t="str">
        <f>"11-I08-03"</f>
        <v>11-I08-03</v>
      </c>
      <c r="G3825">
        <v>2.0529999999999999</v>
      </c>
      <c r="H3825" t="s">
        <v>9</v>
      </c>
      <c r="I3825" t="s">
        <v>10</v>
      </c>
    </row>
    <row r="3826" spans="1:9" x14ac:dyDescent="0.25">
      <c r="A3826" t="str">
        <f t="shared" si="99"/>
        <v>89301000</v>
      </c>
      <c r="B3826" t="str">
        <f>"410721434"</f>
        <v>410721434</v>
      </c>
      <c r="C3826" s="1">
        <v>45096</v>
      </c>
      <c r="D3826" s="1">
        <v>45098</v>
      </c>
      <c r="E3826">
        <v>1</v>
      </c>
      <c r="F3826" t="str">
        <f>"11-K07-02"</f>
        <v>11-K07-02</v>
      </c>
      <c r="G3826">
        <v>0.57999999999999996</v>
      </c>
      <c r="H3826" t="s">
        <v>11</v>
      </c>
      <c r="I3826" t="s">
        <v>10</v>
      </c>
    </row>
    <row r="3827" spans="1:9" x14ac:dyDescent="0.25">
      <c r="A3827" t="str">
        <f t="shared" si="99"/>
        <v>89301000</v>
      </c>
      <c r="B3827" t="str">
        <f>"410821416"</f>
        <v>410821416</v>
      </c>
      <c r="C3827" s="1">
        <v>44957</v>
      </c>
      <c r="D3827" s="1">
        <v>44960</v>
      </c>
      <c r="E3827">
        <v>1</v>
      </c>
      <c r="F3827" t="str">
        <f>"06-I16-03"</f>
        <v>06-I16-03</v>
      </c>
      <c r="G3827">
        <v>0.83740000000000003</v>
      </c>
      <c r="H3827" t="s">
        <v>9</v>
      </c>
      <c r="I3827" t="s">
        <v>10</v>
      </c>
    </row>
    <row r="3828" spans="1:9" x14ac:dyDescent="0.25">
      <c r="A3828" t="str">
        <f t="shared" si="99"/>
        <v>89301000</v>
      </c>
      <c r="B3828" t="str">
        <f>"410827463"</f>
        <v>410827463</v>
      </c>
      <c r="C3828" s="1">
        <v>45068</v>
      </c>
      <c r="D3828" s="1">
        <v>45070</v>
      </c>
      <c r="E3828">
        <v>1</v>
      </c>
      <c r="F3828" t="str">
        <f>"03-I22-01"</f>
        <v>03-I22-01</v>
      </c>
      <c r="G3828">
        <v>0.62490000000000001</v>
      </c>
      <c r="H3828" t="s">
        <v>11</v>
      </c>
      <c r="I3828" t="s">
        <v>10</v>
      </c>
    </row>
    <row r="3829" spans="1:9" x14ac:dyDescent="0.25">
      <c r="A3829" t="str">
        <f t="shared" si="99"/>
        <v>89301000</v>
      </c>
      <c r="B3829" t="str">
        <f>"410919443"</f>
        <v>410919443</v>
      </c>
      <c r="C3829" s="1">
        <v>45174</v>
      </c>
      <c r="D3829" s="1">
        <v>45180</v>
      </c>
      <c r="E3829">
        <v>1</v>
      </c>
      <c r="F3829" t="str">
        <f>"17-C05-02"</f>
        <v>17-C05-02</v>
      </c>
      <c r="G3829">
        <v>2.3085</v>
      </c>
      <c r="H3829" t="s">
        <v>11</v>
      </c>
      <c r="I3829" t="s">
        <v>10</v>
      </c>
    </row>
    <row r="3830" spans="1:9" x14ac:dyDescent="0.25">
      <c r="A3830" t="str">
        <f t="shared" si="99"/>
        <v>89301000</v>
      </c>
      <c r="B3830" t="str">
        <f>"410919443"</f>
        <v>410919443</v>
      </c>
      <c r="C3830" s="1">
        <v>45218</v>
      </c>
      <c r="D3830" s="1">
        <v>45231</v>
      </c>
      <c r="E3830">
        <v>1</v>
      </c>
      <c r="F3830" t="str">
        <f>"11-K03-02"</f>
        <v>11-K03-02</v>
      </c>
      <c r="G3830">
        <v>0.70209999999999995</v>
      </c>
      <c r="H3830" t="s">
        <v>11</v>
      </c>
      <c r="I3830" t="s">
        <v>10</v>
      </c>
    </row>
    <row r="3831" spans="1:9" x14ac:dyDescent="0.25">
      <c r="A3831" t="str">
        <f t="shared" si="99"/>
        <v>89301000</v>
      </c>
      <c r="B3831" t="str">
        <f>"410919443"</f>
        <v>410919443</v>
      </c>
      <c r="C3831" s="1">
        <v>45190</v>
      </c>
      <c r="D3831" s="1">
        <v>45205</v>
      </c>
      <c r="E3831">
        <v>1</v>
      </c>
      <c r="F3831" t="str">
        <f>"17-K02-01"</f>
        <v>17-K02-01</v>
      </c>
      <c r="G3831">
        <v>3.1133999999999999</v>
      </c>
      <c r="H3831" t="s">
        <v>11</v>
      </c>
      <c r="I3831" t="s">
        <v>10</v>
      </c>
    </row>
    <row r="3832" spans="1:9" x14ac:dyDescent="0.25">
      <c r="A3832" t="str">
        <f t="shared" si="99"/>
        <v>89301000</v>
      </c>
      <c r="B3832" t="str">
        <f>"410926481"</f>
        <v>410926481</v>
      </c>
      <c r="C3832" s="1">
        <v>45128</v>
      </c>
      <c r="D3832" s="1">
        <v>45130</v>
      </c>
      <c r="E3832">
        <v>1</v>
      </c>
      <c r="F3832" t="str">
        <f>"11-K08-01"</f>
        <v>11-K08-01</v>
      </c>
      <c r="G3832">
        <v>1.1573</v>
      </c>
      <c r="H3832" t="s">
        <v>11</v>
      </c>
      <c r="I3832" t="s">
        <v>10</v>
      </c>
    </row>
    <row r="3833" spans="1:9" x14ac:dyDescent="0.25">
      <c r="A3833" t="str">
        <f t="shared" si="99"/>
        <v>89301000</v>
      </c>
      <c r="B3833" t="str">
        <f>"410926481"</f>
        <v>410926481</v>
      </c>
      <c r="C3833" s="1">
        <v>44939</v>
      </c>
      <c r="D3833" s="1">
        <v>44943</v>
      </c>
      <c r="E3833">
        <v>1</v>
      </c>
      <c r="F3833" t="str">
        <f>"06-K14-02"</f>
        <v>06-K14-02</v>
      </c>
      <c r="G3833">
        <v>0.61380000000000001</v>
      </c>
      <c r="H3833" t="s">
        <v>11</v>
      </c>
      <c r="I3833" t="s">
        <v>10</v>
      </c>
    </row>
    <row r="3834" spans="1:9" x14ac:dyDescent="0.25">
      <c r="A3834" t="str">
        <f t="shared" si="99"/>
        <v>89301000</v>
      </c>
      <c r="B3834" t="str">
        <f>"410926481"</f>
        <v>410926481</v>
      </c>
      <c r="C3834" s="1">
        <v>44960</v>
      </c>
      <c r="D3834" s="1">
        <v>44963</v>
      </c>
      <c r="E3834">
        <v>1</v>
      </c>
      <c r="F3834" t="str">
        <f>"07-K07-01"</f>
        <v>07-K07-01</v>
      </c>
      <c r="G3834">
        <v>1.0079</v>
      </c>
      <c r="H3834" t="s">
        <v>11</v>
      </c>
      <c r="I3834" t="s">
        <v>10</v>
      </c>
    </row>
    <row r="3835" spans="1:9" x14ac:dyDescent="0.25">
      <c r="A3835" t="str">
        <f t="shared" si="99"/>
        <v>89301000</v>
      </c>
      <c r="B3835" t="str">
        <f>"411101433"</f>
        <v>411101433</v>
      </c>
      <c r="C3835" s="1">
        <v>44999</v>
      </c>
      <c r="D3835" s="1">
        <v>45000</v>
      </c>
      <c r="E3835">
        <v>1</v>
      </c>
      <c r="F3835" t="str">
        <f>"05-I14-03"</f>
        <v>05-I14-03</v>
      </c>
      <c r="G3835">
        <v>6.0362</v>
      </c>
      <c r="H3835" t="s">
        <v>12</v>
      </c>
      <c r="I3835" t="s">
        <v>10</v>
      </c>
    </row>
    <row r="3836" spans="1:9" x14ac:dyDescent="0.25">
      <c r="A3836" t="str">
        <f t="shared" si="99"/>
        <v>89301000</v>
      </c>
      <c r="B3836" t="str">
        <f>"411102411"</f>
        <v>411102411</v>
      </c>
      <c r="C3836" s="1">
        <v>45259</v>
      </c>
      <c r="D3836" s="1">
        <v>45264</v>
      </c>
      <c r="E3836">
        <v>5</v>
      </c>
      <c r="F3836" t="str">
        <f>"05-M01-03"</f>
        <v>05-M01-03</v>
      </c>
      <c r="G3836">
        <v>11.4411</v>
      </c>
      <c r="H3836" t="s">
        <v>12</v>
      </c>
      <c r="I3836" t="s">
        <v>10</v>
      </c>
    </row>
    <row r="3837" spans="1:9" x14ac:dyDescent="0.25">
      <c r="A3837" t="str">
        <f t="shared" si="99"/>
        <v>89301000</v>
      </c>
      <c r="B3837" t="str">
        <f>"411102411"</f>
        <v>411102411</v>
      </c>
      <c r="C3837" s="1">
        <v>45231</v>
      </c>
      <c r="D3837" s="1">
        <v>45232</v>
      </c>
      <c r="E3837">
        <v>1</v>
      </c>
      <c r="F3837" t="str">
        <f>"05-D01-08"</f>
        <v>05-D01-08</v>
      </c>
      <c r="G3837">
        <v>0.43159999999999998</v>
      </c>
      <c r="H3837" t="s">
        <v>11</v>
      </c>
      <c r="I3837" t="s">
        <v>10</v>
      </c>
    </row>
    <row r="3838" spans="1:9" x14ac:dyDescent="0.25">
      <c r="A3838" t="str">
        <f t="shared" si="99"/>
        <v>89301000</v>
      </c>
      <c r="B3838" t="str">
        <f>"411225426"</f>
        <v>411225426</v>
      </c>
      <c r="C3838" s="1">
        <v>45224</v>
      </c>
      <c r="D3838" s="1">
        <v>45230</v>
      </c>
      <c r="E3838">
        <v>1</v>
      </c>
      <c r="F3838" t="str">
        <f>"01-K12-01"</f>
        <v>01-K12-01</v>
      </c>
      <c r="G3838">
        <v>0.73780000000000001</v>
      </c>
      <c r="H3838" t="s">
        <v>11</v>
      </c>
      <c r="I3838" t="s">
        <v>10</v>
      </c>
    </row>
    <row r="3839" spans="1:9" x14ac:dyDescent="0.25">
      <c r="A3839" t="str">
        <f t="shared" si="99"/>
        <v>89301000</v>
      </c>
      <c r="B3839" t="str">
        <f>"415104447"</f>
        <v>415104447</v>
      </c>
      <c r="C3839" s="1">
        <v>44945</v>
      </c>
      <c r="D3839" s="1">
        <v>44949</v>
      </c>
      <c r="E3839">
        <v>1</v>
      </c>
      <c r="F3839" t="str">
        <f>"02-I06-04"</f>
        <v>02-I06-04</v>
      </c>
      <c r="G3839">
        <v>0.79630000000000001</v>
      </c>
      <c r="H3839" t="s">
        <v>12</v>
      </c>
      <c r="I3839" t="s">
        <v>10</v>
      </c>
    </row>
    <row r="3840" spans="1:9" x14ac:dyDescent="0.25">
      <c r="A3840" t="str">
        <f t="shared" si="99"/>
        <v>89301000</v>
      </c>
      <c r="B3840" t="str">
        <f>"415116423"</f>
        <v>415116423</v>
      </c>
      <c r="C3840" s="1">
        <v>45215</v>
      </c>
      <c r="D3840" s="1">
        <v>45216</v>
      </c>
      <c r="E3840">
        <v>1</v>
      </c>
      <c r="F3840" t="str">
        <f>"06-M01-02"</f>
        <v>06-M01-02</v>
      </c>
      <c r="G3840">
        <v>1.2278</v>
      </c>
      <c r="H3840" t="s">
        <v>11</v>
      </c>
      <c r="I3840" t="s">
        <v>10</v>
      </c>
    </row>
    <row r="3841" spans="1:9" x14ac:dyDescent="0.25">
      <c r="A3841" t="str">
        <f t="shared" si="99"/>
        <v>89301000</v>
      </c>
      <c r="B3841" t="str">
        <f>"415123460"</f>
        <v>415123460</v>
      </c>
      <c r="C3841" s="1">
        <v>45216</v>
      </c>
      <c r="D3841" s="1">
        <v>45220</v>
      </c>
      <c r="E3841">
        <v>1</v>
      </c>
      <c r="F3841" t="str">
        <f>"03-I24-00"</f>
        <v>03-I24-00</v>
      </c>
      <c r="G3841">
        <v>0.40899999999999997</v>
      </c>
      <c r="H3841" t="s">
        <v>11</v>
      </c>
      <c r="I3841" t="s">
        <v>10</v>
      </c>
    </row>
    <row r="3842" spans="1:9" x14ac:dyDescent="0.25">
      <c r="A3842" t="str">
        <f t="shared" si="99"/>
        <v>89301000</v>
      </c>
      <c r="B3842" t="str">
        <f>"415130443"</f>
        <v>415130443</v>
      </c>
      <c r="C3842" s="1">
        <v>45281</v>
      </c>
      <c r="D3842" s="1">
        <v>45283</v>
      </c>
      <c r="E3842">
        <v>1</v>
      </c>
      <c r="F3842" t="str">
        <f>"04-K03-02"</f>
        <v>04-K03-02</v>
      </c>
      <c r="G3842">
        <v>0.79500000000000004</v>
      </c>
      <c r="H3842" t="s">
        <v>11</v>
      </c>
      <c r="I3842" t="s">
        <v>10</v>
      </c>
    </row>
    <row r="3843" spans="1:9" x14ac:dyDescent="0.25">
      <c r="A3843" t="str">
        <f t="shared" si="99"/>
        <v>89301000</v>
      </c>
      <c r="B3843" t="str">
        <f>"415201421"</f>
        <v>415201421</v>
      </c>
      <c r="C3843" s="1">
        <v>45073</v>
      </c>
      <c r="D3843" s="1">
        <v>45098</v>
      </c>
      <c r="E3843">
        <v>1</v>
      </c>
      <c r="F3843" t="str">
        <f>"10-K14-03"</f>
        <v>10-K14-03</v>
      </c>
      <c r="G3843">
        <v>1.1718999999999999</v>
      </c>
      <c r="H3843" t="s">
        <v>11</v>
      </c>
      <c r="I3843" t="s">
        <v>10</v>
      </c>
    </row>
    <row r="3844" spans="1:9" x14ac:dyDescent="0.25">
      <c r="A3844" t="str">
        <f t="shared" si="99"/>
        <v>89301000</v>
      </c>
      <c r="B3844" t="str">
        <f>"415201421"</f>
        <v>415201421</v>
      </c>
      <c r="C3844" s="1">
        <v>45226</v>
      </c>
      <c r="D3844" s="1">
        <v>45239</v>
      </c>
      <c r="E3844">
        <v>1</v>
      </c>
      <c r="F3844" t="str">
        <f>"05-K07-03"</f>
        <v>05-K07-03</v>
      </c>
      <c r="G3844">
        <v>1.8048</v>
      </c>
      <c r="H3844" t="s">
        <v>11</v>
      </c>
      <c r="I3844" t="s">
        <v>10</v>
      </c>
    </row>
    <row r="3845" spans="1:9" x14ac:dyDescent="0.25">
      <c r="A3845" t="str">
        <f t="shared" si="99"/>
        <v>89301000</v>
      </c>
      <c r="B3845" t="str">
        <f>"415207954"</f>
        <v>415207954</v>
      </c>
      <c r="C3845" s="1">
        <v>45013</v>
      </c>
      <c r="D3845" s="1">
        <v>45016</v>
      </c>
      <c r="E3845">
        <v>2</v>
      </c>
      <c r="F3845" t="str">
        <f>"10-K11-02"</f>
        <v>10-K11-02</v>
      </c>
      <c r="G3845">
        <v>1.0799000000000001</v>
      </c>
      <c r="H3845" t="s">
        <v>11</v>
      </c>
      <c r="I3845" t="s">
        <v>10</v>
      </c>
    </row>
    <row r="3846" spans="1:9" x14ac:dyDescent="0.25">
      <c r="A3846" t="str">
        <f t="shared" si="99"/>
        <v>89301000</v>
      </c>
      <c r="B3846" t="str">
        <f>"415307056"</f>
        <v>415307056</v>
      </c>
      <c r="C3846" s="1">
        <v>45035</v>
      </c>
      <c r="D3846" s="1">
        <v>45063</v>
      </c>
      <c r="E3846">
        <v>1</v>
      </c>
      <c r="F3846" t="str">
        <f>"10-K14-03"</f>
        <v>10-K14-03</v>
      </c>
      <c r="G3846">
        <v>1.3184</v>
      </c>
      <c r="H3846" t="s">
        <v>11</v>
      </c>
      <c r="I3846" t="s">
        <v>10</v>
      </c>
    </row>
    <row r="3847" spans="1:9" x14ac:dyDescent="0.25">
      <c r="A3847" t="str">
        <f t="shared" si="99"/>
        <v>89301000</v>
      </c>
      <c r="B3847" t="str">
        <f>"415307409"</f>
        <v>415307409</v>
      </c>
      <c r="C3847" s="1">
        <v>44958</v>
      </c>
      <c r="D3847" s="1">
        <v>44963</v>
      </c>
      <c r="E3847">
        <v>1</v>
      </c>
      <c r="F3847" t="str">
        <f>"08-K08-00"</f>
        <v>08-K08-00</v>
      </c>
      <c r="G3847">
        <v>0.5272</v>
      </c>
      <c r="H3847" t="s">
        <v>11</v>
      </c>
      <c r="I3847" t="s">
        <v>10</v>
      </c>
    </row>
    <row r="3848" spans="1:9" x14ac:dyDescent="0.25">
      <c r="A3848" t="str">
        <f t="shared" si="99"/>
        <v>89301000</v>
      </c>
      <c r="B3848" t="str">
        <f>"415319449"</f>
        <v>415319449</v>
      </c>
      <c r="C3848" s="1">
        <v>44983</v>
      </c>
      <c r="D3848" s="1">
        <v>44984</v>
      </c>
      <c r="E3848">
        <v>8</v>
      </c>
      <c r="F3848" t="str">
        <f>"05-K10-00"</f>
        <v>05-K10-00</v>
      </c>
      <c r="G3848">
        <v>0.52610000000000001</v>
      </c>
      <c r="H3848" t="s">
        <v>11</v>
      </c>
      <c r="I3848" t="s">
        <v>10</v>
      </c>
    </row>
    <row r="3849" spans="1:9" x14ac:dyDescent="0.25">
      <c r="A3849" t="str">
        <f t="shared" si="99"/>
        <v>89301000</v>
      </c>
      <c r="B3849" t="str">
        <f>"415329423"</f>
        <v>415329423</v>
      </c>
      <c r="C3849" s="1">
        <v>45271</v>
      </c>
      <c r="D3849" s="1">
        <v>45279</v>
      </c>
      <c r="E3849">
        <v>1</v>
      </c>
      <c r="F3849" t="str">
        <f>"09-I09-02"</f>
        <v>09-I09-02</v>
      </c>
      <c r="G3849">
        <v>0.85829999999999995</v>
      </c>
      <c r="H3849" t="s">
        <v>12</v>
      </c>
      <c r="I3849" t="s">
        <v>10</v>
      </c>
    </row>
    <row r="3850" spans="1:9" x14ac:dyDescent="0.25">
      <c r="A3850" t="str">
        <f t="shared" si="99"/>
        <v>89301000</v>
      </c>
      <c r="B3850" t="str">
        <f>"415402423"</f>
        <v>415402423</v>
      </c>
      <c r="C3850" s="1">
        <v>45064</v>
      </c>
      <c r="D3850" s="1">
        <v>45068</v>
      </c>
      <c r="E3850">
        <v>1</v>
      </c>
      <c r="F3850" t="str">
        <f>"06-I22-01"</f>
        <v>06-I22-01</v>
      </c>
      <c r="G3850">
        <v>0.68120000000000003</v>
      </c>
      <c r="H3850" t="s">
        <v>12</v>
      </c>
      <c r="I3850" t="s">
        <v>10</v>
      </c>
    </row>
    <row r="3851" spans="1:9" x14ac:dyDescent="0.25">
      <c r="A3851" t="str">
        <f t="shared" si="99"/>
        <v>89301000</v>
      </c>
      <c r="B3851" t="str">
        <f>"415409431"</f>
        <v>415409431</v>
      </c>
      <c r="C3851" s="1">
        <v>45236</v>
      </c>
      <c r="D3851" s="1">
        <v>45238</v>
      </c>
      <c r="E3851">
        <v>1</v>
      </c>
      <c r="F3851" t="str">
        <f>"03-I24-00"</f>
        <v>03-I24-00</v>
      </c>
      <c r="G3851">
        <v>0.40670000000000001</v>
      </c>
      <c r="H3851" t="s">
        <v>11</v>
      </c>
      <c r="I3851" t="s">
        <v>10</v>
      </c>
    </row>
    <row r="3852" spans="1:9" x14ac:dyDescent="0.25">
      <c r="A3852" t="str">
        <f t="shared" si="99"/>
        <v>89301000</v>
      </c>
      <c r="B3852" t="str">
        <f>"415412407"</f>
        <v>415412407</v>
      </c>
      <c r="C3852" s="1">
        <v>45016</v>
      </c>
      <c r="D3852" s="1">
        <v>45021</v>
      </c>
      <c r="E3852">
        <v>1</v>
      </c>
      <c r="F3852" t="str">
        <f>"04-K03-02"</f>
        <v>04-K03-02</v>
      </c>
      <c r="G3852">
        <v>0.79500000000000004</v>
      </c>
      <c r="H3852" t="s">
        <v>11</v>
      </c>
      <c r="I3852" t="s">
        <v>10</v>
      </c>
    </row>
    <row r="3853" spans="1:9" x14ac:dyDescent="0.25">
      <c r="A3853" t="str">
        <f t="shared" si="99"/>
        <v>89301000</v>
      </c>
      <c r="B3853" t="str">
        <f>"415412407"</f>
        <v>415412407</v>
      </c>
      <c r="C3853" s="1">
        <v>44991</v>
      </c>
      <c r="D3853" s="1">
        <v>44993</v>
      </c>
      <c r="E3853">
        <v>4</v>
      </c>
      <c r="F3853" t="str">
        <f>"05-K05-05"</f>
        <v>05-K05-05</v>
      </c>
      <c r="G3853">
        <v>0.35659999999999997</v>
      </c>
      <c r="H3853" t="s">
        <v>11</v>
      </c>
      <c r="I3853" t="s">
        <v>10</v>
      </c>
    </row>
    <row r="3854" spans="1:9" x14ac:dyDescent="0.25">
      <c r="A3854" t="str">
        <f t="shared" si="99"/>
        <v>89301000</v>
      </c>
      <c r="B3854" t="str">
        <f>"415412413"</f>
        <v>415412413</v>
      </c>
      <c r="C3854" s="1">
        <v>45062</v>
      </c>
      <c r="D3854" s="1">
        <v>45070</v>
      </c>
      <c r="E3854">
        <v>1</v>
      </c>
      <c r="F3854" t="str">
        <f>"04-K02-04"</f>
        <v>04-K02-04</v>
      </c>
      <c r="G3854">
        <v>0.80120000000000002</v>
      </c>
      <c r="H3854" t="s">
        <v>11</v>
      </c>
      <c r="I3854" t="s">
        <v>10</v>
      </c>
    </row>
    <row r="3855" spans="1:9" x14ac:dyDescent="0.25">
      <c r="A3855" t="str">
        <f t="shared" si="99"/>
        <v>89301000</v>
      </c>
      <c r="B3855" t="str">
        <f>"415412418"</f>
        <v>415412418</v>
      </c>
      <c r="C3855" s="1">
        <v>45231</v>
      </c>
      <c r="D3855" s="1">
        <v>45237</v>
      </c>
      <c r="E3855">
        <v>1</v>
      </c>
      <c r="F3855" t="str">
        <f>"07-M02-03"</f>
        <v>07-M02-03</v>
      </c>
      <c r="G3855">
        <v>1.4879</v>
      </c>
      <c r="H3855" t="s">
        <v>12</v>
      </c>
      <c r="I3855" t="s">
        <v>10</v>
      </c>
    </row>
    <row r="3856" spans="1:9" x14ac:dyDescent="0.25">
      <c r="A3856" t="str">
        <f t="shared" si="99"/>
        <v>89301000</v>
      </c>
      <c r="B3856" t="str">
        <f>"415420423"</f>
        <v>415420423</v>
      </c>
      <c r="C3856" s="1">
        <v>45171</v>
      </c>
      <c r="D3856" s="1">
        <v>45174</v>
      </c>
      <c r="E3856">
        <v>5</v>
      </c>
      <c r="F3856" t="str">
        <f>"05-M06-06"</f>
        <v>05-M06-06</v>
      </c>
      <c r="G3856">
        <v>1.8264</v>
      </c>
      <c r="H3856" t="s">
        <v>12</v>
      </c>
      <c r="I3856" t="s">
        <v>10</v>
      </c>
    </row>
    <row r="3857" spans="1:9" x14ac:dyDescent="0.25">
      <c r="A3857" t="str">
        <f t="shared" si="99"/>
        <v>89301000</v>
      </c>
      <c r="B3857" t="str">
        <f>"415426432"</f>
        <v>415426432</v>
      </c>
      <c r="C3857" s="1">
        <v>45106</v>
      </c>
      <c r="D3857" s="1">
        <v>45108</v>
      </c>
      <c r="E3857">
        <v>1</v>
      </c>
      <c r="F3857" t="str">
        <f>"05-I25-04"</f>
        <v>05-I25-04</v>
      </c>
      <c r="G3857">
        <v>1.2108000000000001</v>
      </c>
      <c r="H3857" t="s">
        <v>12</v>
      </c>
      <c r="I3857" t="s">
        <v>10</v>
      </c>
    </row>
    <row r="3858" spans="1:9" x14ac:dyDescent="0.25">
      <c r="A3858" t="str">
        <f t="shared" si="99"/>
        <v>89301000</v>
      </c>
      <c r="B3858" t="str">
        <f>"415427416"</f>
        <v>415427416</v>
      </c>
      <c r="C3858" s="1">
        <v>44991</v>
      </c>
      <c r="D3858" s="1">
        <v>44995</v>
      </c>
      <c r="E3858">
        <v>1</v>
      </c>
      <c r="F3858" t="str">
        <f>"08-I03-08"</f>
        <v>08-I03-08</v>
      </c>
      <c r="G3858">
        <v>1.9455</v>
      </c>
      <c r="H3858" t="s">
        <v>9</v>
      </c>
      <c r="I3858" t="s">
        <v>10</v>
      </c>
    </row>
    <row r="3859" spans="1:9" x14ac:dyDescent="0.25">
      <c r="A3859" t="str">
        <f t="shared" si="99"/>
        <v>89301000</v>
      </c>
      <c r="B3859" t="str">
        <f>"415430447"</f>
        <v>415430447</v>
      </c>
      <c r="C3859" s="1">
        <v>45244</v>
      </c>
      <c r="D3859" s="1">
        <v>45271</v>
      </c>
      <c r="E3859">
        <v>4</v>
      </c>
      <c r="F3859" t="str">
        <f>"01-I06-01"</f>
        <v>01-I06-01</v>
      </c>
      <c r="G3859">
        <v>8.4692000000000007</v>
      </c>
      <c r="H3859" t="s">
        <v>12</v>
      </c>
      <c r="I3859" t="s">
        <v>10</v>
      </c>
    </row>
    <row r="3860" spans="1:9" x14ac:dyDescent="0.25">
      <c r="A3860" t="str">
        <f t="shared" si="99"/>
        <v>89301000</v>
      </c>
      <c r="B3860" t="str">
        <f>"415501401"</f>
        <v>415501401</v>
      </c>
      <c r="C3860" s="1">
        <v>45076</v>
      </c>
      <c r="D3860" s="1">
        <v>45077</v>
      </c>
      <c r="E3860">
        <v>1</v>
      </c>
      <c r="F3860" t="str">
        <f>"05-M06-08"</f>
        <v>05-M06-08</v>
      </c>
      <c r="G3860">
        <v>1.4228000000000001</v>
      </c>
      <c r="H3860" t="s">
        <v>12</v>
      </c>
      <c r="I3860" t="s">
        <v>10</v>
      </c>
    </row>
    <row r="3861" spans="1:9" x14ac:dyDescent="0.25">
      <c r="A3861" t="str">
        <f t="shared" si="99"/>
        <v>89301000</v>
      </c>
      <c r="B3861" t="str">
        <f>"415502426"</f>
        <v>415502426</v>
      </c>
      <c r="C3861" s="1">
        <v>45131</v>
      </c>
      <c r="D3861" s="1">
        <v>45135</v>
      </c>
      <c r="E3861">
        <v>1</v>
      </c>
      <c r="F3861" t="str">
        <f>"08-I15-02"</f>
        <v>08-I15-02</v>
      </c>
      <c r="G3861">
        <v>1.5535000000000001</v>
      </c>
      <c r="H3861" t="s">
        <v>12</v>
      </c>
      <c r="I3861" t="s">
        <v>10</v>
      </c>
    </row>
    <row r="3862" spans="1:9" x14ac:dyDescent="0.25">
      <c r="A3862" t="str">
        <f t="shared" si="99"/>
        <v>89301000</v>
      </c>
      <c r="B3862" t="str">
        <f>"415506426"</f>
        <v>415506426</v>
      </c>
      <c r="C3862" s="1">
        <v>45032</v>
      </c>
      <c r="D3862" s="1">
        <v>45037</v>
      </c>
      <c r="E3862">
        <v>1</v>
      </c>
      <c r="F3862" t="str">
        <f>"11-I07-01"</f>
        <v>11-I07-01</v>
      </c>
      <c r="G3862">
        <v>2.7482000000000002</v>
      </c>
      <c r="H3862" t="s">
        <v>9</v>
      </c>
      <c r="I3862" t="s">
        <v>10</v>
      </c>
    </row>
    <row r="3863" spans="1:9" x14ac:dyDescent="0.25">
      <c r="A3863" t="str">
        <f t="shared" si="99"/>
        <v>89301000</v>
      </c>
      <c r="B3863" t="str">
        <f>"415507413"</f>
        <v>415507413</v>
      </c>
      <c r="C3863" s="1">
        <v>45089</v>
      </c>
      <c r="D3863" s="1">
        <v>45099</v>
      </c>
      <c r="E3863">
        <v>1</v>
      </c>
      <c r="F3863" t="str">
        <f>"07-M02-03"</f>
        <v>07-M02-03</v>
      </c>
      <c r="G3863">
        <v>1.2942</v>
      </c>
      <c r="H3863" t="s">
        <v>12</v>
      </c>
      <c r="I3863" t="s">
        <v>10</v>
      </c>
    </row>
    <row r="3864" spans="1:9" x14ac:dyDescent="0.25">
      <c r="A3864" t="str">
        <f t="shared" si="99"/>
        <v>89301000</v>
      </c>
      <c r="B3864" t="str">
        <f>"415507413"</f>
        <v>415507413</v>
      </c>
      <c r="C3864" s="1">
        <v>45140</v>
      </c>
      <c r="D3864" s="1">
        <v>45147</v>
      </c>
      <c r="E3864">
        <v>2</v>
      </c>
      <c r="F3864" t="str">
        <f>"07-K07-02"</f>
        <v>07-K07-02</v>
      </c>
      <c r="G3864">
        <v>0.53069999999999995</v>
      </c>
      <c r="H3864" t="s">
        <v>11</v>
      </c>
      <c r="I3864" t="s">
        <v>10</v>
      </c>
    </row>
    <row r="3865" spans="1:9" x14ac:dyDescent="0.25">
      <c r="A3865" t="str">
        <f t="shared" si="99"/>
        <v>89301000</v>
      </c>
      <c r="B3865" t="str">
        <f>"415507413"</f>
        <v>415507413</v>
      </c>
      <c r="C3865" s="1">
        <v>45114</v>
      </c>
      <c r="D3865" s="1">
        <v>45125</v>
      </c>
      <c r="E3865">
        <v>1</v>
      </c>
      <c r="F3865" t="str">
        <f>"11-K01-02"</f>
        <v>11-K01-02</v>
      </c>
      <c r="G3865">
        <v>0.86480000000000001</v>
      </c>
      <c r="H3865" t="s">
        <v>11</v>
      </c>
      <c r="I3865" t="s">
        <v>10</v>
      </c>
    </row>
    <row r="3866" spans="1:9" x14ac:dyDescent="0.25">
      <c r="A3866" t="str">
        <f t="shared" si="99"/>
        <v>89301000</v>
      </c>
      <c r="B3866" t="str">
        <f>"415512421"</f>
        <v>415512421</v>
      </c>
      <c r="C3866" s="1">
        <v>45161</v>
      </c>
      <c r="D3866" s="1">
        <v>45163</v>
      </c>
      <c r="E3866">
        <v>1</v>
      </c>
      <c r="F3866" t="str">
        <f>"04-K13-01"</f>
        <v>04-K13-01</v>
      </c>
      <c r="G3866">
        <v>0.68720000000000003</v>
      </c>
      <c r="H3866" t="s">
        <v>11</v>
      </c>
      <c r="I3866" t="s">
        <v>10</v>
      </c>
    </row>
    <row r="3867" spans="1:9" x14ac:dyDescent="0.25">
      <c r="A3867" t="str">
        <f t="shared" si="99"/>
        <v>89301000</v>
      </c>
      <c r="B3867" t="str">
        <f>"415513460"</f>
        <v>415513460</v>
      </c>
      <c r="C3867" s="1">
        <v>45082</v>
      </c>
      <c r="D3867" s="1">
        <v>45090</v>
      </c>
      <c r="E3867">
        <v>1</v>
      </c>
      <c r="F3867" t="str">
        <f>"09-K01-02"</f>
        <v>09-K01-02</v>
      </c>
      <c r="G3867">
        <v>1.0348999999999999</v>
      </c>
      <c r="H3867" t="s">
        <v>11</v>
      </c>
      <c r="I3867" t="s">
        <v>10</v>
      </c>
    </row>
    <row r="3868" spans="1:9" x14ac:dyDescent="0.25">
      <c r="A3868" t="str">
        <f t="shared" si="99"/>
        <v>89301000</v>
      </c>
      <c r="B3868" t="str">
        <f>"415521412"</f>
        <v>415521412</v>
      </c>
      <c r="C3868" s="1">
        <v>44949</v>
      </c>
      <c r="D3868" s="1">
        <v>44956</v>
      </c>
      <c r="E3868">
        <v>3</v>
      </c>
      <c r="F3868" t="str">
        <f>"08-I05-06"</f>
        <v>08-I05-06</v>
      </c>
      <c r="G3868">
        <v>2.0308000000000002</v>
      </c>
      <c r="H3868" t="s">
        <v>12</v>
      </c>
      <c r="I3868" t="s">
        <v>10</v>
      </c>
    </row>
    <row r="3869" spans="1:9" x14ac:dyDescent="0.25">
      <c r="A3869" t="str">
        <f t="shared" si="99"/>
        <v>89301000</v>
      </c>
      <c r="B3869" t="str">
        <f>"415521412"</f>
        <v>415521412</v>
      </c>
      <c r="C3869" s="1">
        <v>44956</v>
      </c>
      <c r="D3869" s="1">
        <v>44967</v>
      </c>
      <c r="E3869">
        <v>4</v>
      </c>
      <c r="F3869" t="str">
        <f>"24-M06-02"</f>
        <v>24-M06-02</v>
      </c>
      <c r="G3869">
        <v>1.0699000000000001</v>
      </c>
      <c r="H3869" t="s">
        <v>11</v>
      </c>
      <c r="I3869" t="s">
        <v>10</v>
      </c>
    </row>
    <row r="3870" spans="1:9" x14ac:dyDescent="0.25">
      <c r="A3870" t="str">
        <f t="shared" si="99"/>
        <v>89301000</v>
      </c>
      <c r="B3870" t="str">
        <f>"415525415"</f>
        <v>415525415</v>
      </c>
      <c r="C3870" s="1">
        <v>45084</v>
      </c>
      <c r="D3870" s="1">
        <v>45087</v>
      </c>
      <c r="E3870">
        <v>1</v>
      </c>
      <c r="F3870" t="str">
        <f>"05-K14-02"</f>
        <v>05-K14-02</v>
      </c>
      <c r="G3870">
        <v>0.9103</v>
      </c>
      <c r="H3870" t="s">
        <v>11</v>
      </c>
      <c r="I3870" t="s">
        <v>10</v>
      </c>
    </row>
    <row r="3871" spans="1:9" x14ac:dyDescent="0.25">
      <c r="A3871" t="str">
        <f t="shared" si="99"/>
        <v>89301000</v>
      </c>
      <c r="B3871" t="str">
        <f>"415525415"</f>
        <v>415525415</v>
      </c>
      <c r="C3871" s="1">
        <v>45048</v>
      </c>
      <c r="D3871" s="1">
        <v>45049</v>
      </c>
      <c r="E3871">
        <v>1</v>
      </c>
      <c r="F3871" t="str">
        <f>"16-K02-03"</f>
        <v>16-K02-03</v>
      </c>
      <c r="G3871">
        <v>0.46679999999999999</v>
      </c>
      <c r="H3871" t="s">
        <v>11</v>
      </c>
      <c r="I3871" t="s">
        <v>10</v>
      </c>
    </row>
    <row r="3872" spans="1:9" x14ac:dyDescent="0.25">
      <c r="A3872" t="str">
        <f t="shared" si="99"/>
        <v>89301000</v>
      </c>
      <c r="B3872" t="str">
        <f>"415525415"</f>
        <v>415525415</v>
      </c>
      <c r="C3872" s="1">
        <v>45005</v>
      </c>
      <c r="D3872" s="1">
        <v>45007</v>
      </c>
      <c r="E3872">
        <v>1</v>
      </c>
      <c r="F3872" t="str">
        <f>"05-K14-02"</f>
        <v>05-K14-02</v>
      </c>
      <c r="G3872">
        <v>0.95179999999999998</v>
      </c>
      <c r="H3872" t="s">
        <v>11</v>
      </c>
      <c r="I3872" t="s">
        <v>10</v>
      </c>
    </row>
    <row r="3873" spans="1:9" x14ac:dyDescent="0.25">
      <c r="A3873" t="str">
        <f t="shared" si="99"/>
        <v>89301000</v>
      </c>
      <c r="B3873" t="str">
        <f>"415525415"</f>
        <v>415525415</v>
      </c>
      <c r="C3873" s="1">
        <v>45093</v>
      </c>
      <c r="D3873" s="1">
        <v>45096</v>
      </c>
      <c r="E3873">
        <v>1</v>
      </c>
      <c r="F3873" t="str">
        <f>"05-K14-02"</f>
        <v>05-K14-02</v>
      </c>
      <c r="G3873">
        <v>0.9103</v>
      </c>
      <c r="H3873" t="s">
        <v>11</v>
      </c>
      <c r="I3873" t="s">
        <v>10</v>
      </c>
    </row>
    <row r="3874" spans="1:9" x14ac:dyDescent="0.25">
      <c r="A3874" t="str">
        <f t="shared" si="99"/>
        <v>89301000</v>
      </c>
      <c r="B3874" t="str">
        <f>"415527411"</f>
        <v>415527411</v>
      </c>
      <c r="C3874" s="1">
        <v>45089</v>
      </c>
      <c r="D3874" s="1">
        <v>45097</v>
      </c>
      <c r="E3874">
        <v>1</v>
      </c>
      <c r="F3874" t="str">
        <f>"10-K04-04"</f>
        <v>10-K04-04</v>
      </c>
      <c r="G3874">
        <v>0.53949999999999998</v>
      </c>
      <c r="H3874" t="s">
        <v>11</v>
      </c>
      <c r="I3874" t="s">
        <v>10</v>
      </c>
    </row>
    <row r="3875" spans="1:9" x14ac:dyDescent="0.25">
      <c r="A3875" t="str">
        <f t="shared" si="99"/>
        <v>89301000</v>
      </c>
      <c r="B3875" t="str">
        <f>"415527411"</f>
        <v>415527411</v>
      </c>
      <c r="C3875" s="1">
        <v>45240</v>
      </c>
      <c r="D3875" s="1">
        <v>45251</v>
      </c>
      <c r="E3875">
        <v>5</v>
      </c>
      <c r="F3875" t="str">
        <f>"10-K04-02"</f>
        <v>10-K04-02</v>
      </c>
      <c r="G3875">
        <v>0.90869999999999995</v>
      </c>
      <c r="H3875" t="s">
        <v>11</v>
      </c>
      <c r="I3875" t="s">
        <v>10</v>
      </c>
    </row>
    <row r="3876" spans="1:9" x14ac:dyDescent="0.25">
      <c r="A3876" t="str">
        <f t="shared" ref="A3876:A3938" si="100">"89301000"</f>
        <v>89301000</v>
      </c>
      <c r="B3876" t="str">
        <f>"415601762"</f>
        <v>415601762</v>
      </c>
      <c r="C3876" s="1">
        <v>45140</v>
      </c>
      <c r="D3876" s="1">
        <v>45143</v>
      </c>
      <c r="E3876">
        <v>5</v>
      </c>
      <c r="F3876" t="str">
        <f>"05-M07-06"</f>
        <v>05-M07-06</v>
      </c>
      <c r="G3876">
        <v>1.2264999999999999</v>
      </c>
      <c r="H3876" t="s">
        <v>12</v>
      </c>
      <c r="I3876" t="s">
        <v>10</v>
      </c>
    </row>
    <row r="3877" spans="1:9" x14ac:dyDescent="0.25">
      <c r="A3877" t="str">
        <f t="shared" si="100"/>
        <v>89301000</v>
      </c>
      <c r="B3877" t="str">
        <f>"415610433"</f>
        <v>415610433</v>
      </c>
      <c r="C3877" s="1">
        <v>45070</v>
      </c>
      <c r="D3877" s="1">
        <v>45077</v>
      </c>
      <c r="E3877">
        <v>4</v>
      </c>
      <c r="F3877" t="str">
        <f>"05-K14-01"</f>
        <v>05-K14-01</v>
      </c>
      <c r="G3877">
        <v>1.1519999999999999</v>
      </c>
      <c r="H3877" t="s">
        <v>11</v>
      </c>
      <c r="I3877" t="s">
        <v>10</v>
      </c>
    </row>
    <row r="3878" spans="1:9" x14ac:dyDescent="0.25">
      <c r="A3878" t="str">
        <f t="shared" si="100"/>
        <v>89301000</v>
      </c>
      <c r="B3878" t="str">
        <f>"415610460"</f>
        <v>415610460</v>
      </c>
      <c r="C3878" s="1">
        <v>45006</v>
      </c>
      <c r="D3878" s="1">
        <v>45006</v>
      </c>
      <c r="E3878">
        <v>1</v>
      </c>
      <c r="F3878" t="str">
        <f>"05-D01-08"</f>
        <v>05-D01-08</v>
      </c>
      <c r="G3878">
        <v>0.2303</v>
      </c>
      <c r="H3878" t="s">
        <v>11</v>
      </c>
      <c r="I3878" t="s">
        <v>10</v>
      </c>
    </row>
    <row r="3879" spans="1:9" x14ac:dyDescent="0.25">
      <c r="A3879" t="str">
        <f t="shared" si="100"/>
        <v>89301000</v>
      </c>
      <c r="B3879" t="str">
        <f>"415613414"</f>
        <v>415613414</v>
      </c>
      <c r="C3879" s="1">
        <v>45258</v>
      </c>
      <c r="D3879" s="1">
        <v>45275</v>
      </c>
      <c r="E3879">
        <v>4</v>
      </c>
      <c r="F3879" t="str">
        <f>"10-K14-01"</f>
        <v>10-K14-01</v>
      </c>
      <c r="G3879">
        <v>2.0171999999999999</v>
      </c>
      <c r="H3879" t="s">
        <v>11</v>
      </c>
      <c r="I3879" t="s">
        <v>10</v>
      </c>
    </row>
    <row r="3880" spans="1:9" x14ac:dyDescent="0.25">
      <c r="A3880" t="str">
        <f t="shared" si="100"/>
        <v>89301000</v>
      </c>
      <c r="B3880" t="str">
        <f>"415622431"</f>
        <v>415622431</v>
      </c>
      <c r="C3880" s="1">
        <v>45243</v>
      </c>
      <c r="D3880" s="1">
        <v>45245</v>
      </c>
      <c r="E3880">
        <v>1</v>
      </c>
      <c r="F3880" t="str">
        <f>"07-M02-04"</f>
        <v>07-M02-04</v>
      </c>
      <c r="G3880">
        <v>0.77339999999999998</v>
      </c>
      <c r="H3880" t="s">
        <v>12</v>
      </c>
      <c r="I3880" t="s">
        <v>10</v>
      </c>
    </row>
    <row r="3881" spans="1:9" x14ac:dyDescent="0.25">
      <c r="A3881" t="str">
        <f t="shared" si="100"/>
        <v>89301000</v>
      </c>
      <c r="B3881" t="str">
        <f>"415622431"</f>
        <v>415622431</v>
      </c>
      <c r="C3881" s="1">
        <v>45159</v>
      </c>
      <c r="D3881" s="1">
        <v>45163</v>
      </c>
      <c r="E3881">
        <v>1</v>
      </c>
      <c r="F3881" t="str">
        <f>"06-M01-03"</f>
        <v>06-M01-03</v>
      </c>
      <c r="G3881">
        <v>0.82350000000000001</v>
      </c>
      <c r="H3881" t="s">
        <v>11</v>
      </c>
      <c r="I3881" t="s">
        <v>10</v>
      </c>
    </row>
    <row r="3882" spans="1:9" x14ac:dyDescent="0.25">
      <c r="A3882" t="str">
        <f t="shared" si="100"/>
        <v>89301000</v>
      </c>
      <c r="B3882" t="str">
        <f>"415625412"</f>
        <v>415625412</v>
      </c>
      <c r="C3882" s="1">
        <v>45236</v>
      </c>
      <c r="D3882" s="1">
        <v>45237</v>
      </c>
      <c r="E3882">
        <v>7</v>
      </c>
      <c r="F3882" t="str">
        <f>"01-K11-03"</f>
        <v>01-K11-03</v>
      </c>
      <c r="G3882">
        <v>1.1012999999999999</v>
      </c>
      <c r="H3882" t="s">
        <v>11</v>
      </c>
      <c r="I3882" t="s">
        <v>10</v>
      </c>
    </row>
    <row r="3883" spans="1:9" x14ac:dyDescent="0.25">
      <c r="A3883" t="str">
        <f t="shared" si="100"/>
        <v>89301000</v>
      </c>
      <c r="B3883" t="str">
        <f>"415709408"</f>
        <v>415709408</v>
      </c>
      <c r="C3883" s="1">
        <v>45176</v>
      </c>
      <c r="D3883" s="1">
        <v>45198</v>
      </c>
      <c r="E3883">
        <v>1</v>
      </c>
      <c r="F3883" t="str">
        <f>"19-K06-02"</f>
        <v>19-K06-02</v>
      </c>
      <c r="G3883">
        <v>2.2334999999999998</v>
      </c>
      <c r="H3883" t="s">
        <v>15</v>
      </c>
      <c r="I3883" t="s">
        <v>10</v>
      </c>
    </row>
    <row r="3884" spans="1:9" x14ac:dyDescent="0.25">
      <c r="A3884" t="str">
        <f t="shared" si="100"/>
        <v>89301000</v>
      </c>
      <c r="B3884" t="str">
        <f>"415716461"</f>
        <v>415716461</v>
      </c>
      <c r="C3884" s="1">
        <v>45163</v>
      </c>
      <c r="D3884" s="1">
        <v>45180</v>
      </c>
      <c r="E3884">
        <v>4</v>
      </c>
      <c r="F3884" t="str">
        <f>"24-M07-02"</f>
        <v>24-M07-02</v>
      </c>
      <c r="G3884">
        <v>1.5729</v>
      </c>
      <c r="H3884" t="s">
        <v>11</v>
      </c>
      <c r="I3884" t="s">
        <v>10</v>
      </c>
    </row>
    <row r="3885" spans="1:9" x14ac:dyDescent="0.25">
      <c r="A3885" t="str">
        <f t="shared" si="100"/>
        <v>89301000</v>
      </c>
      <c r="B3885" t="str">
        <f>"415716461"</f>
        <v>415716461</v>
      </c>
      <c r="C3885" s="1">
        <v>45146</v>
      </c>
      <c r="D3885" s="1">
        <v>45163</v>
      </c>
      <c r="E3885">
        <v>3</v>
      </c>
      <c r="F3885" t="str">
        <f>"08-I03-08"</f>
        <v>08-I03-08</v>
      </c>
      <c r="G3885">
        <v>3.1400999999999999</v>
      </c>
      <c r="H3885" t="s">
        <v>9</v>
      </c>
      <c r="I3885" t="s">
        <v>10</v>
      </c>
    </row>
    <row r="3886" spans="1:9" x14ac:dyDescent="0.25">
      <c r="A3886" t="str">
        <f t="shared" si="100"/>
        <v>89301000</v>
      </c>
      <c r="B3886" t="str">
        <f>"415724470"</f>
        <v>415724470</v>
      </c>
      <c r="C3886" s="1">
        <v>45061</v>
      </c>
      <c r="D3886" s="1">
        <v>45070</v>
      </c>
      <c r="E3886">
        <v>1</v>
      </c>
      <c r="F3886" t="str">
        <f>"10-R02-01"</f>
        <v>10-R02-01</v>
      </c>
      <c r="G3886">
        <v>0.92279999999999995</v>
      </c>
      <c r="H3886" t="s">
        <v>9</v>
      </c>
      <c r="I3886" t="s">
        <v>10</v>
      </c>
    </row>
    <row r="3887" spans="1:9" x14ac:dyDescent="0.25">
      <c r="A3887" t="str">
        <f t="shared" si="100"/>
        <v>89301000</v>
      </c>
      <c r="B3887" t="str">
        <f>"415801428"</f>
        <v>415801428</v>
      </c>
      <c r="C3887" s="1">
        <v>45281</v>
      </c>
      <c r="D3887" s="1">
        <v>45288</v>
      </c>
      <c r="E3887">
        <v>5</v>
      </c>
      <c r="F3887" t="str">
        <f>"08-K08-00"</f>
        <v>08-K08-00</v>
      </c>
      <c r="G3887">
        <v>0.57140000000000002</v>
      </c>
      <c r="H3887" t="s">
        <v>11</v>
      </c>
      <c r="I3887" t="s">
        <v>10</v>
      </c>
    </row>
    <row r="3888" spans="1:9" x14ac:dyDescent="0.25">
      <c r="A3888" t="str">
        <f t="shared" si="100"/>
        <v>89301000</v>
      </c>
      <c r="B3888" t="str">
        <f>"415801428"</f>
        <v>415801428</v>
      </c>
      <c r="C3888" s="1">
        <v>45159</v>
      </c>
      <c r="D3888" s="1">
        <v>45168</v>
      </c>
      <c r="E3888">
        <v>1</v>
      </c>
      <c r="F3888" t="str">
        <f>"08-I03-06"</f>
        <v>08-I03-06</v>
      </c>
      <c r="G3888">
        <v>3.2523</v>
      </c>
      <c r="H3888" t="s">
        <v>9</v>
      </c>
      <c r="I3888" t="s">
        <v>10</v>
      </c>
    </row>
    <row r="3889" spans="1:9" x14ac:dyDescent="0.25">
      <c r="A3889" t="str">
        <f t="shared" si="100"/>
        <v>89301000</v>
      </c>
      <c r="B3889" t="str">
        <f>"415801446"</f>
        <v>415801446</v>
      </c>
      <c r="C3889" s="1">
        <v>45155</v>
      </c>
      <c r="D3889" s="1">
        <v>45157</v>
      </c>
      <c r="E3889">
        <v>1</v>
      </c>
      <c r="F3889" t="str">
        <f>"05-I14-03"</f>
        <v>05-I14-03</v>
      </c>
      <c r="G3889">
        <v>6.0362</v>
      </c>
      <c r="H3889" t="s">
        <v>12</v>
      </c>
      <c r="I3889" t="s">
        <v>10</v>
      </c>
    </row>
    <row r="3890" spans="1:9" x14ac:dyDescent="0.25">
      <c r="A3890" t="str">
        <f t="shared" si="100"/>
        <v>89301000</v>
      </c>
      <c r="B3890" t="str">
        <f>"415801446"</f>
        <v>415801446</v>
      </c>
      <c r="C3890" s="1">
        <v>45180</v>
      </c>
      <c r="D3890" s="1">
        <v>45180</v>
      </c>
      <c r="E3890">
        <v>1</v>
      </c>
      <c r="F3890" t="str">
        <f>"05-M06-08"</f>
        <v>05-M06-08</v>
      </c>
      <c r="G3890">
        <v>1.1012</v>
      </c>
      <c r="H3890" t="s">
        <v>12</v>
      </c>
      <c r="I3890" t="s">
        <v>10</v>
      </c>
    </row>
    <row r="3891" spans="1:9" x14ac:dyDescent="0.25">
      <c r="A3891" t="str">
        <f t="shared" si="100"/>
        <v>89301000</v>
      </c>
      <c r="B3891" t="str">
        <f>"415801446"</f>
        <v>415801446</v>
      </c>
      <c r="C3891" s="1">
        <v>45147</v>
      </c>
      <c r="D3891" s="1">
        <v>45147</v>
      </c>
      <c r="E3891">
        <v>1</v>
      </c>
      <c r="F3891" t="str">
        <f>"05-M06-08"</f>
        <v>05-M06-08</v>
      </c>
      <c r="G3891">
        <v>1.1012</v>
      </c>
      <c r="H3891" t="s">
        <v>12</v>
      </c>
      <c r="I3891" t="s">
        <v>10</v>
      </c>
    </row>
    <row r="3892" spans="1:9" x14ac:dyDescent="0.25">
      <c r="A3892" t="str">
        <f t="shared" si="100"/>
        <v>89301000</v>
      </c>
      <c r="B3892" t="str">
        <f>"415810068"</f>
        <v>415810068</v>
      </c>
      <c r="C3892" s="1">
        <v>45170</v>
      </c>
      <c r="D3892" s="1">
        <v>45171</v>
      </c>
      <c r="E3892">
        <v>1</v>
      </c>
      <c r="F3892" t="str">
        <f>"05-I25-03"</f>
        <v>05-I25-03</v>
      </c>
      <c r="G3892">
        <v>1.633</v>
      </c>
      <c r="H3892" t="s">
        <v>12</v>
      </c>
      <c r="I3892" t="s">
        <v>10</v>
      </c>
    </row>
    <row r="3893" spans="1:9" x14ac:dyDescent="0.25">
      <c r="A3893" t="str">
        <f t="shared" si="100"/>
        <v>89301000</v>
      </c>
      <c r="B3893" t="str">
        <f>"415811422"</f>
        <v>415811422</v>
      </c>
      <c r="C3893" s="1">
        <v>45148</v>
      </c>
      <c r="D3893" s="1">
        <v>45148</v>
      </c>
      <c r="E3893">
        <v>1</v>
      </c>
      <c r="F3893" t="str">
        <f>"05-I25-03"</f>
        <v>05-I25-03</v>
      </c>
      <c r="G3893">
        <v>1.3169</v>
      </c>
      <c r="H3893" t="s">
        <v>12</v>
      </c>
      <c r="I3893" t="s">
        <v>10</v>
      </c>
    </row>
    <row r="3894" spans="1:9" x14ac:dyDescent="0.25">
      <c r="A3894" t="str">
        <f t="shared" si="100"/>
        <v>89301000</v>
      </c>
      <c r="B3894" t="str">
        <f>"415815420"</f>
        <v>415815420</v>
      </c>
      <c r="C3894" s="1">
        <v>44936</v>
      </c>
      <c r="D3894" s="1">
        <v>45009</v>
      </c>
      <c r="E3894">
        <v>4</v>
      </c>
      <c r="F3894" t="str">
        <f>"07-I03-02"</f>
        <v>07-I03-02</v>
      </c>
      <c r="G3894">
        <v>12.2187</v>
      </c>
      <c r="H3894" t="s">
        <v>14</v>
      </c>
      <c r="I3894" t="s">
        <v>10</v>
      </c>
    </row>
    <row r="3895" spans="1:9" x14ac:dyDescent="0.25">
      <c r="A3895" t="str">
        <f t="shared" si="100"/>
        <v>89301000</v>
      </c>
      <c r="B3895" t="str">
        <f>"415815439"</f>
        <v>415815439</v>
      </c>
      <c r="C3895" s="1">
        <v>45139</v>
      </c>
      <c r="D3895" s="1">
        <v>45142</v>
      </c>
      <c r="E3895">
        <v>7</v>
      </c>
      <c r="F3895" t="str">
        <f>"01-K11-03"</f>
        <v>01-K11-03</v>
      </c>
      <c r="G3895">
        <v>1.6337999999999999</v>
      </c>
      <c r="H3895" t="s">
        <v>11</v>
      </c>
      <c r="I3895" t="s">
        <v>10</v>
      </c>
    </row>
    <row r="3896" spans="1:9" x14ac:dyDescent="0.25">
      <c r="A3896" t="str">
        <f t="shared" si="100"/>
        <v>89301000</v>
      </c>
      <c r="B3896" t="str">
        <f>"415822958"</f>
        <v>415822958</v>
      </c>
      <c r="C3896" s="1">
        <v>44985</v>
      </c>
      <c r="D3896" s="1">
        <v>44999</v>
      </c>
      <c r="E3896">
        <v>8</v>
      </c>
      <c r="F3896" t="str">
        <f>"04-K08-02"</f>
        <v>04-K08-02</v>
      </c>
      <c r="G3896">
        <v>2.8220000000000001</v>
      </c>
      <c r="H3896" t="s">
        <v>11</v>
      </c>
      <c r="I3896" t="s">
        <v>10</v>
      </c>
    </row>
    <row r="3897" spans="1:9" x14ac:dyDescent="0.25">
      <c r="A3897" t="str">
        <f t="shared" si="100"/>
        <v>89301000</v>
      </c>
      <c r="B3897" t="str">
        <f>"415905438"</f>
        <v>415905438</v>
      </c>
      <c r="C3897" s="1">
        <v>45120</v>
      </c>
      <c r="D3897" s="1">
        <v>45133</v>
      </c>
      <c r="E3897">
        <v>1</v>
      </c>
      <c r="F3897" t="str">
        <f>"06-I07-05"</f>
        <v>06-I07-05</v>
      </c>
      <c r="G3897">
        <v>2.7919999999999998</v>
      </c>
      <c r="H3897" t="s">
        <v>12</v>
      </c>
      <c r="I3897" t="s">
        <v>10</v>
      </c>
    </row>
    <row r="3898" spans="1:9" x14ac:dyDescent="0.25">
      <c r="A3898" t="str">
        <f t="shared" si="100"/>
        <v>89301000</v>
      </c>
      <c r="B3898" t="str">
        <f>"415905438"</f>
        <v>415905438</v>
      </c>
      <c r="C3898" s="1">
        <v>45233</v>
      </c>
      <c r="D3898" s="1">
        <v>45245</v>
      </c>
      <c r="E3898">
        <v>1</v>
      </c>
      <c r="F3898" t="str">
        <f>"06-K14-02"</f>
        <v>06-K14-02</v>
      </c>
      <c r="G3898">
        <v>0.5766</v>
      </c>
      <c r="H3898" t="s">
        <v>11</v>
      </c>
      <c r="I3898" t="s">
        <v>10</v>
      </c>
    </row>
    <row r="3899" spans="1:9" x14ac:dyDescent="0.25">
      <c r="A3899" t="str">
        <f t="shared" si="100"/>
        <v>89301000</v>
      </c>
      <c r="B3899" t="str">
        <f>"415907445"</f>
        <v>415907445</v>
      </c>
      <c r="C3899" s="1">
        <v>45104</v>
      </c>
      <c r="D3899" s="1">
        <v>45105</v>
      </c>
      <c r="E3899">
        <v>1</v>
      </c>
      <c r="F3899" t="str">
        <f>"05-D01-08"</f>
        <v>05-D01-08</v>
      </c>
      <c r="G3899">
        <v>0.43159999999999998</v>
      </c>
      <c r="H3899" t="s">
        <v>11</v>
      </c>
      <c r="I3899" t="s">
        <v>10</v>
      </c>
    </row>
    <row r="3900" spans="1:9" x14ac:dyDescent="0.25">
      <c r="A3900" t="str">
        <f t="shared" si="100"/>
        <v>89301000</v>
      </c>
      <c r="B3900" t="str">
        <f>"415914402"</f>
        <v>415914402</v>
      </c>
      <c r="C3900" s="1">
        <v>44944</v>
      </c>
      <c r="D3900" s="1">
        <v>44971</v>
      </c>
      <c r="E3900">
        <v>4</v>
      </c>
      <c r="F3900" t="str">
        <f>"08-I05-07"</f>
        <v>08-I05-07</v>
      </c>
      <c r="G3900">
        <v>2.4963000000000002</v>
      </c>
      <c r="H3900" t="s">
        <v>12</v>
      </c>
      <c r="I3900" t="s">
        <v>10</v>
      </c>
    </row>
    <row r="3901" spans="1:9" x14ac:dyDescent="0.25">
      <c r="A3901" t="str">
        <f t="shared" si="100"/>
        <v>89301000</v>
      </c>
      <c r="B3901" t="str">
        <f t="shared" ref="B3901:B3906" si="101">"415919404"</f>
        <v>415919404</v>
      </c>
      <c r="C3901" s="1">
        <v>45147</v>
      </c>
      <c r="D3901" s="1">
        <v>45148</v>
      </c>
      <c r="E3901">
        <v>1</v>
      </c>
      <c r="F3901" t="str">
        <f>"17-C05-05"</f>
        <v>17-C05-05</v>
      </c>
      <c r="G3901">
        <v>0.66069999999999995</v>
      </c>
      <c r="H3901" t="s">
        <v>11</v>
      </c>
      <c r="I3901" t="s">
        <v>10</v>
      </c>
    </row>
    <row r="3902" spans="1:9" x14ac:dyDescent="0.25">
      <c r="A3902" t="str">
        <f t="shared" si="100"/>
        <v>89301000</v>
      </c>
      <c r="B3902" t="str">
        <f t="shared" si="101"/>
        <v>415919404</v>
      </c>
      <c r="C3902" s="1">
        <v>45119</v>
      </c>
      <c r="D3902" s="1">
        <v>45121</v>
      </c>
      <c r="E3902">
        <v>1</v>
      </c>
      <c r="F3902" t="str">
        <f>"17-K05-02"</f>
        <v>17-K05-02</v>
      </c>
      <c r="G3902">
        <v>0.71850000000000003</v>
      </c>
      <c r="H3902" t="s">
        <v>11</v>
      </c>
      <c r="I3902" t="s">
        <v>10</v>
      </c>
    </row>
    <row r="3903" spans="1:9" x14ac:dyDescent="0.25">
      <c r="A3903" t="str">
        <f t="shared" si="100"/>
        <v>89301000</v>
      </c>
      <c r="B3903" t="str">
        <f t="shared" si="101"/>
        <v>415919404</v>
      </c>
      <c r="C3903" s="1">
        <v>45063</v>
      </c>
      <c r="D3903" s="1">
        <v>45064</v>
      </c>
      <c r="E3903">
        <v>1</v>
      </c>
      <c r="F3903" t="str">
        <f>"17-C05-05"</f>
        <v>17-C05-05</v>
      </c>
      <c r="G3903">
        <v>0.66069999999999995</v>
      </c>
      <c r="H3903" t="s">
        <v>11</v>
      </c>
      <c r="I3903" t="s">
        <v>10</v>
      </c>
    </row>
    <row r="3904" spans="1:9" x14ac:dyDescent="0.25">
      <c r="A3904" t="str">
        <f t="shared" si="100"/>
        <v>89301000</v>
      </c>
      <c r="B3904" t="str">
        <f t="shared" si="101"/>
        <v>415919404</v>
      </c>
      <c r="C3904" s="1">
        <v>45035</v>
      </c>
      <c r="D3904" s="1">
        <v>45036</v>
      </c>
      <c r="E3904">
        <v>1</v>
      </c>
      <c r="F3904" t="str">
        <f>"17-C05-05"</f>
        <v>17-C05-05</v>
      </c>
      <c r="G3904">
        <v>0.66069999999999995</v>
      </c>
      <c r="H3904" t="s">
        <v>11</v>
      </c>
      <c r="I3904" t="s">
        <v>10</v>
      </c>
    </row>
    <row r="3905" spans="1:9" x14ac:dyDescent="0.25">
      <c r="A3905" t="str">
        <f t="shared" si="100"/>
        <v>89301000</v>
      </c>
      <c r="B3905" t="str">
        <f t="shared" si="101"/>
        <v>415919404</v>
      </c>
      <c r="C3905" s="1">
        <v>45007</v>
      </c>
      <c r="D3905" s="1">
        <v>45013</v>
      </c>
      <c r="E3905">
        <v>1</v>
      </c>
      <c r="F3905" t="str">
        <f>"17-C05-02"</f>
        <v>17-C05-02</v>
      </c>
      <c r="G3905">
        <v>2.3085</v>
      </c>
      <c r="H3905" t="s">
        <v>11</v>
      </c>
      <c r="I3905" t="s">
        <v>10</v>
      </c>
    </row>
    <row r="3906" spans="1:9" x14ac:dyDescent="0.25">
      <c r="A3906" t="str">
        <f t="shared" si="100"/>
        <v>89301000</v>
      </c>
      <c r="B3906" t="str">
        <f t="shared" si="101"/>
        <v>415919404</v>
      </c>
      <c r="C3906" s="1">
        <v>45091</v>
      </c>
      <c r="D3906" s="1">
        <v>45092</v>
      </c>
      <c r="E3906">
        <v>1</v>
      </c>
      <c r="F3906" t="str">
        <f>"17-C05-05"</f>
        <v>17-C05-05</v>
      </c>
      <c r="G3906">
        <v>0.55120000000000002</v>
      </c>
      <c r="H3906" t="s">
        <v>11</v>
      </c>
      <c r="I3906" t="s">
        <v>10</v>
      </c>
    </row>
    <row r="3907" spans="1:9" x14ac:dyDescent="0.25">
      <c r="A3907" t="str">
        <f t="shared" si="100"/>
        <v>89301000</v>
      </c>
      <c r="B3907" t="str">
        <f>"415924466"</f>
        <v>415924466</v>
      </c>
      <c r="C3907" s="1">
        <v>45217</v>
      </c>
      <c r="D3907" s="1">
        <v>45222</v>
      </c>
      <c r="E3907">
        <v>1</v>
      </c>
      <c r="F3907" t="str">
        <f>"05-K14-02"</f>
        <v>05-K14-02</v>
      </c>
      <c r="G3907">
        <v>0.96609999999999996</v>
      </c>
      <c r="H3907" t="s">
        <v>11</v>
      </c>
      <c r="I3907" t="s">
        <v>10</v>
      </c>
    </row>
    <row r="3908" spans="1:9" x14ac:dyDescent="0.25">
      <c r="A3908" t="str">
        <f t="shared" si="100"/>
        <v>89301000</v>
      </c>
      <c r="B3908" t="str">
        <f>"415924466"</f>
        <v>415924466</v>
      </c>
      <c r="C3908" s="1">
        <v>45278</v>
      </c>
      <c r="D3908" s="1">
        <v>45279</v>
      </c>
      <c r="E3908">
        <v>1</v>
      </c>
      <c r="F3908" t="str">
        <f>"06-K14-02"</f>
        <v>06-K14-02</v>
      </c>
      <c r="G3908">
        <v>0.61380000000000001</v>
      </c>
      <c r="H3908" t="s">
        <v>11</v>
      </c>
      <c r="I3908" t="s">
        <v>10</v>
      </c>
    </row>
    <row r="3909" spans="1:9" x14ac:dyDescent="0.25">
      <c r="A3909" t="str">
        <f t="shared" si="100"/>
        <v>89301000</v>
      </c>
      <c r="B3909" t="str">
        <f>"415926401"</f>
        <v>415926401</v>
      </c>
      <c r="C3909" s="1">
        <v>45013</v>
      </c>
      <c r="D3909" s="1">
        <v>45019</v>
      </c>
      <c r="E3909">
        <v>1</v>
      </c>
      <c r="F3909" t="str">
        <f>"01-C02-02"</f>
        <v>01-C02-02</v>
      </c>
      <c r="G3909">
        <v>1.6685000000000001</v>
      </c>
      <c r="H3909" t="s">
        <v>11</v>
      </c>
      <c r="I3909" t="s">
        <v>10</v>
      </c>
    </row>
    <row r="3910" spans="1:9" x14ac:dyDescent="0.25">
      <c r="A3910" t="str">
        <f t="shared" si="100"/>
        <v>89301000</v>
      </c>
      <c r="B3910" t="str">
        <f>"416010405"</f>
        <v>416010405</v>
      </c>
      <c r="C3910" s="1">
        <v>45174</v>
      </c>
      <c r="D3910" s="1">
        <v>45178</v>
      </c>
      <c r="E3910">
        <v>7</v>
      </c>
      <c r="F3910" t="str">
        <f>"01-K10-01"</f>
        <v>01-K10-01</v>
      </c>
      <c r="G3910">
        <v>2.7124999999999999</v>
      </c>
      <c r="H3910" t="s">
        <v>11</v>
      </c>
      <c r="I3910" t="s">
        <v>10</v>
      </c>
    </row>
    <row r="3911" spans="1:9" x14ac:dyDescent="0.25">
      <c r="A3911" t="str">
        <f t="shared" si="100"/>
        <v>89301000</v>
      </c>
      <c r="B3911" t="str">
        <f>"416010444"</f>
        <v>416010444</v>
      </c>
      <c r="C3911" s="1">
        <v>45150</v>
      </c>
      <c r="D3911" s="1">
        <v>45156</v>
      </c>
      <c r="E3911">
        <v>4</v>
      </c>
      <c r="F3911" t="str">
        <f>"08-I05-06"</f>
        <v>08-I05-06</v>
      </c>
      <c r="G3911">
        <v>2.0308000000000002</v>
      </c>
      <c r="H3911" t="s">
        <v>12</v>
      </c>
      <c r="I3911" t="s">
        <v>10</v>
      </c>
    </row>
    <row r="3912" spans="1:9" x14ac:dyDescent="0.25">
      <c r="A3912" t="str">
        <f t="shared" si="100"/>
        <v>89301000</v>
      </c>
      <c r="B3912" t="str">
        <f>"416023441"</f>
        <v>416023441</v>
      </c>
      <c r="C3912" s="1">
        <v>45171</v>
      </c>
      <c r="D3912" s="1">
        <v>45177</v>
      </c>
      <c r="E3912">
        <v>1</v>
      </c>
      <c r="F3912" t="str">
        <f>"23-K04-01"</f>
        <v>23-K04-01</v>
      </c>
      <c r="G3912">
        <v>0.47249999999999998</v>
      </c>
      <c r="H3912" t="s">
        <v>11</v>
      </c>
      <c r="I3912" t="s">
        <v>10</v>
      </c>
    </row>
    <row r="3913" spans="1:9" x14ac:dyDescent="0.25">
      <c r="A3913" t="str">
        <f t="shared" si="100"/>
        <v>89301000</v>
      </c>
      <c r="B3913" t="str">
        <f>"416024449"</f>
        <v>416024449</v>
      </c>
      <c r="C3913" s="1">
        <v>44973</v>
      </c>
      <c r="D3913" s="1">
        <v>44974</v>
      </c>
      <c r="E3913">
        <v>1</v>
      </c>
      <c r="F3913" t="str">
        <f>"07-M02-04"</f>
        <v>07-M02-04</v>
      </c>
      <c r="G3913">
        <v>0.77339999999999998</v>
      </c>
      <c r="H3913" t="s">
        <v>12</v>
      </c>
      <c r="I3913" t="s">
        <v>10</v>
      </c>
    </row>
    <row r="3914" spans="1:9" x14ac:dyDescent="0.25">
      <c r="A3914" t="str">
        <f t="shared" si="100"/>
        <v>89301000</v>
      </c>
      <c r="B3914" t="str">
        <f>"416119412"</f>
        <v>416119412</v>
      </c>
      <c r="C3914" s="1">
        <v>44942</v>
      </c>
      <c r="D3914" s="1">
        <v>44945</v>
      </c>
      <c r="E3914">
        <v>4</v>
      </c>
      <c r="F3914" t="str">
        <f>"10-K12-02"</f>
        <v>10-K12-02</v>
      </c>
      <c r="G3914">
        <v>0.873</v>
      </c>
      <c r="H3914" t="s">
        <v>11</v>
      </c>
      <c r="I3914" t="s">
        <v>10</v>
      </c>
    </row>
    <row r="3915" spans="1:9" x14ac:dyDescent="0.25">
      <c r="A3915" t="str">
        <f t="shared" si="100"/>
        <v>89301000</v>
      </c>
      <c r="B3915" t="str">
        <f>"416127433"</f>
        <v>416127433</v>
      </c>
      <c r="C3915" s="1">
        <v>45155</v>
      </c>
      <c r="D3915" s="1">
        <v>45167</v>
      </c>
      <c r="E3915">
        <v>4</v>
      </c>
      <c r="F3915" t="str">
        <f>"01-K10-01"</f>
        <v>01-K10-01</v>
      </c>
      <c r="G3915">
        <v>2.6547999999999998</v>
      </c>
      <c r="H3915" t="s">
        <v>11</v>
      </c>
      <c r="I3915" t="s">
        <v>10</v>
      </c>
    </row>
    <row r="3916" spans="1:9" x14ac:dyDescent="0.25">
      <c r="A3916" t="str">
        <f t="shared" si="100"/>
        <v>89301000</v>
      </c>
      <c r="B3916" t="str">
        <f>"416127713"</f>
        <v>416127713</v>
      </c>
      <c r="C3916" s="1">
        <v>44984</v>
      </c>
      <c r="D3916" s="1">
        <v>44985</v>
      </c>
      <c r="E3916">
        <v>1</v>
      </c>
      <c r="F3916" t="str">
        <f>"05-I21-02"</f>
        <v>05-I21-02</v>
      </c>
      <c r="G3916">
        <v>2.9087999999999998</v>
      </c>
      <c r="H3916" t="s">
        <v>12</v>
      </c>
      <c r="I3916" t="s">
        <v>10</v>
      </c>
    </row>
    <row r="3917" spans="1:9" x14ac:dyDescent="0.25">
      <c r="A3917" t="str">
        <f t="shared" si="100"/>
        <v>89301000</v>
      </c>
      <c r="B3917" t="str">
        <f>"416128438"</f>
        <v>416128438</v>
      </c>
      <c r="C3917" s="1">
        <v>45217</v>
      </c>
      <c r="D3917" s="1">
        <v>45222</v>
      </c>
      <c r="E3917">
        <v>1</v>
      </c>
      <c r="F3917" t="str">
        <f>"05-M01-03"</f>
        <v>05-M01-03</v>
      </c>
      <c r="G3917">
        <v>11.4411</v>
      </c>
      <c r="H3917" t="s">
        <v>12</v>
      </c>
      <c r="I3917" t="s">
        <v>10</v>
      </c>
    </row>
    <row r="3918" spans="1:9" x14ac:dyDescent="0.25">
      <c r="A3918" t="str">
        <f t="shared" si="100"/>
        <v>89301000</v>
      </c>
      <c r="B3918" t="str">
        <f>"416128438"</f>
        <v>416128438</v>
      </c>
      <c r="C3918" s="1">
        <v>45187</v>
      </c>
      <c r="D3918" s="1">
        <v>45189</v>
      </c>
      <c r="E3918">
        <v>1</v>
      </c>
      <c r="F3918" t="str">
        <f>"05-D01-06"</f>
        <v>05-D01-06</v>
      </c>
      <c r="G3918">
        <v>0.7571</v>
      </c>
      <c r="H3918" t="s">
        <v>11</v>
      </c>
      <c r="I3918" t="s">
        <v>10</v>
      </c>
    </row>
    <row r="3919" spans="1:9" x14ac:dyDescent="0.25">
      <c r="A3919" t="str">
        <f t="shared" si="100"/>
        <v>89301000</v>
      </c>
      <c r="B3919" t="str">
        <f>"416128450"</f>
        <v>416128450</v>
      </c>
      <c r="C3919" s="1">
        <v>45218</v>
      </c>
      <c r="D3919" s="1">
        <v>45221</v>
      </c>
      <c r="E3919">
        <v>1</v>
      </c>
      <c r="F3919" t="str">
        <f>"06-K13-02"</f>
        <v>06-K13-02</v>
      </c>
      <c r="G3919">
        <v>0.62629999999999997</v>
      </c>
      <c r="H3919" t="s">
        <v>11</v>
      </c>
      <c r="I3919" t="s">
        <v>10</v>
      </c>
    </row>
    <row r="3920" spans="1:9" x14ac:dyDescent="0.25">
      <c r="A3920" t="str">
        <f t="shared" si="100"/>
        <v>89301000</v>
      </c>
      <c r="B3920" t="str">
        <f>"416204401"</f>
        <v>416204401</v>
      </c>
      <c r="C3920" s="1">
        <v>44995</v>
      </c>
      <c r="D3920" s="1">
        <v>44995</v>
      </c>
      <c r="E3920">
        <v>1</v>
      </c>
      <c r="F3920" t="str">
        <f>"05-D01-08"</f>
        <v>05-D01-08</v>
      </c>
      <c r="G3920">
        <v>0.2303</v>
      </c>
      <c r="H3920" t="s">
        <v>11</v>
      </c>
      <c r="I3920" t="s">
        <v>10</v>
      </c>
    </row>
    <row r="3921" spans="1:9" x14ac:dyDescent="0.25">
      <c r="A3921" t="str">
        <f t="shared" si="100"/>
        <v>89301000</v>
      </c>
      <c r="B3921" t="str">
        <f>"416212433"</f>
        <v>416212433</v>
      </c>
      <c r="C3921" s="1">
        <v>45118</v>
      </c>
      <c r="D3921" s="1">
        <v>45124</v>
      </c>
      <c r="E3921">
        <v>1</v>
      </c>
      <c r="F3921" t="str">
        <f>"11-K01-02"</f>
        <v>11-K01-02</v>
      </c>
      <c r="G3921">
        <v>0.86480000000000001</v>
      </c>
      <c r="H3921" t="s">
        <v>11</v>
      </c>
      <c r="I3921" t="s">
        <v>10</v>
      </c>
    </row>
    <row r="3922" spans="1:9" x14ac:dyDescent="0.25">
      <c r="A3922" t="str">
        <f t="shared" si="100"/>
        <v>89301000</v>
      </c>
      <c r="B3922" t="str">
        <f>"416215427"</f>
        <v>416215427</v>
      </c>
      <c r="C3922" s="1">
        <v>45180</v>
      </c>
      <c r="D3922" s="1">
        <v>45184</v>
      </c>
      <c r="E3922">
        <v>2</v>
      </c>
      <c r="F3922" t="str">
        <f>"01-K16-02"</f>
        <v>01-K16-02</v>
      </c>
      <c r="G3922">
        <v>1.0113000000000001</v>
      </c>
      <c r="H3922" t="s">
        <v>11</v>
      </c>
      <c r="I3922" t="s">
        <v>10</v>
      </c>
    </row>
    <row r="3923" spans="1:9" x14ac:dyDescent="0.25">
      <c r="A3923" t="str">
        <f t="shared" si="100"/>
        <v>89301000</v>
      </c>
      <c r="B3923" t="str">
        <f>"416215427"</f>
        <v>416215427</v>
      </c>
      <c r="C3923" s="1">
        <v>45055</v>
      </c>
      <c r="D3923" s="1">
        <v>45068</v>
      </c>
      <c r="E3923">
        <v>4</v>
      </c>
      <c r="F3923" t="str">
        <f>"01-K16-02"</f>
        <v>01-K16-02</v>
      </c>
      <c r="G3923">
        <v>1.0382</v>
      </c>
      <c r="H3923" t="s">
        <v>11</v>
      </c>
      <c r="I3923" t="s">
        <v>10</v>
      </c>
    </row>
    <row r="3924" spans="1:9" x14ac:dyDescent="0.25">
      <c r="A3924" t="str">
        <f t="shared" si="100"/>
        <v>89301000</v>
      </c>
      <c r="B3924" t="str">
        <f>"416215427"</f>
        <v>416215427</v>
      </c>
      <c r="C3924" s="1">
        <v>45229</v>
      </c>
      <c r="D3924" s="1">
        <v>45237</v>
      </c>
      <c r="E3924">
        <v>4</v>
      </c>
      <c r="F3924" t="str">
        <f>"01-K12-01"</f>
        <v>01-K12-01</v>
      </c>
      <c r="G3924">
        <v>0.73780000000000001</v>
      </c>
      <c r="H3924" t="s">
        <v>11</v>
      </c>
      <c r="I3924" t="s">
        <v>10</v>
      </c>
    </row>
    <row r="3925" spans="1:9" x14ac:dyDescent="0.25">
      <c r="A3925" t="str">
        <f t="shared" si="100"/>
        <v>89301000</v>
      </c>
      <c r="B3925" t="str">
        <f>"416215446"</f>
        <v>416215446</v>
      </c>
      <c r="C3925" s="1">
        <v>44951</v>
      </c>
      <c r="D3925" s="1">
        <v>44963</v>
      </c>
      <c r="E3925">
        <v>5</v>
      </c>
      <c r="F3925" t="str">
        <f>"07-I04-02"</f>
        <v>07-I04-02</v>
      </c>
      <c r="G3925">
        <v>2.2502</v>
      </c>
      <c r="H3925" t="s">
        <v>14</v>
      </c>
      <c r="I3925" t="s">
        <v>10</v>
      </c>
    </row>
    <row r="3926" spans="1:9" x14ac:dyDescent="0.25">
      <c r="A3926" t="str">
        <f t="shared" si="100"/>
        <v>89301000</v>
      </c>
      <c r="B3926" t="str">
        <f>"416228405"</f>
        <v>416228405</v>
      </c>
      <c r="C3926" s="1">
        <v>45266</v>
      </c>
      <c r="D3926" s="1">
        <v>45274</v>
      </c>
      <c r="E3926">
        <v>1</v>
      </c>
      <c r="F3926" t="str">
        <f>"01-D01-02"</f>
        <v>01-D01-02</v>
      </c>
      <c r="G3926">
        <v>0.51300000000000001</v>
      </c>
      <c r="H3926" t="s">
        <v>11</v>
      </c>
      <c r="I3926" t="s">
        <v>10</v>
      </c>
    </row>
    <row r="3927" spans="1:9" x14ac:dyDescent="0.25">
      <c r="A3927" t="str">
        <f t="shared" si="100"/>
        <v>89301000</v>
      </c>
      <c r="B3927" t="str">
        <f>"416228466"</f>
        <v>416228466</v>
      </c>
      <c r="C3927" s="1">
        <v>45066</v>
      </c>
      <c r="D3927" s="1">
        <v>45070</v>
      </c>
      <c r="E3927">
        <v>4</v>
      </c>
      <c r="F3927" t="str">
        <f>"17-K10-02"</f>
        <v>17-K10-02</v>
      </c>
      <c r="G3927">
        <v>0.63500000000000001</v>
      </c>
      <c r="H3927" t="s">
        <v>11</v>
      </c>
      <c r="I3927" t="s">
        <v>10</v>
      </c>
    </row>
    <row r="3928" spans="1:9" x14ac:dyDescent="0.25">
      <c r="A3928" t="str">
        <f t="shared" si="100"/>
        <v>89301000</v>
      </c>
      <c r="B3928" t="str">
        <f>"416228466"</f>
        <v>416228466</v>
      </c>
      <c r="C3928" s="1">
        <v>45166</v>
      </c>
      <c r="D3928" s="1">
        <v>45169</v>
      </c>
      <c r="E3928">
        <v>4</v>
      </c>
      <c r="F3928" t="str">
        <f>"11-K02-02"</f>
        <v>11-K02-02</v>
      </c>
      <c r="G3928">
        <v>1.4047000000000001</v>
      </c>
      <c r="H3928" t="s">
        <v>11</v>
      </c>
      <c r="I3928" t="s">
        <v>10</v>
      </c>
    </row>
    <row r="3929" spans="1:9" x14ac:dyDescent="0.25">
      <c r="A3929" t="str">
        <f t="shared" si="100"/>
        <v>89301000</v>
      </c>
      <c r="B3929" t="str">
        <f>"416230412"</f>
        <v>416230412</v>
      </c>
      <c r="C3929" s="1">
        <v>45196</v>
      </c>
      <c r="D3929" s="1">
        <v>45204</v>
      </c>
      <c r="E3929">
        <v>1</v>
      </c>
      <c r="F3929" t="str">
        <f>"24-M06-01"</f>
        <v>24-M06-01</v>
      </c>
      <c r="G3929">
        <v>1.1990000000000001</v>
      </c>
      <c r="H3929" t="s">
        <v>11</v>
      </c>
      <c r="I3929" t="s">
        <v>10</v>
      </c>
    </row>
    <row r="3930" spans="1:9" x14ac:dyDescent="0.25">
      <c r="A3930" t="str">
        <f t="shared" si="100"/>
        <v>89301000</v>
      </c>
      <c r="B3930" t="str">
        <f>"416230412"</f>
        <v>416230412</v>
      </c>
      <c r="C3930" s="1">
        <v>45190</v>
      </c>
      <c r="D3930" s="1">
        <v>45196</v>
      </c>
      <c r="E3930">
        <v>3</v>
      </c>
      <c r="F3930" t="str">
        <f>"01-K10-03"</f>
        <v>01-K10-03</v>
      </c>
      <c r="G3930">
        <v>1.0348999999999999</v>
      </c>
      <c r="H3930" t="s">
        <v>11</v>
      </c>
      <c r="I3930" t="s">
        <v>10</v>
      </c>
    </row>
    <row r="3931" spans="1:9" x14ac:dyDescent="0.25">
      <c r="A3931" t="str">
        <f t="shared" si="100"/>
        <v>89301000</v>
      </c>
      <c r="B3931" t="str">
        <f>"420113406"</f>
        <v>420113406</v>
      </c>
      <c r="C3931" s="1">
        <v>44972</v>
      </c>
      <c r="D3931" s="1">
        <v>44973</v>
      </c>
      <c r="E3931">
        <v>1</v>
      </c>
      <c r="F3931" t="str">
        <f>"08-I03-05"</f>
        <v>08-I03-05</v>
      </c>
      <c r="G3931">
        <v>1.59</v>
      </c>
      <c r="H3931" t="s">
        <v>9</v>
      </c>
      <c r="I3931" t="s">
        <v>10</v>
      </c>
    </row>
    <row r="3932" spans="1:9" x14ac:dyDescent="0.25">
      <c r="A3932" t="str">
        <f t="shared" si="100"/>
        <v>89301000</v>
      </c>
      <c r="B3932" t="str">
        <f>"420117450"</f>
        <v>420117450</v>
      </c>
      <c r="C3932" s="1">
        <v>45070</v>
      </c>
      <c r="D3932" s="1">
        <v>45075</v>
      </c>
      <c r="E3932">
        <v>1</v>
      </c>
      <c r="F3932" t="str">
        <f>"05-M01-03"</f>
        <v>05-M01-03</v>
      </c>
      <c r="G3932">
        <v>11.4411</v>
      </c>
      <c r="H3932" t="s">
        <v>12</v>
      </c>
      <c r="I3932" t="s">
        <v>10</v>
      </c>
    </row>
    <row r="3933" spans="1:9" x14ac:dyDescent="0.25">
      <c r="A3933" t="str">
        <f t="shared" si="100"/>
        <v>89301000</v>
      </c>
      <c r="B3933" t="str">
        <f>"420117450"</f>
        <v>420117450</v>
      </c>
      <c r="C3933" s="1">
        <v>45043</v>
      </c>
      <c r="D3933" s="1">
        <v>45044</v>
      </c>
      <c r="E3933">
        <v>1</v>
      </c>
      <c r="F3933" t="str">
        <f>"05-D01-06"</f>
        <v>05-D01-06</v>
      </c>
      <c r="G3933">
        <v>0.7571</v>
      </c>
      <c r="H3933" t="s">
        <v>11</v>
      </c>
      <c r="I3933" t="s">
        <v>10</v>
      </c>
    </row>
    <row r="3934" spans="1:9" x14ac:dyDescent="0.25">
      <c r="A3934" t="str">
        <f t="shared" si="100"/>
        <v>89301000</v>
      </c>
      <c r="B3934" t="str">
        <f>"420119450"</f>
        <v>420119450</v>
      </c>
      <c r="C3934" s="1">
        <v>45056</v>
      </c>
      <c r="D3934" s="1">
        <v>45059</v>
      </c>
      <c r="E3934">
        <v>1</v>
      </c>
      <c r="F3934" t="str">
        <f>"17-K10-01"</f>
        <v>17-K10-01</v>
      </c>
      <c r="G3934">
        <v>1.5891999999999999</v>
      </c>
      <c r="H3934" t="s">
        <v>11</v>
      </c>
      <c r="I3934" t="s">
        <v>10</v>
      </c>
    </row>
    <row r="3935" spans="1:9" x14ac:dyDescent="0.25">
      <c r="A3935" t="str">
        <f t="shared" si="100"/>
        <v>89301000</v>
      </c>
      <c r="B3935" t="str">
        <f>"420211448"</f>
        <v>420211448</v>
      </c>
      <c r="C3935" s="1">
        <v>44927</v>
      </c>
      <c r="D3935" s="1">
        <v>44940</v>
      </c>
      <c r="E3935">
        <v>8</v>
      </c>
      <c r="F3935" t="str">
        <f>"04-C02-02"</f>
        <v>04-C02-02</v>
      </c>
      <c r="G3935">
        <v>0.60129999999999995</v>
      </c>
      <c r="H3935" t="s">
        <v>11</v>
      </c>
      <c r="I3935" t="s">
        <v>10</v>
      </c>
    </row>
    <row r="3936" spans="1:9" x14ac:dyDescent="0.25">
      <c r="A3936" t="str">
        <f t="shared" si="100"/>
        <v>89301000</v>
      </c>
      <c r="B3936" t="str">
        <f>"420219411"</f>
        <v>420219411</v>
      </c>
      <c r="C3936" s="1">
        <v>44992</v>
      </c>
      <c r="D3936" s="1">
        <v>44993</v>
      </c>
      <c r="E3936">
        <v>1</v>
      </c>
      <c r="F3936" t="str">
        <f>"05-K09-02"</f>
        <v>05-K09-02</v>
      </c>
      <c r="G3936">
        <v>0.58840000000000003</v>
      </c>
      <c r="H3936" t="s">
        <v>11</v>
      </c>
      <c r="I3936" t="s">
        <v>10</v>
      </c>
    </row>
    <row r="3937" spans="1:9" x14ac:dyDescent="0.25">
      <c r="A3937" t="str">
        <f t="shared" si="100"/>
        <v>89301000</v>
      </c>
      <c r="B3937" t="str">
        <f>"420219411"</f>
        <v>420219411</v>
      </c>
      <c r="C3937" s="1">
        <v>45035</v>
      </c>
      <c r="D3937" s="1">
        <v>45040</v>
      </c>
      <c r="E3937">
        <v>1</v>
      </c>
      <c r="F3937" t="str">
        <f>"05-M01-03"</f>
        <v>05-M01-03</v>
      </c>
      <c r="G3937">
        <v>11.4411</v>
      </c>
      <c r="H3937" t="s">
        <v>12</v>
      </c>
      <c r="I3937" t="s">
        <v>10</v>
      </c>
    </row>
    <row r="3938" spans="1:9" x14ac:dyDescent="0.25">
      <c r="A3938" t="str">
        <f t="shared" si="100"/>
        <v>89301000</v>
      </c>
      <c r="B3938" t="str">
        <f>"420219411"</f>
        <v>420219411</v>
      </c>
      <c r="C3938" s="1">
        <v>45000</v>
      </c>
      <c r="D3938" s="1">
        <v>45001</v>
      </c>
      <c r="E3938">
        <v>1</v>
      </c>
      <c r="F3938" t="str">
        <f>"05-D01-06"</f>
        <v>05-D01-06</v>
      </c>
      <c r="G3938">
        <v>0.7571</v>
      </c>
      <c r="H3938" t="s">
        <v>11</v>
      </c>
      <c r="I3938" t="s">
        <v>10</v>
      </c>
    </row>
    <row r="3939" spans="1:9" x14ac:dyDescent="0.25">
      <c r="A3939" t="str">
        <f t="shared" ref="A3939:A4000" si="102">"89301000"</f>
        <v>89301000</v>
      </c>
      <c r="B3939" t="str">
        <f>"420227449"</f>
        <v>420227449</v>
      </c>
      <c r="C3939" s="1">
        <v>45033</v>
      </c>
      <c r="D3939" s="1">
        <v>45034</v>
      </c>
      <c r="E3939">
        <v>1</v>
      </c>
      <c r="F3939" t="str">
        <f>"01-D01-03"</f>
        <v>01-D01-03</v>
      </c>
      <c r="G3939">
        <v>0.16200000000000001</v>
      </c>
      <c r="H3939" t="s">
        <v>11</v>
      </c>
      <c r="I3939" t="s">
        <v>10</v>
      </c>
    </row>
    <row r="3940" spans="1:9" x14ac:dyDescent="0.25">
      <c r="A3940" t="str">
        <f t="shared" si="102"/>
        <v>89301000</v>
      </c>
      <c r="B3940" t="str">
        <f>"420322159"</f>
        <v>420322159</v>
      </c>
      <c r="C3940" s="1">
        <v>45235</v>
      </c>
      <c r="D3940" s="1">
        <v>45240</v>
      </c>
      <c r="E3940">
        <v>1</v>
      </c>
      <c r="F3940" t="str">
        <f>"04-K03-02"</f>
        <v>04-K03-02</v>
      </c>
      <c r="G3940">
        <v>0.79500000000000004</v>
      </c>
      <c r="H3940" t="s">
        <v>11</v>
      </c>
      <c r="I3940" t="s">
        <v>10</v>
      </c>
    </row>
    <row r="3941" spans="1:9" x14ac:dyDescent="0.25">
      <c r="A3941" t="str">
        <f t="shared" si="102"/>
        <v>89301000</v>
      </c>
      <c r="B3941" t="str">
        <f>"420412430"</f>
        <v>420412430</v>
      </c>
      <c r="C3941" s="1">
        <v>45084</v>
      </c>
      <c r="D3941" s="1">
        <v>45091</v>
      </c>
      <c r="E3941">
        <v>4</v>
      </c>
      <c r="F3941" t="str">
        <f>"08-I05-06"</f>
        <v>08-I05-06</v>
      </c>
      <c r="G3941">
        <v>2.0308000000000002</v>
      </c>
      <c r="H3941" t="s">
        <v>12</v>
      </c>
      <c r="I3941" t="s">
        <v>10</v>
      </c>
    </row>
    <row r="3942" spans="1:9" x14ac:dyDescent="0.25">
      <c r="A3942" t="str">
        <f t="shared" si="102"/>
        <v>89301000</v>
      </c>
      <c r="B3942" t="str">
        <f>"420414420"</f>
        <v>420414420</v>
      </c>
      <c r="C3942" s="1">
        <v>45060</v>
      </c>
      <c r="D3942" s="1">
        <v>45068</v>
      </c>
      <c r="E3942">
        <v>4</v>
      </c>
      <c r="F3942" t="str">
        <f>"08-I15-02"</f>
        <v>08-I15-02</v>
      </c>
      <c r="G3942">
        <v>1.5535000000000001</v>
      </c>
      <c r="H3942" t="s">
        <v>12</v>
      </c>
      <c r="I3942" t="s">
        <v>10</v>
      </c>
    </row>
    <row r="3943" spans="1:9" x14ac:dyDescent="0.25">
      <c r="A3943" t="str">
        <f t="shared" si="102"/>
        <v>89301000</v>
      </c>
      <c r="B3943" t="str">
        <f>"420414420"</f>
        <v>420414420</v>
      </c>
      <c r="C3943" s="1">
        <v>44999</v>
      </c>
      <c r="D3943" s="1">
        <v>45005</v>
      </c>
      <c r="E3943">
        <v>1</v>
      </c>
      <c r="F3943" t="str">
        <f>"11-I08-03"</f>
        <v>11-I08-03</v>
      </c>
      <c r="G3943">
        <v>2.0529999999999999</v>
      </c>
      <c r="H3943" t="s">
        <v>9</v>
      </c>
      <c r="I3943" t="s">
        <v>10</v>
      </c>
    </row>
    <row r="3944" spans="1:9" x14ac:dyDescent="0.25">
      <c r="A3944" t="str">
        <f t="shared" si="102"/>
        <v>89301000</v>
      </c>
      <c r="B3944" t="str">
        <f>"420414420"</f>
        <v>420414420</v>
      </c>
      <c r="C3944" s="1">
        <v>44922</v>
      </c>
      <c r="D3944" s="1">
        <v>44929</v>
      </c>
      <c r="E3944">
        <v>1</v>
      </c>
      <c r="F3944" t="str">
        <f>"11-M04-03"</f>
        <v>11-M04-03</v>
      </c>
      <c r="G3944">
        <v>0.95069999999999999</v>
      </c>
      <c r="H3944" t="s">
        <v>11</v>
      </c>
      <c r="I3944" t="s">
        <v>10</v>
      </c>
    </row>
    <row r="3945" spans="1:9" x14ac:dyDescent="0.25">
      <c r="A3945" t="str">
        <f t="shared" si="102"/>
        <v>89301000</v>
      </c>
      <c r="B3945" t="str">
        <f>"420418160"</f>
        <v>420418160</v>
      </c>
      <c r="C3945" s="1">
        <v>45130</v>
      </c>
      <c r="D3945" s="1">
        <v>45139</v>
      </c>
      <c r="E3945">
        <v>1</v>
      </c>
      <c r="F3945" t="str">
        <f>"06-I07-05"</f>
        <v>06-I07-05</v>
      </c>
      <c r="G3945">
        <v>2.7919999999999998</v>
      </c>
      <c r="H3945" t="s">
        <v>12</v>
      </c>
      <c r="I3945" t="s">
        <v>10</v>
      </c>
    </row>
    <row r="3946" spans="1:9" x14ac:dyDescent="0.25">
      <c r="A3946" t="str">
        <f t="shared" si="102"/>
        <v>89301000</v>
      </c>
      <c r="B3946" t="str">
        <f>"420418443"</f>
        <v>420418443</v>
      </c>
      <c r="C3946" s="1">
        <v>45069</v>
      </c>
      <c r="D3946" s="1">
        <v>45078</v>
      </c>
      <c r="E3946">
        <v>1</v>
      </c>
      <c r="F3946" t="str">
        <f>"04-K06-03"</f>
        <v>04-K06-03</v>
      </c>
      <c r="G3946">
        <v>0.62519999999999998</v>
      </c>
      <c r="H3946" t="s">
        <v>11</v>
      </c>
      <c r="I3946" t="s">
        <v>10</v>
      </c>
    </row>
    <row r="3947" spans="1:9" x14ac:dyDescent="0.25">
      <c r="A3947" t="str">
        <f t="shared" si="102"/>
        <v>89301000</v>
      </c>
      <c r="B3947" t="str">
        <f>"420418443"</f>
        <v>420418443</v>
      </c>
      <c r="C3947" s="1">
        <v>45229</v>
      </c>
      <c r="D3947" s="1">
        <v>45238</v>
      </c>
      <c r="E3947">
        <v>4</v>
      </c>
      <c r="F3947" t="str">
        <f>"04-K06-03"</f>
        <v>04-K06-03</v>
      </c>
      <c r="G3947">
        <v>0.62519999999999998</v>
      </c>
      <c r="H3947" t="s">
        <v>11</v>
      </c>
      <c r="I3947" t="s">
        <v>10</v>
      </c>
    </row>
    <row r="3948" spans="1:9" x14ac:dyDescent="0.25">
      <c r="A3948" t="str">
        <f t="shared" si="102"/>
        <v>89301000</v>
      </c>
      <c r="B3948" t="str">
        <f>"420418443"</f>
        <v>420418443</v>
      </c>
      <c r="C3948" s="1">
        <v>45016</v>
      </c>
      <c r="D3948" s="1">
        <v>45021</v>
      </c>
      <c r="E3948">
        <v>1</v>
      </c>
      <c r="F3948" t="str">
        <f>"04-K04-01"</f>
        <v>04-K04-01</v>
      </c>
      <c r="G3948">
        <v>1.022</v>
      </c>
      <c r="H3948" t="s">
        <v>11</v>
      </c>
      <c r="I3948" t="s">
        <v>10</v>
      </c>
    </row>
    <row r="3949" spans="1:9" x14ac:dyDescent="0.25">
      <c r="A3949" t="str">
        <f t="shared" si="102"/>
        <v>89301000</v>
      </c>
      <c r="B3949" t="str">
        <f>"420423416"</f>
        <v>420423416</v>
      </c>
      <c r="C3949" s="1">
        <v>45013</v>
      </c>
      <c r="D3949" s="1">
        <v>45050</v>
      </c>
      <c r="E3949">
        <v>4</v>
      </c>
      <c r="F3949" t="str">
        <f>"04-K05-03"</f>
        <v>04-K05-03</v>
      </c>
      <c r="G3949">
        <v>2.3771</v>
      </c>
      <c r="H3949" t="s">
        <v>11</v>
      </c>
      <c r="I3949" t="s">
        <v>10</v>
      </c>
    </row>
    <row r="3950" spans="1:9" x14ac:dyDescent="0.25">
      <c r="A3950" t="str">
        <f t="shared" si="102"/>
        <v>89301000</v>
      </c>
      <c r="B3950" t="str">
        <f>"420423416"</f>
        <v>420423416</v>
      </c>
      <c r="C3950" s="1">
        <v>44963</v>
      </c>
      <c r="D3950" s="1">
        <v>44967</v>
      </c>
      <c r="E3950">
        <v>1</v>
      </c>
      <c r="F3950" t="str">
        <f>"11-M06-02"</f>
        <v>11-M06-02</v>
      </c>
      <c r="G3950">
        <v>0.86240000000000006</v>
      </c>
      <c r="H3950" t="s">
        <v>12</v>
      </c>
      <c r="I3950" t="s">
        <v>10</v>
      </c>
    </row>
    <row r="3951" spans="1:9" x14ac:dyDescent="0.25">
      <c r="A3951" t="str">
        <f t="shared" si="102"/>
        <v>89301000</v>
      </c>
      <c r="B3951" t="str">
        <f>"420516733"</f>
        <v>420516733</v>
      </c>
      <c r="C3951" s="1">
        <v>45033</v>
      </c>
      <c r="D3951" s="1">
        <v>45050</v>
      </c>
      <c r="E3951">
        <v>1</v>
      </c>
      <c r="F3951" t="str">
        <f>"06-I07-05"</f>
        <v>06-I07-05</v>
      </c>
      <c r="G3951">
        <v>2.7919999999999998</v>
      </c>
      <c r="H3951" t="s">
        <v>12</v>
      </c>
      <c r="I3951" t="s">
        <v>10</v>
      </c>
    </row>
    <row r="3952" spans="1:9" x14ac:dyDescent="0.25">
      <c r="A3952" t="str">
        <f t="shared" si="102"/>
        <v>89301000</v>
      </c>
      <c r="B3952" t="str">
        <f>"420516733"</f>
        <v>420516733</v>
      </c>
      <c r="C3952" s="1">
        <v>44972</v>
      </c>
      <c r="D3952" s="1">
        <v>44973</v>
      </c>
      <c r="E3952">
        <v>1</v>
      </c>
      <c r="F3952" t="str">
        <f>"16-K02-03"</f>
        <v>16-K02-03</v>
      </c>
      <c r="G3952">
        <v>0.58299999999999996</v>
      </c>
      <c r="H3952" t="s">
        <v>11</v>
      </c>
      <c r="I3952" t="s">
        <v>10</v>
      </c>
    </row>
    <row r="3953" spans="1:9" x14ac:dyDescent="0.25">
      <c r="A3953" t="str">
        <f t="shared" si="102"/>
        <v>89301000</v>
      </c>
      <c r="B3953" t="str">
        <f>"420516733"</f>
        <v>420516733</v>
      </c>
      <c r="C3953" s="1">
        <v>45154</v>
      </c>
      <c r="D3953" s="1">
        <v>45168</v>
      </c>
      <c r="E3953">
        <v>2</v>
      </c>
      <c r="F3953" t="str">
        <f>"04-K05-02"</f>
        <v>04-K05-02</v>
      </c>
      <c r="G3953">
        <v>1.4463999999999999</v>
      </c>
      <c r="H3953" t="s">
        <v>11</v>
      </c>
      <c r="I3953" t="s">
        <v>10</v>
      </c>
    </row>
    <row r="3954" spans="1:9" x14ac:dyDescent="0.25">
      <c r="A3954" t="str">
        <f t="shared" si="102"/>
        <v>89301000</v>
      </c>
      <c r="B3954" t="str">
        <f>"420604436"</f>
        <v>420604436</v>
      </c>
      <c r="C3954" s="1">
        <v>45075</v>
      </c>
      <c r="D3954" s="1">
        <v>45083</v>
      </c>
      <c r="E3954">
        <v>1</v>
      </c>
      <c r="F3954" t="str">
        <f>"01-K04-02"</f>
        <v>01-K04-02</v>
      </c>
      <c r="G3954">
        <v>0.79990000000000006</v>
      </c>
      <c r="H3954" t="s">
        <v>11</v>
      </c>
      <c r="I3954" t="s">
        <v>10</v>
      </c>
    </row>
    <row r="3955" spans="1:9" x14ac:dyDescent="0.25">
      <c r="A3955" t="str">
        <f t="shared" si="102"/>
        <v>89301000</v>
      </c>
      <c r="B3955" t="str">
        <f>"420607701"</f>
        <v>420607701</v>
      </c>
      <c r="C3955" s="1">
        <v>45161</v>
      </c>
      <c r="D3955" s="1">
        <v>45170</v>
      </c>
      <c r="E3955">
        <v>1</v>
      </c>
      <c r="F3955" t="str">
        <f>"03-I22-01"</f>
        <v>03-I22-01</v>
      </c>
      <c r="G3955">
        <v>0.74039999999999995</v>
      </c>
      <c r="H3955" t="s">
        <v>11</v>
      </c>
      <c r="I3955" t="s">
        <v>10</v>
      </c>
    </row>
    <row r="3956" spans="1:9" x14ac:dyDescent="0.25">
      <c r="A3956" t="str">
        <f t="shared" si="102"/>
        <v>89301000</v>
      </c>
      <c r="B3956" t="str">
        <f>"420607701"</f>
        <v>420607701</v>
      </c>
      <c r="C3956" s="1">
        <v>44979</v>
      </c>
      <c r="D3956" s="1">
        <v>44980</v>
      </c>
      <c r="E3956">
        <v>1</v>
      </c>
      <c r="F3956" t="str">
        <f>"04-K15-03"</f>
        <v>04-K15-03</v>
      </c>
      <c r="G3956">
        <v>0.49790000000000001</v>
      </c>
      <c r="H3956" t="s">
        <v>11</v>
      </c>
      <c r="I3956" t="s">
        <v>10</v>
      </c>
    </row>
    <row r="3957" spans="1:9" x14ac:dyDescent="0.25">
      <c r="A3957" t="str">
        <f t="shared" si="102"/>
        <v>89301000</v>
      </c>
      <c r="B3957" t="str">
        <f>"420607701"</f>
        <v>420607701</v>
      </c>
      <c r="C3957" s="1">
        <v>45202</v>
      </c>
      <c r="D3957" s="1">
        <v>45217</v>
      </c>
      <c r="E3957">
        <v>1</v>
      </c>
      <c r="F3957" t="str">
        <f>"03-R01-06"</f>
        <v>03-R01-06</v>
      </c>
      <c r="G3957">
        <v>1.8748</v>
      </c>
      <c r="H3957" t="s">
        <v>11</v>
      </c>
      <c r="I3957" t="s">
        <v>10</v>
      </c>
    </row>
    <row r="3958" spans="1:9" x14ac:dyDescent="0.25">
      <c r="A3958" t="str">
        <f t="shared" si="102"/>
        <v>89301000</v>
      </c>
      <c r="B3958" t="str">
        <f>"420613453"</f>
        <v>420613453</v>
      </c>
      <c r="C3958" s="1">
        <v>44987</v>
      </c>
      <c r="D3958" s="1">
        <v>44991</v>
      </c>
      <c r="E3958">
        <v>1</v>
      </c>
      <c r="F3958" t="str">
        <f>"04-K09-02"</f>
        <v>04-K09-02</v>
      </c>
      <c r="G3958">
        <v>1.155</v>
      </c>
      <c r="H3958" t="s">
        <v>11</v>
      </c>
      <c r="I3958" t="s">
        <v>10</v>
      </c>
    </row>
    <row r="3959" spans="1:9" x14ac:dyDescent="0.25">
      <c r="A3959" t="str">
        <f t="shared" si="102"/>
        <v>89301000</v>
      </c>
      <c r="B3959" t="str">
        <f>"420613453"</f>
        <v>420613453</v>
      </c>
      <c r="C3959" s="1">
        <v>44956</v>
      </c>
      <c r="D3959" s="1">
        <v>44957</v>
      </c>
      <c r="E3959">
        <v>1</v>
      </c>
      <c r="F3959" t="str">
        <f>"04-C02-01"</f>
        <v>04-C02-01</v>
      </c>
      <c r="G3959">
        <v>0.26029999999999998</v>
      </c>
      <c r="H3959" t="s">
        <v>11</v>
      </c>
      <c r="I3959" t="s">
        <v>10</v>
      </c>
    </row>
    <row r="3960" spans="1:9" x14ac:dyDescent="0.25">
      <c r="A3960" t="str">
        <f t="shared" si="102"/>
        <v>89301000</v>
      </c>
      <c r="B3960" t="str">
        <f>"420615447"</f>
        <v>420615447</v>
      </c>
      <c r="C3960" s="1">
        <v>44951</v>
      </c>
      <c r="D3960" s="1">
        <v>44953</v>
      </c>
      <c r="E3960">
        <v>1</v>
      </c>
      <c r="F3960" t="str">
        <f>"05-I25-04"</f>
        <v>05-I25-04</v>
      </c>
      <c r="G3960">
        <v>8.2515000000000001</v>
      </c>
      <c r="H3960" t="s">
        <v>12</v>
      </c>
      <c r="I3960" t="s">
        <v>10</v>
      </c>
    </row>
    <row r="3961" spans="1:9" x14ac:dyDescent="0.25">
      <c r="A3961" t="str">
        <f t="shared" si="102"/>
        <v>89301000</v>
      </c>
      <c r="B3961" t="str">
        <f>"420619401"</f>
        <v>420619401</v>
      </c>
      <c r="C3961" s="1">
        <v>44959</v>
      </c>
      <c r="D3961" s="1">
        <v>44961</v>
      </c>
      <c r="E3961">
        <v>7</v>
      </c>
      <c r="F3961" t="str">
        <f>"05-M06-06"</f>
        <v>05-M06-06</v>
      </c>
      <c r="G3961">
        <v>1.8264</v>
      </c>
      <c r="H3961" t="s">
        <v>12</v>
      </c>
      <c r="I3961" t="s">
        <v>10</v>
      </c>
    </row>
    <row r="3962" spans="1:9" x14ac:dyDescent="0.25">
      <c r="A3962" t="str">
        <f t="shared" si="102"/>
        <v>89301000</v>
      </c>
      <c r="B3962" t="str">
        <f>"420711458"</f>
        <v>420711458</v>
      </c>
      <c r="C3962" s="1">
        <v>45233</v>
      </c>
      <c r="D3962" s="1">
        <v>45233</v>
      </c>
      <c r="E3962">
        <v>1</v>
      </c>
      <c r="F3962" t="str">
        <f>"05-D01-08"</f>
        <v>05-D01-08</v>
      </c>
      <c r="G3962">
        <v>0.2303</v>
      </c>
      <c r="H3962" t="s">
        <v>11</v>
      </c>
      <c r="I3962" t="s">
        <v>10</v>
      </c>
    </row>
    <row r="3963" spans="1:9" x14ac:dyDescent="0.25">
      <c r="A3963" t="str">
        <f t="shared" si="102"/>
        <v>89301000</v>
      </c>
      <c r="B3963" t="str">
        <f>"420725451"</f>
        <v>420725451</v>
      </c>
      <c r="C3963" s="1">
        <v>45091</v>
      </c>
      <c r="D3963" s="1">
        <v>45096</v>
      </c>
      <c r="E3963">
        <v>1</v>
      </c>
      <c r="F3963" t="str">
        <f>"01-C02-02"</f>
        <v>01-C02-02</v>
      </c>
      <c r="G3963">
        <v>1.6685000000000001</v>
      </c>
      <c r="H3963" t="s">
        <v>11</v>
      </c>
      <c r="I3963" t="s">
        <v>10</v>
      </c>
    </row>
    <row r="3964" spans="1:9" x14ac:dyDescent="0.25">
      <c r="A3964" t="str">
        <f t="shared" si="102"/>
        <v>89301000</v>
      </c>
      <c r="B3964" t="str">
        <f>"420804470"</f>
        <v>420804470</v>
      </c>
      <c r="C3964" s="1">
        <v>45229</v>
      </c>
      <c r="D3964" s="1">
        <v>45230</v>
      </c>
      <c r="E3964">
        <v>1</v>
      </c>
      <c r="F3964" t="str">
        <f>"05-M05-03"</f>
        <v>05-M05-03</v>
      </c>
      <c r="G3964">
        <v>0.70599999999999996</v>
      </c>
      <c r="H3964" t="s">
        <v>14</v>
      </c>
      <c r="I3964" t="s">
        <v>10</v>
      </c>
    </row>
    <row r="3965" spans="1:9" x14ac:dyDescent="0.25">
      <c r="A3965" t="str">
        <f t="shared" si="102"/>
        <v>89301000</v>
      </c>
      <c r="B3965" t="str">
        <f>"420805430"</f>
        <v>420805430</v>
      </c>
      <c r="C3965" s="1">
        <v>44973</v>
      </c>
      <c r="D3965" s="1">
        <v>44988</v>
      </c>
      <c r="E3965">
        <v>1</v>
      </c>
      <c r="F3965" t="str">
        <f>"11-M03-02"</f>
        <v>11-M03-02</v>
      </c>
      <c r="G3965">
        <v>1.7438</v>
      </c>
      <c r="H3965" t="s">
        <v>12</v>
      </c>
      <c r="I3965" t="s">
        <v>10</v>
      </c>
    </row>
    <row r="3966" spans="1:9" x14ac:dyDescent="0.25">
      <c r="A3966" t="str">
        <f t="shared" si="102"/>
        <v>89301000</v>
      </c>
      <c r="B3966" t="str">
        <f>"420808009"</f>
        <v>420808009</v>
      </c>
      <c r="C3966" s="1">
        <v>45188</v>
      </c>
      <c r="D3966" s="1">
        <v>45191</v>
      </c>
      <c r="E3966">
        <v>1</v>
      </c>
      <c r="F3966" t="str">
        <f>"05-M07-06"</f>
        <v>05-M07-06</v>
      </c>
      <c r="G3966">
        <v>1.2264999999999999</v>
      </c>
      <c r="H3966" t="s">
        <v>12</v>
      </c>
      <c r="I3966" t="s">
        <v>10</v>
      </c>
    </row>
    <row r="3967" spans="1:9" x14ac:dyDescent="0.25">
      <c r="A3967" t="str">
        <f t="shared" si="102"/>
        <v>89301000</v>
      </c>
      <c r="B3967" t="str">
        <f>"420808009"</f>
        <v>420808009</v>
      </c>
      <c r="C3967" s="1">
        <v>45097</v>
      </c>
      <c r="D3967" s="1">
        <v>45100</v>
      </c>
      <c r="E3967">
        <v>1</v>
      </c>
      <c r="F3967" t="str">
        <f>"05-M07-06"</f>
        <v>05-M07-06</v>
      </c>
      <c r="G3967">
        <v>1.2264999999999999</v>
      </c>
      <c r="H3967" t="s">
        <v>12</v>
      </c>
      <c r="I3967" t="s">
        <v>10</v>
      </c>
    </row>
    <row r="3968" spans="1:9" x14ac:dyDescent="0.25">
      <c r="A3968" t="str">
        <f t="shared" si="102"/>
        <v>89301000</v>
      </c>
      <c r="B3968" t="str">
        <f>"420808009"</f>
        <v>420808009</v>
      </c>
      <c r="C3968" s="1">
        <v>45089</v>
      </c>
      <c r="D3968" s="1">
        <v>45090</v>
      </c>
      <c r="E3968">
        <v>1</v>
      </c>
      <c r="F3968" t="str">
        <f>"02-I06-04"</f>
        <v>02-I06-04</v>
      </c>
      <c r="G3968">
        <v>0.76139999999999997</v>
      </c>
      <c r="H3968" t="s">
        <v>12</v>
      </c>
      <c r="I3968" t="s">
        <v>10</v>
      </c>
    </row>
    <row r="3969" spans="1:9" x14ac:dyDescent="0.25">
      <c r="A3969" t="str">
        <f t="shared" si="102"/>
        <v>89301000</v>
      </c>
      <c r="B3969" t="str">
        <f>"420809094"</f>
        <v>420809094</v>
      </c>
      <c r="C3969" s="1">
        <v>45286</v>
      </c>
      <c r="D3969" s="1">
        <v>45289</v>
      </c>
      <c r="E3969">
        <v>4</v>
      </c>
      <c r="F3969" t="str">
        <f>"05-M04-04"</f>
        <v>05-M04-04</v>
      </c>
      <c r="G3969">
        <v>2.3492000000000002</v>
      </c>
      <c r="H3969" t="s">
        <v>12</v>
      </c>
      <c r="I3969" t="s">
        <v>10</v>
      </c>
    </row>
    <row r="3970" spans="1:9" x14ac:dyDescent="0.25">
      <c r="A3970" t="str">
        <f t="shared" si="102"/>
        <v>89301000</v>
      </c>
      <c r="B3970" t="str">
        <f>"420818405"</f>
        <v>420818405</v>
      </c>
      <c r="C3970" s="1">
        <v>44928</v>
      </c>
      <c r="D3970" s="1">
        <v>44928</v>
      </c>
      <c r="E3970">
        <v>8</v>
      </c>
      <c r="F3970" t="str">
        <f>"01-K11-02"</f>
        <v>01-K11-02</v>
      </c>
      <c r="G3970">
        <v>0.56710000000000005</v>
      </c>
      <c r="H3970" t="s">
        <v>11</v>
      </c>
      <c r="I3970" t="s">
        <v>10</v>
      </c>
    </row>
    <row r="3971" spans="1:9" x14ac:dyDescent="0.25">
      <c r="A3971" t="str">
        <f t="shared" si="102"/>
        <v>89301000</v>
      </c>
      <c r="B3971" t="str">
        <f>"420819470"</f>
        <v>420819470</v>
      </c>
      <c r="C3971" s="1">
        <v>45183</v>
      </c>
      <c r="D3971" s="1">
        <v>45191</v>
      </c>
      <c r="E3971">
        <v>1</v>
      </c>
      <c r="F3971" t="str">
        <f>"05-M07-06"</f>
        <v>05-M07-06</v>
      </c>
      <c r="G3971">
        <v>1.5867</v>
      </c>
      <c r="H3971" t="s">
        <v>12</v>
      </c>
      <c r="I3971" t="s">
        <v>10</v>
      </c>
    </row>
    <row r="3972" spans="1:9" x14ac:dyDescent="0.25">
      <c r="A3972" t="str">
        <f t="shared" si="102"/>
        <v>89301000</v>
      </c>
      <c r="B3972" t="str">
        <f>"420819470"</f>
        <v>420819470</v>
      </c>
      <c r="C3972" s="1">
        <v>45062</v>
      </c>
      <c r="D3972" s="1">
        <v>45063</v>
      </c>
      <c r="E3972">
        <v>1</v>
      </c>
      <c r="F3972" t="str">
        <f>"05-D01-08"</f>
        <v>05-D01-08</v>
      </c>
      <c r="G3972">
        <v>0.43159999999999998</v>
      </c>
      <c r="H3972" t="s">
        <v>11</v>
      </c>
      <c r="I3972" t="s">
        <v>10</v>
      </c>
    </row>
    <row r="3973" spans="1:9" x14ac:dyDescent="0.25">
      <c r="A3973" t="str">
        <f t="shared" si="102"/>
        <v>89301000</v>
      </c>
      <c r="B3973" t="str">
        <f>"420907423"</f>
        <v>420907423</v>
      </c>
      <c r="C3973" s="1">
        <v>45168</v>
      </c>
      <c r="D3973" s="1">
        <v>45169</v>
      </c>
      <c r="E3973">
        <v>1</v>
      </c>
      <c r="F3973" t="str">
        <f>"05-I14-03"</f>
        <v>05-I14-03</v>
      </c>
      <c r="G3973">
        <v>6.0362</v>
      </c>
      <c r="H3973" t="s">
        <v>12</v>
      </c>
      <c r="I3973" t="s">
        <v>10</v>
      </c>
    </row>
    <row r="3974" spans="1:9" x14ac:dyDescent="0.25">
      <c r="A3974" t="str">
        <f t="shared" si="102"/>
        <v>89301000</v>
      </c>
      <c r="B3974" t="str">
        <f>"420909414"</f>
        <v>420909414</v>
      </c>
      <c r="C3974" s="1">
        <v>45033</v>
      </c>
      <c r="D3974" s="1">
        <v>45055</v>
      </c>
      <c r="E3974">
        <v>1</v>
      </c>
      <c r="F3974" t="str">
        <f>"05-D01-06"</f>
        <v>05-D01-06</v>
      </c>
      <c r="G3974">
        <v>2.3473999999999999</v>
      </c>
      <c r="H3974" t="s">
        <v>11</v>
      </c>
      <c r="I3974" t="s">
        <v>10</v>
      </c>
    </row>
    <row r="3975" spans="1:9" x14ac:dyDescent="0.25">
      <c r="A3975" t="str">
        <f t="shared" si="102"/>
        <v>89301000</v>
      </c>
      <c r="B3975" t="str">
        <f>"420929416"</f>
        <v>420929416</v>
      </c>
      <c r="C3975" s="1">
        <v>44996</v>
      </c>
      <c r="D3975" s="1">
        <v>45015</v>
      </c>
      <c r="E3975">
        <v>5</v>
      </c>
      <c r="F3975" t="str">
        <f>"01-K10-03"</f>
        <v>01-K10-03</v>
      </c>
      <c r="G3975">
        <v>1.4464999999999999</v>
      </c>
      <c r="H3975" t="s">
        <v>11</v>
      </c>
      <c r="I3975" t="s">
        <v>10</v>
      </c>
    </row>
    <row r="3976" spans="1:9" x14ac:dyDescent="0.25">
      <c r="A3976" t="str">
        <f t="shared" si="102"/>
        <v>89301000</v>
      </c>
      <c r="B3976" t="str">
        <f>"421014450"</f>
        <v>421014450</v>
      </c>
      <c r="C3976" s="1">
        <v>45205</v>
      </c>
      <c r="D3976" s="1">
        <v>45211</v>
      </c>
      <c r="E3976">
        <v>1</v>
      </c>
      <c r="F3976" t="str">
        <f>"07-M02-04"</f>
        <v>07-M02-04</v>
      </c>
      <c r="G3976">
        <v>0.77339999999999998</v>
      </c>
      <c r="H3976" t="s">
        <v>12</v>
      </c>
      <c r="I3976" t="s">
        <v>10</v>
      </c>
    </row>
    <row r="3977" spans="1:9" x14ac:dyDescent="0.25">
      <c r="A3977" t="str">
        <f t="shared" si="102"/>
        <v>89301000</v>
      </c>
      <c r="B3977" t="str">
        <f>"421027437"</f>
        <v>421027437</v>
      </c>
      <c r="C3977" s="1">
        <v>45171</v>
      </c>
      <c r="D3977" s="1">
        <v>45174</v>
      </c>
      <c r="E3977">
        <v>5</v>
      </c>
      <c r="F3977" t="str">
        <f>"05-M04-01"</f>
        <v>05-M04-01</v>
      </c>
      <c r="G3977">
        <v>5.4722999999999997</v>
      </c>
      <c r="H3977" t="s">
        <v>12</v>
      </c>
      <c r="I3977" t="s">
        <v>10</v>
      </c>
    </row>
    <row r="3978" spans="1:9" x14ac:dyDescent="0.25">
      <c r="A3978" t="str">
        <f t="shared" si="102"/>
        <v>89301000</v>
      </c>
      <c r="B3978" t="str">
        <f>"421101471"</f>
        <v>421101471</v>
      </c>
      <c r="C3978" s="1">
        <v>45149</v>
      </c>
      <c r="D3978" s="1">
        <v>45152</v>
      </c>
      <c r="E3978">
        <v>1</v>
      </c>
      <c r="F3978" t="str">
        <f>"05-M06-06"</f>
        <v>05-M06-06</v>
      </c>
      <c r="G3978">
        <v>1.8264</v>
      </c>
      <c r="H3978" t="s">
        <v>12</v>
      </c>
      <c r="I3978" t="s">
        <v>10</v>
      </c>
    </row>
    <row r="3979" spans="1:9" x14ac:dyDescent="0.25">
      <c r="A3979" t="str">
        <f t="shared" si="102"/>
        <v>89301000</v>
      </c>
      <c r="B3979" t="str">
        <f>"421104424"</f>
        <v>421104424</v>
      </c>
      <c r="C3979" s="1">
        <v>45142</v>
      </c>
      <c r="D3979" s="1">
        <v>45147</v>
      </c>
      <c r="E3979">
        <v>1</v>
      </c>
      <c r="F3979" t="str">
        <f>"01-I08-04"</f>
        <v>01-I08-04</v>
      </c>
      <c r="G3979">
        <v>1.4927999999999999</v>
      </c>
      <c r="H3979" t="s">
        <v>14</v>
      </c>
      <c r="I3979" t="s">
        <v>10</v>
      </c>
    </row>
    <row r="3980" spans="1:9" x14ac:dyDescent="0.25">
      <c r="A3980" t="str">
        <f t="shared" si="102"/>
        <v>89301000</v>
      </c>
      <c r="B3980" t="str">
        <f>"421123440"</f>
        <v>421123440</v>
      </c>
      <c r="C3980" s="1">
        <v>44928</v>
      </c>
      <c r="D3980" s="1">
        <v>44939</v>
      </c>
      <c r="E3980">
        <v>1</v>
      </c>
      <c r="F3980" t="str">
        <f>"24-M06-02"</f>
        <v>24-M06-02</v>
      </c>
      <c r="G3980">
        <v>1.0699000000000001</v>
      </c>
      <c r="H3980" t="s">
        <v>11</v>
      </c>
      <c r="I3980" t="s">
        <v>10</v>
      </c>
    </row>
    <row r="3981" spans="1:9" x14ac:dyDescent="0.25">
      <c r="A3981" t="str">
        <f t="shared" si="102"/>
        <v>89301000</v>
      </c>
      <c r="B3981" t="str">
        <f>"421128003"</f>
        <v>421128003</v>
      </c>
      <c r="C3981" s="1">
        <v>45131</v>
      </c>
      <c r="D3981" s="1">
        <v>45132</v>
      </c>
      <c r="E3981">
        <v>1</v>
      </c>
      <c r="F3981" t="str">
        <f>"03-K06-01"</f>
        <v>03-K06-01</v>
      </c>
      <c r="G3981">
        <v>0.4713</v>
      </c>
      <c r="H3981" t="s">
        <v>11</v>
      </c>
      <c r="I3981" t="s">
        <v>10</v>
      </c>
    </row>
    <row r="3982" spans="1:9" x14ac:dyDescent="0.25">
      <c r="A3982" t="str">
        <f t="shared" si="102"/>
        <v>89301000</v>
      </c>
      <c r="B3982" t="str">
        <f>"421130426"</f>
        <v>421130426</v>
      </c>
      <c r="C3982" s="1">
        <v>45037</v>
      </c>
      <c r="D3982" s="1">
        <v>45058</v>
      </c>
      <c r="E3982">
        <v>7</v>
      </c>
      <c r="F3982" t="str">
        <f>"11-M03-01"</f>
        <v>11-M03-01</v>
      </c>
      <c r="G3982">
        <v>3.3016999999999999</v>
      </c>
      <c r="H3982" t="s">
        <v>12</v>
      </c>
      <c r="I3982" t="s">
        <v>10</v>
      </c>
    </row>
    <row r="3983" spans="1:9" x14ac:dyDescent="0.25">
      <c r="A3983" t="str">
        <f t="shared" si="102"/>
        <v>89301000</v>
      </c>
      <c r="B3983" t="str">
        <f>"421130426"</f>
        <v>421130426</v>
      </c>
      <c r="C3983" s="1">
        <v>44997</v>
      </c>
      <c r="D3983" s="1">
        <v>45006</v>
      </c>
      <c r="E3983">
        <v>1</v>
      </c>
      <c r="F3983" t="str">
        <f>"11-M04-03"</f>
        <v>11-M04-03</v>
      </c>
      <c r="G3983">
        <v>0.95069999999999999</v>
      </c>
      <c r="H3983" t="s">
        <v>11</v>
      </c>
      <c r="I3983" t="s">
        <v>10</v>
      </c>
    </row>
    <row r="3984" spans="1:9" x14ac:dyDescent="0.25">
      <c r="A3984" t="str">
        <f t="shared" si="102"/>
        <v>89301000</v>
      </c>
      <c r="B3984" t="str">
        <f>"421219115"</f>
        <v>421219115</v>
      </c>
      <c r="C3984" s="1">
        <v>44937</v>
      </c>
      <c r="D3984" s="1">
        <v>44951</v>
      </c>
      <c r="E3984">
        <v>4</v>
      </c>
      <c r="F3984" t="str">
        <f>"07-I06-02"</f>
        <v>07-I06-02</v>
      </c>
      <c r="G3984">
        <v>2.7158000000000002</v>
      </c>
      <c r="H3984" t="s">
        <v>12</v>
      </c>
      <c r="I3984" t="s">
        <v>10</v>
      </c>
    </row>
    <row r="3985" spans="1:9" x14ac:dyDescent="0.25">
      <c r="A3985" t="str">
        <f t="shared" si="102"/>
        <v>89301000</v>
      </c>
      <c r="B3985" t="str">
        <f>"421229422"</f>
        <v>421229422</v>
      </c>
      <c r="C3985" s="1">
        <v>45139</v>
      </c>
      <c r="D3985" s="1">
        <v>45140</v>
      </c>
      <c r="E3985">
        <v>1</v>
      </c>
      <c r="F3985" t="str">
        <f>"05-D01-08"</f>
        <v>05-D01-08</v>
      </c>
      <c r="G3985">
        <v>0.43159999999999998</v>
      </c>
      <c r="H3985" t="s">
        <v>11</v>
      </c>
      <c r="I3985" t="s">
        <v>10</v>
      </c>
    </row>
    <row r="3986" spans="1:9" x14ac:dyDescent="0.25">
      <c r="A3986" t="str">
        <f t="shared" si="102"/>
        <v>89301000</v>
      </c>
      <c r="B3986" t="str">
        <f>"421229422"</f>
        <v>421229422</v>
      </c>
      <c r="C3986" s="1">
        <v>45152</v>
      </c>
      <c r="D3986" s="1">
        <v>45154</v>
      </c>
      <c r="E3986">
        <v>1</v>
      </c>
      <c r="F3986" t="str">
        <f>"05-I14-04"</f>
        <v>05-I14-04</v>
      </c>
      <c r="G3986">
        <v>5.2220000000000004</v>
      </c>
      <c r="H3986" t="s">
        <v>12</v>
      </c>
      <c r="I3986" t="s">
        <v>10</v>
      </c>
    </row>
    <row r="3987" spans="1:9" x14ac:dyDescent="0.25">
      <c r="A3987" t="str">
        <f t="shared" si="102"/>
        <v>89301000</v>
      </c>
      <c r="B3987" t="str">
        <f>"421229422"</f>
        <v>421229422</v>
      </c>
      <c r="C3987" s="1">
        <v>45265</v>
      </c>
      <c r="D3987" s="1">
        <v>45268</v>
      </c>
      <c r="E3987">
        <v>1</v>
      </c>
      <c r="F3987" t="str">
        <f>"05-K04-02"</f>
        <v>05-K04-02</v>
      </c>
      <c r="G3987">
        <v>0.3947</v>
      </c>
      <c r="H3987" t="s">
        <v>11</v>
      </c>
      <c r="I3987" t="s">
        <v>10</v>
      </c>
    </row>
    <row r="3988" spans="1:9" x14ac:dyDescent="0.25">
      <c r="A3988" t="str">
        <f t="shared" si="102"/>
        <v>89301000</v>
      </c>
      <c r="B3988" t="str">
        <f>"421229422"</f>
        <v>421229422</v>
      </c>
      <c r="C3988" s="1">
        <v>45287</v>
      </c>
      <c r="D3988" s="1">
        <v>45289</v>
      </c>
      <c r="E3988">
        <v>1</v>
      </c>
      <c r="F3988" t="str">
        <f>"05-I14-03"</f>
        <v>05-I14-03</v>
      </c>
      <c r="G3988">
        <v>6.0362</v>
      </c>
      <c r="H3988" t="s">
        <v>12</v>
      </c>
      <c r="I3988" t="s">
        <v>10</v>
      </c>
    </row>
    <row r="3989" spans="1:9" x14ac:dyDescent="0.25">
      <c r="A3989" t="str">
        <f t="shared" si="102"/>
        <v>89301000</v>
      </c>
      <c r="B3989" t="str">
        <f>"425116420"</f>
        <v>425116420</v>
      </c>
      <c r="C3989" s="1">
        <v>44963</v>
      </c>
      <c r="D3989" s="1">
        <v>44965</v>
      </c>
      <c r="E3989">
        <v>1</v>
      </c>
      <c r="F3989" t="str">
        <f>"04-K05-03"</f>
        <v>04-K05-03</v>
      </c>
      <c r="G3989">
        <v>0.74039999999999995</v>
      </c>
      <c r="H3989" t="s">
        <v>11</v>
      </c>
      <c r="I3989" t="s">
        <v>10</v>
      </c>
    </row>
    <row r="3990" spans="1:9" x14ac:dyDescent="0.25">
      <c r="A3990" t="str">
        <f t="shared" si="102"/>
        <v>89301000</v>
      </c>
      <c r="B3990" t="str">
        <f>"425128443"</f>
        <v>425128443</v>
      </c>
      <c r="C3990" s="1">
        <v>45079</v>
      </c>
      <c r="D3990" s="1">
        <v>45086</v>
      </c>
      <c r="E3990">
        <v>4</v>
      </c>
      <c r="F3990" t="str">
        <f>"11-K02-03"</f>
        <v>11-K02-03</v>
      </c>
      <c r="G3990">
        <v>0.86360000000000003</v>
      </c>
      <c r="H3990" t="s">
        <v>11</v>
      </c>
      <c r="I3990" t="s">
        <v>10</v>
      </c>
    </row>
    <row r="3991" spans="1:9" x14ac:dyDescent="0.25">
      <c r="A3991" t="str">
        <f t="shared" si="102"/>
        <v>89301000</v>
      </c>
      <c r="B3991" t="str">
        <f>"425129101"</f>
        <v>425129101</v>
      </c>
      <c r="C3991" s="1">
        <v>45030</v>
      </c>
      <c r="D3991" s="1">
        <v>45037</v>
      </c>
      <c r="E3991">
        <v>1</v>
      </c>
      <c r="F3991" t="str">
        <f>"10-K14-03"</f>
        <v>10-K14-03</v>
      </c>
      <c r="G3991">
        <v>0.49130000000000001</v>
      </c>
      <c r="H3991" t="s">
        <v>11</v>
      </c>
      <c r="I3991" t="s">
        <v>10</v>
      </c>
    </row>
    <row r="3992" spans="1:9" x14ac:dyDescent="0.25">
      <c r="A3992" t="str">
        <f t="shared" si="102"/>
        <v>89301000</v>
      </c>
      <c r="B3992" t="str">
        <f>"425207482"</f>
        <v>425207482</v>
      </c>
      <c r="C3992" s="1">
        <v>45182</v>
      </c>
      <c r="D3992" s="1">
        <v>45188</v>
      </c>
      <c r="E3992">
        <v>4</v>
      </c>
      <c r="F3992" t="str">
        <f>"08-I05-04"</f>
        <v>08-I05-04</v>
      </c>
      <c r="G3992">
        <v>2.1905999999999999</v>
      </c>
      <c r="H3992" t="s">
        <v>12</v>
      </c>
      <c r="I3992" t="s">
        <v>10</v>
      </c>
    </row>
    <row r="3993" spans="1:9" x14ac:dyDescent="0.25">
      <c r="A3993" t="str">
        <f t="shared" si="102"/>
        <v>89301000</v>
      </c>
      <c r="B3993" t="str">
        <f>"425225401"</f>
        <v>425225401</v>
      </c>
      <c r="C3993" s="1">
        <v>45187</v>
      </c>
      <c r="D3993" s="1">
        <v>45195</v>
      </c>
      <c r="E3993">
        <v>1</v>
      </c>
      <c r="F3993" t="str">
        <f>"05-I21-01"</f>
        <v>05-I21-01</v>
      </c>
      <c r="G3993">
        <v>3.6871999999999998</v>
      </c>
      <c r="H3993" t="s">
        <v>12</v>
      </c>
      <c r="I3993" t="s">
        <v>10</v>
      </c>
    </row>
    <row r="3994" spans="1:9" x14ac:dyDescent="0.25">
      <c r="A3994" t="str">
        <f t="shared" si="102"/>
        <v>89301000</v>
      </c>
      <c r="B3994" t="str">
        <f>"425225401"</f>
        <v>425225401</v>
      </c>
      <c r="C3994" s="1">
        <v>45145</v>
      </c>
      <c r="D3994" s="1">
        <v>45147</v>
      </c>
      <c r="E3994">
        <v>1</v>
      </c>
      <c r="F3994" t="str">
        <f>"05-I14-03"</f>
        <v>05-I14-03</v>
      </c>
      <c r="G3994">
        <v>6.0362</v>
      </c>
      <c r="H3994" t="s">
        <v>12</v>
      </c>
      <c r="I3994" t="s">
        <v>10</v>
      </c>
    </row>
    <row r="3995" spans="1:9" x14ac:dyDescent="0.25">
      <c r="A3995" t="str">
        <f t="shared" si="102"/>
        <v>89301000</v>
      </c>
      <c r="B3995" t="str">
        <f>"425225401"</f>
        <v>425225401</v>
      </c>
      <c r="C3995" s="1">
        <v>45138</v>
      </c>
      <c r="D3995" s="1">
        <v>45139</v>
      </c>
      <c r="E3995">
        <v>1</v>
      </c>
      <c r="F3995" t="str">
        <f>"05-D01-06"</f>
        <v>05-D01-06</v>
      </c>
      <c r="G3995">
        <v>0.7571</v>
      </c>
      <c r="H3995" t="s">
        <v>11</v>
      </c>
      <c r="I3995" t="s">
        <v>10</v>
      </c>
    </row>
    <row r="3996" spans="1:9" x14ac:dyDescent="0.25">
      <c r="A3996" t="str">
        <f t="shared" si="102"/>
        <v>89301000</v>
      </c>
      <c r="B3996" t="str">
        <f>"425301442"</f>
        <v>425301442</v>
      </c>
      <c r="C3996" s="1">
        <v>44979</v>
      </c>
      <c r="D3996" s="1">
        <v>44994</v>
      </c>
      <c r="E3996">
        <v>1</v>
      </c>
      <c r="F3996" t="str">
        <f>"04-K09-02"</f>
        <v>04-K09-02</v>
      </c>
      <c r="G3996">
        <v>1.155</v>
      </c>
      <c r="H3996" t="s">
        <v>11</v>
      </c>
      <c r="I3996" t="s">
        <v>10</v>
      </c>
    </row>
    <row r="3997" spans="1:9" x14ac:dyDescent="0.25">
      <c r="A3997" t="str">
        <f t="shared" si="102"/>
        <v>89301000</v>
      </c>
      <c r="B3997" t="str">
        <f>"425305424"</f>
        <v>425305424</v>
      </c>
      <c r="C3997" s="1">
        <v>45075</v>
      </c>
      <c r="D3997" s="1">
        <v>45140</v>
      </c>
      <c r="E3997">
        <v>4</v>
      </c>
      <c r="F3997" t="str">
        <f>"18-K01-05"</f>
        <v>18-K01-05</v>
      </c>
      <c r="G3997">
        <v>5.2287999999999997</v>
      </c>
      <c r="H3997" t="s">
        <v>11</v>
      </c>
      <c r="I3997" t="s">
        <v>10</v>
      </c>
    </row>
    <row r="3998" spans="1:9" x14ac:dyDescent="0.25">
      <c r="A3998" t="str">
        <f t="shared" si="102"/>
        <v>89301000</v>
      </c>
      <c r="B3998" t="str">
        <f>"425305424"</f>
        <v>425305424</v>
      </c>
      <c r="C3998" s="1">
        <v>44925</v>
      </c>
      <c r="D3998" s="1">
        <v>44930</v>
      </c>
      <c r="E3998">
        <v>4</v>
      </c>
      <c r="F3998" t="str">
        <f>"08-I13-05"</f>
        <v>08-I13-05</v>
      </c>
      <c r="G3998">
        <v>2.343</v>
      </c>
      <c r="H3998" t="s">
        <v>12</v>
      </c>
      <c r="I3998" t="s">
        <v>10</v>
      </c>
    </row>
    <row r="3999" spans="1:9" x14ac:dyDescent="0.25">
      <c r="A3999" t="str">
        <f t="shared" si="102"/>
        <v>89301000</v>
      </c>
      <c r="B3999" t="str">
        <f>"425307417"</f>
        <v>425307417</v>
      </c>
      <c r="C3999" s="1">
        <v>45272</v>
      </c>
      <c r="D3999" s="1">
        <v>45278</v>
      </c>
      <c r="E3999">
        <v>4</v>
      </c>
      <c r="F3999" t="str">
        <f>"10-K12-02"</f>
        <v>10-K12-02</v>
      </c>
      <c r="G3999">
        <v>0.873</v>
      </c>
      <c r="H3999" t="s">
        <v>11</v>
      </c>
      <c r="I3999" t="s">
        <v>10</v>
      </c>
    </row>
    <row r="4000" spans="1:9" x14ac:dyDescent="0.25">
      <c r="A4000" t="str">
        <f t="shared" si="102"/>
        <v>89301000</v>
      </c>
      <c r="B4000" t="str">
        <f>"425327464"</f>
        <v>425327464</v>
      </c>
      <c r="C4000" s="1">
        <v>45055</v>
      </c>
      <c r="D4000" s="1">
        <v>45071</v>
      </c>
      <c r="E4000">
        <v>4</v>
      </c>
      <c r="F4000" t="str">
        <f>"24-M07-02"</f>
        <v>24-M07-02</v>
      </c>
      <c r="G4000">
        <v>1.5729</v>
      </c>
      <c r="H4000" t="s">
        <v>11</v>
      </c>
      <c r="I4000" t="s">
        <v>10</v>
      </c>
    </row>
    <row r="4001" spans="1:9" x14ac:dyDescent="0.25">
      <c r="A4001" t="str">
        <f t="shared" ref="A4001:A4064" si="103">"89301000"</f>
        <v>89301000</v>
      </c>
      <c r="B4001" t="str">
        <f>"425327464"</f>
        <v>425327464</v>
      </c>
      <c r="C4001" s="1">
        <v>45048</v>
      </c>
      <c r="D4001" s="1">
        <v>45055</v>
      </c>
      <c r="E4001">
        <v>3</v>
      </c>
      <c r="F4001" t="str">
        <f>"08-I06-04"</f>
        <v>08-I06-04</v>
      </c>
      <c r="G4001">
        <v>2.3605</v>
      </c>
      <c r="H4001" t="s">
        <v>9</v>
      </c>
      <c r="I4001" t="s">
        <v>10</v>
      </c>
    </row>
    <row r="4002" spans="1:9" x14ac:dyDescent="0.25">
      <c r="A4002" t="str">
        <f t="shared" si="103"/>
        <v>89301000</v>
      </c>
      <c r="B4002" t="str">
        <f>"425328432"</f>
        <v>425328432</v>
      </c>
      <c r="C4002" s="1">
        <v>45093</v>
      </c>
      <c r="D4002" s="1">
        <v>45107</v>
      </c>
      <c r="E4002">
        <v>1</v>
      </c>
      <c r="F4002" t="str">
        <f>"24-M07-02"</f>
        <v>24-M07-02</v>
      </c>
      <c r="G4002">
        <v>1.5729</v>
      </c>
      <c r="H4002" t="s">
        <v>11</v>
      </c>
      <c r="I4002" t="s">
        <v>10</v>
      </c>
    </row>
    <row r="4003" spans="1:9" x14ac:dyDescent="0.25">
      <c r="A4003" t="str">
        <f t="shared" si="103"/>
        <v>89301000</v>
      </c>
      <c r="B4003" t="str">
        <f>"425328432"</f>
        <v>425328432</v>
      </c>
      <c r="C4003" s="1">
        <v>45088</v>
      </c>
      <c r="D4003" s="1">
        <v>45093</v>
      </c>
      <c r="E4003">
        <v>3</v>
      </c>
      <c r="F4003" t="str">
        <f>"08-I05-06"</f>
        <v>08-I05-06</v>
      </c>
      <c r="G4003">
        <v>2.0308000000000002</v>
      </c>
      <c r="H4003" t="s">
        <v>12</v>
      </c>
      <c r="I4003" t="s">
        <v>10</v>
      </c>
    </row>
    <row r="4004" spans="1:9" x14ac:dyDescent="0.25">
      <c r="A4004" t="str">
        <f t="shared" si="103"/>
        <v>89301000</v>
      </c>
      <c r="B4004" t="str">
        <f>"425330448"</f>
        <v>425330448</v>
      </c>
      <c r="C4004" s="1">
        <v>45230</v>
      </c>
      <c r="D4004" s="1">
        <v>45235</v>
      </c>
      <c r="E4004">
        <v>1</v>
      </c>
      <c r="F4004" t="str">
        <f>"01-K12-01"</f>
        <v>01-K12-01</v>
      </c>
      <c r="G4004">
        <v>0.73780000000000001</v>
      </c>
      <c r="H4004" t="s">
        <v>11</v>
      </c>
      <c r="I4004" t="s">
        <v>10</v>
      </c>
    </row>
    <row r="4005" spans="1:9" x14ac:dyDescent="0.25">
      <c r="A4005" t="str">
        <f t="shared" si="103"/>
        <v>89301000</v>
      </c>
      <c r="B4005" t="str">
        <f>"425401496"</f>
        <v>425401496</v>
      </c>
      <c r="C4005" s="1">
        <v>45117</v>
      </c>
      <c r="D4005" s="1">
        <v>45121</v>
      </c>
      <c r="E4005">
        <v>1</v>
      </c>
      <c r="F4005" t="str">
        <f>"01-K10-03"</f>
        <v>01-K10-03</v>
      </c>
      <c r="G4005">
        <v>1.0443</v>
      </c>
      <c r="H4005" t="s">
        <v>11</v>
      </c>
      <c r="I4005" t="s">
        <v>10</v>
      </c>
    </row>
    <row r="4006" spans="1:9" x14ac:dyDescent="0.25">
      <c r="A4006" t="str">
        <f t="shared" si="103"/>
        <v>89301000</v>
      </c>
      <c r="B4006" t="str">
        <f>"425401496"</f>
        <v>425401496</v>
      </c>
      <c r="C4006" s="1">
        <v>45229</v>
      </c>
      <c r="D4006" s="1">
        <v>45231</v>
      </c>
      <c r="E4006">
        <v>1</v>
      </c>
      <c r="F4006" t="str">
        <f>"09-I06-04"</f>
        <v>09-I06-04</v>
      </c>
      <c r="G4006">
        <v>0.95069999999999999</v>
      </c>
      <c r="H4006" t="s">
        <v>12</v>
      </c>
      <c r="I4006" t="s">
        <v>10</v>
      </c>
    </row>
    <row r="4007" spans="1:9" x14ac:dyDescent="0.25">
      <c r="A4007" t="str">
        <f t="shared" si="103"/>
        <v>89301000</v>
      </c>
      <c r="B4007" t="str">
        <f>"425412445"</f>
        <v>425412445</v>
      </c>
      <c r="C4007" s="1">
        <v>45024</v>
      </c>
      <c r="D4007" s="1">
        <v>45029</v>
      </c>
      <c r="E4007">
        <v>1</v>
      </c>
      <c r="F4007" t="str">
        <f>"06-K02-04"</f>
        <v>06-K02-04</v>
      </c>
      <c r="G4007">
        <v>0.37659999999999999</v>
      </c>
      <c r="H4007" t="s">
        <v>11</v>
      </c>
      <c r="I4007" t="s">
        <v>10</v>
      </c>
    </row>
    <row r="4008" spans="1:9" x14ac:dyDescent="0.25">
      <c r="A4008" t="str">
        <f t="shared" si="103"/>
        <v>89301000</v>
      </c>
      <c r="B4008" t="str">
        <f>"425414406"</f>
        <v>425414406</v>
      </c>
      <c r="C4008" s="1">
        <v>45174</v>
      </c>
      <c r="D4008" s="1">
        <v>45181</v>
      </c>
      <c r="E4008">
        <v>1</v>
      </c>
      <c r="F4008" t="str">
        <f>"09-K03-02"</f>
        <v>09-K03-02</v>
      </c>
      <c r="G4008">
        <v>0.95399999999999996</v>
      </c>
      <c r="H4008" t="s">
        <v>11</v>
      </c>
      <c r="I4008" t="s">
        <v>10</v>
      </c>
    </row>
    <row r="4009" spans="1:9" x14ac:dyDescent="0.25">
      <c r="A4009" t="str">
        <f t="shared" si="103"/>
        <v>89301000</v>
      </c>
      <c r="B4009" t="str">
        <f>"425415426"</f>
        <v>425415426</v>
      </c>
      <c r="C4009" s="1">
        <v>44914</v>
      </c>
      <c r="D4009" s="1">
        <v>44931</v>
      </c>
      <c r="E4009">
        <v>2</v>
      </c>
      <c r="F4009" t="str">
        <f>"06-I12-03"</f>
        <v>06-I12-03</v>
      </c>
      <c r="G4009">
        <v>1.9540999999999999</v>
      </c>
      <c r="H4009" t="s">
        <v>11</v>
      </c>
      <c r="I4009" t="s">
        <v>10</v>
      </c>
    </row>
    <row r="4010" spans="1:9" x14ac:dyDescent="0.25">
      <c r="A4010" t="str">
        <f t="shared" si="103"/>
        <v>89301000</v>
      </c>
      <c r="B4010" t="str">
        <f>"425418419"</f>
        <v>425418419</v>
      </c>
      <c r="C4010" s="1">
        <v>45042</v>
      </c>
      <c r="D4010" s="1">
        <v>45048</v>
      </c>
      <c r="E4010">
        <v>1</v>
      </c>
      <c r="F4010" t="str">
        <f>"02-I06-04"</f>
        <v>02-I06-04</v>
      </c>
      <c r="G4010">
        <v>0.9486</v>
      </c>
      <c r="H4010" t="s">
        <v>12</v>
      </c>
      <c r="I4010" t="s">
        <v>10</v>
      </c>
    </row>
    <row r="4011" spans="1:9" x14ac:dyDescent="0.25">
      <c r="A4011" t="str">
        <f t="shared" si="103"/>
        <v>89301000</v>
      </c>
      <c r="B4011" t="str">
        <f>"425421446"</f>
        <v>425421446</v>
      </c>
      <c r="C4011" s="1">
        <v>45215</v>
      </c>
      <c r="D4011" s="1">
        <v>45226</v>
      </c>
      <c r="E4011">
        <v>1</v>
      </c>
      <c r="F4011" t="str">
        <f>"05-I16-04"</f>
        <v>05-I16-04</v>
      </c>
      <c r="G4011">
        <v>6.2375999999999996</v>
      </c>
      <c r="H4011" t="s">
        <v>14</v>
      </c>
      <c r="I4011" t="s">
        <v>10</v>
      </c>
    </row>
    <row r="4012" spans="1:9" x14ac:dyDescent="0.25">
      <c r="A4012" t="str">
        <f t="shared" si="103"/>
        <v>89301000</v>
      </c>
      <c r="B4012" t="str">
        <f>"425421446"</f>
        <v>425421446</v>
      </c>
      <c r="C4012" s="1">
        <v>45258</v>
      </c>
      <c r="D4012" s="1">
        <v>45274</v>
      </c>
      <c r="E4012">
        <v>1</v>
      </c>
      <c r="F4012" t="str">
        <f>"18-K02-03"</f>
        <v>18-K02-03</v>
      </c>
      <c r="G4012">
        <v>0.93220000000000003</v>
      </c>
      <c r="H4012" t="s">
        <v>11</v>
      </c>
      <c r="I4012" t="s">
        <v>10</v>
      </c>
    </row>
    <row r="4013" spans="1:9" x14ac:dyDescent="0.25">
      <c r="A4013" t="str">
        <f t="shared" si="103"/>
        <v>89301000</v>
      </c>
      <c r="B4013" t="str">
        <f>"425429420"</f>
        <v>425429420</v>
      </c>
      <c r="C4013" s="1">
        <v>45120</v>
      </c>
      <c r="D4013" s="1">
        <v>45123</v>
      </c>
      <c r="E4013">
        <v>1</v>
      </c>
      <c r="F4013" t="str">
        <f>"09-I06-04"</f>
        <v>09-I06-04</v>
      </c>
      <c r="G4013">
        <v>0.98899999999999999</v>
      </c>
      <c r="H4013" t="s">
        <v>12</v>
      </c>
      <c r="I4013" t="s">
        <v>10</v>
      </c>
    </row>
    <row r="4014" spans="1:9" x14ac:dyDescent="0.25">
      <c r="A4014" t="str">
        <f t="shared" si="103"/>
        <v>89301000</v>
      </c>
      <c r="B4014" t="str">
        <f>"425501401"</f>
        <v>425501401</v>
      </c>
      <c r="C4014" s="1">
        <v>45034</v>
      </c>
      <c r="D4014" s="1">
        <v>45043</v>
      </c>
      <c r="E4014">
        <v>1</v>
      </c>
      <c r="F4014" t="str">
        <f>"06-I05-01"</f>
        <v>06-I05-01</v>
      </c>
      <c r="G4014">
        <v>3.8811</v>
      </c>
      <c r="H4014" t="s">
        <v>12</v>
      </c>
      <c r="I4014" t="s">
        <v>10</v>
      </c>
    </row>
    <row r="4015" spans="1:9" x14ac:dyDescent="0.25">
      <c r="A4015" t="str">
        <f t="shared" si="103"/>
        <v>89301000</v>
      </c>
      <c r="B4015" t="str">
        <f>"425511408"</f>
        <v>425511408</v>
      </c>
      <c r="C4015" s="1">
        <v>45261</v>
      </c>
      <c r="D4015" s="1">
        <v>45268</v>
      </c>
      <c r="E4015">
        <v>1</v>
      </c>
      <c r="F4015" t="str">
        <f>"08-K08-00"</f>
        <v>08-K08-00</v>
      </c>
      <c r="G4015">
        <v>0.5272</v>
      </c>
      <c r="H4015" t="s">
        <v>11</v>
      </c>
      <c r="I4015" t="s">
        <v>10</v>
      </c>
    </row>
    <row r="4016" spans="1:9" x14ac:dyDescent="0.25">
      <c r="A4016" t="str">
        <f t="shared" si="103"/>
        <v>89301000</v>
      </c>
      <c r="B4016" t="str">
        <f>"425530413"</f>
        <v>425530413</v>
      </c>
      <c r="C4016" s="1">
        <v>45099</v>
      </c>
      <c r="D4016" s="1">
        <v>45100</v>
      </c>
      <c r="E4016">
        <v>4</v>
      </c>
      <c r="F4016" t="str">
        <f>"05-I25-03"</f>
        <v>05-I25-03</v>
      </c>
      <c r="G4016">
        <v>1.633</v>
      </c>
      <c r="H4016" t="s">
        <v>12</v>
      </c>
      <c r="I4016" t="s">
        <v>10</v>
      </c>
    </row>
    <row r="4017" spans="1:9" x14ac:dyDescent="0.25">
      <c r="A4017" t="str">
        <f t="shared" si="103"/>
        <v>89301000</v>
      </c>
      <c r="B4017" t="str">
        <f>"425530769"</f>
        <v>425530769</v>
      </c>
      <c r="C4017" s="1">
        <v>45257</v>
      </c>
      <c r="D4017" s="1">
        <v>45271</v>
      </c>
      <c r="E4017">
        <v>1</v>
      </c>
      <c r="F4017" t="str">
        <f>"24-M07-02"</f>
        <v>24-M07-02</v>
      </c>
      <c r="G4017">
        <v>1.5729</v>
      </c>
      <c r="H4017" t="s">
        <v>11</v>
      </c>
      <c r="I4017" t="s">
        <v>16</v>
      </c>
    </row>
    <row r="4018" spans="1:9" x14ac:dyDescent="0.25">
      <c r="A4018" t="str">
        <f t="shared" si="103"/>
        <v>89301000</v>
      </c>
      <c r="B4018" t="str">
        <f>"425530769"</f>
        <v>425530769</v>
      </c>
      <c r="C4018" s="1">
        <v>45252</v>
      </c>
      <c r="D4018" s="1">
        <v>45257</v>
      </c>
      <c r="E4018">
        <v>3</v>
      </c>
      <c r="F4018" t="str">
        <f>"08-I06-04"</f>
        <v>08-I06-04</v>
      </c>
      <c r="G4018">
        <v>2.4180000000000001</v>
      </c>
      <c r="H4018" t="s">
        <v>9</v>
      </c>
      <c r="I4018" t="s">
        <v>16</v>
      </c>
    </row>
    <row r="4019" spans="1:9" x14ac:dyDescent="0.25">
      <c r="A4019" t="str">
        <f t="shared" si="103"/>
        <v>89301000</v>
      </c>
      <c r="B4019" t="str">
        <f>"425602424"</f>
        <v>425602424</v>
      </c>
      <c r="C4019" s="1">
        <v>45144</v>
      </c>
      <c r="D4019" s="1">
        <v>45152</v>
      </c>
      <c r="E4019">
        <v>4</v>
      </c>
      <c r="F4019" t="str">
        <f>"08-K13-01"</f>
        <v>08-K13-01</v>
      </c>
      <c r="G4019">
        <v>1.1153999999999999</v>
      </c>
      <c r="H4019" t="s">
        <v>11</v>
      </c>
      <c r="I4019" t="s">
        <v>10</v>
      </c>
    </row>
    <row r="4020" spans="1:9" x14ac:dyDescent="0.25">
      <c r="A4020" t="str">
        <f t="shared" si="103"/>
        <v>89301000</v>
      </c>
      <c r="B4020" t="str">
        <f>"425604482"</f>
        <v>425604482</v>
      </c>
      <c r="C4020" s="1">
        <v>45217</v>
      </c>
      <c r="D4020" s="1">
        <v>45223</v>
      </c>
      <c r="E4020">
        <v>1</v>
      </c>
      <c r="F4020" t="str">
        <f>"10-K04-04"</f>
        <v>10-K04-04</v>
      </c>
      <c r="G4020">
        <v>0.53949999999999998</v>
      </c>
      <c r="H4020" t="s">
        <v>11</v>
      </c>
      <c r="I4020" t="s">
        <v>10</v>
      </c>
    </row>
    <row r="4021" spans="1:9" x14ac:dyDescent="0.25">
      <c r="A4021" t="str">
        <f t="shared" si="103"/>
        <v>89301000</v>
      </c>
      <c r="B4021" t="str">
        <f>"425609458"</f>
        <v>425609458</v>
      </c>
      <c r="C4021" s="1">
        <v>45180</v>
      </c>
      <c r="D4021" s="1">
        <v>45188</v>
      </c>
      <c r="E4021">
        <v>4</v>
      </c>
      <c r="F4021" t="str">
        <f>"08-I13-05"</f>
        <v>08-I13-05</v>
      </c>
      <c r="G4021">
        <v>2.343</v>
      </c>
      <c r="H4021" t="s">
        <v>12</v>
      </c>
      <c r="I4021" t="s">
        <v>10</v>
      </c>
    </row>
    <row r="4022" spans="1:9" x14ac:dyDescent="0.25">
      <c r="A4022" t="str">
        <f t="shared" si="103"/>
        <v>89301000</v>
      </c>
      <c r="B4022" t="str">
        <f>"425617430"</f>
        <v>425617430</v>
      </c>
      <c r="C4022" s="1">
        <v>44937</v>
      </c>
      <c r="D4022" s="1">
        <v>44942</v>
      </c>
      <c r="E4022">
        <v>1</v>
      </c>
      <c r="F4022" t="str">
        <f>"02-I07-01"</f>
        <v>02-I07-01</v>
      </c>
      <c r="G4022">
        <v>2.2244999999999999</v>
      </c>
      <c r="H4022" t="s">
        <v>12</v>
      </c>
      <c r="I4022" t="s">
        <v>10</v>
      </c>
    </row>
    <row r="4023" spans="1:9" x14ac:dyDescent="0.25">
      <c r="A4023" t="str">
        <f t="shared" si="103"/>
        <v>89301000</v>
      </c>
      <c r="B4023" t="str">
        <f>"425623420"</f>
        <v>425623420</v>
      </c>
      <c r="C4023" s="1">
        <v>45000</v>
      </c>
      <c r="D4023" s="1">
        <v>45002</v>
      </c>
      <c r="E4023">
        <v>1</v>
      </c>
      <c r="F4023" t="str">
        <f>"23-K04-01"</f>
        <v>23-K04-01</v>
      </c>
      <c r="G4023">
        <v>0.47249999999999998</v>
      </c>
      <c r="H4023" t="s">
        <v>11</v>
      </c>
      <c r="I4023" t="s">
        <v>10</v>
      </c>
    </row>
    <row r="4024" spans="1:9" x14ac:dyDescent="0.25">
      <c r="A4024" t="str">
        <f t="shared" si="103"/>
        <v>89301000</v>
      </c>
      <c r="B4024" t="str">
        <f>"425623420"</f>
        <v>425623420</v>
      </c>
      <c r="C4024" s="1">
        <v>45264</v>
      </c>
      <c r="D4024" s="1">
        <v>45265</v>
      </c>
      <c r="E4024">
        <v>1</v>
      </c>
      <c r="F4024" t="str">
        <f>"23-K04-01"</f>
        <v>23-K04-01</v>
      </c>
      <c r="G4024">
        <v>0.46829999999999999</v>
      </c>
      <c r="H4024" t="s">
        <v>11</v>
      </c>
      <c r="I4024" t="s">
        <v>10</v>
      </c>
    </row>
    <row r="4025" spans="1:9" x14ac:dyDescent="0.25">
      <c r="A4025" t="str">
        <f t="shared" si="103"/>
        <v>89301000</v>
      </c>
      <c r="B4025" t="str">
        <f>"425627406"</f>
        <v>425627406</v>
      </c>
      <c r="C4025" s="1">
        <v>45251</v>
      </c>
      <c r="D4025" s="1">
        <v>45261</v>
      </c>
      <c r="E4025">
        <v>4</v>
      </c>
      <c r="F4025" t="str">
        <f>"19-K04-02"</f>
        <v>19-K04-02</v>
      </c>
      <c r="G4025">
        <v>1.3379000000000001</v>
      </c>
      <c r="H4025" t="s">
        <v>15</v>
      </c>
      <c r="I4025" t="s">
        <v>10</v>
      </c>
    </row>
    <row r="4026" spans="1:9" x14ac:dyDescent="0.25">
      <c r="A4026" t="str">
        <f t="shared" si="103"/>
        <v>89301000</v>
      </c>
      <c r="B4026" t="str">
        <f>"425706416"</f>
        <v>425706416</v>
      </c>
      <c r="C4026" s="1">
        <v>45159</v>
      </c>
      <c r="D4026" s="1">
        <v>45163</v>
      </c>
      <c r="E4026">
        <v>1</v>
      </c>
      <c r="F4026" t="str">
        <f>"09-I09-02"</f>
        <v>09-I09-02</v>
      </c>
      <c r="G4026">
        <v>0.76900000000000002</v>
      </c>
      <c r="H4026" t="s">
        <v>12</v>
      </c>
      <c r="I4026" t="s">
        <v>10</v>
      </c>
    </row>
    <row r="4027" spans="1:9" x14ac:dyDescent="0.25">
      <c r="A4027" t="str">
        <f t="shared" si="103"/>
        <v>89301000</v>
      </c>
      <c r="B4027" t="str">
        <f>"425711407"</f>
        <v>425711407</v>
      </c>
      <c r="C4027" s="1">
        <v>45201</v>
      </c>
      <c r="D4027" s="1">
        <v>45205</v>
      </c>
      <c r="E4027">
        <v>1</v>
      </c>
      <c r="F4027" t="str">
        <f>"07-M02-04"</f>
        <v>07-M02-04</v>
      </c>
      <c r="G4027">
        <v>0.77829999999999999</v>
      </c>
      <c r="H4027" t="s">
        <v>12</v>
      </c>
      <c r="I4027" t="s">
        <v>10</v>
      </c>
    </row>
    <row r="4028" spans="1:9" x14ac:dyDescent="0.25">
      <c r="A4028" t="str">
        <f t="shared" si="103"/>
        <v>89301000</v>
      </c>
      <c r="B4028" t="str">
        <f>"425714441"</f>
        <v>425714441</v>
      </c>
      <c r="C4028" s="1">
        <v>45032</v>
      </c>
      <c r="D4028" s="1">
        <v>45036</v>
      </c>
      <c r="E4028">
        <v>4</v>
      </c>
      <c r="F4028" t="str">
        <f>"08-I03-06"</f>
        <v>08-I03-06</v>
      </c>
      <c r="G4028">
        <v>3.2523</v>
      </c>
      <c r="H4028" t="s">
        <v>9</v>
      </c>
      <c r="I4028" t="s">
        <v>10</v>
      </c>
    </row>
    <row r="4029" spans="1:9" x14ac:dyDescent="0.25">
      <c r="A4029" t="str">
        <f t="shared" si="103"/>
        <v>89301000</v>
      </c>
      <c r="B4029" t="str">
        <f>"425723458"</f>
        <v>425723458</v>
      </c>
      <c r="C4029" s="1">
        <v>45093</v>
      </c>
      <c r="D4029" s="1">
        <v>45097</v>
      </c>
      <c r="E4029">
        <v>7</v>
      </c>
      <c r="F4029" t="str">
        <f>"01-K04-02"</f>
        <v>01-K04-02</v>
      </c>
      <c r="G4029">
        <v>0.79990000000000006</v>
      </c>
      <c r="H4029" t="s">
        <v>11</v>
      </c>
      <c r="I4029" t="s">
        <v>10</v>
      </c>
    </row>
    <row r="4030" spans="1:9" x14ac:dyDescent="0.25">
      <c r="A4030" t="str">
        <f t="shared" si="103"/>
        <v>89301000</v>
      </c>
      <c r="B4030" t="str">
        <f>"425725452"</f>
        <v>425725452</v>
      </c>
      <c r="C4030" s="1">
        <v>45187</v>
      </c>
      <c r="D4030" s="1">
        <v>45189</v>
      </c>
      <c r="E4030">
        <v>1</v>
      </c>
      <c r="F4030" t="str">
        <f>"09-I09-02"</f>
        <v>09-I09-02</v>
      </c>
      <c r="G4030">
        <v>0.76900000000000002</v>
      </c>
      <c r="H4030" t="s">
        <v>12</v>
      </c>
      <c r="I4030" t="s">
        <v>10</v>
      </c>
    </row>
    <row r="4031" spans="1:9" x14ac:dyDescent="0.25">
      <c r="A4031" t="str">
        <f t="shared" si="103"/>
        <v>89301000</v>
      </c>
      <c r="B4031" t="str">
        <f>"425725452"</f>
        <v>425725452</v>
      </c>
      <c r="C4031" s="1">
        <v>45227</v>
      </c>
      <c r="D4031" s="1">
        <v>45236</v>
      </c>
      <c r="E4031">
        <v>1</v>
      </c>
      <c r="F4031" t="str">
        <f>"09-K08-02"</f>
        <v>09-K08-02</v>
      </c>
      <c r="G4031">
        <v>0.49280000000000002</v>
      </c>
      <c r="H4031" t="s">
        <v>11</v>
      </c>
      <c r="I4031" t="s">
        <v>10</v>
      </c>
    </row>
    <row r="4032" spans="1:9" x14ac:dyDescent="0.25">
      <c r="A4032" t="str">
        <f t="shared" si="103"/>
        <v>89301000</v>
      </c>
      <c r="B4032" t="str">
        <f>"425731952"</f>
        <v>425731952</v>
      </c>
      <c r="C4032" s="1">
        <v>45190</v>
      </c>
      <c r="D4032" s="1">
        <v>45191</v>
      </c>
      <c r="E4032">
        <v>1</v>
      </c>
      <c r="F4032" t="str">
        <f>"13-I19-00"</f>
        <v>13-I19-00</v>
      </c>
      <c r="G4032">
        <v>0.28270000000000001</v>
      </c>
      <c r="H4032" t="s">
        <v>11</v>
      </c>
      <c r="I4032" t="s">
        <v>10</v>
      </c>
    </row>
    <row r="4033" spans="1:9" x14ac:dyDescent="0.25">
      <c r="A4033" t="str">
        <f t="shared" si="103"/>
        <v>89301000</v>
      </c>
      <c r="B4033" t="str">
        <f>"425804432"</f>
        <v>425804432</v>
      </c>
      <c r="C4033" s="1">
        <v>45020</v>
      </c>
      <c r="D4033" s="1">
        <v>45035</v>
      </c>
      <c r="E4033">
        <v>1</v>
      </c>
      <c r="F4033" t="str">
        <f>"06-I13-01"</f>
        <v>06-I13-01</v>
      </c>
      <c r="G4033">
        <v>3.7789999999999999</v>
      </c>
      <c r="H4033" t="s">
        <v>11</v>
      </c>
      <c r="I4033" t="s">
        <v>10</v>
      </c>
    </row>
    <row r="4034" spans="1:9" x14ac:dyDescent="0.25">
      <c r="A4034" t="str">
        <f t="shared" si="103"/>
        <v>89301000</v>
      </c>
      <c r="B4034" t="str">
        <f>"425810425"</f>
        <v>425810425</v>
      </c>
      <c r="C4034" s="1">
        <v>44942</v>
      </c>
      <c r="D4034" s="1">
        <v>44949</v>
      </c>
      <c r="E4034">
        <v>1</v>
      </c>
      <c r="F4034" t="str">
        <f>"04-K02-02"</f>
        <v>04-K02-02</v>
      </c>
      <c r="G4034">
        <v>2.8616999999999999</v>
      </c>
      <c r="H4034" t="s">
        <v>11</v>
      </c>
      <c r="I4034" t="s">
        <v>10</v>
      </c>
    </row>
    <row r="4035" spans="1:9" x14ac:dyDescent="0.25">
      <c r="A4035" t="str">
        <f t="shared" si="103"/>
        <v>89301000</v>
      </c>
      <c r="B4035" t="str">
        <f>"425810425"</f>
        <v>425810425</v>
      </c>
      <c r="C4035" s="1">
        <v>45058</v>
      </c>
      <c r="D4035" s="1">
        <v>45061</v>
      </c>
      <c r="E4035">
        <v>1</v>
      </c>
      <c r="F4035" t="str">
        <f>"04-K08-04"</f>
        <v>04-K08-04</v>
      </c>
      <c r="G4035">
        <v>0.88160000000000005</v>
      </c>
      <c r="H4035" t="s">
        <v>11</v>
      </c>
      <c r="I4035" t="s">
        <v>10</v>
      </c>
    </row>
    <row r="4036" spans="1:9" x14ac:dyDescent="0.25">
      <c r="A4036" t="str">
        <f t="shared" si="103"/>
        <v>89301000</v>
      </c>
      <c r="B4036" t="str">
        <f>"425818422"</f>
        <v>425818422</v>
      </c>
      <c r="C4036" s="1">
        <v>44958</v>
      </c>
      <c r="D4036" s="1">
        <v>44963</v>
      </c>
      <c r="E4036">
        <v>1</v>
      </c>
      <c r="F4036" t="str">
        <f>"05-M01-03"</f>
        <v>05-M01-03</v>
      </c>
      <c r="G4036">
        <v>11.4411</v>
      </c>
      <c r="H4036" t="s">
        <v>12</v>
      </c>
      <c r="I4036" t="s">
        <v>10</v>
      </c>
    </row>
    <row r="4037" spans="1:9" x14ac:dyDescent="0.25">
      <c r="A4037" t="str">
        <f t="shared" si="103"/>
        <v>89301000</v>
      </c>
      <c r="B4037" t="str">
        <f>"425823760"</f>
        <v>425823760</v>
      </c>
      <c r="C4037" s="1">
        <v>45190</v>
      </c>
      <c r="D4037" s="1">
        <v>45190</v>
      </c>
      <c r="E4037">
        <v>1</v>
      </c>
      <c r="F4037" t="str">
        <f>"05-D01-08"</f>
        <v>05-D01-08</v>
      </c>
      <c r="G4037">
        <v>0.2303</v>
      </c>
      <c r="H4037" t="s">
        <v>11</v>
      </c>
      <c r="I4037" t="s">
        <v>10</v>
      </c>
    </row>
    <row r="4038" spans="1:9" x14ac:dyDescent="0.25">
      <c r="A4038" t="str">
        <f t="shared" si="103"/>
        <v>89301000</v>
      </c>
      <c r="B4038" t="str">
        <f>"425827708"</f>
        <v>425827708</v>
      </c>
      <c r="C4038" s="1">
        <v>45272</v>
      </c>
      <c r="D4038" s="1">
        <v>45283</v>
      </c>
      <c r="E4038">
        <v>1</v>
      </c>
      <c r="F4038" t="str">
        <f>"05-K07-04"</f>
        <v>05-K07-04</v>
      </c>
      <c r="G4038">
        <v>1.0760000000000001</v>
      </c>
      <c r="H4038" t="s">
        <v>11</v>
      </c>
      <c r="I4038" t="s">
        <v>10</v>
      </c>
    </row>
    <row r="4039" spans="1:9" x14ac:dyDescent="0.25">
      <c r="A4039" t="str">
        <f t="shared" si="103"/>
        <v>89301000</v>
      </c>
      <c r="B4039" t="str">
        <f>"425831411"</f>
        <v>425831411</v>
      </c>
      <c r="C4039" s="1">
        <v>45195</v>
      </c>
      <c r="D4039" s="1">
        <v>45210</v>
      </c>
      <c r="E4039">
        <v>5</v>
      </c>
      <c r="F4039" t="str">
        <f>"05-I16-02"</f>
        <v>05-I16-02</v>
      </c>
      <c r="G4039">
        <v>8.7934999999999999</v>
      </c>
      <c r="H4039" t="s">
        <v>14</v>
      </c>
      <c r="I4039" t="s">
        <v>10</v>
      </c>
    </row>
    <row r="4040" spans="1:9" x14ac:dyDescent="0.25">
      <c r="A4040" t="str">
        <f t="shared" si="103"/>
        <v>89301000</v>
      </c>
      <c r="B4040" t="str">
        <f>"425901488"</f>
        <v>425901488</v>
      </c>
      <c r="C4040" s="1">
        <v>45187</v>
      </c>
      <c r="D4040" s="1">
        <v>45189</v>
      </c>
      <c r="E4040">
        <v>1</v>
      </c>
      <c r="F4040" t="str">
        <f>"05-I25-02"</f>
        <v>05-I25-02</v>
      </c>
      <c r="G4040">
        <v>2.9415</v>
      </c>
      <c r="H4040" t="s">
        <v>12</v>
      </c>
      <c r="I4040" t="s">
        <v>10</v>
      </c>
    </row>
    <row r="4041" spans="1:9" x14ac:dyDescent="0.25">
      <c r="A4041" t="str">
        <f t="shared" si="103"/>
        <v>89301000</v>
      </c>
      <c r="B4041" t="str">
        <f>"425923407"</f>
        <v>425923407</v>
      </c>
      <c r="C4041" s="1">
        <v>45053</v>
      </c>
      <c r="D4041" s="1">
        <v>45062</v>
      </c>
      <c r="E4041">
        <v>8</v>
      </c>
      <c r="F4041" t="str">
        <f>"05-M04-01"</f>
        <v>05-M04-01</v>
      </c>
      <c r="G4041">
        <v>5.4722999999999997</v>
      </c>
      <c r="H4041" t="s">
        <v>12</v>
      </c>
      <c r="I4041" t="s">
        <v>10</v>
      </c>
    </row>
    <row r="4042" spans="1:9" x14ac:dyDescent="0.25">
      <c r="A4042" t="str">
        <f t="shared" si="103"/>
        <v>89301000</v>
      </c>
      <c r="B4042" t="str">
        <f>"425929463"</f>
        <v>425929463</v>
      </c>
      <c r="C4042" s="1">
        <v>45193</v>
      </c>
      <c r="D4042" s="1">
        <v>45201</v>
      </c>
      <c r="E4042">
        <v>4</v>
      </c>
      <c r="F4042" t="str">
        <f>"08-I05-04"</f>
        <v>08-I05-04</v>
      </c>
      <c r="G4042">
        <v>2.4445000000000001</v>
      </c>
      <c r="H4042" t="s">
        <v>12</v>
      </c>
      <c r="I4042" t="s">
        <v>10</v>
      </c>
    </row>
    <row r="4043" spans="1:9" x14ac:dyDescent="0.25">
      <c r="A4043" t="str">
        <f t="shared" si="103"/>
        <v>89301000</v>
      </c>
      <c r="B4043" t="str">
        <f>"425929463"</f>
        <v>425929463</v>
      </c>
      <c r="C4043" s="1">
        <v>45120</v>
      </c>
      <c r="D4043" s="1">
        <v>45133</v>
      </c>
      <c r="E4043">
        <v>4</v>
      </c>
      <c r="F4043" t="str">
        <f>"08-I32-00"</f>
        <v>08-I32-00</v>
      </c>
      <c r="G4043">
        <v>1.145</v>
      </c>
      <c r="H4043" t="s">
        <v>11</v>
      </c>
      <c r="I4043" t="s">
        <v>10</v>
      </c>
    </row>
    <row r="4044" spans="1:9" x14ac:dyDescent="0.25">
      <c r="A4044" t="str">
        <f t="shared" si="103"/>
        <v>89301000</v>
      </c>
      <c r="B4044" t="str">
        <f>"425929463"</f>
        <v>425929463</v>
      </c>
      <c r="C4044" s="1">
        <v>45065</v>
      </c>
      <c r="D4044" s="1">
        <v>45078</v>
      </c>
      <c r="E4044">
        <v>4</v>
      </c>
      <c r="F4044" t="str">
        <f>"08-I13-05"</f>
        <v>08-I13-05</v>
      </c>
      <c r="G4044">
        <v>2.343</v>
      </c>
      <c r="H4044" t="s">
        <v>12</v>
      </c>
      <c r="I4044" t="s">
        <v>10</v>
      </c>
    </row>
    <row r="4045" spans="1:9" x14ac:dyDescent="0.25">
      <c r="A4045" t="str">
        <f t="shared" si="103"/>
        <v>89301000</v>
      </c>
      <c r="B4045" t="str">
        <f>"426002401"</f>
        <v>426002401</v>
      </c>
      <c r="C4045" s="1">
        <v>45105</v>
      </c>
      <c r="D4045" s="1">
        <v>45106</v>
      </c>
      <c r="E4045">
        <v>1</v>
      </c>
      <c r="F4045" t="str">
        <f>"04-K09-03"</f>
        <v>04-K09-03</v>
      </c>
      <c r="G4045">
        <v>0.65600000000000003</v>
      </c>
      <c r="H4045" t="s">
        <v>11</v>
      </c>
      <c r="I4045" t="s">
        <v>10</v>
      </c>
    </row>
    <row r="4046" spans="1:9" x14ac:dyDescent="0.25">
      <c r="A4046" t="str">
        <f t="shared" si="103"/>
        <v>89301000</v>
      </c>
      <c r="B4046" t="str">
        <f>"426019703"</f>
        <v>426019703</v>
      </c>
      <c r="C4046" s="1">
        <v>44936</v>
      </c>
      <c r="D4046" s="1">
        <v>44943</v>
      </c>
      <c r="E4046">
        <v>1</v>
      </c>
      <c r="F4046" t="str">
        <f>"01-M02-00"</f>
        <v>01-M02-00</v>
      </c>
      <c r="G4046">
        <v>5.3973000000000004</v>
      </c>
      <c r="H4046" t="s">
        <v>12</v>
      </c>
      <c r="I4046" t="s">
        <v>10</v>
      </c>
    </row>
    <row r="4047" spans="1:9" x14ac:dyDescent="0.25">
      <c r="A4047" t="str">
        <f t="shared" si="103"/>
        <v>89301000</v>
      </c>
      <c r="B4047" t="str">
        <f>"426020427"</f>
        <v>426020427</v>
      </c>
      <c r="C4047" s="1">
        <v>45154</v>
      </c>
      <c r="D4047" s="1">
        <v>45155</v>
      </c>
      <c r="E4047">
        <v>1</v>
      </c>
      <c r="F4047" t="str">
        <f>"05-D01-08"</f>
        <v>05-D01-08</v>
      </c>
      <c r="G4047">
        <v>0.43159999999999998</v>
      </c>
      <c r="H4047" t="s">
        <v>11</v>
      </c>
      <c r="I4047" t="s">
        <v>10</v>
      </c>
    </row>
    <row r="4048" spans="1:9" x14ac:dyDescent="0.25">
      <c r="A4048" t="str">
        <f t="shared" si="103"/>
        <v>89301000</v>
      </c>
      <c r="B4048" t="str">
        <f>"426101465"</f>
        <v>426101465</v>
      </c>
      <c r="C4048" s="1">
        <v>45099</v>
      </c>
      <c r="D4048" s="1">
        <v>45101</v>
      </c>
      <c r="E4048">
        <v>8</v>
      </c>
      <c r="F4048" t="str">
        <f>"05-I24-01"</f>
        <v>05-I24-01</v>
      </c>
      <c r="G4048">
        <v>3.1154000000000002</v>
      </c>
      <c r="H4048" t="s">
        <v>12</v>
      </c>
      <c r="I4048" t="s">
        <v>10</v>
      </c>
    </row>
    <row r="4049" spans="1:9" x14ac:dyDescent="0.25">
      <c r="A4049" t="str">
        <f t="shared" si="103"/>
        <v>89301000</v>
      </c>
      <c r="B4049" t="str">
        <f>"426101465"</f>
        <v>426101465</v>
      </c>
      <c r="C4049" s="1">
        <v>45028</v>
      </c>
      <c r="D4049" s="1">
        <v>45036</v>
      </c>
      <c r="E4049">
        <v>4</v>
      </c>
      <c r="F4049" t="str">
        <f>"10-K03-04"</f>
        <v>10-K03-04</v>
      </c>
      <c r="G4049">
        <v>0.67159999999999997</v>
      </c>
      <c r="H4049" t="s">
        <v>11</v>
      </c>
      <c r="I4049" t="s">
        <v>10</v>
      </c>
    </row>
    <row r="4050" spans="1:9" x14ac:dyDescent="0.25">
      <c r="A4050" t="str">
        <f t="shared" si="103"/>
        <v>89301000</v>
      </c>
      <c r="B4050" t="str">
        <f>"426116025"</f>
        <v>426116025</v>
      </c>
      <c r="C4050" s="1">
        <v>45159</v>
      </c>
      <c r="D4050" s="1">
        <v>45190</v>
      </c>
      <c r="E4050">
        <v>1</v>
      </c>
      <c r="F4050" t="str">
        <f>"17-K10-01"</f>
        <v>17-K10-01</v>
      </c>
      <c r="G4050">
        <v>2.3912</v>
      </c>
      <c r="H4050" t="s">
        <v>11</v>
      </c>
      <c r="I4050" t="s">
        <v>10</v>
      </c>
    </row>
    <row r="4051" spans="1:9" x14ac:dyDescent="0.25">
      <c r="A4051" t="str">
        <f t="shared" si="103"/>
        <v>89301000</v>
      </c>
      <c r="B4051" t="str">
        <f>"426117445"</f>
        <v>426117445</v>
      </c>
      <c r="C4051" s="1">
        <v>44971</v>
      </c>
      <c r="D4051" s="1">
        <v>44973</v>
      </c>
      <c r="E4051">
        <v>1</v>
      </c>
      <c r="F4051" t="str">
        <f>"03-I22-01"</f>
        <v>03-I22-01</v>
      </c>
      <c r="G4051">
        <v>0.62490000000000001</v>
      </c>
      <c r="H4051" t="s">
        <v>11</v>
      </c>
      <c r="I4051" t="s">
        <v>10</v>
      </c>
    </row>
    <row r="4052" spans="1:9" x14ac:dyDescent="0.25">
      <c r="A4052" t="str">
        <f t="shared" si="103"/>
        <v>89301000</v>
      </c>
      <c r="B4052" t="str">
        <f>"426209470"</f>
        <v>426209470</v>
      </c>
      <c r="C4052" s="1">
        <v>45037</v>
      </c>
      <c r="D4052" s="1">
        <v>45040</v>
      </c>
      <c r="E4052">
        <v>1</v>
      </c>
      <c r="F4052" t="str">
        <f>"01-K03-07"</f>
        <v>01-K03-07</v>
      </c>
      <c r="G4052">
        <v>0.5988</v>
      </c>
      <c r="H4052" t="s">
        <v>11</v>
      </c>
      <c r="I4052" t="s">
        <v>10</v>
      </c>
    </row>
    <row r="4053" spans="1:9" x14ac:dyDescent="0.25">
      <c r="A4053" t="str">
        <f t="shared" si="103"/>
        <v>89301000</v>
      </c>
      <c r="B4053" t="str">
        <f>"426217406"</f>
        <v>426217406</v>
      </c>
      <c r="C4053" s="1">
        <v>45236</v>
      </c>
      <c r="D4053" s="1">
        <v>45240</v>
      </c>
      <c r="E4053">
        <v>1</v>
      </c>
      <c r="F4053" t="str">
        <f>"05-K07-04"</f>
        <v>05-K07-04</v>
      </c>
      <c r="G4053">
        <v>1.0598000000000001</v>
      </c>
      <c r="H4053" t="s">
        <v>11</v>
      </c>
      <c r="I4053" t="s">
        <v>10</v>
      </c>
    </row>
    <row r="4054" spans="1:9" x14ac:dyDescent="0.25">
      <c r="A4054" t="str">
        <f t="shared" si="103"/>
        <v>89301000</v>
      </c>
      <c r="B4054" t="str">
        <f>"426217406"</f>
        <v>426217406</v>
      </c>
      <c r="C4054" s="1">
        <v>45194</v>
      </c>
      <c r="D4054" s="1">
        <v>45198</v>
      </c>
      <c r="E4054">
        <v>1</v>
      </c>
      <c r="F4054" t="str">
        <f>"05-K07-05"</f>
        <v>05-K07-05</v>
      </c>
      <c r="G4054">
        <v>0.76070000000000004</v>
      </c>
      <c r="H4054" t="s">
        <v>11</v>
      </c>
      <c r="I4054" t="s">
        <v>10</v>
      </c>
    </row>
    <row r="4055" spans="1:9" x14ac:dyDescent="0.25">
      <c r="A4055" t="str">
        <f t="shared" si="103"/>
        <v>89301000</v>
      </c>
      <c r="B4055" t="str">
        <f>"426217406"</f>
        <v>426217406</v>
      </c>
      <c r="C4055" s="1">
        <v>45164</v>
      </c>
      <c r="D4055" s="1">
        <v>45174</v>
      </c>
      <c r="E4055">
        <v>5</v>
      </c>
      <c r="F4055" t="str">
        <f>"10-K14-03"</f>
        <v>10-K14-03</v>
      </c>
      <c r="G4055">
        <v>0.51239999999999997</v>
      </c>
      <c r="H4055" t="s">
        <v>11</v>
      </c>
      <c r="I4055" t="s">
        <v>10</v>
      </c>
    </row>
    <row r="4056" spans="1:9" x14ac:dyDescent="0.25">
      <c r="A4056" t="str">
        <f t="shared" si="103"/>
        <v>89301000</v>
      </c>
      <c r="B4056" t="str">
        <f>"426217406"</f>
        <v>426217406</v>
      </c>
      <c r="C4056" s="1">
        <v>45138</v>
      </c>
      <c r="D4056" s="1">
        <v>45145</v>
      </c>
      <c r="E4056">
        <v>1</v>
      </c>
      <c r="F4056" t="str">
        <f>"05-I25-04"</f>
        <v>05-I25-04</v>
      </c>
      <c r="G4056">
        <v>2.2656999999999998</v>
      </c>
      <c r="H4056" t="s">
        <v>12</v>
      </c>
      <c r="I4056" t="s">
        <v>10</v>
      </c>
    </row>
    <row r="4057" spans="1:9" x14ac:dyDescent="0.25">
      <c r="A4057" t="str">
        <f t="shared" si="103"/>
        <v>89301000</v>
      </c>
      <c r="B4057" t="str">
        <f>"426220416"</f>
        <v>426220416</v>
      </c>
      <c r="C4057" s="1">
        <v>45194</v>
      </c>
      <c r="D4057" s="1">
        <v>45203</v>
      </c>
      <c r="E4057">
        <v>1</v>
      </c>
      <c r="F4057" t="str">
        <f>"07-K07-02"</f>
        <v>07-K07-02</v>
      </c>
      <c r="G4057">
        <v>0.53069999999999995</v>
      </c>
      <c r="H4057" t="s">
        <v>11</v>
      </c>
      <c r="I4057" t="s">
        <v>10</v>
      </c>
    </row>
    <row r="4058" spans="1:9" x14ac:dyDescent="0.25">
      <c r="A4058" t="str">
        <f t="shared" si="103"/>
        <v>89301000</v>
      </c>
      <c r="B4058" t="str">
        <f>"426229428"</f>
        <v>426229428</v>
      </c>
      <c r="C4058" s="1">
        <v>45275</v>
      </c>
      <c r="D4058" s="1">
        <v>45279</v>
      </c>
      <c r="E4058">
        <v>1</v>
      </c>
      <c r="F4058" t="str">
        <f>"04-K03-02"</f>
        <v>04-K03-02</v>
      </c>
      <c r="G4058">
        <v>0.79500000000000004</v>
      </c>
      <c r="H4058" t="s">
        <v>11</v>
      </c>
      <c r="I4058" t="s">
        <v>10</v>
      </c>
    </row>
    <row r="4059" spans="1:9" x14ac:dyDescent="0.25">
      <c r="A4059" t="str">
        <f t="shared" si="103"/>
        <v>89301000</v>
      </c>
      <c r="B4059" t="str">
        <f>"430116411"</f>
        <v>430116411</v>
      </c>
      <c r="C4059" s="1">
        <v>45208</v>
      </c>
      <c r="D4059" s="1">
        <v>45212</v>
      </c>
      <c r="E4059">
        <v>1</v>
      </c>
      <c r="F4059" t="str">
        <f>"08-K02-03"</f>
        <v>08-K02-03</v>
      </c>
      <c r="G4059">
        <v>0.6361</v>
      </c>
      <c r="H4059" t="s">
        <v>11</v>
      </c>
      <c r="I4059" t="s">
        <v>10</v>
      </c>
    </row>
    <row r="4060" spans="1:9" x14ac:dyDescent="0.25">
      <c r="A4060" t="str">
        <f t="shared" si="103"/>
        <v>89301000</v>
      </c>
      <c r="B4060" t="str">
        <f>"430122019"</f>
        <v>430122019</v>
      </c>
      <c r="C4060" s="1">
        <v>45105</v>
      </c>
      <c r="D4060" s="1">
        <v>45110</v>
      </c>
      <c r="E4060">
        <v>1</v>
      </c>
      <c r="F4060" t="str">
        <f>"08-I04-02"</f>
        <v>08-I04-02</v>
      </c>
      <c r="G4060">
        <v>1.6229</v>
      </c>
      <c r="H4060" t="s">
        <v>14</v>
      </c>
      <c r="I4060" t="s">
        <v>10</v>
      </c>
    </row>
    <row r="4061" spans="1:9" x14ac:dyDescent="0.25">
      <c r="A4061" t="str">
        <f t="shared" si="103"/>
        <v>89301000</v>
      </c>
      <c r="B4061" t="str">
        <f>"430125123"</f>
        <v>430125123</v>
      </c>
      <c r="C4061" s="1">
        <v>45265</v>
      </c>
      <c r="D4061" s="1">
        <v>45266</v>
      </c>
      <c r="E4061">
        <v>1</v>
      </c>
      <c r="F4061" t="str">
        <f>"05-M06-06"</f>
        <v>05-M06-06</v>
      </c>
      <c r="G4061">
        <v>1.8264</v>
      </c>
      <c r="H4061" t="s">
        <v>12</v>
      </c>
      <c r="I4061" t="s">
        <v>10</v>
      </c>
    </row>
    <row r="4062" spans="1:9" x14ac:dyDescent="0.25">
      <c r="A4062" t="str">
        <f t="shared" si="103"/>
        <v>89301000</v>
      </c>
      <c r="B4062" t="str">
        <f>"430211443"</f>
        <v>430211443</v>
      </c>
      <c r="C4062" s="1">
        <v>45265</v>
      </c>
      <c r="D4062" s="1">
        <v>45266</v>
      </c>
      <c r="E4062">
        <v>1</v>
      </c>
      <c r="F4062" t="str">
        <f>"05-D01-08"</f>
        <v>05-D01-08</v>
      </c>
      <c r="G4062">
        <v>0.43159999999999998</v>
      </c>
      <c r="H4062" t="s">
        <v>11</v>
      </c>
      <c r="I4062" t="s">
        <v>10</v>
      </c>
    </row>
    <row r="4063" spans="1:9" x14ac:dyDescent="0.25">
      <c r="A4063" t="str">
        <f t="shared" si="103"/>
        <v>89301000</v>
      </c>
      <c r="B4063" t="str">
        <f>"430303452"</f>
        <v>430303452</v>
      </c>
      <c r="C4063" s="1">
        <v>45062</v>
      </c>
      <c r="D4063" s="1">
        <v>45063</v>
      </c>
      <c r="E4063">
        <v>1</v>
      </c>
      <c r="F4063" t="str">
        <f>"05-D01-06"</f>
        <v>05-D01-06</v>
      </c>
      <c r="G4063">
        <v>0.7571</v>
      </c>
      <c r="H4063" t="s">
        <v>11</v>
      </c>
      <c r="I4063" t="s">
        <v>10</v>
      </c>
    </row>
    <row r="4064" spans="1:9" x14ac:dyDescent="0.25">
      <c r="A4064" t="str">
        <f t="shared" si="103"/>
        <v>89301000</v>
      </c>
      <c r="B4064" t="str">
        <f>"430324453"</f>
        <v>430324453</v>
      </c>
      <c r="C4064" s="1">
        <v>45177</v>
      </c>
      <c r="D4064" s="1">
        <v>45191</v>
      </c>
      <c r="E4064">
        <v>1</v>
      </c>
      <c r="F4064" t="str">
        <f>"07-K06-01"</f>
        <v>07-K06-01</v>
      </c>
      <c r="G4064">
        <v>1.0947</v>
      </c>
      <c r="H4064" t="s">
        <v>11</v>
      </c>
      <c r="I4064" t="s">
        <v>10</v>
      </c>
    </row>
    <row r="4065" spans="1:9" x14ac:dyDescent="0.25">
      <c r="A4065" t="str">
        <f t="shared" ref="A4065:A4128" si="104">"89301000"</f>
        <v>89301000</v>
      </c>
      <c r="B4065" t="str">
        <f>"430324453"</f>
        <v>430324453</v>
      </c>
      <c r="C4065" s="1">
        <v>45042</v>
      </c>
      <c r="D4065" s="1">
        <v>45051</v>
      </c>
      <c r="E4065">
        <v>1</v>
      </c>
      <c r="F4065" t="str">
        <f>"07-I06-02"</f>
        <v>07-I06-02</v>
      </c>
      <c r="G4065">
        <v>2.0472000000000001</v>
      </c>
      <c r="H4065" t="s">
        <v>12</v>
      </c>
      <c r="I4065" t="s">
        <v>10</v>
      </c>
    </row>
    <row r="4066" spans="1:9" x14ac:dyDescent="0.25">
      <c r="A4066" t="str">
        <f t="shared" si="104"/>
        <v>89301000</v>
      </c>
      <c r="B4066" t="str">
        <f>"430324453"</f>
        <v>430324453</v>
      </c>
      <c r="C4066" s="1">
        <v>45258</v>
      </c>
      <c r="D4066" s="1">
        <v>45261</v>
      </c>
      <c r="E4066">
        <v>1</v>
      </c>
      <c r="F4066" t="str">
        <f>"16-C03-02"</f>
        <v>16-C03-02</v>
      </c>
      <c r="G4066">
        <v>2.5495000000000001</v>
      </c>
      <c r="H4066" t="s">
        <v>11</v>
      </c>
      <c r="I4066" t="s">
        <v>10</v>
      </c>
    </row>
    <row r="4067" spans="1:9" x14ac:dyDescent="0.25">
      <c r="A4067" t="str">
        <f t="shared" si="104"/>
        <v>89301000</v>
      </c>
      <c r="B4067" t="str">
        <f>"430324453"</f>
        <v>430324453</v>
      </c>
      <c r="C4067" s="1">
        <v>45009</v>
      </c>
      <c r="D4067" s="1">
        <v>45010</v>
      </c>
      <c r="E4067">
        <v>1</v>
      </c>
      <c r="F4067" t="str">
        <f>"07-K06-02"</f>
        <v>07-K06-02</v>
      </c>
      <c r="G4067">
        <v>0.47520000000000001</v>
      </c>
      <c r="H4067" t="s">
        <v>11</v>
      </c>
      <c r="I4067" t="s">
        <v>10</v>
      </c>
    </row>
    <row r="4068" spans="1:9" x14ac:dyDescent="0.25">
      <c r="A4068" t="str">
        <f t="shared" si="104"/>
        <v>89301000</v>
      </c>
      <c r="B4068" t="str">
        <f>"430324453"</f>
        <v>430324453</v>
      </c>
      <c r="C4068" s="1">
        <v>45152</v>
      </c>
      <c r="D4068" s="1">
        <v>45160</v>
      </c>
      <c r="E4068">
        <v>1</v>
      </c>
      <c r="F4068" t="str">
        <f>"07-K06-02"</f>
        <v>07-K06-02</v>
      </c>
      <c r="G4068">
        <v>0.56410000000000005</v>
      </c>
      <c r="H4068" t="s">
        <v>11</v>
      </c>
      <c r="I4068" t="s">
        <v>10</v>
      </c>
    </row>
    <row r="4069" spans="1:9" x14ac:dyDescent="0.25">
      <c r="A4069" t="str">
        <f t="shared" si="104"/>
        <v>89301000</v>
      </c>
      <c r="B4069" t="str">
        <f>"430326729"</f>
        <v>430326729</v>
      </c>
      <c r="C4069" s="1">
        <v>45258</v>
      </c>
      <c r="D4069" s="1">
        <v>45264</v>
      </c>
      <c r="E4069">
        <v>1</v>
      </c>
      <c r="F4069" t="str">
        <f>"17-K02-02"</f>
        <v>17-K02-02</v>
      </c>
      <c r="G4069">
        <v>0.91110000000000002</v>
      </c>
      <c r="H4069" t="s">
        <v>11</v>
      </c>
      <c r="I4069" t="s">
        <v>10</v>
      </c>
    </row>
    <row r="4070" spans="1:9" x14ac:dyDescent="0.25">
      <c r="A4070" t="str">
        <f t="shared" si="104"/>
        <v>89301000</v>
      </c>
      <c r="B4070" t="str">
        <f>"430328467"</f>
        <v>430328467</v>
      </c>
      <c r="C4070" s="1">
        <v>45182</v>
      </c>
      <c r="D4070" s="1">
        <v>45184</v>
      </c>
      <c r="E4070">
        <v>1</v>
      </c>
      <c r="F4070" t="str">
        <f>"05-M05-02"</f>
        <v>05-M05-02</v>
      </c>
      <c r="G4070">
        <v>3.5567000000000002</v>
      </c>
      <c r="H4070" t="s">
        <v>14</v>
      </c>
      <c r="I4070" t="s">
        <v>10</v>
      </c>
    </row>
    <row r="4071" spans="1:9" x14ac:dyDescent="0.25">
      <c r="A4071" t="str">
        <f t="shared" si="104"/>
        <v>89301000</v>
      </c>
      <c r="B4071" t="str">
        <f>"430330403"</f>
        <v>430330403</v>
      </c>
      <c r="C4071" s="1">
        <v>45057</v>
      </c>
      <c r="D4071" s="1">
        <v>45058</v>
      </c>
      <c r="E4071">
        <v>1</v>
      </c>
      <c r="F4071" t="str">
        <f>"05-D01-08"</f>
        <v>05-D01-08</v>
      </c>
      <c r="G4071">
        <v>0.43159999999999998</v>
      </c>
      <c r="H4071" t="s">
        <v>11</v>
      </c>
      <c r="I4071" t="s">
        <v>10</v>
      </c>
    </row>
    <row r="4072" spans="1:9" x14ac:dyDescent="0.25">
      <c r="A4072" t="str">
        <f t="shared" si="104"/>
        <v>89301000</v>
      </c>
      <c r="B4072" t="str">
        <f>"430330403"</f>
        <v>430330403</v>
      </c>
      <c r="C4072" s="1">
        <v>45091</v>
      </c>
      <c r="D4072" s="1">
        <v>45097</v>
      </c>
      <c r="E4072">
        <v>1</v>
      </c>
      <c r="F4072" t="str">
        <f>"05-I14-04"</f>
        <v>05-I14-04</v>
      </c>
      <c r="G4072">
        <v>5.3207000000000004</v>
      </c>
      <c r="H4072" t="s">
        <v>12</v>
      </c>
      <c r="I4072" t="s">
        <v>10</v>
      </c>
    </row>
    <row r="4073" spans="1:9" x14ac:dyDescent="0.25">
      <c r="A4073" t="str">
        <f t="shared" si="104"/>
        <v>89301000</v>
      </c>
      <c r="B4073" t="str">
        <f>"430408453"</f>
        <v>430408453</v>
      </c>
      <c r="C4073" s="1">
        <v>45049</v>
      </c>
      <c r="D4073" s="1">
        <v>45051</v>
      </c>
      <c r="E4073">
        <v>1</v>
      </c>
      <c r="F4073" t="str">
        <f>"05-I14-04"</f>
        <v>05-I14-04</v>
      </c>
      <c r="G4073">
        <v>5.2220000000000004</v>
      </c>
      <c r="H4073" t="s">
        <v>12</v>
      </c>
      <c r="I4073" t="s">
        <v>10</v>
      </c>
    </row>
    <row r="4074" spans="1:9" x14ac:dyDescent="0.25">
      <c r="A4074" t="str">
        <f t="shared" si="104"/>
        <v>89301000</v>
      </c>
      <c r="B4074" t="str">
        <f>"430408453"</f>
        <v>430408453</v>
      </c>
      <c r="C4074" s="1">
        <v>45022</v>
      </c>
      <c r="D4074" s="1">
        <v>45023</v>
      </c>
      <c r="E4074">
        <v>1</v>
      </c>
      <c r="F4074" t="str">
        <f>"05-D01-08"</f>
        <v>05-D01-08</v>
      </c>
      <c r="G4074">
        <v>0.43159999999999998</v>
      </c>
      <c r="H4074" t="s">
        <v>11</v>
      </c>
      <c r="I4074" t="s">
        <v>10</v>
      </c>
    </row>
    <row r="4075" spans="1:9" x14ac:dyDescent="0.25">
      <c r="A4075" t="str">
        <f t="shared" si="104"/>
        <v>89301000</v>
      </c>
      <c r="B4075" t="str">
        <f>"430408453"</f>
        <v>430408453</v>
      </c>
      <c r="C4075" s="1">
        <v>45069</v>
      </c>
      <c r="D4075" s="1">
        <v>45070</v>
      </c>
      <c r="E4075">
        <v>1</v>
      </c>
      <c r="F4075" t="str">
        <f>"05-M06-08"</f>
        <v>05-M06-08</v>
      </c>
      <c r="G4075">
        <v>1.4228000000000001</v>
      </c>
      <c r="H4075" t="s">
        <v>12</v>
      </c>
      <c r="I4075" t="s">
        <v>10</v>
      </c>
    </row>
    <row r="4076" spans="1:9" x14ac:dyDescent="0.25">
      <c r="A4076" t="str">
        <f t="shared" si="104"/>
        <v>89301000</v>
      </c>
      <c r="B4076" t="str">
        <f>"430410471"</f>
        <v>430410471</v>
      </c>
      <c r="C4076" s="1">
        <v>45221</v>
      </c>
      <c r="D4076" s="1">
        <v>45229</v>
      </c>
      <c r="E4076">
        <v>1</v>
      </c>
      <c r="F4076" t="str">
        <f>"06-K20-03"</f>
        <v>06-K20-03</v>
      </c>
      <c r="G4076">
        <v>0.4723</v>
      </c>
      <c r="H4076" t="s">
        <v>11</v>
      </c>
      <c r="I4076" t="s">
        <v>10</v>
      </c>
    </row>
    <row r="4077" spans="1:9" x14ac:dyDescent="0.25">
      <c r="A4077" t="str">
        <f t="shared" si="104"/>
        <v>89301000</v>
      </c>
      <c r="B4077" t="str">
        <f>"430415429"</f>
        <v>430415429</v>
      </c>
      <c r="C4077" s="1">
        <v>44970</v>
      </c>
      <c r="D4077" s="1">
        <v>44973</v>
      </c>
      <c r="E4077">
        <v>1</v>
      </c>
      <c r="F4077" t="str">
        <f>"12-M02-02"</f>
        <v>12-M02-02</v>
      </c>
      <c r="G4077">
        <v>0.95089999999999997</v>
      </c>
      <c r="H4077" t="s">
        <v>9</v>
      </c>
      <c r="I4077" t="s">
        <v>10</v>
      </c>
    </row>
    <row r="4078" spans="1:9" x14ac:dyDescent="0.25">
      <c r="A4078" t="str">
        <f t="shared" si="104"/>
        <v>89301000</v>
      </c>
      <c r="B4078" t="str">
        <f>"430421421"</f>
        <v>430421421</v>
      </c>
      <c r="C4078" s="1">
        <v>45222</v>
      </c>
      <c r="D4078" s="1">
        <v>45227</v>
      </c>
      <c r="E4078">
        <v>1</v>
      </c>
      <c r="F4078" t="str">
        <f>"01-I09-02"</f>
        <v>01-I09-02</v>
      </c>
      <c r="G4078">
        <v>1.5277000000000001</v>
      </c>
      <c r="H4078" t="s">
        <v>12</v>
      </c>
      <c r="I4078" t="s">
        <v>10</v>
      </c>
    </row>
    <row r="4079" spans="1:9" x14ac:dyDescent="0.25">
      <c r="A4079" t="str">
        <f t="shared" si="104"/>
        <v>89301000</v>
      </c>
      <c r="B4079" t="str">
        <f>"430428403"</f>
        <v>430428403</v>
      </c>
      <c r="C4079" s="1">
        <v>45100</v>
      </c>
      <c r="D4079" s="1">
        <v>45102</v>
      </c>
      <c r="E4079">
        <v>1</v>
      </c>
      <c r="F4079" t="str">
        <f>"02-I13-01"</f>
        <v>02-I13-01</v>
      </c>
      <c r="G4079">
        <v>0.63970000000000005</v>
      </c>
      <c r="H4079" t="s">
        <v>11</v>
      </c>
      <c r="I4079" t="s">
        <v>10</v>
      </c>
    </row>
    <row r="4080" spans="1:9" x14ac:dyDescent="0.25">
      <c r="A4080" t="str">
        <f t="shared" si="104"/>
        <v>89301000</v>
      </c>
      <c r="B4080" t="str">
        <f>"430428403"</f>
        <v>430428403</v>
      </c>
      <c r="C4080" s="1">
        <v>45110</v>
      </c>
      <c r="D4080" s="1">
        <v>45111</v>
      </c>
      <c r="E4080">
        <v>1</v>
      </c>
      <c r="F4080" t="str">
        <f>"05-D01-05"</f>
        <v>05-D01-05</v>
      </c>
      <c r="G4080">
        <v>1.4167000000000001</v>
      </c>
      <c r="H4080" t="s">
        <v>11</v>
      </c>
      <c r="I4080" t="s">
        <v>10</v>
      </c>
    </row>
    <row r="4081" spans="1:9" x14ac:dyDescent="0.25">
      <c r="A4081" t="str">
        <f t="shared" si="104"/>
        <v>89301000</v>
      </c>
      <c r="B4081" t="str">
        <f>"430428403"</f>
        <v>430428403</v>
      </c>
      <c r="C4081" s="1">
        <v>45123</v>
      </c>
      <c r="D4081" s="1">
        <v>45127</v>
      </c>
      <c r="E4081">
        <v>1</v>
      </c>
      <c r="F4081" t="str">
        <f>"09-I13-05"</f>
        <v>09-I13-05</v>
      </c>
      <c r="G4081">
        <v>1.2021999999999999</v>
      </c>
      <c r="H4081" t="s">
        <v>11</v>
      </c>
      <c r="I4081" t="s">
        <v>10</v>
      </c>
    </row>
    <row r="4082" spans="1:9" x14ac:dyDescent="0.25">
      <c r="A4082" t="str">
        <f t="shared" si="104"/>
        <v>89301000</v>
      </c>
      <c r="B4082" t="str">
        <f>"430428403"</f>
        <v>430428403</v>
      </c>
      <c r="C4082" s="1">
        <v>45188</v>
      </c>
      <c r="D4082" s="1">
        <v>45202</v>
      </c>
      <c r="E4082">
        <v>1</v>
      </c>
      <c r="F4082" t="str">
        <f>"05-I21-01"</f>
        <v>05-I21-01</v>
      </c>
      <c r="G4082">
        <v>5.0659000000000001</v>
      </c>
      <c r="H4082" t="s">
        <v>12</v>
      </c>
      <c r="I4082" t="s">
        <v>10</v>
      </c>
    </row>
    <row r="4083" spans="1:9" x14ac:dyDescent="0.25">
      <c r="A4083" t="str">
        <f t="shared" si="104"/>
        <v>89301000</v>
      </c>
      <c r="B4083" t="str">
        <f>"430428456"</f>
        <v>430428456</v>
      </c>
      <c r="C4083" s="1">
        <v>45285</v>
      </c>
      <c r="D4083" s="1">
        <v>45288</v>
      </c>
      <c r="E4083">
        <v>1</v>
      </c>
      <c r="F4083" t="str">
        <f>"04-K03-02"</f>
        <v>04-K03-02</v>
      </c>
      <c r="G4083">
        <v>0.79500000000000004</v>
      </c>
      <c r="H4083" t="s">
        <v>11</v>
      </c>
      <c r="I4083" t="s">
        <v>10</v>
      </c>
    </row>
    <row r="4084" spans="1:9" x14ac:dyDescent="0.25">
      <c r="A4084" t="str">
        <f t="shared" si="104"/>
        <v>89301000</v>
      </c>
      <c r="B4084" t="str">
        <f>"430430444"</f>
        <v>430430444</v>
      </c>
      <c r="C4084" s="1">
        <v>45118</v>
      </c>
      <c r="D4084" s="1">
        <v>45141</v>
      </c>
      <c r="E4084">
        <v>8</v>
      </c>
      <c r="F4084" t="str">
        <f>"11-K02-01"</f>
        <v>11-K02-01</v>
      </c>
      <c r="G4084">
        <v>3.2886000000000002</v>
      </c>
      <c r="H4084" t="s">
        <v>11</v>
      </c>
      <c r="I4084" t="s">
        <v>10</v>
      </c>
    </row>
    <row r="4085" spans="1:9" x14ac:dyDescent="0.25">
      <c r="A4085" t="str">
        <f t="shared" si="104"/>
        <v>89301000</v>
      </c>
      <c r="B4085" t="str">
        <f>"430505449"</f>
        <v>430505449</v>
      </c>
      <c r="C4085" s="1">
        <v>45007</v>
      </c>
      <c r="D4085" s="1">
        <v>45008</v>
      </c>
      <c r="E4085">
        <v>7</v>
      </c>
      <c r="F4085" t="str">
        <f>"05-M06-06"</f>
        <v>05-M06-06</v>
      </c>
      <c r="G4085">
        <v>1.8264</v>
      </c>
      <c r="H4085" t="s">
        <v>12</v>
      </c>
      <c r="I4085" t="s">
        <v>10</v>
      </c>
    </row>
    <row r="4086" spans="1:9" x14ac:dyDescent="0.25">
      <c r="A4086" t="str">
        <f t="shared" si="104"/>
        <v>89301000</v>
      </c>
      <c r="B4086" t="str">
        <f>"430506440"</f>
        <v>430506440</v>
      </c>
      <c r="C4086" s="1">
        <v>45037</v>
      </c>
      <c r="D4086" s="1">
        <v>45038</v>
      </c>
      <c r="E4086">
        <v>1</v>
      </c>
      <c r="F4086" t="str">
        <f>"05-D01-06"</f>
        <v>05-D01-06</v>
      </c>
      <c r="G4086">
        <v>0.7571</v>
      </c>
      <c r="H4086" t="s">
        <v>11</v>
      </c>
      <c r="I4086" t="s">
        <v>10</v>
      </c>
    </row>
    <row r="4087" spans="1:9" x14ac:dyDescent="0.25">
      <c r="A4087" t="str">
        <f t="shared" si="104"/>
        <v>89301000</v>
      </c>
      <c r="B4087" t="str">
        <f>"430509459"</f>
        <v>430509459</v>
      </c>
      <c r="C4087" s="1">
        <v>45258</v>
      </c>
      <c r="D4087" s="1">
        <v>45266</v>
      </c>
      <c r="E4087">
        <v>1</v>
      </c>
      <c r="F4087" t="str">
        <f>"05-M07-02"</f>
        <v>05-M07-02</v>
      </c>
      <c r="G4087">
        <v>2.774</v>
      </c>
      <c r="H4087" t="s">
        <v>12</v>
      </c>
      <c r="I4087" t="s">
        <v>10</v>
      </c>
    </row>
    <row r="4088" spans="1:9" x14ac:dyDescent="0.25">
      <c r="A4088" t="str">
        <f t="shared" si="104"/>
        <v>89301000</v>
      </c>
      <c r="B4088" t="str">
        <f>"430509459"</f>
        <v>430509459</v>
      </c>
      <c r="C4088" s="1">
        <v>45011</v>
      </c>
      <c r="D4088" s="1">
        <v>45020</v>
      </c>
      <c r="E4088">
        <v>1</v>
      </c>
      <c r="F4088" t="str">
        <f>"05-I24-02"</f>
        <v>05-I24-02</v>
      </c>
      <c r="G4088">
        <v>3.9392</v>
      </c>
      <c r="H4088" t="s">
        <v>12</v>
      </c>
      <c r="I4088" t="s">
        <v>10</v>
      </c>
    </row>
    <row r="4089" spans="1:9" x14ac:dyDescent="0.25">
      <c r="A4089" t="str">
        <f t="shared" si="104"/>
        <v>89301000</v>
      </c>
      <c r="B4089" t="str">
        <f>"430529408"</f>
        <v>430529408</v>
      </c>
      <c r="C4089" s="1">
        <v>45182</v>
      </c>
      <c r="D4089" s="1">
        <v>45183</v>
      </c>
      <c r="E4089">
        <v>1</v>
      </c>
      <c r="F4089" t="str">
        <f>"06-M01-05"</f>
        <v>06-M01-05</v>
      </c>
      <c r="G4089">
        <v>0.4178</v>
      </c>
      <c r="H4089" t="s">
        <v>11</v>
      </c>
      <c r="I4089" t="s">
        <v>10</v>
      </c>
    </row>
    <row r="4090" spans="1:9" x14ac:dyDescent="0.25">
      <c r="A4090" t="str">
        <f t="shared" si="104"/>
        <v>89301000</v>
      </c>
      <c r="B4090" t="str">
        <f>"430602118"</f>
        <v>430602118</v>
      </c>
      <c r="C4090" s="1">
        <v>45258</v>
      </c>
      <c r="D4090" s="1">
        <v>45261</v>
      </c>
      <c r="E4090">
        <v>1</v>
      </c>
      <c r="F4090" t="str">
        <f>"06-M01-02"</f>
        <v>06-M01-02</v>
      </c>
      <c r="G4090">
        <v>1.2206999999999999</v>
      </c>
      <c r="H4090" t="s">
        <v>11</v>
      </c>
      <c r="I4090" t="s">
        <v>10</v>
      </c>
    </row>
    <row r="4091" spans="1:9" x14ac:dyDescent="0.25">
      <c r="A4091" t="str">
        <f t="shared" si="104"/>
        <v>89301000</v>
      </c>
      <c r="B4091" t="str">
        <f>"430602118"</f>
        <v>430602118</v>
      </c>
      <c r="C4091" s="1">
        <v>45195</v>
      </c>
      <c r="D4091" s="1">
        <v>45196</v>
      </c>
      <c r="E4091">
        <v>1</v>
      </c>
      <c r="F4091" t="str">
        <f>"06-M01-05"</f>
        <v>06-M01-05</v>
      </c>
      <c r="G4091">
        <v>0.4481</v>
      </c>
      <c r="H4091" t="s">
        <v>11</v>
      </c>
      <c r="I4091" t="s">
        <v>10</v>
      </c>
    </row>
    <row r="4092" spans="1:9" x14ac:dyDescent="0.25">
      <c r="A4092" t="str">
        <f t="shared" si="104"/>
        <v>89301000</v>
      </c>
      <c r="B4092" t="str">
        <f>"430604441"</f>
        <v>430604441</v>
      </c>
      <c r="C4092" s="1">
        <v>45136</v>
      </c>
      <c r="D4092" s="1">
        <v>45142</v>
      </c>
      <c r="E4092">
        <v>1</v>
      </c>
      <c r="F4092" t="str">
        <f>"08-K01-02"</f>
        <v>08-K01-02</v>
      </c>
      <c r="G4092">
        <v>0.91659999999999997</v>
      </c>
      <c r="H4092" t="s">
        <v>11</v>
      </c>
      <c r="I4092" t="s">
        <v>10</v>
      </c>
    </row>
    <row r="4093" spans="1:9" x14ac:dyDescent="0.25">
      <c r="A4093" t="str">
        <f t="shared" si="104"/>
        <v>89301000</v>
      </c>
      <c r="B4093" t="str">
        <f>"430611423"</f>
        <v>430611423</v>
      </c>
      <c r="C4093" s="1">
        <v>45229</v>
      </c>
      <c r="D4093" s="1">
        <v>45240</v>
      </c>
      <c r="E4093">
        <v>1</v>
      </c>
      <c r="F4093" t="str">
        <f>"24-M06-02"</f>
        <v>24-M06-02</v>
      </c>
      <c r="G4093">
        <v>1.0699000000000001</v>
      </c>
      <c r="H4093" t="s">
        <v>11</v>
      </c>
      <c r="I4093" t="s">
        <v>10</v>
      </c>
    </row>
    <row r="4094" spans="1:9" x14ac:dyDescent="0.25">
      <c r="A4094" t="str">
        <f t="shared" si="104"/>
        <v>89301000</v>
      </c>
      <c r="B4094" t="str">
        <f>"430611423"</f>
        <v>430611423</v>
      </c>
      <c r="C4094" s="1">
        <v>45222</v>
      </c>
      <c r="D4094" s="1">
        <v>45229</v>
      </c>
      <c r="E4094">
        <v>3</v>
      </c>
      <c r="F4094" t="str">
        <f>"08-I05-06"</f>
        <v>08-I05-06</v>
      </c>
      <c r="G4094">
        <v>2.0308000000000002</v>
      </c>
      <c r="H4094" t="s">
        <v>12</v>
      </c>
      <c r="I4094" t="s">
        <v>10</v>
      </c>
    </row>
    <row r="4095" spans="1:9" x14ac:dyDescent="0.25">
      <c r="A4095" t="str">
        <f t="shared" si="104"/>
        <v>89301000</v>
      </c>
      <c r="B4095" t="str">
        <f>"430621435"</f>
        <v>430621435</v>
      </c>
      <c r="C4095" s="1">
        <v>44938</v>
      </c>
      <c r="D4095" s="1">
        <v>44939</v>
      </c>
      <c r="E4095">
        <v>1</v>
      </c>
      <c r="F4095" t="str">
        <f>"05-M06-06"</f>
        <v>05-M06-06</v>
      </c>
      <c r="G4095">
        <v>1.8264</v>
      </c>
      <c r="H4095" t="s">
        <v>12</v>
      </c>
      <c r="I4095" t="s">
        <v>10</v>
      </c>
    </row>
    <row r="4096" spans="1:9" x14ac:dyDescent="0.25">
      <c r="A4096" t="str">
        <f t="shared" si="104"/>
        <v>89301000</v>
      </c>
      <c r="B4096" t="str">
        <f>"430621435"</f>
        <v>430621435</v>
      </c>
      <c r="C4096" s="1">
        <v>45218</v>
      </c>
      <c r="D4096" s="1">
        <v>45219</v>
      </c>
      <c r="E4096">
        <v>1</v>
      </c>
      <c r="F4096" t="str">
        <f>"05-I14-04"</f>
        <v>05-I14-04</v>
      </c>
      <c r="G4096">
        <v>5.2220000000000004</v>
      </c>
      <c r="H4096" t="s">
        <v>12</v>
      </c>
      <c r="I4096" t="s">
        <v>10</v>
      </c>
    </row>
    <row r="4097" spans="1:9" x14ac:dyDescent="0.25">
      <c r="A4097" t="str">
        <f t="shared" si="104"/>
        <v>89301000</v>
      </c>
      <c r="B4097" t="str">
        <f>"430629439"</f>
        <v>430629439</v>
      </c>
      <c r="C4097" s="1">
        <v>45190</v>
      </c>
      <c r="D4097" s="1">
        <v>45199</v>
      </c>
      <c r="E4097">
        <v>1</v>
      </c>
      <c r="F4097" t="str">
        <f>"01-I07-04"</f>
        <v>01-I07-04</v>
      </c>
      <c r="G4097">
        <v>1.9818</v>
      </c>
      <c r="H4097" t="s">
        <v>12</v>
      </c>
      <c r="I4097" t="s">
        <v>10</v>
      </c>
    </row>
    <row r="4098" spans="1:9" x14ac:dyDescent="0.25">
      <c r="A4098" t="str">
        <f t="shared" si="104"/>
        <v>89301000</v>
      </c>
      <c r="B4098" t="str">
        <f>"430715420"</f>
        <v>430715420</v>
      </c>
      <c r="C4098" s="1">
        <v>44935</v>
      </c>
      <c r="D4098" s="1">
        <v>44939</v>
      </c>
      <c r="E4098">
        <v>1</v>
      </c>
      <c r="F4098" t="str">
        <f>"06-K14-01"</f>
        <v>06-K14-01</v>
      </c>
      <c r="G4098">
        <v>1.2667999999999999</v>
      </c>
      <c r="H4098" t="s">
        <v>11</v>
      </c>
      <c r="I4098" t="s">
        <v>10</v>
      </c>
    </row>
    <row r="4099" spans="1:9" x14ac:dyDescent="0.25">
      <c r="A4099" t="str">
        <f t="shared" si="104"/>
        <v>89301000</v>
      </c>
      <c r="B4099" t="str">
        <f>"430715420"</f>
        <v>430715420</v>
      </c>
      <c r="C4099" s="1">
        <v>44981</v>
      </c>
      <c r="D4099" s="1">
        <v>44994</v>
      </c>
      <c r="E4099">
        <v>1</v>
      </c>
      <c r="F4099" t="str">
        <f>"06-I07-05"</f>
        <v>06-I07-05</v>
      </c>
      <c r="G4099">
        <v>2.7919999999999998</v>
      </c>
      <c r="H4099" t="s">
        <v>12</v>
      </c>
      <c r="I4099" t="s">
        <v>10</v>
      </c>
    </row>
    <row r="4100" spans="1:9" x14ac:dyDescent="0.25">
      <c r="A4100" t="str">
        <f t="shared" si="104"/>
        <v>89301000</v>
      </c>
      <c r="B4100" t="str">
        <f>"430723464"</f>
        <v>430723464</v>
      </c>
      <c r="C4100" s="1">
        <v>45167</v>
      </c>
      <c r="D4100" s="1">
        <v>45168</v>
      </c>
      <c r="E4100">
        <v>1</v>
      </c>
      <c r="F4100" t="str">
        <f>"23-K04-01"</f>
        <v>23-K04-01</v>
      </c>
      <c r="G4100">
        <v>0.46829999999999999</v>
      </c>
      <c r="H4100" t="s">
        <v>11</v>
      </c>
      <c r="I4100" t="s">
        <v>10</v>
      </c>
    </row>
    <row r="4101" spans="1:9" x14ac:dyDescent="0.25">
      <c r="A4101" t="str">
        <f t="shared" si="104"/>
        <v>89301000</v>
      </c>
      <c r="B4101" t="str">
        <f>"430726426"</f>
        <v>430726426</v>
      </c>
      <c r="C4101" s="1">
        <v>45081</v>
      </c>
      <c r="D4101" s="1">
        <v>45100</v>
      </c>
      <c r="E4101">
        <v>1</v>
      </c>
      <c r="F4101" t="str">
        <f>"04-K06-01"</f>
        <v>04-K06-01</v>
      </c>
      <c r="G4101">
        <v>2.1379000000000001</v>
      </c>
      <c r="H4101" t="s">
        <v>11</v>
      </c>
      <c r="I4101" t="s">
        <v>10</v>
      </c>
    </row>
    <row r="4102" spans="1:9" x14ac:dyDescent="0.25">
      <c r="A4102" t="str">
        <f t="shared" si="104"/>
        <v>89301000</v>
      </c>
      <c r="B4102" t="str">
        <f>"430726426"</f>
        <v>430726426</v>
      </c>
      <c r="C4102" s="1">
        <v>44922</v>
      </c>
      <c r="D4102" s="1">
        <v>44928</v>
      </c>
      <c r="E4102">
        <v>1</v>
      </c>
      <c r="F4102" t="str">
        <f>"04-K08-03"</f>
        <v>04-K08-03</v>
      </c>
      <c r="G4102">
        <v>1.7977000000000001</v>
      </c>
      <c r="H4102" t="s">
        <v>11</v>
      </c>
      <c r="I4102" t="s">
        <v>10</v>
      </c>
    </row>
    <row r="4103" spans="1:9" x14ac:dyDescent="0.25">
      <c r="A4103" t="str">
        <f t="shared" si="104"/>
        <v>89301000</v>
      </c>
      <c r="B4103" t="str">
        <f>"430809454"</f>
        <v>430809454</v>
      </c>
      <c r="C4103" s="1">
        <v>45044</v>
      </c>
      <c r="D4103" s="1">
        <v>45051</v>
      </c>
      <c r="E4103">
        <v>1</v>
      </c>
      <c r="F4103" t="str">
        <f>"11-K03-02"</f>
        <v>11-K03-02</v>
      </c>
      <c r="G4103">
        <v>0.622</v>
      </c>
      <c r="H4103" t="s">
        <v>11</v>
      </c>
      <c r="I4103" t="s">
        <v>10</v>
      </c>
    </row>
    <row r="4104" spans="1:9" x14ac:dyDescent="0.25">
      <c r="A4104" t="str">
        <f t="shared" si="104"/>
        <v>89301000</v>
      </c>
      <c r="B4104" t="str">
        <f>"430902421"</f>
        <v>430902421</v>
      </c>
      <c r="C4104" s="1">
        <v>45161</v>
      </c>
      <c r="D4104" s="1">
        <v>45168</v>
      </c>
      <c r="E4104">
        <v>1</v>
      </c>
      <c r="F4104" t="str">
        <f>"11-M02-06"</f>
        <v>11-M02-06</v>
      </c>
      <c r="G4104">
        <v>1.2212000000000001</v>
      </c>
      <c r="H4104" t="s">
        <v>11</v>
      </c>
      <c r="I4104" t="s">
        <v>10</v>
      </c>
    </row>
    <row r="4105" spans="1:9" x14ac:dyDescent="0.25">
      <c r="A4105" t="str">
        <f t="shared" si="104"/>
        <v>89301000</v>
      </c>
      <c r="B4105" t="str">
        <f>"430912456"</f>
        <v>430912456</v>
      </c>
      <c r="C4105" s="1">
        <v>45008</v>
      </c>
      <c r="D4105" s="1">
        <v>45014</v>
      </c>
      <c r="E4105">
        <v>1</v>
      </c>
      <c r="F4105" t="str">
        <f>"01-K04-02"</f>
        <v>01-K04-02</v>
      </c>
      <c r="G4105">
        <v>0.79990000000000006</v>
      </c>
      <c r="H4105" t="s">
        <v>11</v>
      </c>
      <c r="I4105" t="s">
        <v>10</v>
      </c>
    </row>
    <row r="4106" spans="1:9" x14ac:dyDescent="0.25">
      <c r="A4106" t="str">
        <f t="shared" si="104"/>
        <v>89301000</v>
      </c>
      <c r="B4106" t="str">
        <f>"430914408"</f>
        <v>430914408</v>
      </c>
      <c r="C4106" s="1">
        <v>45217</v>
      </c>
      <c r="D4106" s="1">
        <v>45220</v>
      </c>
      <c r="E4106">
        <v>1</v>
      </c>
      <c r="F4106" t="str">
        <f>"04-K09-03"</f>
        <v>04-K09-03</v>
      </c>
      <c r="G4106">
        <v>0.629</v>
      </c>
      <c r="H4106" t="s">
        <v>11</v>
      </c>
      <c r="I4106" t="s">
        <v>10</v>
      </c>
    </row>
    <row r="4107" spans="1:9" x14ac:dyDescent="0.25">
      <c r="A4107" t="str">
        <f t="shared" si="104"/>
        <v>89301000</v>
      </c>
      <c r="B4107" t="str">
        <f>"430919483"</f>
        <v>430919483</v>
      </c>
      <c r="C4107" s="1">
        <v>45287</v>
      </c>
      <c r="D4107" s="1">
        <v>45289</v>
      </c>
      <c r="E4107">
        <v>5</v>
      </c>
      <c r="F4107" t="str">
        <f>"08-I03-07"</f>
        <v>08-I03-07</v>
      </c>
      <c r="G4107">
        <v>2.8494000000000002</v>
      </c>
      <c r="H4107" t="s">
        <v>9</v>
      </c>
      <c r="I4107" t="s">
        <v>10</v>
      </c>
    </row>
    <row r="4108" spans="1:9" x14ac:dyDescent="0.25">
      <c r="A4108" t="str">
        <f t="shared" si="104"/>
        <v>89301000</v>
      </c>
      <c r="B4108" t="str">
        <f>"430920449"</f>
        <v>430920449</v>
      </c>
      <c r="C4108" s="1">
        <v>45063</v>
      </c>
      <c r="D4108" s="1">
        <v>45068</v>
      </c>
      <c r="E4108">
        <v>1</v>
      </c>
      <c r="F4108" t="str">
        <f>"06-I21-03"</f>
        <v>06-I21-03</v>
      </c>
      <c r="G4108">
        <v>0.4572</v>
      </c>
      <c r="H4108" t="s">
        <v>12</v>
      </c>
      <c r="I4108" t="s">
        <v>10</v>
      </c>
    </row>
    <row r="4109" spans="1:9" x14ac:dyDescent="0.25">
      <c r="A4109" t="str">
        <f t="shared" si="104"/>
        <v>89301000</v>
      </c>
      <c r="B4109" t="str">
        <f>"431001427"</f>
        <v>431001427</v>
      </c>
      <c r="C4109" s="1">
        <v>45279</v>
      </c>
      <c r="D4109" s="1">
        <v>45281</v>
      </c>
      <c r="E4109">
        <v>8</v>
      </c>
      <c r="F4109" t="str">
        <f>"05-K06-01"</f>
        <v>05-K06-01</v>
      </c>
      <c r="G4109">
        <v>3.1059000000000001</v>
      </c>
      <c r="H4109" t="s">
        <v>11</v>
      </c>
      <c r="I4109" t="s">
        <v>10</v>
      </c>
    </row>
    <row r="4110" spans="1:9" x14ac:dyDescent="0.25">
      <c r="A4110" t="str">
        <f t="shared" si="104"/>
        <v>89301000</v>
      </c>
      <c r="B4110" t="str">
        <f>"431011413"</f>
        <v>431011413</v>
      </c>
      <c r="C4110" s="1">
        <v>45252</v>
      </c>
      <c r="D4110" s="1">
        <v>45258</v>
      </c>
      <c r="E4110">
        <v>1</v>
      </c>
      <c r="F4110" t="str">
        <f>"08-I04-02"</f>
        <v>08-I04-02</v>
      </c>
      <c r="G4110">
        <v>1.6229</v>
      </c>
      <c r="H4110" t="s">
        <v>14</v>
      </c>
      <c r="I4110" t="s">
        <v>10</v>
      </c>
    </row>
    <row r="4111" spans="1:9" x14ac:dyDescent="0.25">
      <c r="A4111" t="str">
        <f t="shared" si="104"/>
        <v>89301000</v>
      </c>
      <c r="B4111" t="str">
        <f>"431013440"</f>
        <v>431013440</v>
      </c>
      <c r="C4111" s="1">
        <v>45180</v>
      </c>
      <c r="D4111" s="1">
        <v>45196</v>
      </c>
      <c r="E4111">
        <v>1</v>
      </c>
      <c r="F4111" t="str">
        <f>"06-I12-03"</f>
        <v>06-I12-03</v>
      </c>
      <c r="G4111">
        <v>1.9540999999999999</v>
      </c>
      <c r="H4111" t="s">
        <v>11</v>
      </c>
      <c r="I4111" t="s">
        <v>10</v>
      </c>
    </row>
    <row r="4112" spans="1:9" x14ac:dyDescent="0.25">
      <c r="A4112" t="str">
        <f t="shared" si="104"/>
        <v>89301000</v>
      </c>
      <c r="B4112" t="str">
        <f>"431020421"</f>
        <v>431020421</v>
      </c>
      <c r="C4112" s="1">
        <v>45131</v>
      </c>
      <c r="D4112" s="1">
        <v>45132</v>
      </c>
      <c r="E4112">
        <v>1</v>
      </c>
      <c r="F4112" t="str">
        <f>"05-D01-08"</f>
        <v>05-D01-08</v>
      </c>
      <c r="G4112">
        <v>0.43159999999999998</v>
      </c>
      <c r="H4112" t="s">
        <v>11</v>
      </c>
      <c r="I4112" t="s">
        <v>10</v>
      </c>
    </row>
    <row r="4113" spans="1:9" x14ac:dyDescent="0.25">
      <c r="A4113" t="str">
        <f t="shared" si="104"/>
        <v>89301000</v>
      </c>
      <c r="B4113" t="str">
        <f>"431023443"</f>
        <v>431023443</v>
      </c>
      <c r="C4113" s="1">
        <v>45264</v>
      </c>
      <c r="D4113" s="1">
        <v>45266</v>
      </c>
      <c r="E4113">
        <v>1</v>
      </c>
      <c r="F4113" t="str">
        <f>"05-I14-04"</f>
        <v>05-I14-04</v>
      </c>
      <c r="G4113">
        <v>5.2220000000000004</v>
      </c>
      <c r="H4113" t="s">
        <v>12</v>
      </c>
      <c r="I4113" t="s">
        <v>10</v>
      </c>
    </row>
    <row r="4114" spans="1:9" x14ac:dyDescent="0.25">
      <c r="A4114" t="str">
        <f t="shared" si="104"/>
        <v>89301000</v>
      </c>
      <c r="B4114" t="str">
        <f>"431023443"</f>
        <v>431023443</v>
      </c>
      <c r="C4114" s="1">
        <v>45217</v>
      </c>
      <c r="D4114" s="1">
        <v>45218</v>
      </c>
      <c r="E4114">
        <v>1</v>
      </c>
      <c r="F4114" t="str">
        <f>"05-D01-08"</f>
        <v>05-D01-08</v>
      </c>
      <c r="G4114">
        <v>0.98650000000000004</v>
      </c>
      <c r="H4114" t="s">
        <v>11</v>
      </c>
      <c r="I4114" t="s">
        <v>10</v>
      </c>
    </row>
    <row r="4115" spans="1:9" x14ac:dyDescent="0.25">
      <c r="A4115" t="str">
        <f t="shared" si="104"/>
        <v>89301000</v>
      </c>
      <c r="B4115" t="str">
        <f>"431028431"</f>
        <v>431028431</v>
      </c>
      <c r="C4115" s="1">
        <v>45215</v>
      </c>
      <c r="D4115" s="1">
        <v>45219</v>
      </c>
      <c r="E4115">
        <v>1</v>
      </c>
      <c r="F4115" t="str">
        <f>"01-I09-02"</f>
        <v>01-I09-02</v>
      </c>
      <c r="G4115">
        <v>1.5277000000000001</v>
      </c>
      <c r="H4115" t="s">
        <v>12</v>
      </c>
      <c r="I4115" t="s">
        <v>10</v>
      </c>
    </row>
    <row r="4116" spans="1:9" x14ac:dyDescent="0.25">
      <c r="A4116" t="str">
        <f t="shared" si="104"/>
        <v>89301000</v>
      </c>
      <c r="B4116" t="str">
        <f>"431107443"</f>
        <v>431107443</v>
      </c>
      <c r="C4116" s="1">
        <v>45056</v>
      </c>
      <c r="D4116" s="1">
        <v>45058</v>
      </c>
      <c r="E4116">
        <v>1</v>
      </c>
      <c r="F4116" t="str">
        <f>"11-M06-03"</f>
        <v>11-M06-03</v>
      </c>
      <c r="G4116">
        <v>0.62009999999999998</v>
      </c>
      <c r="H4116" t="s">
        <v>12</v>
      </c>
      <c r="I4116" t="s">
        <v>10</v>
      </c>
    </row>
    <row r="4117" spans="1:9" x14ac:dyDescent="0.25">
      <c r="A4117" t="str">
        <f t="shared" si="104"/>
        <v>89301000</v>
      </c>
      <c r="B4117" t="str">
        <f>"431110438"</f>
        <v>431110438</v>
      </c>
      <c r="C4117" s="1">
        <v>45270</v>
      </c>
      <c r="D4117" s="1">
        <v>45275</v>
      </c>
      <c r="E4117">
        <v>1</v>
      </c>
      <c r="F4117" t="str">
        <f>"08-I31-04"</f>
        <v>08-I31-04</v>
      </c>
      <c r="G4117">
        <v>0.49170000000000003</v>
      </c>
      <c r="H4117" t="s">
        <v>11</v>
      </c>
      <c r="I4117" t="s">
        <v>10</v>
      </c>
    </row>
    <row r="4118" spans="1:9" x14ac:dyDescent="0.25">
      <c r="A4118" t="str">
        <f t="shared" si="104"/>
        <v>89301000</v>
      </c>
      <c r="B4118" t="str">
        <f>"431118420"</f>
        <v>431118420</v>
      </c>
      <c r="C4118" s="1">
        <v>45077</v>
      </c>
      <c r="D4118" s="1">
        <v>45078</v>
      </c>
      <c r="E4118">
        <v>1</v>
      </c>
      <c r="F4118" t="str">
        <f>"05-M06-08"</f>
        <v>05-M06-08</v>
      </c>
      <c r="G4118">
        <v>1.4228000000000001</v>
      </c>
      <c r="H4118" t="s">
        <v>12</v>
      </c>
      <c r="I4118" t="s">
        <v>10</v>
      </c>
    </row>
    <row r="4119" spans="1:9" x14ac:dyDescent="0.25">
      <c r="A4119" t="str">
        <f t="shared" si="104"/>
        <v>89301000</v>
      </c>
      <c r="B4119" t="str">
        <f>"431122418"</f>
        <v>431122418</v>
      </c>
      <c r="C4119" s="1">
        <v>45093</v>
      </c>
      <c r="D4119" s="1">
        <v>45094</v>
      </c>
      <c r="E4119">
        <v>1</v>
      </c>
      <c r="F4119" t="str">
        <f>"01-K05-02"</f>
        <v>01-K05-02</v>
      </c>
      <c r="G4119">
        <v>0.57299999999999995</v>
      </c>
      <c r="H4119" t="s">
        <v>11</v>
      </c>
      <c r="I4119" t="s">
        <v>10</v>
      </c>
    </row>
    <row r="4120" spans="1:9" x14ac:dyDescent="0.25">
      <c r="A4120" t="str">
        <f t="shared" si="104"/>
        <v>89301000</v>
      </c>
      <c r="B4120" t="str">
        <f>"431216442"</f>
        <v>431216442</v>
      </c>
      <c r="C4120" s="1">
        <v>45090</v>
      </c>
      <c r="D4120" s="1">
        <v>45097</v>
      </c>
      <c r="E4120">
        <v>1</v>
      </c>
      <c r="F4120" t="str">
        <f>"06-I07-05"</f>
        <v>06-I07-05</v>
      </c>
      <c r="G4120">
        <v>2.7919999999999998</v>
      </c>
      <c r="H4120" t="s">
        <v>12</v>
      </c>
      <c r="I4120" t="s">
        <v>10</v>
      </c>
    </row>
    <row r="4121" spans="1:9" x14ac:dyDescent="0.25">
      <c r="A4121" t="str">
        <f t="shared" si="104"/>
        <v>89301000</v>
      </c>
      <c r="B4121" t="str">
        <f>"431221459"</f>
        <v>431221459</v>
      </c>
      <c r="C4121" s="1">
        <v>45202</v>
      </c>
      <c r="D4121" s="1">
        <v>45204</v>
      </c>
      <c r="E4121">
        <v>1</v>
      </c>
      <c r="F4121" t="str">
        <f>"05-M09-00"</f>
        <v>05-M09-00</v>
      </c>
      <c r="G4121">
        <v>1.2278</v>
      </c>
      <c r="H4121" t="s">
        <v>11</v>
      </c>
      <c r="I4121" t="s">
        <v>10</v>
      </c>
    </row>
    <row r="4122" spans="1:9" x14ac:dyDescent="0.25">
      <c r="A4122" t="str">
        <f t="shared" si="104"/>
        <v>89301000</v>
      </c>
      <c r="B4122" t="str">
        <f>"431221459"</f>
        <v>431221459</v>
      </c>
      <c r="C4122" s="1">
        <v>45058</v>
      </c>
      <c r="D4122" s="1">
        <v>45059</v>
      </c>
      <c r="E4122">
        <v>1</v>
      </c>
      <c r="F4122" t="str">
        <f>"05-I25-04"</f>
        <v>05-I25-04</v>
      </c>
      <c r="G4122">
        <v>1.2108000000000001</v>
      </c>
      <c r="H4122" t="s">
        <v>12</v>
      </c>
      <c r="I4122" t="s">
        <v>10</v>
      </c>
    </row>
    <row r="4123" spans="1:9" x14ac:dyDescent="0.25">
      <c r="A4123" t="str">
        <f t="shared" si="104"/>
        <v>89301000</v>
      </c>
      <c r="B4123" t="str">
        <f>"431221459"</f>
        <v>431221459</v>
      </c>
      <c r="C4123" s="1">
        <v>45258</v>
      </c>
      <c r="D4123" s="1">
        <v>45259</v>
      </c>
      <c r="E4123">
        <v>1</v>
      </c>
      <c r="F4123" t="str">
        <f>"05-I21-02"</f>
        <v>05-I21-02</v>
      </c>
      <c r="G4123">
        <v>2.9087999999999998</v>
      </c>
      <c r="H4123" t="s">
        <v>12</v>
      </c>
      <c r="I4123" t="s">
        <v>10</v>
      </c>
    </row>
    <row r="4124" spans="1:9" x14ac:dyDescent="0.25">
      <c r="A4124" t="str">
        <f t="shared" si="104"/>
        <v>89301000</v>
      </c>
      <c r="B4124" t="str">
        <f>"435105444"</f>
        <v>435105444</v>
      </c>
      <c r="C4124" s="1">
        <v>45034</v>
      </c>
      <c r="D4124" s="1">
        <v>45042</v>
      </c>
      <c r="E4124">
        <v>1</v>
      </c>
      <c r="F4124" t="str">
        <f>"02-K05-01"</f>
        <v>02-K05-01</v>
      </c>
      <c r="G4124">
        <v>0.68920000000000003</v>
      </c>
      <c r="H4124" t="s">
        <v>11</v>
      </c>
      <c r="I4124" t="s">
        <v>10</v>
      </c>
    </row>
    <row r="4125" spans="1:9" x14ac:dyDescent="0.25">
      <c r="A4125" t="str">
        <f t="shared" si="104"/>
        <v>89301000</v>
      </c>
      <c r="B4125" t="str">
        <f>"435110455"</f>
        <v>435110455</v>
      </c>
      <c r="C4125" s="1">
        <v>44967</v>
      </c>
      <c r="D4125" s="1">
        <v>44993</v>
      </c>
      <c r="E4125">
        <v>1</v>
      </c>
      <c r="F4125" t="str">
        <f>"10-K12-03"</f>
        <v>10-K12-03</v>
      </c>
      <c r="G4125">
        <v>1.4911000000000001</v>
      </c>
      <c r="H4125" t="s">
        <v>11</v>
      </c>
      <c r="I4125" t="s">
        <v>10</v>
      </c>
    </row>
    <row r="4126" spans="1:9" x14ac:dyDescent="0.25">
      <c r="A4126" t="str">
        <f t="shared" si="104"/>
        <v>89301000</v>
      </c>
      <c r="B4126" t="str">
        <f>"435120420"</f>
        <v>435120420</v>
      </c>
      <c r="C4126" s="1">
        <v>45252</v>
      </c>
      <c r="D4126" s="1">
        <v>45253</v>
      </c>
      <c r="E4126">
        <v>1</v>
      </c>
      <c r="F4126" t="str">
        <f>"05-I25-03"</f>
        <v>05-I25-03</v>
      </c>
      <c r="G4126">
        <v>1.633</v>
      </c>
      <c r="H4126" t="s">
        <v>12</v>
      </c>
      <c r="I4126" t="s">
        <v>10</v>
      </c>
    </row>
    <row r="4127" spans="1:9" x14ac:dyDescent="0.25">
      <c r="A4127" t="str">
        <f t="shared" si="104"/>
        <v>89301000</v>
      </c>
      <c r="B4127" t="str">
        <f>"435122447"</f>
        <v>435122447</v>
      </c>
      <c r="C4127" s="1">
        <v>45035</v>
      </c>
      <c r="D4127" s="1">
        <v>45043</v>
      </c>
      <c r="E4127">
        <v>1</v>
      </c>
      <c r="F4127" t="str">
        <f>"09-K02-00"</f>
        <v>09-K02-00</v>
      </c>
      <c r="G4127">
        <v>0.99539999999999995</v>
      </c>
      <c r="H4127" t="s">
        <v>11</v>
      </c>
      <c r="I4127" t="s">
        <v>10</v>
      </c>
    </row>
    <row r="4128" spans="1:9" x14ac:dyDescent="0.25">
      <c r="A4128" t="str">
        <f t="shared" si="104"/>
        <v>89301000</v>
      </c>
      <c r="B4128" t="str">
        <f>"435130716"</f>
        <v>435130716</v>
      </c>
      <c r="C4128" s="1">
        <v>45162</v>
      </c>
      <c r="D4128" s="1">
        <v>45162</v>
      </c>
      <c r="E4128">
        <v>1</v>
      </c>
      <c r="F4128" t="str">
        <f>"05-D01-08"</f>
        <v>05-D01-08</v>
      </c>
      <c r="G4128">
        <v>0.2303</v>
      </c>
      <c r="H4128" t="s">
        <v>11</v>
      </c>
      <c r="I4128" t="s">
        <v>10</v>
      </c>
    </row>
    <row r="4129" spans="1:9" x14ac:dyDescent="0.25">
      <c r="A4129" t="str">
        <f t="shared" ref="A4129:A4192" si="105">"89301000"</f>
        <v>89301000</v>
      </c>
      <c r="B4129" t="str">
        <f>"435204416"</f>
        <v>435204416</v>
      </c>
      <c r="C4129" s="1">
        <v>45013</v>
      </c>
      <c r="D4129" s="1">
        <v>45014</v>
      </c>
      <c r="E4129">
        <v>1</v>
      </c>
      <c r="F4129" t="str">
        <f>"05-D01-08"</f>
        <v>05-D01-08</v>
      </c>
      <c r="G4129">
        <v>0.72970000000000002</v>
      </c>
      <c r="H4129" t="s">
        <v>11</v>
      </c>
      <c r="I4129" t="s">
        <v>10</v>
      </c>
    </row>
    <row r="4130" spans="1:9" x14ac:dyDescent="0.25">
      <c r="A4130" t="str">
        <f t="shared" si="105"/>
        <v>89301000</v>
      </c>
      <c r="B4130" t="str">
        <f>"435205452"</f>
        <v>435205452</v>
      </c>
      <c r="C4130" s="1">
        <v>45096</v>
      </c>
      <c r="D4130" s="1">
        <v>45097</v>
      </c>
      <c r="E4130">
        <v>1</v>
      </c>
      <c r="F4130" t="str">
        <f>"09-C03-01"</f>
        <v>09-C03-01</v>
      </c>
      <c r="G4130">
        <v>0.2442</v>
      </c>
      <c r="H4130" t="s">
        <v>11</v>
      </c>
      <c r="I4130" t="s">
        <v>10</v>
      </c>
    </row>
    <row r="4131" spans="1:9" x14ac:dyDescent="0.25">
      <c r="A4131" t="str">
        <f t="shared" si="105"/>
        <v>89301000</v>
      </c>
      <c r="B4131" t="str">
        <f>"435206468"</f>
        <v>435206468</v>
      </c>
      <c r="C4131" s="1">
        <v>45048</v>
      </c>
      <c r="D4131" s="1">
        <v>45056</v>
      </c>
      <c r="E4131">
        <v>1</v>
      </c>
      <c r="F4131" t="str">
        <f>"01-K04-02"</f>
        <v>01-K04-02</v>
      </c>
      <c r="G4131">
        <v>0.79990000000000006</v>
      </c>
      <c r="H4131" t="s">
        <v>11</v>
      </c>
      <c r="I4131" t="s">
        <v>10</v>
      </c>
    </row>
    <row r="4132" spans="1:9" x14ac:dyDescent="0.25">
      <c r="A4132" t="str">
        <f t="shared" si="105"/>
        <v>89301000</v>
      </c>
      <c r="B4132" t="str">
        <f>"435206468"</f>
        <v>435206468</v>
      </c>
      <c r="C4132" s="1">
        <v>44943</v>
      </c>
      <c r="D4132" s="1">
        <v>44953</v>
      </c>
      <c r="E4132">
        <v>2</v>
      </c>
      <c r="F4132" t="str">
        <f>"01-K04-02"</f>
        <v>01-K04-02</v>
      </c>
      <c r="G4132">
        <v>0.79990000000000006</v>
      </c>
      <c r="H4132" t="s">
        <v>11</v>
      </c>
      <c r="I4132" t="s">
        <v>10</v>
      </c>
    </row>
    <row r="4133" spans="1:9" x14ac:dyDescent="0.25">
      <c r="A4133" t="str">
        <f t="shared" si="105"/>
        <v>89301000</v>
      </c>
      <c r="B4133" t="str">
        <f>"435221459"</f>
        <v>435221459</v>
      </c>
      <c r="C4133" s="1">
        <v>45188</v>
      </c>
      <c r="D4133" s="1">
        <v>45189</v>
      </c>
      <c r="E4133">
        <v>1</v>
      </c>
      <c r="F4133" t="str">
        <f>"05-M06-08"</f>
        <v>05-M06-08</v>
      </c>
      <c r="G4133">
        <v>1.4228000000000001</v>
      </c>
      <c r="H4133" t="s">
        <v>12</v>
      </c>
      <c r="I4133" t="s">
        <v>10</v>
      </c>
    </row>
    <row r="4134" spans="1:9" x14ac:dyDescent="0.25">
      <c r="A4134" t="str">
        <f t="shared" si="105"/>
        <v>89301000</v>
      </c>
      <c r="B4134" t="str">
        <f>"435221459"</f>
        <v>435221459</v>
      </c>
      <c r="C4134" s="1">
        <v>45146</v>
      </c>
      <c r="D4134" s="1">
        <v>45148</v>
      </c>
      <c r="E4134">
        <v>1</v>
      </c>
      <c r="F4134" t="str">
        <f>"05-M06-06"</f>
        <v>05-M06-06</v>
      </c>
      <c r="G4134">
        <v>1.8264</v>
      </c>
      <c r="H4134" t="s">
        <v>12</v>
      </c>
      <c r="I4134" t="s">
        <v>10</v>
      </c>
    </row>
    <row r="4135" spans="1:9" x14ac:dyDescent="0.25">
      <c r="A4135" t="str">
        <f t="shared" si="105"/>
        <v>89301000</v>
      </c>
      <c r="B4135" t="str">
        <f>"435223460"</f>
        <v>435223460</v>
      </c>
      <c r="C4135" s="1">
        <v>45035</v>
      </c>
      <c r="D4135" s="1">
        <v>45042</v>
      </c>
      <c r="E4135">
        <v>1</v>
      </c>
      <c r="F4135" t="str">
        <f>"03-K03-02"</f>
        <v>03-K03-02</v>
      </c>
      <c r="G4135">
        <v>0.51949999999999996</v>
      </c>
      <c r="H4135" t="s">
        <v>11</v>
      </c>
      <c r="I4135" t="s">
        <v>10</v>
      </c>
    </row>
    <row r="4136" spans="1:9" x14ac:dyDescent="0.25">
      <c r="A4136" t="str">
        <f t="shared" si="105"/>
        <v>89301000</v>
      </c>
      <c r="B4136" t="str">
        <f>"435223460"</f>
        <v>435223460</v>
      </c>
      <c r="C4136" s="1">
        <v>45117</v>
      </c>
      <c r="D4136" s="1">
        <v>45121</v>
      </c>
      <c r="E4136">
        <v>1</v>
      </c>
      <c r="F4136" t="str">
        <f>"03-I10-01"</f>
        <v>03-I10-01</v>
      </c>
      <c r="G4136">
        <v>1.3493999999999999</v>
      </c>
      <c r="H4136" t="s">
        <v>12</v>
      </c>
      <c r="I4136" t="s">
        <v>10</v>
      </c>
    </row>
    <row r="4137" spans="1:9" x14ac:dyDescent="0.25">
      <c r="A4137" t="str">
        <f t="shared" si="105"/>
        <v>89301000</v>
      </c>
      <c r="B4137" t="str">
        <f>"435223460"</f>
        <v>435223460</v>
      </c>
      <c r="C4137" s="1">
        <v>45153</v>
      </c>
      <c r="D4137" s="1">
        <v>45158</v>
      </c>
      <c r="E4137">
        <v>1</v>
      </c>
      <c r="F4137" t="str">
        <f>"03-I19-02"</f>
        <v>03-I19-02</v>
      </c>
      <c r="G4137">
        <v>0.71340000000000003</v>
      </c>
      <c r="H4137" t="s">
        <v>11</v>
      </c>
      <c r="I4137" t="s">
        <v>10</v>
      </c>
    </row>
    <row r="4138" spans="1:9" x14ac:dyDescent="0.25">
      <c r="A4138" t="str">
        <f t="shared" si="105"/>
        <v>89301000</v>
      </c>
      <c r="B4138" t="str">
        <f>"435224450"</f>
        <v>435224450</v>
      </c>
      <c r="C4138" s="1">
        <v>45116</v>
      </c>
      <c r="D4138" s="1">
        <v>45126</v>
      </c>
      <c r="E4138">
        <v>1</v>
      </c>
      <c r="F4138" t="str">
        <f>"16-K02-02"</f>
        <v>16-K02-02</v>
      </c>
      <c r="G4138">
        <v>0.76349999999999996</v>
      </c>
      <c r="H4138" t="s">
        <v>11</v>
      </c>
      <c r="I4138" t="s">
        <v>10</v>
      </c>
    </row>
    <row r="4139" spans="1:9" x14ac:dyDescent="0.25">
      <c r="A4139" t="str">
        <f t="shared" si="105"/>
        <v>89301000</v>
      </c>
      <c r="B4139" t="str">
        <f>"435226433"</f>
        <v>435226433</v>
      </c>
      <c r="C4139" s="1">
        <v>45128</v>
      </c>
      <c r="D4139" s="1">
        <v>45128</v>
      </c>
      <c r="E4139">
        <v>1</v>
      </c>
      <c r="F4139" t="str">
        <f>"05-D01-08"</f>
        <v>05-D01-08</v>
      </c>
      <c r="G4139">
        <v>0.2303</v>
      </c>
      <c r="H4139" t="s">
        <v>11</v>
      </c>
      <c r="I4139" t="s">
        <v>10</v>
      </c>
    </row>
    <row r="4140" spans="1:9" x14ac:dyDescent="0.25">
      <c r="A4140" t="str">
        <f t="shared" si="105"/>
        <v>89301000</v>
      </c>
      <c r="B4140" t="str">
        <f>"435302447"</f>
        <v>435302447</v>
      </c>
      <c r="C4140" s="1">
        <v>45177</v>
      </c>
      <c r="D4140" s="1">
        <v>45187</v>
      </c>
      <c r="E4140">
        <v>2</v>
      </c>
      <c r="F4140" t="str">
        <f>"01-M02-00"</f>
        <v>01-M02-00</v>
      </c>
      <c r="G4140">
        <v>5.3973000000000004</v>
      </c>
      <c r="H4140" t="s">
        <v>12</v>
      </c>
      <c r="I4140" t="s">
        <v>10</v>
      </c>
    </row>
    <row r="4141" spans="1:9" x14ac:dyDescent="0.25">
      <c r="A4141" t="str">
        <f t="shared" si="105"/>
        <v>89301000</v>
      </c>
      <c r="B4141" t="str">
        <f>"435304403"</f>
        <v>435304403</v>
      </c>
      <c r="C4141" s="1">
        <v>44998</v>
      </c>
      <c r="D4141" s="1">
        <v>45012</v>
      </c>
      <c r="E4141">
        <v>4</v>
      </c>
      <c r="F4141" t="str">
        <f>"08-I05-02"</f>
        <v>08-I05-02</v>
      </c>
      <c r="G4141">
        <v>3.5173999999999999</v>
      </c>
      <c r="H4141" t="s">
        <v>12</v>
      </c>
      <c r="I4141" t="s">
        <v>10</v>
      </c>
    </row>
    <row r="4142" spans="1:9" x14ac:dyDescent="0.25">
      <c r="A4142" t="str">
        <f t="shared" si="105"/>
        <v>89301000</v>
      </c>
      <c r="B4142" t="str">
        <f>"435313470"</f>
        <v>435313470</v>
      </c>
      <c r="C4142" s="1">
        <v>44957</v>
      </c>
      <c r="D4142" s="1">
        <v>44961</v>
      </c>
      <c r="E4142">
        <v>1</v>
      </c>
      <c r="F4142" t="str">
        <f>"11-M06-02"</f>
        <v>11-M06-02</v>
      </c>
      <c r="G4142">
        <v>0.86850000000000005</v>
      </c>
      <c r="H4142" t="s">
        <v>12</v>
      </c>
      <c r="I4142" t="s">
        <v>10</v>
      </c>
    </row>
    <row r="4143" spans="1:9" x14ac:dyDescent="0.25">
      <c r="A4143" t="str">
        <f t="shared" si="105"/>
        <v>89301000</v>
      </c>
      <c r="B4143" t="str">
        <f>"435313470"</f>
        <v>435313470</v>
      </c>
      <c r="C4143" s="1">
        <v>45153</v>
      </c>
      <c r="D4143" s="1">
        <v>45160</v>
      </c>
      <c r="E4143">
        <v>1</v>
      </c>
      <c r="F4143" t="str">
        <f>"11-M06-03"</f>
        <v>11-M06-03</v>
      </c>
      <c r="G4143">
        <v>0.62009999999999998</v>
      </c>
      <c r="H4143" t="s">
        <v>12</v>
      </c>
      <c r="I4143" t="s">
        <v>10</v>
      </c>
    </row>
    <row r="4144" spans="1:9" x14ac:dyDescent="0.25">
      <c r="A4144" t="str">
        <f t="shared" si="105"/>
        <v>89301000</v>
      </c>
      <c r="B4144" t="str">
        <f>"435313470"</f>
        <v>435313470</v>
      </c>
      <c r="C4144" s="1">
        <v>44991</v>
      </c>
      <c r="D4144" s="1">
        <v>44997</v>
      </c>
      <c r="E4144">
        <v>1</v>
      </c>
      <c r="F4144" t="str">
        <f>"11-M06-03"</f>
        <v>11-M06-03</v>
      </c>
      <c r="G4144">
        <v>0.62009999999999998</v>
      </c>
      <c r="H4144" t="s">
        <v>12</v>
      </c>
      <c r="I4144" t="s">
        <v>10</v>
      </c>
    </row>
    <row r="4145" spans="1:9" x14ac:dyDescent="0.25">
      <c r="A4145" t="str">
        <f t="shared" si="105"/>
        <v>89301000</v>
      </c>
      <c r="B4145" t="str">
        <f>"435317415"</f>
        <v>435317415</v>
      </c>
      <c r="C4145" s="1">
        <v>45090</v>
      </c>
      <c r="D4145" s="1">
        <v>45093</v>
      </c>
      <c r="E4145">
        <v>1</v>
      </c>
      <c r="F4145" t="str">
        <f>"06-M01-02"</f>
        <v>06-M01-02</v>
      </c>
      <c r="G4145">
        <v>1.2206999999999999</v>
      </c>
      <c r="H4145" t="s">
        <v>11</v>
      </c>
      <c r="I4145" t="s">
        <v>10</v>
      </c>
    </row>
    <row r="4146" spans="1:9" x14ac:dyDescent="0.25">
      <c r="A4146" t="str">
        <f t="shared" si="105"/>
        <v>89301000</v>
      </c>
      <c r="B4146" t="str">
        <f>"435317443"</f>
        <v>435317443</v>
      </c>
      <c r="C4146" s="1">
        <v>45252</v>
      </c>
      <c r="D4146" s="1">
        <v>45266</v>
      </c>
      <c r="E4146">
        <v>1</v>
      </c>
      <c r="F4146" t="str">
        <f>"08-I03-07"</f>
        <v>08-I03-07</v>
      </c>
      <c r="G4146">
        <v>2.8325</v>
      </c>
      <c r="H4146" t="s">
        <v>9</v>
      </c>
      <c r="I4146" t="s">
        <v>10</v>
      </c>
    </row>
    <row r="4147" spans="1:9" x14ac:dyDescent="0.25">
      <c r="A4147" t="str">
        <f t="shared" si="105"/>
        <v>89301000</v>
      </c>
      <c r="B4147" t="str">
        <f>"435326433"</f>
        <v>435326433</v>
      </c>
      <c r="C4147" s="1">
        <v>45057</v>
      </c>
      <c r="D4147" s="1">
        <v>45072</v>
      </c>
      <c r="E4147">
        <v>3</v>
      </c>
      <c r="F4147" t="str">
        <f>"24-M07-02"</f>
        <v>24-M07-02</v>
      </c>
      <c r="G4147">
        <v>1.5729</v>
      </c>
      <c r="H4147" t="s">
        <v>11</v>
      </c>
      <c r="I4147" t="s">
        <v>10</v>
      </c>
    </row>
    <row r="4148" spans="1:9" x14ac:dyDescent="0.25">
      <c r="A4148" t="str">
        <f t="shared" si="105"/>
        <v>89301000</v>
      </c>
      <c r="B4148" t="str">
        <f>"435326433"</f>
        <v>435326433</v>
      </c>
      <c r="C4148" s="1">
        <v>45072</v>
      </c>
      <c r="D4148" s="1">
        <v>45096</v>
      </c>
      <c r="E4148">
        <v>1</v>
      </c>
      <c r="F4148" t="str">
        <f>"08-K12-01"</f>
        <v>08-K12-01</v>
      </c>
      <c r="G4148">
        <v>1.337</v>
      </c>
      <c r="H4148" t="s">
        <v>11</v>
      </c>
      <c r="I4148" t="s">
        <v>10</v>
      </c>
    </row>
    <row r="4149" spans="1:9" x14ac:dyDescent="0.25">
      <c r="A4149" t="str">
        <f t="shared" si="105"/>
        <v>89301000</v>
      </c>
      <c r="B4149" t="str">
        <f>"435326433"</f>
        <v>435326433</v>
      </c>
      <c r="C4149" s="1">
        <v>45051</v>
      </c>
      <c r="D4149" s="1">
        <v>45057</v>
      </c>
      <c r="E4149">
        <v>3</v>
      </c>
      <c r="F4149" t="str">
        <f>"08-I13-05"</f>
        <v>08-I13-05</v>
      </c>
      <c r="G4149">
        <v>2.5472000000000001</v>
      </c>
      <c r="H4149" t="s">
        <v>12</v>
      </c>
      <c r="I4149" t="s">
        <v>10</v>
      </c>
    </row>
    <row r="4150" spans="1:9" x14ac:dyDescent="0.25">
      <c r="A4150" t="str">
        <f t="shared" si="105"/>
        <v>89301000</v>
      </c>
      <c r="B4150" t="str">
        <f>"435402162"</f>
        <v>435402162</v>
      </c>
      <c r="C4150" s="1">
        <v>45182</v>
      </c>
      <c r="D4150" s="1">
        <v>45187</v>
      </c>
      <c r="E4150">
        <v>1</v>
      </c>
      <c r="F4150" t="str">
        <f>"03-K02-02"</f>
        <v>03-K02-02</v>
      </c>
      <c r="G4150">
        <v>0.57650000000000001</v>
      </c>
      <c r="H4150" t="s">
        <v>11</v>
      </c>
      <c r="I4150" t="s">
        <v>10</v>
      </c>
    </row>
    <row r="4151" spans="1:9" x14ac:dyDescent="0.25">
      <c r="A4151" t="str">
        <f t="shared" si="105"/>
        <v>89301000</v>
      </c>
      <c r="B4151" t="str">
        <f>"435402162"</f>
        <v>435402162</v>
      </c>
      <c r="C4151" s="1">
        <v>45070</v>
      </c>
      <c r="D4151" s="1">
        <v>45076</v>
      </c>
      <c r="E4151">
        <v>4</v>
      </c>
      <c r="F4151" t="str">
        <f>"08-I04-02"</f>
        <v>08-I04-02</v>
      </c>
      <c r="G4151">
        <v>1.6229</v>
      </c>
      <c r="H4151" t="s">
        <v>14</v>
      </c>
      <c r="I4151" t="s">
        <v>10</v>
      </c>
    </row>
    <row r="4152" spans="1:9" x14ac:dyDescent="0.25">
      <c r="A4152" t="str">
        <f t="shared" si="105"/>
        <v>89301000</v>
      </c>
      <c r="B4152" t="str">
        <f>"435409437"</f>
        <v>435409437</v>
      </c>
      <c r="C4152" s="1">
        <v>45273</v>
      </c>
      <c r="D4152" s="1">
        <v>45274</v>
      </c>
      <c r="E4152">
        <v>1</v>
      </c>
      <c r="F4152" t="str">
        <f>"05-D01-05"</f>
        <v>05-D01-05</v>
      </c>
      <c r="G4152">
        <v>1.4167000000000001</v>
      </c>
      <c r="H4152" t="s">
        <v>11</v>
      </c>
      <c r="I4152" t="s">
        <v>10</v>
      </c>
    </row>
    <row r="4153" spans="1:9" x14ac:dyDescent="0.25">
      <c r="A4153" t="str">
        <f t="shared" si="105"/>
        <v>89301000</v>
      </c>
      <c r="B4153" t="str">
        <f>"435421436"</f>
        <v>435421436</v>
      </c>
      <c r="C4153" s="1">
        <v>45182</v>
      </c>
      <c r="D4153" s="1">
        <v>45188</v>
      </c>
      <c r="E4153">
        <v>1</v>
      </c>
      <c r="F4153" t="str">
        <f>"01-K03-07"</f>
        <v>01-K03-07</v>
      </c>
      <c r="G4153">
        <v>0.5988</v>
      </c>
      <c r="H4153" t="s">
        <v>11</v>
      </c>
      <c r="I4153" t="s">
        <v>10</v>
      </c>
    </row>
    <row r="4154" spans="1:9" x14ac:dyDescent="0.25">
      <c r="A4154" t="str">
        <f t="shared" si="105"/>
        <v>89301000</v>
      </c>
      <c r="B4154" t="str">
        <f>"435423465"</f>
        <v>435423465</v>
      </c>
      <c r="C4154" s="1">
        <v>45043</v>
      </c>
      <c r="D4154" s="1">
        <v>45045</v>
      </c>
      <c r="E4154">
        <v>1</v>
      </c>
      <c r="F4154" t="str">
        <f>"02-I10-02"</f>
        <v>02-I10-02</v>
      </c>
      <c r="G4154">
        <v>0.54069999999999996</v>
      </c>
      <c r="H4154" t="s">
        <v>9</v>
      </c>
      <c r="I4154" t="s">
        <v>10</v>
      </c>
    </row>
    <row r="4155" spans="1:9" x14ac:dyDescent="0.25">
      <c r="A4155" t="str">
        <f t="shared" si="105"/>
        <v>89301000</v>
      </c>
      <c r="B4155" t="str">
        <f>"435424427"</f>
        <v>435424427</v>
      </c>
      <c r="C4155" s="1">
        <v>45050</v>
      </c>
      <c r="D4155" s="1">
        <v>45058</v>
      </c>
      <c r="E4155">
        <v>1</v>
      </c>
      <c r="F4155" t="str">
        <f>"03-K02-02"</f>
        <v>03-K02-02</v>
      </c>
      <c r="G4155">
        <v>0.57650000000000001</v>
      </c>
      <c r="H4155" t="s">
        <v>11</v>
      </c>
      <c r="I4155" t="s">
        <v>10</v>
      </c>
    </row>
    <row r="4156" spans="1:9" x14ac:dyDescent="0.25">
      <c r="A4156" t="str">
        <f t="shared" si="105"/>
        <v>89301000</v>
      </c>
      <c r="B4156" t="str">
        <f>"435424427"</f>
        <v>435424427</v>
      </c>
      <c r="C4156" s="1">
        <v>45202</v>
      </c>
      <c r="D4156" s="1">
        <v>45208</v>
      </c>
      <c r="E4156">
        <v>1</v>
      </c>
      <c r="F4156" t="str">
        <f>"13-K08-02"</f>
        <v>13-K08-02</v>
      </c>
      <c r="G4156">
        <v>0.41320000000000001</v>
      </c>
      <c r="H4156" t="s">
        <v>11</v>
      </c>
      <c r="I4156" t="s">
        <v>10</v>
      </c>
    </row>
    <row r="4157" spans="1:9" x14ac:dyDescent="0.25">
      <c r="A4157" t="str">
        <f t="shared" si="105"/>
        <v>89301000</v>
      </c>
      <c r="B4157" t="str">
        <f>"435425422"</f>
        <v>435425422</v>
      </c>
      <c r="C4157" s="1">
        <v>45118</v>
      </c>
      <c r="D4157" s="1">
        <v>45119</v>
      </c>
      <c r="E4157">
        <v>5</v>
      </c>
      <c r="F4157" t="str">
        <f>"05-D01-06"</f>
        <v>05-D01-06</v>
      </c>
      <c r="G4157">
        <v>0.7571</v>
      </c>
      <c r="H4157" t="s">
        <v>11</v>
      </c>
      <c r="I4157" t="s">
        <v>10</v>
      </c>
    </row>
    <row r="4158" spans="1:9" x14ac:dyDescent="0.25">
      <c r="A4158" t="str">
        <f t="shared" si="105"/>
        <v>89301000</v>
      </c>
      <c r="B4158" t="str">
        <f>"435426410"</f>
        <v>435426410</v>
      </c>
      <c r="C4158" s="1">
        <v>45188</v>
      </c>
      <c r="D4158" s="1">
        <v>45190</v>
      </c>
      <c r="E4158">
        <v>1</v>
      </c>
      <c r="F4158" t="str">
        <f>"11-M05-01"</f>
        <v>11-M05-01</v>
      </c>
      <c r="G4158">
        <v>0.83750000000000002</v>
      </c>
      <c r="H4158" t="s">
        <v>12</v>
      </c>
      <c r="I4158" t="s">
        <v>10</v>
      </c>
    </row>
    <row r="4159" spans="1:9" x14ac:dyDescent="0.25">
      <c r="A4159" t="str">
        <f t="shared" si="105"/>
        <v>89301000</v>
      </c>
      <c r="B4159" t="str">
        <f>"435428406"</f>
        <v>435428406</v>
      </c>
      <c r="C4159" s="1">
        <v>45105</v>
      </c>
      <c r="D4159" s="1">
        <v>45107</v>
      </c>
      <c r="E4159">
        <v>1</v>
      </c>
      <c r="F4159" t="str">
        <f>"04-K10-02"</f>
        <v>04-K10-02</v>
      </c>
      <c r="G4159">
        <v>0.41899999999999998</v>
      </c>
      <c r="H4159" t="s">
        <v>11</v>
      </c>
      <c r="I4159" t="s">
        <v>10</v>
      </c>
    </row>
    <row r="4160" spans="1:9" x14ac:dyDescent="0.25">
      <c r="A4160" t="str">
        <f t="shared" si="105"/>
        <v>89301000</v>
      </c>
      <c r="B4160" t="str">
        <f>"435428406"</f>
        <v>435428406</v>
      </c>
      <c r="C4160" s="1">
        <v>45148</v>
      </c>
      <c r="D4160" s="1">
        <v>45156</v>
      </c>
      <c r="E4160">
        <v>1</v>
      </c>
      <c r="F4160" t="str">
        <f>"04-I02-04"</f>
        <v>04-I02-04</v>
      </c>
      <c r="G4160">
        <v>3.0272999999999999</v>
      </c>
      <c r="H4160" t="s">
        <v>14</v>
      </c>
      <c r="I4160" t="s">
        <v>10</v>
      </c>
    </row>
    <row r="4161" spans="1:9" x14ac:dyDescent="0.25">
      <c r="A4161" t="str">
        <f t="shared" si="105"/>
        <v>89301000</v>
      </c>
      <c r="B4161" t="str">
        <f>"435504414"</f>
        <v>435504414</v>
      </c>
      <c r="C4161" s="1">
        <v>45098</v>
      </c>
      <c r="D4161" s="1">
        <v>45102</v>
      </c>
      <c r="E4161">
        <v>1</v>
      </c>
      <c r="F4161" t="str">
        <f>"13-I04-01"</f>
        <v>13-I04-01</v>
      </c>
      <c r="G4161">
        <v>2.8856000000000002</v>
      </c>
      <c r="H4161" t="s">
        <v>14</v>
      </c>
      <c r="I4161" t="s">
        <v>10</v>
      </c>
    </row>
    <row r="4162" spans="1:9" x14ac:dyDescent="0.25">
      <c r="A4162" t="str">
        <f t="shared" si="105"/>
        <v>89301000</v>
      </c>
      <c r="B4162" t="str">
        <f>"435507078"</f>
        <v>435507078</v>
      </c>
      <c r="C4162" s="1">
        <v>45257</v>
      </c>
      <c r="D4162" s="1">
        <v>45260</v>
      </c>
      <c r="E4162">
        <v>1</v>
      </c>
      <c r="F4162" t="str">
        <f>"05-M06-06"</f>
        <v>05-M06-06</v>
      </c>
      <c r="G4162">
        <v>1.8264</v>
      </c>
      <c r="H4162" t="s">
        <v>12</v>
      </c>
      <c r="I4162" t="s">
        <v>10</v>
      </c>
    </row>
    <row r="4163" spans="1:9" x14ac:dyDescent="0.25">
      <c r="A4163" t="str">
        <f t="shared" si="105"/>
        <v>89301000</v>
      </c>
      <c r="B4163" t="str">
        <f>"435512466"</f>
        <v>435512466</v>
      </c>
      <c r="C4163" s="1">
        <v>45216</v>
      </c>
      <c r="D4163" s="1">
        <v>45219</v>
      </c>
      <c r="E4163">
        <v>1</v>
      </c>
      <c r="F4163" t="str">
        <f>"02-I09-02"</f>
        <v>02-I09-02</v>
      </c>
      <c r="G4163">
        <v>1.0094000000000001</v>
      </c>
      <c r="H4163" t="s">
        <v>11</v>
      </c>
      <c r="I4163" t="s">
        <v>10</v>
      </c>
    </row>
    <row r="4164" spans="1:9" x14ac:dyDescent="0.25">
      <c r="A4164" t="str">
        <f t="shared" si="105"/>
        <v>89301000</v>
      </c>
      <c r="B4164" t="str">
        <f>"435526457"</f>
        <v>435526457</v>
      </c>
      <c r="C4164" s="1">
        <v>45079</v>
      </c>
      <c r="D4164" s="1">
        <v>45082</v>
      </c>
      <c r="E4164">
        <v>1</v>
      </c>
      <c r="F4164" t="str">
        <f>"04-K03-01"</f>
        <v>04-K03-01</v>
      </c>
      <c r="G4164">
        <v>1.3734</v>
      </c>
      <c r="H4164" t="s">
        <v>11</v>
      </c>
      <c r="I4164" t="s">
        <v>10</v>
      </c>
    </row>
    <row r="4165" spans="1:9" x14ac:dyDescent="0.25">
      <c r="A4165" t="str">
        <f t="shared" si="105"/>
        <v>89301000</v>
      </c>
      <c r="B4165" t="str">
        <f>"435527076"</f>
        <v>435527076</v>
      </c>
      <c r="C4165" s="1">
        <v>45154</v>
      </c>
      <c r="D4165" s="1">
        <v>45160</v>
      </c>
      <c r="E4165">
        <v>5</v>
      </c>
      <c r="F4165" t="str">
        <f>"08-I03-05"</f>
        <v>08-I03-05</v>
      </c>
      <c r="G4165">
        <v>3.2684000000000002</v>
      </c>
      <c r="H4165" t="s">
        <v>9</v>
      </c>
      <c r="I4165" t="s">
        <v>10</v>
      </c>
    </row>
    <row r="4166" spans="1:9" x14ac:dyDescent="0.25">
      <c r="A4166" t="str">
        <f t="shared" si="105"/>
        <v>89301000</v>
      </c>
      <c r="B4166" t="str">
        <f>"435527076"</f>
        <v>435527076</v>
      </c>
      <c r="C4166" s="1">
        <v>45258</v>
      </c>
      <c r="D4166" s="1">
        <v>45260</v>
      </c>
      <c r="E4166">
        <v>4</v>
      </c>
      <c r="F4166" t="str">
        <f>"04-K10-01"</f>
        <v>04-K10-01</v>
      </c>
      <c r="G4166">
        <v>0.74970000000000003</v>
      </c>
      <c r="H4166" t="s">
        <v>11</v>
      </c>
      <c r="I4166" t="s">
        <v>10</v>
      </c>
    </row>
    <row r="4167" spans="1:9" x14ac:dyDescent="0.25">
      <c r="A4167" t="str">
        <f t="shared" si="105"/>
        <v>89301000</v>
      </c>
      <c r="B4167" t="str">
        <f>"435527452"</f>
        <v>435527452</v>
      </c>
      <c r="C4167" s="1">
        <v>45230</v>
      </c>
      <c r="D4167" s="1">
        <v>45233</v>
      </c>
      <c r="E4167">
        <v>1</v>
      </c>
      <c r="F4167" t="str">
        <f>"01-K18-04"</f>
        <v>01-K18-04</v>
      </c>
      <c r="G4167">
        <v>0.54610000000000003</v>
      </c>
      <c r="H4167" t="s">
        <v>11</v>
      </c>
      <c r="I4167" t="s">
        <v>10</v>
      </c>
    </row>
    <row r="4168" spans="1:9" x14ac:dyDescent="0.25">
      <c r="A4168" t="str">
        <f t="shared" si="105"/>
        <v>89301000</v>
      </c>
      <c r="B4168" t="str">
        <f>"435603475"</f>
        <v>435603475</v>
      </c>
      <c r="C4168" s="1">
        <v>45191</v>
      </c>
      <c r="D4168" s="1">
        <v>45192</v>
      </c>
      <c r="E4168">
        <v>1</v>
      </c>
      <c r="F4168" t="str">
        <f>"05-I25-04"</f>
        <v>05-I25-04</v>
      </c>
      <c r="G4168">
        <v>2.2559999999999998</v>
      </c>
      <c r="H4168" t="s">
        <v>12</v>
      </c>
      <c r="I4168" t="s">
        <v>10</v>
      </c>
    </row>
    <row r="4169" spans="1:9" x14ac:dyDescent="0.25">
      <c r="A4169" t="str">
        <f t="shared" si="105"/>
        <v>89301000</v>
      </c>
      <c r="B4169" t="str">
        <f>"435623401"</f>
        <v>435623401</v>
      </c>
      <c r="C4169" s="1">
        <v>44949</v>
      </c>
      <c r="D4169" s="1">
        <v>44959</v>
      </c>
      <c r="E4169">
        <v>1</v>
      </c>
      <c r="F4169" t="str">
        <f>"08-K02-02"</f>
        <v>08-K02-02</v>
      </c>
      <c r="G4169">
        <v>0.82479999999999998</v>
      </c>
      <c r="H4169" t="s">
        <v>11</v>
      </c>
      <c r="I4169" t="s">
        <v>10</v>
      </c>
    </row>
    <row r="4170" spans="1:9" x14ac:dyDescent="0.25">
      <c r="A4170" t="str">
        <f t="shared" si="105"/>
        <v>89301000</v>
      </c>
      <c r="B4170" t="str">
        <f>"435623401"</f>
        <v>435623401</v>
      </c>
      <c r="C4170" s="1">
        <v>44971</v>
      </c>
      <c r="D4170" s="1">
        <v>44974</v>
      </c>
      <c r="E4170">
        <v>1</v>
      </c>
      <c r="F4170" t="str">
        <f>"05-M07-01"</f>
        <v>05-M07-01</v>
      </c>
      <c r="G4170">
        <v>5.0640000000000001</v>
      </c>
      <c r="H4170" t="s">
        <v>12</v>
      </c>
      <c r="I4170" t="s">
        <v>10</v>
      </c>
    </row>
    <row r="4171" spans="1:9" x14ac:dyDescent="0.25">
      <c r="A4171" t="str">
        <f t="shared" si="105"/>
        <v>89301000</v>
      </c>
      <c r="B4171" t="str">
        <f>"435623401"</f>
        <v>435623401</v>
      </c>
      <c r="C4171" s="1">
        <v>44981</v>
      </c>
      <c r="D4171" s="1">
        <v>44985</v>
      </c>
      <c r="E4171">
        <v>1</v>
      </c>
      <c r="F4171" t="str">
        <f>"05-K12-02"</f>
        <v>05-K12-02</v>
      </c>
      <c r="G4171">
        <v>0.50290000000000001</v>
      </c>
      <c r="H4171" t="s">
        <v>11</v>
      </c>
      <c r="I4171" t="s">
        <v>10</v>
      </c>
    </row>
    <row r="4172" spans="1:9" x14ac:dyDescent="0.25">
      <c r="A4172" t="str">
        <f t="shared" si="105"/>
        <v>89301000</v>
      </c>
      <c r="B4172" t="str">
        <f>"435625457"</f>
        <v>435625457</v>
      </c>
      <c r="C4172" s="1">
        <v>45191</v>
      </c>
      <c r="D4172" s="1">
        <v>45198</v>
      </c>
      <c r="E4172">
        <v>1</v>
      </c>
      <c r="F4172" t="str">
        <f>"04-I08-03"</f>
        <v>04-I08-03</v>
      </c>
      <c r="G4172">
        <v>1.5931999999999999</v>
      </c>
      <c r="H4172" t="s">
        <v>11</v>
      </c>
      <c r="I4172" t="s">
        <v>10</v>
      </c>
    </row>
    <row r="4173" spans="1:9" x14ac:dyDescent="0.25">
      <c r="A4173" t="str">
        <f t="shared" si="105"/>
        <v>89301000</v>
      </c>
      <c r="B4173" t="str">
        <f>"435702435"</f>
        <v>435702435</v>
      </c>
      <c r="C4173" s="1">
        <v>45223</v>
      </c>
      <c r="D4173" s="1">
        <v>45226</v>
      </c>
      <c r="E4173">
        <v>1</v>
      </c>
      <c r="F4173" t="str">
        <f>"08-M03-05"</f>
        <v>08-M03-05</v>
      </c>
      <c r="G4173">
        <v>0.46910000000000002</v>
      </c>
      <c r="H4173" t="s">
        <v>11</v>
      </c>
      <c r="I4173" t="s">
        <v>10</v>
      </c>
    </row>
    <row r="4174" spans="1:9" x14ac:dyDescent="0.25">
      <c r="A4174" t="str">
        <f t="shared" si="105"/>
        <v>89301000</v>
      </c>
      <c r="B4174" t="str">
        <f>"435703951"</f>
        <v>435703951</v>
      </c>
      <c r="C4174" s="1">
        <v>45060</v>
      </c>
      <c r="D4174" s="1">
        <v>45062</v>
      </c>
      <c r="E4174">
        <v>1</v>
      </c>
      <c r="F4174" t="str">
        <f>"05-K05-05"</f>
        <v>05-K05-05</v>
      </c>
      <c r="G4174">
        <v>0.35659999999999997</v>
      </c>
      <c r="H4174" t="s">
        <v>11</v>
      </c>
      <c r="I4174" t="s">
        <v>10</v>
      </c>
    </row>
    <row r="4175" spans="1:9" x14ac:dyDescent="0.25">
      <c r="A4175" t="str">
        <f t="shared" si="105"/>
        <v>89301000</v>
      </c>
      <c r="B4175" t="str">
        <f>"435703951"</f>
        <v>435703951</v>
      </c>
      <c r="C4175" s="1">
        <v>45149</v>
      </c>
      <c r="D4175" s="1">
        <v>45153</v>
      </c>
      <c r="E4175">
        <v>1</v>
      </c>
      <c r="F4175" t="str">
        <f>"05-I14-03"</f>
        <v>05-I14-03</v>
      </c>
      <c r="G4175">
        <v>6.0362</v>
      </c>
      <c r="H4175" t="s">
        <v>12</v>
      </c>
      <c r="I4175" t="s">
        <v>10</v>
      </c>
    </row>
    <row r="4176" spans="1:9" x14ac:dyDescent="0.25">
      <c r="A4176" t="str">
        <f t="shared" si="105"/>
        <v>89301000</v>
      </c>
      <c r="B4176" t="str">
        <f>"435703951"</f>
        <v>435703951</v>
      </c>
      <c r="C4176" s="1">
        <v>45050</v>
      </c>
      <c r="D4176" s="1">
        <v>45055</v>
      </c>
      <c r="E4176">
        <v>1</v>
      </c>
      <c r="F4176" t="str">
        <f>"05-M05-02"</f>
        <v>05-M05-02</v>
      </c>
      <c r="G4176">
        <v>3.7008000000000001</v>
      </c>
      <c r="H4176" t="s">
        <v>14</v>
      </c>
      <c r="I4176" t="s">
        <v>10</v>
      </c>
    </row>
    <row r="4177" spans="1:9" x14ac:dyDescent="0.25">
      <c r="A4177" t="str">
        <f t="shared" si="105"/>
        <v>89301000</v>
      </c>
      <c r="B4177" t="str">
        <f>"435707425"</f>
        <v>435707425</v>
      </c>
      <c r="C4177" s="1">
        <v>45033</v>
      </c>
      <c r="D4177" s="1">
        <v>45035</v>
      </c>
      <c r="E4177">
        <v>1</v>
      </c>
      <c r="F4177" t="str">
        <f>"05-M05-02"</f>
        <v>05-M05-02</v>
      </c>
      <c r="G4177">
        <v>3.4817999999999998</v>
      </c>
      <c r="H4177" t="s">
        <v>14</v>
      </c>
      <c r="I4177" t="s">
        <v>10</v>
      </c>
    </row>
    <row r="4178" spans="1:9" x14ac:dyDescent="0.25">
      <c r="A4178" t="str">
        <f t="shared" si="105"/>
        <v>89301000</v>
      </c>
      <c r="B4178" t="str">
        <f>"435707454"</f>
        <v>435707454</v>
      </c>
      <c r="C4178" s="1">
        <v>45007</v>
      </c>
      <c r="D4178" s="1">
        <v>45009</v>
      </c>
      <c r="E4178">
        <v>7</v>
      </c>
      <c r="F4178" t="str">
        <f>"05-M06-06"</f>
        <v>05-M06-06</v>
      </c>
      <c r="G4178">
        <v>1.8264</v>
      </c>
      <c r="H4178" t="s">
        <v>12</v>
      </c>
      <c r="I4178" t="s">
        <v>10</v>
      </c>
    </row>
    <row r="4179" spans="1:9" x14ac:dyDescent="0.25">
      <c r="A4179" t="str">
        <f t="shared" si="105"/>
        <v>89301000</v>
      </c>
      <c r="B4179" t="str">
        <f>"435709746"</f>
        <v>435709746</v>
      </c>
      <c r="C4179" s="1">
        <v>45231</v>
      </c>
      <c r="D4179" s="1">
        <v>45236</v>
      </c>
      <c r="E4179">
        <v>4</v>
      </c>
      <c r="F4179" t="str">
        <f>"08-I15-02"</f>
        <v>08-I15-02</v>
      </c>
      <c r="G4179">
        <v>1.5535000000000001</v>
      </c>
      <c r="H4179" t="s">
        <v>12</v>
      </c>
      <c r="I4179" t="s">
        <v>10</v>
      </c>
    </row>
    <row r="4180" spans="1:9" x14ac:dyDescent="0.25">
      <c r="A4180" t="str">
        <f t="shared" si="105"/>
        <v>89301000</v>
      </c>
      <c r="B4180" t="str">
        <f>"435713416"</f>
        <v>435713416</v>
      </c>
      <c r="C4180" s="1">
        <v>45061</v>
      </c>
      <c r="D4180" s="1">
        <v>45063</v>
      </c>
      <c r="E4180">
        <v>1</v>
      </c>
      <c r="F4180" t="str">
        <f>"09-K08-02"</f>
        <v>09-K08-02</v>
      </c>
      <c r="G4180">
        <v>0.49280000000000002</v>
      </c>
      <c r="H4180" t="s">
        <v>11</v>
      </c>
      <c r="I4180" t="s">
        <v>10</v>
      </c>
    </row>
    <row r="4181" spans="1:9" x14ac:dyDescent="0.25">
      <c r="A4181" t="str">
        <f t="shared" si="105"/>
        <v>89301000</v>
      </c>
      <c r="B4181" t="str">
        <f>"435713429"</f>
        <v>435713429</v>
      </c>
      <c r="C4181" s="1">
        <v>44948</v>
      </c>
      <c r="D4181" s="1">
        <v>44956</v>
      </c>
      <c r="E4181">
        <v>1</v>
      </c>
      <c r="F4181" t="str">
        <f>"05-I14-04"</f>
        <v>05-I14-04</v>
      </c>
      <c r="G4181">
        <v>5.4195000000000002</v>
      </c>
      <c r="H4181" t="s">
        <v>12</v>
      </c>
      <c r="I4181" t="s">
        <v>10</v>
      </c>
    </row>
    <row r="4182" spans="1:9" x14ac:dyDescent="0.25">
      <c r="A4182" t="str">
        <f t="shared" si="105"/>
        <v>89301000</v>
      </c>
      <c r="B4182" t="str">
        <f>"435713429"</f>
        <v>435713429</v>
      </c>
      <c r="C4182" s="1">
        <v>44929</v>
      </c>
      <c r="D4182" s="1">
        <v>44930</v>
      </c>
      <c r="E4182">
        <v>1</v>
      </c>
      <c r="F4182" t="str">
        <f>"05-D01-08"</f>
        <v>05-D01-08</v>
      </c>
      <c r="G4182">
        <v>0.43159999999999998</v>
      </c>
      <c r="H4182" t="s">
        <v>11</v>
      </c>
      <c r="I4182" t="s">
        <v>10</v>
      </c>
    </row>
    <row r="4183" spans="1:9" x14ac:dyDescent="0.25">
      <c r="A4183" t="str">
        <f t="shared" si="105"/>
        <v>89301000</v>
      </c>
      <c r="B4183" t="str">
        <f>"435727432"</f>
        <v>435727432</v>
      </c>
      <c r="C4183" s="1">
        <v>45084</v>
      </c>
      <c r="D4183" s="1">
        <v>45086</v>
      </c>
      <c r="E4183">
        <v>4</v>
      </c>
      <c r="F4183" t="str">
        <f>"01-K12-01"</f>
        <v>01-K12-01</v>
      </c>
      <c r="G4183">
        <v>0.72709999999999997</v>
      </c>
      <c r="H4183" t="s">
        <v>11</v>
      </c>
      <c r="I4183" t="s">
        <v>10</v>
      </c>
    </row>
    <row r="4184" spans="1:9" x14ac:dyDescent="0.25">
      <c r="A4184" t="str">
        <f t="shared" si="105"/>
        <v>89301000</v>
      </c>
      <c r="B4184" t="str">
        <f>"435729456"</f>
        <v>435729456</v>
      </c>
      <c r="C4184" s="1">
        <v>45181</v>
      </c>
      <c r="D4184" s="1">
        <v>45183</v>
      </c>
      <c r="E4184">
        <v>1</v>
      </c>
      <c r="F4184" t="str">
        <f>"13-I19-00"</f>
        <v>13-I19-00</v>
      </c>
      <c r="G4184">
        <v>0.28249999999999997</v>
      </c>
      <c r="H4184" t="s">
        <v>11</v>
      </c>
      <c r="I4184" t="s">
        <v>10</v>
      </c>
    </row>
    <row r="4185" spans="1:9" x14ac:dyDescent="0.25">
      <c r="A4185" t="str">
        <f t="shared" si="105"/>
        <v>89301000</v>
      </c>
      <c r="B4185" t="str">
        <f>"435729456"</f>
        <v>435729456</v>
      </c>
      <c r="C4185" s="1">
        <v>45063</v>
      </c>
      <c r="D4185" s="1">
        <v>45068</v>
      </c>
      <c r="E4185">
        <v>1</v>
      </c>
      <c r="F4185" t="str">
        <f>"05-K13-02"</f>
        <v>05-K13-02</v>
      </c>
      <c r="G4185">
        <v>0.58079999999999998</v>
      </c>
      <c r="H4185" t="s">
        <v>11</v>
      </c>
      <c r="I4185" t="s">
        <v>10</v>
      </c>
    </row>
    <row r="4186" spans="1:9" x14ac:dyDescent="0.25">
      <c r="A4186" t="str">
        <f t="shared" si="105"/>
        <v>89301000</v>
      </c>
      <c r="B4186" t="str">
        <f>"435813417"</f>
        <v>435813417</v>
      </c>
      <c r="C4186" s="1">
        <v>45273</v>
      </c>
      <c r="D4186" s="1">
        <v>45280</v>
      </c>
      <c r="E4186">
        <v>4</v>
      </c>
      <c r="F4186" t="str">
        <f>"19-K03-03"</f>
        <v>19-K03-03</v>
      </c>
      <c r="G4186">
        <v>0.90410000000000001</v>
      </c>
      <c r="H4186" t="s">
        <v>15</v>
      </c>
      <c r="I4186" t="s">
        <v>10</v>
      </c>
    </row>
    <row r="4187" spans="1:9" x14ac:dyDescent="0.25">
      <c r="A4187" t="str">
        <f t="shared" si="105"/>
        <v>89301000</v>
      </c>
      <c r="B4187" t="str">
        <f>"435825428"</f>
        <v>435825428</v>
      </c>
      <c r="C4187" s="1">
        <v>45054</v>
      </c>
      <c r="D4187" s="1">
        <v>45058</v>
      </c>
      <c r="E4187">
        <v>1</v>
      </c>
      <c r="F4187" t="str">
        <f>"04-K02-04"</f>
        <v>04-K02-04</v>
      </c>
      <c r="G4187">
        <v>0.80120000000000002</v>
      </c>
      <c r="H4187" t="s">
        <v>11</v>
      </c>
      <c r="I4187" t="s">
        <v>10</v>
      </c>
    </row>
    <row r="4188" spans="1:9" x14ac:dyDescent="0.25">
      <c r="A4188" t="str">
        <f t="shared" si="105"/>
        <v>89301000</v>
      </c>
      <c r="B4188" t="str">
        <f>"435825451"</f>
        <v>435825451</v>
      </c>
      <c r="C4188" s="1">
        <v>44950</v>
      </c>
      <c r="D4188" s="1">
        <v>44950</v>
      </c>
      <c r="E4188">
        <v>1</v>
      </c>
      <c r="F4188" t="str">
        <f>"05-M09-00"</f>
        <v>05-M09-00</v>
      </c>
      <c r="G4188">
        <v>0.87160000000000004</v>
      </c>
      <c r="H4188" t="s">
        <v>11</v>
      </c>
      <c r="I4188" t="s">
        <v>10</v>
      </c>
    </row>
    <row r="4189" spans="1:9" x14ac:dyDescent="0.25">
      <c r="A4189" t="str">
        <f t="shared" si="105"/>
        <v>89301000</v>
      </c>
      <c r="B4189" t="str">
        <f>"435825451"</f>
        <v>435825451</v>
      </c>
      <c r="C4189" s="1">
        <v>44972</v>
      </c>
      <c r="D4189" s="1">
        <v>44975</v>
      </c>
      <c r="E4189">
        <v>1</v>
      </c>
      <c r="F4189" t="str">
        <f>"05-M05-02"</f>
        <v>05-M05-02</v>
      </c>
      <c r="G4189">
        <v>3.4817999999999998</v>
      </c>
      <c r="H4189" t="s">
        <v>14</v>
      </c>
      <c r="I4189" t="s">
        <v>10</v>
      </c>
    </row>
    <row r="4190" spans="1:9" x14ac:dyDescent="0.25">
      <c r="A4190" t="str">
        <f t="shared" si="105"/>
        <v>89301000</v>
      </c>
      <c r="B4190" t="str">
        <f>"435912445"</f>
        <v>435912445</v>
      </c>
      <c r="C4190" s="1">
        <v>45177</v>
      </c>
      <c r="D4190" s="1">
        <v>45180</v>
      </c>
      <c r="E4190">
        <v>1</v>
      </c>
      <c r="F4190" t="str">
        <f>"01-K16-06"</f>
        <v>01-K16-06</v>
      </c>
      <c r="G4190">
        <v>0.27150000000000002</v>
      </c>
      <c r="H4190" t="s">
        <v>11</v>
      </c>
      <c r="I4190" t="s">
        <v>10</v>
      </c>
    </row>
    <row r="4191" spans="1:9" x14ac:dyDescent="0.25">
      <c r="A4191" t="str">
        <f t="shared" si="105"/>
        <v>89301000</v>
      </c>
      <c r="B4191" t="str">
        <f>"435918487"</f>
        <v>435918487</v>
      </c>
      <c r="C4191" s="1">
        <v>45211</v>
      </c>
      <c r="D4191" s="1">
        <v>45212</v>
      </c>
      <c r="E4191">
        <v>1</v>
      </c>
      <c r="F4191" t="str">
        <f>"04-K10-01"</f>
        <v>04-K10-01</v>
      </c>
      <c r="G4191">
        <v>0.74970000000000003</v>
      </c>
      <c r="H4191" t="s">
        <v>11</v>
      </c>
      <c r="I4191" t="s">
        <v>10</v>
      </c>
    </row>
    <row r="4192" spans="1:9" x14ac:dyDescent="0.25">
      <c r="A4192" t="str">
        <f t="shared" si="105"/>
        <v>89301000</v>
      </c>
      <c r="B4192" t="str">
        <f>"435923158"</f>
        <v>435923158</v>
      </c>
      <c r="C4192" s="1">
        <v>45243</v>
      </c>
      <c r="D4192" s="1">
        <v>45247</v>
      </c>
      <c r="E4192">
        <v>1</v>
      </c>
      <c r="F4192" t="str">
        <f>"08-I06-04"</f>
        <v>08-I06-04</v>
      </c>
      <c r="G4192">
        <v>2.3483999999999998</v>
      </c>
      <c r="H4192" t="s">
        <v>9</v>
      </c>
      <c r="I4192" t="s">
        <v>10</v>
      </c>
    </row>
    <row r="4193" spans="1:9" x14ac:dyDescent="0.25">
      <c r="A4193" t="str">
        <f t="shared" ref="A4193:A4255" si="106">"89301000"</f>
        <v>89301000</v>
      </c>
      <c r="B4193" t="str">
        <f>"435924471"</f>
        <v>435924471</v>
      </c>
      <c r="C4193" s="1">
        <v>45212</v>
      </c>
      <c r="D4193" s="1">
        <v>45213</v>
      </c>
      <c r="E4193">
        <v>1</v>
      </c>
      <c r="F4193" t="str">
        <f>"05-I25-03"</f>
        <v>05-I25-03</v>
      </c>
      <c r="G4193">
        <v>1.633</v>
      </c>
      <c r="H4193" t="s">
        <v>12</v>
      </c>
      <c r="I4193" t="s">
        <v>10</v>
      </c>
    </row>
    <row r="4194" spans="1:9" x14ac:dyDescent="0.25">
      <c r="A4194" t="str">
        <f t="shared" si="106"/>
        <v>89301000</v>
      </c>
      <c r="B4194" t="str">
        <f>"435925461"</f>
        <v>435925461</v>
      </c>
      <c r="C4194" s="1">
        <v>44942</v>
      </c>
      <c r="D4194" s="1">
        <v>44958</v>
      </c>
      <c r="E4194">
        <v>1</v>
      </c>
      <c r="F4194" t="str">
        <f>"01-K04-01"</f>
        <v>01-K04-01</v>
      </c>
      <c r="G4194">
        <v>1.1131</v>
      </c>
      <c r="H4194" t="s">
        <v>11</v>
      </c>
      <c r="I4194" t="s">
        <v>10</v>
      </c>
    </row>
    <row r="4195" spans="1:9" x14ac:dyDescent="0.25">
      <c r="A4195" t="str">
        <f t="shared" si="106"/>
        <v>89301000</v>
      </c>
      <c r="B4195" t="str">
        <f>"436001440"</f>
        <v>436001440</v>
      </c>
      <c r="C4195" s="1">
        <v>45215</v>
      </c>
      <c r="D4195" s="1">
        <v>45243</v>
      </c>
      <c r="E4195">
        <v>4</v>
      </c>
      <c r="F4195" t="str">
        <f>"11-K01-02"</f>
        <v>11-K01-02</v>
      </c>
      <c r="G4195">
        <v>1.5304</v>
      </c>
      <c r="H4195" t="s">
        <v>11</v>
      </c>
      <c r="I4195" t="s">
        <v>10</v>
      </c>
    </row>
    <row r="4196" spans="1:9" x14ac:dyDescent="0.25">
      <c r="A4196" t="str">
        <f t="shared" si="106"/>
        <v>89301000</v>
      </c>
      <c r="B4196" t="str">
        <f>"436008429"</f>
        <v>436008429</v>
      </c>
      <c r="C4196" s="1">
        <v>45280</v>
      </c>
      <c r="D4196" s="1">
        <v>45281</v>
      </c>
      <c r="E4196">
        <v>1</v>
      </c>
      <c r="F4196" t="str">
        <f>"06-K06-01"</f>
        <v>06-K06-01</v>
      </c>
      <c r="G4196">
        <v>0.79</v>
      </c>
      <c r="H4196" t="s">
        <v>11</v>
      </c>
      <c r="I4196" t="s">
        <v>10</v>
      </c>
    </row>
    <row r="4197" spans="1:9" x14ac:dyDescent="0.25">
      <c r="A4197" t="str">
        <f t="shared" si="106"/>
        <v>89301000</v>
      </c>
      <c r="B4197" t="str">
        <f>"436008429"</f>
        <v>436008429</v>
      </c>
      <c r="C4197" s="1">
        <v>45239</v>
      </c>
      <c r="D4197" s="1">
        <v>45244</v>
      </c>
      <c r="E4197">
        <v>1</v>
      </c>
      <c r="F4197" t="str">
        <f>"07-M02-02"</f>
        <v>07-M02-02</v>
      </c>
      <c r="G4197">
        <v>2.0733000000000001</v>
      </c>
      <c r="H4197" t="s">
        <v>12</v>
      </c>
      <c r="I4197" t="s">
        <v>10</v>
      </c>
    </row>
    <row r="4198" spans="1:9" x14ac:dyDescent="0.25">
      <c r="A4198" t="str">
        <f t="shared" si="106"/>
        <v>89301000</v>
      </c>
      <c r="B4198" t="str">
        <f>"436008440"</f>
        <v>436008440</v>
      </c>
      <c r="C4198" s="1">
        <v>45006</v>
      </c>
      <c r="D4198" s="1">
        <v>45014</v>
      </c>
      <c r="E4198">
        <v>4</v>
      </c>
      <c r="F4198" t="str">
        <f>"01-I06-04"</f>
        <v>01-I06-04</v>
      </c>
      <c r="G4198">
        <v>3.6478999999999999</v>
      </c>
      <c r="H4198" t="s">
        <v>12</v>
      </c>
      <c r="I4198" t="s">
        <v>10</v>
      </c>
    </row>
    <row r="4199" spans="1:9" x14ac:dyDescent="0.25">
      <c r="A4199" t="str">
        <f t="shared" si="106"/>
        <v>89301000</v>
      </c>
      <c r="B4199" t="str">
        <f>"436011112"</f>
        <v>436011112</v>
      </c>
      <c r="C4199" s="1">
        <v>44992</v>
      </c>
      <c r="D4199" s="1">
        <v>44999</v>
      </c>
      <c r="E4199">
        <v>4</v>
      </c>
      <c r="F4199" t="str">
        <f>"06-K21-02"</f>
        <v>06-K21-02</v>
      </c>
      <c r="G4199">
        <v>0.88049999999999995</v>
      </c>
      <c r="H4199" t="s">
        <v>11</v>
      </c>
      <c r="I4199" t="s">
        <v>10</v>
      </c>
    </row>
    <row r="4200" spans="1:9" x14ac:dyDescent="0.25">
      <c r="A4200" t="str">
        <f t="shared" si="106"/>
        <v>89301000</v>
      </c>
      <c r="B4200" t="str">
        <f>"436011112"</f>
        <v>436011112</v>
      </c>
      <c r="C4200" s="1">
        <v>45242</v>
      </c>
      <c r="D4200" s="1">
        <v>45244</v>
      </c>
      <c r="E4200">
        <v>1</v>
      </c>
      <c r="F4200" t="str">
        <f>"01-K12-01"</f>
        <v>01-K12-01</v>
      </c>
      <c r="G4200">
        <v>0.72709999999999997</v>
      </c>
      <c r="H4200" t="s">
        <v>11</v>
      </c>
      <c r="I4200" t="s">
        <v>10</v>
      </c>
    </row>
    <row r="4201" spans="1:9" x14ac:dyDescent="0.25">
      <c r="A4201" t="str">
        <f t="shared" si="106"/>
        <v>89301000</v>
      </c>
      <c r="B4201" t="str">
        <f>"436015452"</f>
        <v>436015452</v>
      </c>
      <c r="C4201" s="1">
        <v>45240</v>
      </c>
      <c r="D4201" s="1">
        <v>45246</v>
      </c>
      <c r="E4201">
        <v>1</v>
      </c>
      <c r="F4201" t="str">
        <f>"08-K08-00"</f>
        <v>08-K08-00</v>
      </c>
      <c r="G4201">
        <v>0.5272</v>
      </c>
      <c r="H4201" t="s">
        <v>11</v>
      </c>
      <c r="I4201" t="s">
        <v>10</v>
      </c>
    </row>
    <row r="4202" spans="1:9" x14ac:dyDescent="0.25">
      <c r="A4202" t="str">
        <f t="shared" si="106"/>
        <v>89301000</v>
      </c>
      <c r="B4202" t="str">
        <f>"436028072"</f>
        <v>436028072</v>
      </c>
      <c r="C4202" s="1">
        <v>45209</v>
      </c>
      <c r="D4202" s="1">
        <v>45210</v>
      </c>
      <c r="E4202">
        <v>1</v>
      </c>
      <c r="F4202" t="str">
        <f>"05-M06-07"</f>
        <v>05-M06-07</v>
      </c>
      <c r="G4202">
        <v>1.9440999999999999</v>
      </c>
      <c r="H4202" t="s">
        <v>12</v>
      </c>
      <c r="I4202" t="s">
        <v>10</v>
      </c>
    </row>
    <row r="4203" spans="1:9" x14ac:dyDescent="0.25">
      <c r="A4203" t="str">
        <f t="shared" si="106"/>
        <v>89301000</v>
      </c>
      <c r="B4203" t="str">
        <f>"436028072"</f>
        <v>436028072</v>
      </c>
      <c r="C4203" s="1">
        <v>45162</v>
      </c>
      <c r="D4203" s="1">
        <v>45165</v>
      </c>
      <c r="E4203">
        <v>1</v>
      </c>
      <c r="F4203" t="str">
        <f>"05-M06-06"</f>
        <v>05-M06-06</v>
      </c>
      <c r="G4203">
        <v>1.8264</v>
      </c>
      <c r="H4203" t="s">
        <v>12</v>
      </c>
      <c r="I4203" t="s">
        <v>10</v>
      </c>
    </row>
    <row r="4204" spans="1:9" x14ac:dyDescent="0.25">
      <c r="A4204" t="str">
        <f t="shared" si="106"/>
        <v>89301000</v>
      </c>
      <c r="B4204" t="str">
        <f>"436029127"</f>
        <v>436029127</v>
      </c>
      <c r="C4204" s="1">
        <v>45275</v>
      </c>
      <c r="D4204" s="1">
        <v>45277</v>
      </c>
      <c r="E4204">
        <v>1</v>
      </c>
      <c r="F4204" t="str">
        <f>"03-K02-02"</f>
        <v>03-K02-02</v>
      </c>
      <c r="G4204">
        <v>0.57650000000000001</v>
      </c>
      <c r="H4204" t="s">
        <v>11</v>
      </c>
      <c r="I4204" t="s">
        <v>10</v>
      </c>
    </row>
    <row r="4205" spans="1:9" x14ac:dyDescent="0.25">
      <c r="A4205" t="str">
        <f t="shared" si="106"/>
        <v>89301000</v>
      </c>
      <c r="B4205" t="str">
        <f>"436112433"</f>
        <v>436112433</v>
      </c>
      <c r="C4205" s="1">
        <v>44992</v>
      </c>
      <c r="D4205" s="1">
        <v>44995</v>
      </c>
      <c r="E4205">
        <v>1</v>
      </c>
      <c r="F4205" t="str">
        <f>"04-K02-04"</f>
        <v>04-K02-04</v>
      </c>
      <c r="G4205">
        <v>0.82099999999999995</v>
      </c>
      <c r="H4205" t="s">
        <v>11</v>
      </c>
      <c r="I4205" t="s">
        <v>10</v>
      </c>
    </row>
    <row r="4206" spans="1:9" x14ac:dyDescent="0.25">
      <c r="A4206" t="str">
        <f t="shared" si="106"/>
        <v>89301000</v>
      </c>
      <c r="B4206" t="str">
        <f>"436114470"</f>
        <v>436114470</v>
      </c>
      <c r="C4206" s="1">
        <v>44977</v>
      </c>
      <c r="D4206" s="1">
        <v>44979</v>
      </c>
      <c r="E4206">
        <v>1</v>
      </c>
      <c r="F4206" t="str">
        <f>"11-K04-02"</f>
        <v>11-K04-02</v>
      </c>
      <c r="G4206">
        <v>0.36730000000000002</v>
      </c>
      <c r="H4206" t="s">
        <v>11</v>
      </c>
      <c r="I4206" t="s">
        <v>10</v>
      </c>
    </row>
    <row r="4207" spans="1:9" x14ac:dyDescent="0.25">
      <c r="A4207" t="str">
        <f t="shared" si="106"/>
        <v>89301000</v>
      </c>
      <c r="B4207" t="str">
        <f>"436121402"</f>
        <v>436121402</v>
      </c>
      <c r="C4207" s="1">
        <v>45119</v>
      </c>
      <c r="D4207" s="1">
        <v>45121</v>
      </c>
      <c r="E4207">
        <v>1</v>
      </c>
      <c r="F4207" t="str">
        <f>"02-I06-04"</f>
        <v>02-I06-04</v>
      </c>
      <c r="G4207">
        <v>0.79630000000000001</v>
      </c>
      <c r="H4207" t="s">
        <v>12</v>
      </c>
      <c r="I4207" t="s">
        <v>10</v>
      </c>
    </row>
    <row r="4208" spans="1:9" x14ac:dyDescent="0.25">
      <c r="A4208" t="str">
        <f t="shared" si="106"/>
        <v>89301000</v>
      </c>
      <c r="B4208" t="str">
        <f>"436121402"</f>
        <v>436121402</v>
      </c>
      <c r="C4208" s="1">
        <v>45050</v>
      </c>
      <c r="D4208" s="1">
        <v>45054</v>
      </c>
      <c r="E4208">
        <v>1</v>
      </c>
      <c r="F4208" t="str">
        <f>"04-K04-02"</f>
        <v>04-K04-02</v>
      </c>
      <c r="G4208">
        <v>0.52159999999999995</v>
      </c>
      <c r="H4208" t="s">
        <v>11</v>
      </c>
      <c r="I4208" t="s">
        <v>10</v>
      </c>
    </row>
    <row r="4209" spans="1:9" x14ac:dyDescent="0.25">
      <c r="A4209" t="str">
        <f t="shared" si="106"/>
        <v>89301000</v>
      </c>
      <c r="B4209" t="str">
        <f>"436122467"</f>
        <v>436122467</v>
      </c>
      <c r="C4209" s="1">
        <v>45015</v>
      </c>
      <c r="D4209" s="1">
        <v>45016</v>
      </c>
      <c r="E4209">
        <v>1</v>
      </c>
      <c r="F4209" t="str">
        <f>"05-D01-08"</f>
        <v>05-D01-08</v>
      </c>
      <c r="G4209">
        <v>0.43159999999999998</v>
      </c>
      <c r="H4209" t="s">
        <v>11</v>
      </c>
      <c r="I4209" t="s">
        <v>10</v>
      </c>
    </row>
    <row r="4210" spans="1:9" x14ac:dyDescent="0.25">
      <c r="A4210" t="str">
        <f t="shared" si="106"/>
        <v>89301000</v>
      </c>
      <c r="B4210" t="str">
        <f>"436212441"</f>
        <v>436212441</v>
      </c>
      <c r="C4210" s="1">
        <v>45060</v>
      </c>
      <c r="D4210" s="1">
        <v>45069</v>
      </c>
      <c r="E4210">
        <v>1</v>
      </c>
      <c r="F4210" t="str">
        <f>"13-I07-01"</f>
        <v>13-I07-01</v>
      </c>
      <c r="G4210">
        <v>2.2021000000000002</v>
      </c>
      <c r="H4210" t="s">
        <v>14</v>
      </c>
      <c r="I4210" t="s">
        <v>10</v>
      </c>
    </row>
    <row r="4211" spans="1:9" x14ac:dyDescent="0.25">
      <c r="A4211" t="str">
        <f t="shared" si="106"/>
        <v>89301000</v>
      </c>
      <c r="B4211" t="str">
        <f>"436212441"</f>
        <v>436212441</v>
      </c>
      <c r="C4211" s="1">
        <v>45185</v>
      </c>
      <c r="D4211" s="1">
        <v>45187</v>
      </c>
      <c r="E4211">
        <v>1</v>
      </c>
      <c r="F4211" t="str">
        <f>"05-K07-05"</f>
        <v>05-K07-05</v>
      </c>
      <c r="G4211">
        <v>0.74719999999999998</v>
      </c>
      <c r="H4211" t="s">
        <v>11</v>
      </c>
      <c r="I4211" t="s">
        <v>10</v>
      </c>
    </row>
    <row r="4212" spans="1:9" x14ac:dyDescent="0.25">
      <c r="A4212" t="str">
        <f t="shared" si="106"/>
        <v>89301000</v>
      </c>
      <c r="B4212" t="str">
        <f>"436212441"</f>
        <v>436212441</v>
      </c>
      <c r="C4212" s="1">
        <v>45228</v>
      </c>
      <c r="D4212" s="1">
        <v>45252</v>
      </c>
      <c r="E4212">
        <v>4</v>
      </c>
      <c r="F4212" t="str">
        <f>"01-K10-01"</f>
        <v>01-K10-01</v>
      </c>
      <c r="G4212">
        <v>2.6566000000000001</v>
      </c>
      <c r="H4212" t="s">
        <v>11</v>
      </c>
      <c r="I4212" t="s">
        <v>10</v>
      </c>
    </row>
    <row r="4213" spans="1:9" x14ac:dyDescent="0.25">
      <c r="A4213" t="str">
        <f t="shared" si="106"/>
        <v>89301000</v>
      </c>
      <c r="B4213" t="str">
        <f>"436212441"</f>
        <v>436212441</v>
      </c>
      <c r="C4213" s="1">
        <v>45029</v>
      </c>
      <c r="D4213" s="1">
        <v>45041</v>
      </c>
      <c r="E4213">
        <v>1</v>
      </c>
      <c r="F4213" t="str">
        <f>"13-I11-03"</f>
        <v>13-I11-03</v>
      </c>
      <c r="G4213">
        <v>1.9404999999999999</v>
      </c>
      <c r="H4213" t="s">
        <v>9</v>
      </c>
      <c r="I4213" t="s">
        <v>10</v>
      </c>
    </row>
    <row r="4214" spans="1:9" x14ac:dyDescent="0.25">
      <c r="A4214" t="str">
        <f t="shared" si="106"/>
        <v>89301000</v>
      </c>
      <c r="B4214" t="str">
        <f>"436212459"</f>
        <v>436212459</v>
      </c>
      <c r="C4214" s="1">
        <v>45075</v>
      </c>
      <c r="D4214" s="1">
        <v>45076</v>
      </c>
      <c r="E4214">
        <v>1</v>
      </c>
      <c r="F4214" t="str">
        <f>"05-D01-06"</f>
        <v>05-D01-06</v>
      </c>
      <c r="G4214">
        <v>0.7571</v>
      </c>
      <c r="H4214" t="s">
        <v>11</v>
      </c>
      <c r="I4214" t="s">
        <v>10</v>
      </c>
    </row>
    <row r="4215" spans="1:9" x14ac:dyDescent="0.25">
      <c r="A4215" t="str">
        <f t="shared" si="106"/>
        <v>89301000</v>
      </c>
      <c r="B4215" t="str">
        <f>"436214442"</f>
        <v>436214442</v>
      </c>
      <c r="C4215" s="1">
        <v>45273</v>
      </c>
      <c r="D4215" s="1">
        <v>45280</v>
      </c>
      <c r="E4215">
        <v>4</v>
      </c>
      <c r="F4215" t="str">
        <f>"08-I06-04"</f>
        <v>08-I06-04</v>
      </c>
      <c r="G4215">
        <v>2.3996</v>
      </c>
      <c r="H4215" t="s">
        <v>9</v>
      </c>
      <c r="I4215" t="s">
        <v>10</v>
      </c>
    </row>
    <row r="4216" spans="1:9" x14ac:dyDescent="0.25">
      <c r="A4216" t="str">
        <f t="shared" si="106"/>
        <v>89301000</v>
      </c>
      <c r="B4216" t="str">
        <f>"436214442"</f>
        <v>436214442</v>
      </c>
      <c r="C4216" s="1">
        <v>45287</v>
      </c>
      <c r="D4216" s="1">
        <v>45290</v>
      </c>
      <c r="E4216">
        <v>1</v>
      </c>
      <c r="F4216" t="str">
        <f>"08-K04-01"</f>
        <v>08-K04-01</v>
      </c>
      <c r="G4216">
        <v>0.97389999999999999</v>
      </c>
      <c r="H4216" t="s">
        <v>11</v>
      </c>
      <c r="I4216" t="s">
        <v>10</v>
      </c>
    </row>
    <row r="4217" spans="1:9" x14ac:dyDescent="0.25">
      <c r="A4217" t="str">
        <f t="shared" si="106"/>
        <v>89301000</v>
      </c>
      <c r="B4217" t="str">
        <f>"436223106"</f>
        <v>436223106</v>
      </c>
      <c r="C4217" s="1">
        <v>44997</v>
      </c>
      <c r="D4217" s="1">
        <v>45002</v>
      </c>
      <c r="E4217">
        <v>1</v>
      </c>
      <c r="F4217" t="str">
        <f>"06-K22-03"</f>
        <v>06-K22-03</v>
      </c>
      <c r="G4217">
        <v>0.45469999999999999</v>
      </c>
      <c r="H4217" t="s">
        <v>11</v>
      </c>
      <c r="I4217" t="s">
        <v>10</v>
      </c>
    </row>
    <row r="4218" spans="1:9" x14ac:dyDescent="0.25">
      <c r="A4218" t="str">
        <f t="shared" si="106"/>
        <v>89301000</v>
      </c>
      <c r="B4218" t="str">
        <f>"436229020"</f>
        <v>436229020</v>
      </c>
      <c r="C4218" s="1">
        <v>45065</v>
      </c>
      <c r="D4218" s="1">
        <v>45069</v>
      </c>
      <c r="E4218">
        <v>1</v>
      </c>
      <c r="F4218" t="str">
        <f>"23-K04-02"</f>
        <v>23-K04-02</v>
      </c>
      <c r="G4218">
        <v>0.38429999999999997</v>
      </c>
      <c r="H4218" t="s">
        <v>11</v>
      </c>
      <c r="I4218" t="s">
        <v>10</v>
      </c>
    </row>
    <row r="4219" spans="1:9" x14ac:dyDescent="0.25">
      <c r="A4219" t="str">
        <f t="shared" si="106"/>
        <v>89301000</v>
      </c>
      <c r="B4219" t="str">
        <f>"436229444"</f>
        <v>436229444</v>
      </c>
      <c r="C4219" s="1">
        <v>44949</v>
      </c>
      <c r="D4219" s="1">
        <v>44950</v>
      </c>
      <c r="E4219">
        <v>1</v>
      </c>
      <c r="F4219" t="str">
        <f>"13-I19-00"</f>
        <v>13-I19-00</v>
      </c>
      <c r="G4219">
        <v>0.28249999999999997</v>
      </c>
      <c r="H4219" t="s">
        <v>11</v>
      </c>
      <c r="I4219" t="s">
        <v>10</v>
      </c>
    </row>
    <row r="4220" spans="1:9" x14ac:dyDescent="0.25">
      <c r="A4220" t="str">
        <f t="shared" si="106"/>
        <v>89301000</v>
      </c>
      <c r="B4220" t="str">
        <f>"436231432"</f>
        <v>436231432</v>
      </c>
      <c r="C4220" s="1">
        <v>45077</v>
      </c>
      <c r="D4220" s="1">
        <v>45077</v>
      </c>
      <c r="E4220">
        <v>1</v>
      </c>
      <c r="F4220" t="str">
        <f>"04-K15-03"</f>
        <v>04-K15-03</v>
      </c>
      <c r="G4220">
        <v>0.25459999999999999</v>
      </c>
      <c r="H4220" t="s">
        <v>11</v>
      </c>
      <c r="I4220" t="s">
        <v>10</v>
      </c>
    </row>
    <row r="4221" spans="1:9" x14ac:dyDescent="0.25">
      <c r="A4221" t="str">
        <f t="shared" si="106"/>
        <v>89301000</v>
      </c>
      <c r="B4221" t="str">
        <f>"440101201"</f>
        <v>440101201</v>
      </c>
      <c r="C4221" s="1">
        <v>45000</v>
      </c>
      <c r="D4221" s="1">
        <v>45004</v>
      </c>
      <c r="E4221">
        <v>1</v>
      </c>
      <c r="F4221" t="str">
        <f>"03-I22-01"</f>
        <v>03-I22-01</v>
      </c>
      <c r="G4221">
        <v>0.61439999999999995</v>
      </c>
      <c r="H4221" t="s">
        <v>11</v>
      </c>
      <c r="I4221" t="s">
        <v>10</v>
      </c>
    </row>
    <row r="4222" spans="1:9" x14ac:dyDescent="0.25">
      <c r="A4222" t="str">
        <f t="shared" si="106"/>
        <v>89301000</v>
      </c>
      <c r="B4222" t="str">
        <f>"440101201"</f>
        <v>440101201</v>
      </c>
      <c r="C4222" s="1">
        <v>45177</v>
      </c>
      <c r="D4222" s="1">
        <v>45184</v>
      </c>
      <c r="E4222">
        <v>1</v>
      </c>
      <c r="F4222" t="str">
        <f>"11-K01-01"</f>
        <v>11-K01-01</v>
      </c>
      <c r="G4222">
        <v>1.377</v>
      </c>
      <c r="H4222" t="s">
        <v>11</v>
      </c>
      <c r="I4222" t="s">
        <v>10</v>
      </c>
    </row>
    <row r="4223" spans="1:9" x14ac:dyDescent="0.25">
      <c r="A4223" t="str">
        <f t="shared" si="106"/>
        <v>89301000</v>
      </c>
      <c r="B4223" t="str">
        <f>"440101201"</f>
        <v>440101201</v>
      </c>
      <c r="C4223" s="1">
        <v>45043</v>
      </c>
      <c r="D4223" s="1">
        <v>45077</v>
      </c>
      <c r="E4223">
        <v>1</v>
      </c>
      <c r="F4223" t="str">
        <f>"25-K01-02"</f>
        <v>25-K01-02</v>
      </c>
      <c r="G4223">
        <v>4.0701000000000001</v>
      </c>
      <c r="H4223" t="s">
        <v>14</v>
      </c>
      <c r="I4223" t="s">
        <v>10</v>
      </c>
    </row>
    <row r="4224" spans="1:9" x14ac:dyDescent="0.25">
      <c r="A4224" t="str">
        <f t="shared" si="106"/>
        <v>89301000</v>
      </c>
      <c r="B4224" t="str">
        <f>"440112430"</f>
        <v>440112430</v>
      </c>
      <c r="C4224" s="1">
        <v>45198</v>
      </c>
      <c r="D4224" s="1">
        <v>45211</v>
      </c>
      <c r="E4224">
        <v>4</v>
      </c>
      <c r="F4224" t="str">
        <f>"00-M01-01"</f>
        <v>00-M01-01</v>
      </c>
      <c r="G4224">
        <v>16.065100000000001</v>
      </c>
      <c r="H4224" t="s">
        <v>11</v>
      </c>
      <c r="I4224" t="s">
        <v>10</v>
      </c>
    </row>
    <row r="4225" spans="1:9" x14ac:dyDescent="0.25">
      <c r="A4225" t="str">
        <f t="shared" si="106"/>
        <v>89301000</v>
      </c>
      <c r="B4225" t="str">
        <f>"440113439"</f>
        <v>440113439</v>
      </c>
      <c r="C4225" s="1">
        <v>44985</v>
      </c>
      <c r="D4225" s="1">
        <v>45001</v>
      </c>
      <c r="E4225">
        <v>4</v>
      </c>
      <c r="F4225" t="str">
        <f>"18-K01-07"</f>
        <v>18-K01-07</v>
      </c>
      <c r="G4225">
        <v>1.0490999999999999</v>
      </c>
      <c r="H4225" t="s">
        <v>11</v>
      </c>
      <c r="I4225" t="s">
        <v>10</v>
      </c>
    </row>
    <row r="4226" spans="1:9" x14ac:dyDescent="0.25">
      <c r="A4226" t="str">
        <f t="shared" si="106"/>
        <v>89301000</v>
      </c>
      <c r="B4226" t="str">
        <f>"440113439"</f>
        <v>440113439</v>
      </c>
      <c r="C4226" s="1">
        <v>44951</v>
      </c>
      <c r="D4226" s="1">
        <v>44960</v>
      </c>
      <c r="E4226">
        <v>4</v>
      </c>
      <c r="F4226" t="str">
        <f>"10-K04-04"</f>
        <v>10-K04-04</v>
      </c>
      <c r="G4226">
        <v>0.54310000000000003</v>
      </c>
      <c r="H4226" t="s">
        <v>11</v>
      </c>
      <c r="I4226" t="s">
        <v>10</v>
      </c>
    </row>
    <row r="4227" spans="1:9" x14ac:dyDescent="0.25">
      <c r="A4227" t="str">
        <f t="shared" si="106"/>
        <v>89301000</v>
      </c>
      <c r="B4227" t="str">
        <f>"440118431"</f>
        <v>440118431</v>
      </c>
      <c r="C4227" s="1">
        <v>45229</v>
      </c>
      <c r="D4227" s="1">
        <v>45232</v>
      </c>
      <c r="E4227">
        <v>1</v>
      </c>
      <c r="F4227" t="str">
        <f>"11-M06-03"</f>
        <v>11-M06-03</v>
      </c>
      <c r="G4227">
        <v>0.61150000000000004</v>
      </c>
      <c r="H4227" t="s">
        <v>12</v>
      </c>
      <c r="I4227" t="s">
        <v>10</v>
      </c>
    </row>
    <row r="4228" spans="1:9" x14ac:dyDescent="0.25">
      <c r="A4228" t="str">
        <f t="shared" si="106"/>
        <v>89301000</v>
      </c>
      <c r="B4228" t="str">
        <f>"440121459"</f>
        <v>440121459</v>
      </c>
      <c r="C4228" s="1">
        <v>45027</v>
      </c>
      <c r="D4228" s="1">
        <v>45033</v>
      </c>
      <c r="E4228">
        <v>1</v>
      </c>
      <c r="F4228" t="str">
        <f>"11-M06-03"</f>
        <v>11-M06-03</v>
      </c>
      <c r="G4228">
        <v>0.62009999999999998</v>
      </c>
      <c r="H4228" t="s">
        <v>12</v>
      </c>
      <c r="I4228" t="s">
        <v>10</v>
      </c>
    </row>
    <row r="4229" spans="1:9" x14ac:dyDescent="0.25">
      <c r="A4229" t="str">
        <f t="shared" si="106"/>
        <v>89301000</v>
      </c>
      <c r="B4229" t="str">
        <f>"440121459"</f>
        <v>440121459</v>
      </c>
      <c r="C4229" s="1">
        <v>45208</v>
      </c>
      <c r="D4229" s="1">
        <v>45216</v>
      </c>
      <c r="E4229">
        <v>1</v>
      </c>
      <c r="F4229" t="str">
        <f>"01-K10-02"</f>
        <v>01-K10-02</v>
      </c>
      <c r="G4229">
        <v>1.6027</v>
      </c>
      <c r="H4229" t="s">
        <v>11</v>
      </c>
      <c r="I4229" t="s">
        <v>10</v>
      </c>
    </row>
    <row r="4230" spans="1:9" x14ac:dyDescent="0.25">
      <c r="A4230" t="str">
        <f t="shared" si="106"/>
        <v>89301000</v>
      </c>
      <c r="B4230" t="str">
        <f>"440121459"</f>
        <v>440121459</v>
      </c>
      <c r="C4230" s="1">
        <v>45083</v>
      </c>
      <c r="D4230" s="1">
        <v>45086</v>
      </c>
      <c r="E4230">
        <v>1</v>
      </c>
      <c r="F4230" t="str">
        <f>"11-M04-03"</f>
        <v>11-M04-03</v>
      </c>
      <c r="G4230">
        <v>0.95069999999999999</v>
      </c>
      <c r="H4230" t="s">
        <v>11</v>
      </c>
      <c r="I4230" t="s">
        <v>10</v>
      </c>
    </row>
    <row r="4231" spans="1:9" x14ac:dyDescent="0.25">
      <c r="A4231" t="str">
        <f t="shared" si="106"/>
        <v>89301000</v>
      </c>
      <c r="B4231" t="str">
        <f>"440207456"</f>
        <v>440207456</v>
      </c>
      <c r="C4231" s="1">
        <v>45189</v>
      </c>
      <c r="D4231" s="1">
        <v>45191</v>
      </c>
      <c r="E4231">
        <v>1</v>
      </c>
      <c r="F4231" t="str">
        <f>"05-I14-03"</f>
        <v>05-I14-03</v>
      </c>
      <c r="G4231">
        <v>6.0362</v>
      </c>
      <c r="H4231" t="s">
        <v>12</v>
      </c>
      <c r="I4231" t="s">
        <v>10</v>
      </c>
    </row>
    <row r="4232" spans="1:9" x14ac:dyDescent="0.25">
      <c r="A4232" t="str">
        <f t="shared" si="106"/>
        <v>89301000</v>
      </c>
      <c r="B4232" t="str">
        <f>"440207456"</f>
        <v>440207456</v>
      </c>
      <c r="C4232" s="1">
        <v>45224</v>
      </c>
      <c r="D4232" s="1">
        <v>45224</v>
      </c>
      <c r="E4232">
        <v>1</v>
      </c>
      <c r="F4232" t="str">
        <f>"05-D01-08"</f>
        <v>05-D01-08</v>
      </c>
      <c r="G4232">
        <v>0.2303</v>
      </c>
      <c r="H4232" t="s">
        <v>11</v>
      </c>
      <c r="I4232" t="s">
        <v>10</v>
      </c>
    </row>
    <row r="4233" spans="1:9" x14ac:dyDescent="0.25">
      <c r="A4233" t="str">
        <f t="shared" si="106"/>
        <v>89301000</v>
      </c>
      <c r="B4233" t="str">
        <f>"440207474"</f>
        <v>440207474</v>
      </c>
      <c r="C4233" s="1">
        <v>44992</v>
      </c>
      <c r="D4233" s="1">
        <v>44995</v>
      </c>
      <c r="E4233">
        <v>1</v>
      </c>
      <c r="F4233" t="str">
        <f>"12-M02-02"</f>
        <v>12-M02-02</v>
      </c>
      <c r="G4233">
        <v>0.95020000000000004</v>
      </c>
      <c r="H4233" t="s">
        <v>9</v>
      </c>
      <c r="I4233" t="s">
        <v>10</v>
      </c>
    </row>
    <row r="4234" spans="1:9" x14ac:dyDescent="0.25">
      <c r="A4234" t="str">
        <f t="shared" si="106"/>
        <v>89301000</v>
      </c>
      <c r="B4234" t="str">
        <f>"440214736"</f>
        <v>440214736</v>
      </c>
      <c r="C4234" s="1">
        <v>44918</v>
      </c>
      <c r="D4234" s="1">
        <v>44949</v>
      </c>
      <c r="E4234">
        <v>8</v>
      </c>
      <c r="F4234" t="str">
        <f>"00-M02-04"</f>
        <v>00-M02-04</v>
      </c>
      <c r="G4234">
        <v>12.5831</v>
      </c>
      <c r="H4234" t="s">
        <v>11</v>
      </c>
      <c r="I4234" t="s">
        <v>10</v>
      </c>
    </row>
    <row r="4235" spans="1:9" x14ac:dyDescent="0.25">
      <c r="A4235" t="str">
        <f t="shared" si="106"/>
        <v>89301000</v>
      </c>
      <c r="B4235" t="str">
        <f>"440215463"</f>
        <v>440215463</v>
      </c>
      <c r="C4235" s="1">
        <v>44964</v>
      </c>
      <c r="D4235" s="1">
        <v>44965</v>
      </c>
      <c r="E4235">
        <v>1</v>
      </c>
      <c r="F4235" t="str">
        <f>"05-D01-08"</f>
        <v>05-D01-08</v>
      </c>
      <c r="G4235">
        <v>0.43159999999999998</v>
      </c>
      <c r="H4235" t="s">
        <v>11</v>
      </c>
      <c r="I4235" t="s">
        <v>10</v>
      </c>
    </row>
    <row r="4236" spans="1:9" x14ac:dyDescent="0.25">
      <c r="A4236" t="str">
        <f t="shared" si="106"/>
        <v>89301000</v>
      </c>
      <c r="B4236" t="str">
        <f>"440215463"</f>
        <v>440215463</v>
      </c>
      <c r="C4236" s="1">
        <v>45075</v>
      </c>
      <c r="D4236" s="1">
        <v>45077</v>
      </c>
      <c r="E4236">
        <v>1</v>
      </c>
      <c r="F4236" t="str">
        <f>"05-M06-08"</f>
        <v>05-M06-08</v>
      </c>
      <c r="G4236">
        <v>1.4228000000000001</v>
      </c>
      <c r="H4236" t="s">
        <v>12</v>
      </c>
      <c r="I4236" t="s">
        <v>10</v>
      </c>
    </row>
    <row r="4237" spans="1:9" x14ac:dyDescent="0.25">
      <c r="A4237" t="str">
        <f t="shared" si="106"/>
        <v>89301000</v>
      </c>
      <c r="B4237" t="str">
        <f>"440215463"</f>
        <v>440215463</v>
      </c>
      <c r="C4237" s="1">
        <v>45007</v>
      </c>
      <c r="D4237" s="1">
        <v>45017</v>
      </c>
      <c r="E4237">
        <v>1</v>
      </c>
      <c r="F4237" t="str">
        <f>"05-I16-02"</f>
        <v>05-I16-02</v>
      </c>
      <c r="G4237">
        <v>8.7934999999999999</v>
      </c>
      <c r="H4237" t="s">
        <v>14</v>
      </c>
      <c r="I4237" t="s">
        <v>10</v>
      </c>
    </row>
    <row r="4238" spans="1:9" x14ac:dyDescent="0.25">
      <c r="A4238" t="str">
        <f t="shared" si="106"/>
        <v>89301000</v>
      </c>
      <c r="B4238" t="str">
        <f>"440220411"</f>
        <v>440220411</v>
      </c>
      <c r="C4238" s="1">
        <v>45216</v>
      </c>
      <c r="D4238" s="1">
        <v>45223</v>
      </c>
      <c r="E4238">
        <v>4</v>
      </c>
      <c r="F4238" t="str">
        <f>"11-K01-02"</f>
        <v>11-K01-02</v>
      </c>
      <c r="G4238">
        <v>0.86480000000000001</v>
      </c>
      <c r="H4238" t="s">
        <v>11</v>
      </c>
      <c r="I4238" t="s">
        <v>10</v>
      </c>
    </row>
    <row r="4239" spans="1:9" x14ac:dyDescent="0.25">
      <c r="A4239" t="str">
        <f t="shared" si="106"/>
        <v>89301000</v>
      </c>
      <c r="B4239" t="str">
        <f>"440220433"</f>
        <v>440220433</v>
      </c>
      <c r="C4239" s="1">
        <v>45244</v>
      </c>
      <c r="D4239" s="1">
        <v>45251</v>
      </c>
      <c r="E4239">
        <v>1</v>
      </c>
      <c r="F4239" t="str">
        <f>"01-K04-01"</f>
        <v>01-K04-01</v>
      </c>
      <c r="G4239">
        <v>1.0985</v>
      </c>
      <c r="H4239" t="s">
        <v>11</v>
      </c>
      <c r="I4239" t="s">
        <v>10</v>
      </c>
    </row>
    <row r="4240" spans="1:9" x14ac:dyDescent="0.25">
      <c r="A4240" t="str">
        <f t="shared" si="106"/>
        <v>89301000</v>
      </c>
      <c r="B4240" t="str">
        <f>"440220433"</f>
        <v>440220433</v>
      </c>
      <c r="C4240" s="1">
        <v>45275</v>
      </c>
      <c r="D4240" s="1">
        <v>45276</v>
      </c>
      <c r="E4240">
        <v>1</v>
      </c>
      <c r="F4240" t="str">
        <f>"05-M06-05"</f>
        <v>05-M06-05</v>
      </c>
      <c r="G4240">
        <v>2.3681000000000001</v>
      </c>
      <c r="H4240" t="s">
        <v>12</v>
      </c>
      <c r="I4240" t="s">
        <v>10</v>
      </c>
    </row>
    <row r="4241" spans="1:9" x14ac:dyDescent="0.25">
      <c r="A4241" t="str">
        <f t="shared" si="106"/>
        <v>89301000</v>
      </c>
      <c r="B4241" t="str">
        <f>"440222178"</f>
        <v>440222178</v>
      </c>
      <c r="C4241" s="1">
        <v>45027</v>
      </c>
      <c r="D4241" s="1">
        <v>45028</v>
      </c>
      <c r="E4241">
        <v>1</v>
      </c>
      <c r="F4241" t="str">
        <f>"07-M02-04"</f>
        <v>07-M02-04</v>
      </c>
      <c r="G4241">
        <v>0.88339999999999996</v>
      </c>
      <c r="H4241" t="s">
        <v>12</v>
      </c>
      <c r="I4241" t="s">
        <v>10</v>
      </c>
    </row>
    <row r="4242" spans="1:9" x14ac:dyDescent="0.25">
      <c r="A4242" t="str">
        <f t="shared" si="106"/>
        <v>89301000</v>
      </c>
      <c r="B4242" t="str">
        <f>"440222178"</f>
        <v>440222178</v>
      </c>
      <c r="C4242" s="1">
        <v>44944</v>
      </c>
      <c r="D4242" s="1">
        <v>44947</v>
      </c>
      <c r="E4242">
        <v>1</v>
      </c>
      <c r="F4242" t="str">
        <f>"07-I10-06"</f>
        <v>07-I10-06</v>
      </c>
      <c r="G4242">
        <v>0.98419999999999996</v>
      </c>
      <c r="H4242" t="s">
        <v>12</v>
      </c>
      <c r="I4242" t="s">
        <v>10</v>
      </c>
    </row>
    <row r="4243" spans="1:9" x14ac:dyDescent="0.25">
      <c r="A4243" t="str">
        <f t="shared" si="106"/>
        <v>89301000</v>
      </c>
      <c r="B4243" t="str">
        <f>"440222178"</f>
        <v>440222178</v>
      </c>
      <c r="C4243" s="1">
        <v>44958</v>
      </c>
      <c r="D4243" s="1">
        <v>44959</v>
      </c>
      <c r="E4243">
        <v>1</v>
      </c>
      <c r="F4243" t="str">
        <f>"07-M02-04"</f>
        <v>07-M02-04</v>
      </c>
      <c r="G4243">
        <v>0.83730000000000004</v>
      </c>
      <c r="H4243" t="s">
        <v>12</v>
      </c>
      <c r="I4243" t="s">
        <v>10</v>
      </c>
    </row>
    <row r="4244" spans="1:9" x14ac:dyDescent="0.25">
      <c r="A4244" t="str">
        <f t="shared" si="106"/>
        <v>89301000</v>
      </c>
      <c r="B4244" t="str">
        <f>"440222479"</f>
        <v>440222479</v>
      </c>
      <c r="C4244" s="1">
        <v>45027</v>
      </c>
      <c r="D4244" s="1">
        <v>45028</v>
      </c>
      <c r="E4244">
        <v>1</v>
      </c>
      <c r="F4244" t="str">
        <f>"05-D01-06"</f>
        <v>05-D01-06</v>
      </c>
      <c r="G4244">
        <v>0.7571</v>
      </c>
      <c r="H4244" t="s">
        <v>11</v>
      </c>
      <c r="I4244" t="s">
        <v>10</v>
      </c>
    </row>
    <row r="4245" spans="1:9" x14ac:dyDescent="0.25">
      <c r="A4245" t="str">
        <f t="shared" si="106"/>
        <v>89301000</v>
      </c>
      <c r="B4245" t="str">
        <f>"440223160"</f>
        <v>440223160</v>
      </c>
      <c r="C4245" s="1">
        <v>45267</v>
      </c>
      <c r="D4245" s="1">
        <v>45273</v>
      </c>
      <c r="E4245">
        <v>1</v>
      </c>
      <c r="F4245" t="str">
        <f>"11-K03-02"</f>
        <v>11-K03-02</v>
      </c>
      <c r="G4245">
        <v>0.66679999999999995</v>
      </c>
      <c r="H4245" t="s">
        <v>11</v>
      </c>
      <c r="I4245" t="s">
        <v>10</v>
      </c>
    </row>
    <row r="4246" spans="1:9" x14ac:dyDescent="0.25">
      <c r="A4246" t="str">
        <f t="shared" si="106"/>
        <v>89301000</v>
      </c>
      <c r="B4246" t="str">
        <f>"440223160"</f>
        <v>440223160</v>
      </c>
      <c r="C4246" s="1">
        <v>45219</v>
      </c>
      <c r="D4246" s="1">
        <v>45231</v>
      </c>
      <c r="E4246">
        <v>1</v>
      </c>
      <c r="F4246" t="str">
        <f>"11-K03-02"</f>
        <v>11-K03-02</v>
      </c>
      <c r="G4246">
        <v>0.65590000000000004</v>
      </c>
      <c r="H4246" t="s">
        <v>11</v>
      </c>
      <c r="I4246" t="s">
        <v>10</v>
      </c>
    </row>
    <row r="4247" spans="1:9" x14ac:dyDescent="0.25">
      <c r="A4247" t="str">
        <f t="shared" si="106"/>
        <v>89301000</v>
      </c>
      <c r="B4247" t="str">
        <f>"440223160"</f>
        <v>440223160</v>
      </c>
      <c r="C4247" s="1">
        <v>45172</v>
      </c>
      <c r="D4247" s="1">
        <v>45189</v>
      </c>
      <c r="E4247">
        <v>1</v>
      </c>
      <c r="F4247" t="str">
        <f>"18-K01-06"</f>
        <v>18-K01-06</v>
      </c>
      <c r="G4247">
        <v>1.4659</v>
      </c>
      <c r="H4247" t="s">
        <v>11</v>
      </c>
      <c r="I4247" t="s">
        <v>10</v>
      </c>
    </row>
    <row r="4248" spans="1:9" x14ac:dyDescent="0.25">
      <c r="A4248" t="str">
        <f t="shared" si="106"/>
        <v>89301000</v>
      </c>
      <c r="B4248" t="str">
        <f>"440223411"</f>
        <v>440223411</v>
      </c>
      <c r="C4248" s="1">
        <v>45036</v>
      </c>
      <c r="D4248" s="1">
        <v>45050</v>
      </c>
      <c r="E4248">
        <v>1</v>
      </c>
      <c r="F4248" t="str">
        <f>"09-K04-01"</f>
        <v>09-K04-01</v>
      </c>
      <c r="G4248">
        <v>0.80930000000000002</v>
      </c>
      <c r="H4248" t="s">
        <v>11</v>
      </c>
      <c r="I4248" t="s">
        <v>10</v>
      </c>
    </row>
    <row r="4249" spans="1:9" x14ac:dyDescent="0.25">
      <c r="A4249" t="str">
        <f t="shared" si="106"/>
        <v>89301000</v>
      </c>
      <c r="B4249" t="str">
        <f>"440227955"</f>
        <v>440227955</v>
      </c>
      <c r="C4249" s="1">
        <v>45272</v>
      </c>
      <c r="D4249" s="1">
        <v>45274</v>
      </c>
      <c r="E4249">
        <v>1</v>
      </c>
      <c r="F4249" t="str">
        <f>"05-I14-03"</f>
        <v>05-I14-03</v>
      </c>
      <c r="G4249">
        <v>6.0362</v>
      </c>
      <c r="H4249" t="s">
        <v>12</v>
      </c>
      <c r="I4249" t="s">
        <v>10</v>
      </c>
    </row>
    <row r="4250" spans="1:9" x14ac:dyDescent="0.25">
      <c r="A4250" t="str">
        <f t="shared" si="106"/>
        <v>89301000</v>
      </c>
      <c r="B4250" t="str">
        <f>"440308449"</f>
        <v>440308449</v>
      </c>
      <c r="C4250" s="1">
        <v>45055</v>
      </c>
      <c r="D4250" s="1">
        <v>45057</v>
      </c>
      <c r="E4250">
        <v>1</v>
      </c>
      <c r="F4250" t="str">
        <f>"05-M06-06"</f>
        <v>05-M06-06</v>
      </c>
      <c r="G4250">
        <v>1.8264</v>
      </c>
      <c r="H4250" t="s">
        <v>12</v>
      </c>
      <c r="I4250" t="s">
        <v>10</v>
      </c>
    </row>
    <row r="4251" spans="1:9" x14ac:dyDescent="0.25">
      <c r="A4251" t="str">
        <f t="shared" si="106"/>
        <v>89301000</v>
      </c>
      <c r="B4251" t="str">
        <f>"440311457"</f>
        <v>440311457</v>
      </c>
      <c r="C4251" s="1">
        <v>44965</v>
      </c>
      <c r="D4251" s="1">
        <v>44973</v>
      </c>
      <c r="E4251">
        <v>1</v>
      </c>
      <c r="F4251" t="str">
        <f>"06-I07-06"</f>
        <v>06-I07-06</v>
      </c>
      <c r="G4251">
        <v>2.3725000000000001</v>
      </c>
      <c r="H4251" t="s">
        <v>12</v>
      </c>
      <c r="I4251" t="s">
        <v>10</v>
      </c>
    </row>
    <row r="4252" spans="1:9" x14ac:dyDescent="0.25">
      <c r="A4252" t="str">
        <f t="shared" si="106"/>
        <v>89301000</v>
      </c>
      <c r="B4252" t="str">
        <f>"440311457"</f>
        <v>440311457</v>
      </c>
      <c r="C4252" s="1">
        <v>45071</v>
      </c>
      <c r="D4252" s="1">
        <v>45079</v>
      </c>
      <c r="E4252">
        <v>1</v>
      </c>
      <c r="F4252" t="str">
        <f>"05-I24-02"</f>
        <v>05-I24-02</v>
      </c>
      <c r="G4252">
        <v>3.8996</v>
      </c>
      <c r="H4252" t="s">
        <v>12</v>
      </c>
      <c r="I4252" t="s">
        <v>10</v>
      </c>
    </row>
    <row r="4253" spans="1:9" x14ac:dyDescent="0.25">
      <c r="A4253" t="str">
        <f t="shared" si="106"/>
        <v>89301000</v>
      </c>
      <c r="B4253" t="str">
        <f>"440314447"</f>
        <v>440314447</v>
      </c>
      <c r="C4253" s="1">
        <v>45103</v>
      </c>
      <c r="D4253" s="1">
        <v>45107</v>
      </c>
      <c r="E4253">
        <v>1</v>
      </c>
      <c r="F4253" t="str">
        <f>"08-I06-04"</f>
        <v>08-I06-04</v>
      </c>
      <c r="G4253">
        <v>2.3995000000000002</v>
      </c>
      <c r="H4253" t="s">
        <v>9</v>
      </c>
      <c r="I4253" t="s">
        <v>10</v>
      </c>
    </row>
    <row r="4254" spans="1:9" x14ac:dyDescent="0.25">
      <c r="A4254" t="str">
        <f t="shared" si="106"/>
        <v>89301000</v>
      </c>
      <c r="B4254" t="str">
        <f>"440314471"</f>
        <v>440314471</v>
      </c>
      <c r="C4254" s="1">
        <v>45223</v>
      </c>
      <c r="D4254" s="1">
        <v>45240</v>
      </c>
      <c r="E4254">
        <v>1</v>
      </c>
      <c r="F4254" t="str">
        <f>"08-I06-03"</f>
        <v>08-I06-03</v>
      </c>
      <c r="G4254">
        <v>2.8209</v>
      </c>
      <c r="H4254" t="s">
        <v>9</v>
      </c>
      <c r="I4254" t="s">
        <v>10</v>
      </c>
    </row>
    <row r="4255" spans="1:9" x14ac:dyDescent="0.25">
      <c r="A4255" t="str">
        <f t="shared" si="106"/>
        <v>89301000</v>
      </c>
      <c r="B4255" t="str">
        <f>"440321448"</f>
        <v>440321448</v>
      </c>
      <c r="C4255" s="1">
        <v>45174</v>
      </c>
      <c r="D4255" s="1">
        <v>45177</v>
      </c>
      <c r="E4255">
        <v>1</v>
      </c>
      <c r="F4255" t="str">
        <f>"06-I16-04"</f>
        <v>06-I16-04</v>
      </c>
      <c r="G4255">
        <v>0.68920000000000003</v>
      </c>
      <c r="H4255" t="s">
        <v>9</v>
      </c>
      <c r="I4255" t="s">
        <v>10</v>
      </c>
    </row>
    <row r="4256" spans="1:9" x14ac:dyDescent="0.25">
      <c r="A4256" t="str">
        <f t="shared" ref="A4256:A4319" si="107">"89301000"</f>
        <v>89301000</v>
      </c>
      <c r="B4256" t="str">
        <f>"440323440"</f>
        <v>440323440</v>
      </c>
      <c r="C4256" s="1">
        <v>45246</v>
      </c>
      <c r="D4256" s="1">
        <v>45254</v>
      </c>
      <c r="E4256">
        <v>1</v>
      </c>
      <c r="F4256" t="str">
        <f>"01-K04-02"</f>
        <v>01-K04-02</v>
      </c>
      <c r="G4256">
        <v>0.79990000000000006</v>
      </c>
      <c r="H4256" t="s">
        <v>11</v>
      </c>
      <c r="I4256" t="s">
        <v>10</v>
      </c>
    </row>
    <row r="4257" spans="1:9" x14ac:dyDescent="0.25">
      <c r="A4257" t="str">
        <f t="shared" si="107"/>
        <v>89301000</v>
      </c>
      <c r="B4257" t="str">
        <f>"440407411"</f>
        <v>440407411</v>
      </c>
      <c r="C4257" s="1">
        <v>45109</v>
      </c>
      <c r="D4257" s="1">
        <v>45112</v>
      </c>
      <c r="E4257">
        <v>1</v>
      </c>
      <c r="F4257" t="str">
        <f>"05-M06-06"</f>
        <v>05-M06-06</v>
      </c>
      <c r="G4257">
        <v>1.8264</v>
      </c>
      <c r="H4257" t="s">
        <v>12</v>
      </c>
      <c r="I4257" t="s">
        <v>10</v>
      </c>
    </row>
    <row r="4258" spans="1:9" x14ac:dyDescent="0.25">
      <c r="A4258" t="str">
        <f t="shared" si="107"/>
        <v>89301000</v>
      </c>
      <c r="B4258" t="str">
        <f>"440407411"</f>
        <v>440407411</v>
      </c>
      <c r="C4258" s="1">
        <v>45139</v>
      </c>
      <c r="D4258" s="1">
        <v>45146</v>
      </c>
      <c r="E4258">
        <v>1</v>
      </c>
      <c r="F4258" t="str">
        <f>"04-K15-02"</f>
        <v>04-K15-02</v>
      </c>
      <c r="G4258">
        <v>1.206</v>
      </c>
      <c r="H4258" t="s">
        <v>11</v>
      </c>
      <c r="I4258" t="s">
        <v>10</v>
      </c>
    </row>
    <row r="4259" spans="1:9" x14ac:dyDescent="0.25">
      <c r="A4259" t="str">
        <f t="shared" si="107"/>
        <v>89301000</v>
      </c>
      <c r="B4259" t="str">
        <f>"440408058"</f>
        <v>440408058</v>
      </c>
      <c r="C4259" s="1">
        <v>44980</v>
      </c>
      <c r="D4259" s="1">
        <v>44982</v>
      </c>
      <c r="E4259">
        <v>1</v>
      </c>
      <c r="F4259" t="str">
        <f>"05-I25-02"</f>
        <v>05-I25-02</v>
      </c>
      <c r="G4259">
        <v>2.9415</v>
      </c>
      <c r="H4259" t="s">
        <v>12</v>
      </c>
      <c r="I4259" t="s">
        <v>10</v>
      </c>
    </row>
    <row r="4260" spans="1:9" x14ac:dyDescent="0.25">
      <c r="A4260" t="str">
        <f t="shared" si="107"/>
        <v>89301000</v>
      </c>
      <c r="B4260" t="str">
        <f>"440409428"</f>
        <v>440409428</v>
      </c>
      <c r="C4260" s="1">
        <v>45236</v>
      </c>
      <c r="D4260" s="1">
        <v>45238</v>
      </c>
      <c r="E4260">
        <v>1</v>
      </c>
      <c r="F4260" t="str">
        <f>"05-I30-02"</f>
        <v>05-I30-02</v>
      </c>
      <c r="G4260">
        <v>0.41699999999999998</v>
      </c>
      <c r="H4260" t="s">
        <v>12</v>
      </c>
      <c r="I4260" t="s">
        <v>10</v>
      </c>
    </row>
    <row r="4261" spans="1:9" x14ac:dyDescent="0.25">
      <c r="A4261" t="str">
        <f t="shared" si="107"/>
        <v>89301000</v>
      </c>
      <c r="B4261" t="str">
        <f>"440412421"</f>
        <v>440412421</v>
      </c>
      <c r="C4261" s="1">
        <v>45018</v>
      </c>
      <c r="D4261" s="1">
        <v>45022</v>
      </c>
      <c r="E4261">
        <v>1</v>
      </c>
      <c r="F4261" t="str">
        <f>"05-I25-03"</f>
        <v>05-I25-03</v>
      </c>
      <c r="G4261">
        <v>1.633</v>
      </c>
      <c r="H4261" t="s">
        <v>12</v>
      </c>
      <c r="I4261" t="s">
        <v>10</v>
      </c>
    </row>
    <row r="4262" spans="1:9" x14ac:dyDescent="0.25">
      <c r="A4262" t="str">
        <f t="shared" si="107"/>
        <v>89301000</v>
      </c>
      <c r="B4262" t="str">
        <f>"440412421"</f>
        <v>440412421</v>
      </c>
      <c r="C4262" s="1">
        <v>45180</v>
      </c>
      <c r="D4262" s="1">
        <v>45182</v>
      </c>
      <c r="E4262">
        <v>4</v>
      </c>
      <c r="F4262" t="str">
        <f>"05-K14-02"</f>
        <v>05-K14-02</v>
      </c>
      <c r="G4262">
        <v>0.9103</v>
      </c>
      <c r="H4262" t="s">
        <v>11</v>
      </c>
      <c r="I4262" t="s">
        <v>10</v>
      </c>
    </row>
    <row r="4263" spans="1:9" x14ac:dyDescent="0.25">
      <c r="A4263" t="str">
        <f t="shared" si="107"/>
        <v>89301000</v>
      </c>
      <c r="B4263" t="str">
        <f>"440511432"</f>
        <v>440511432</v>
      </c>
      <c r="C4263" s="1">
        <v>45234</v>
      </c>
      <c r="D4263" s="1">
        <v>45241</v>
      </c>
      <c r="E4263">
        <v>1</v>
      </c>
      <c r="F4263" t="str">
        <f>"11-M06-03"</f>
        <v>11-M06-03</v>
      </c>
      <c r="G4263">
        <v>0.69720000000000004</v>
      </c>
      <c r="H4263" t="s">
        <v>12</v>
      </c>
      <c r="I4263" t="s">
        <v>10</v>
      </c>
    </row>
    <row r="4264" spans="1:9" x14ac:dyDescent="0.25">
      <c r="A4264" t="str">
        <f t="shared" si="107"/>
        <v>89301000</v>
      </c>
      <c r="B4264" t="str">
        <f>"440511432"</f>
        <v>440511432</v>
      </c>
      <c r="C4264" s="1">
        <v>45173</v>
      </c>
      <c r="D4264" s="1">
        <v>45179</v>
      </c>
      <c r="E4264">
        <v>1</v>
      </c>
      <c r="F4264" t="str">
        <f>"11-I07-01"</f>
        <v>11-I07-01</v>
      </c>
      <c r="G4264">
        <v>2.7482000000000002</v>
      </c>
      <c r="H4264" t="s">
        <v>9</v>
      </c>
      <c r="I4264" t="s">
        <v>10</v>
      </c>
    </row>
    <row r="4265" spans="1:9" x14ac:dyDescent="0.25">
      <c r="A4265" t="str">
        <f t="shared" si="107"/>
        <v>89301000</v>
      </c>
      <c r="B4265" t="str">
        <f>"440511432"</f>
        <v>440511432</v>
      </c>
      <c r="C4265" s="1">
        <v>45146</v>
      </c>
      <c r="D4265" s="1">
        <v>45152</v>
      </c>
      <c r="E4265">
        <v>1</v>
      </c>
      <c r="F4265" t="str">
        <f>"11-K14-03"</f>
        <v>11-K14-03</v>
      </c>
      <c r="G4265">
        <v>0.32729999999999998</v>
      </c>
      <c r="H4265" t="s">
        <v>11</v>
      </c>
      <c r="I4265" t="s">
        <v>10</v>
      </c>
    </row>
    <row r="4266" spans="1:9" x14ac:dyDescent="0.25">
      <c r="A4266" t="str">
        <f t="shared" si="107"/>
        <v>89301000</v>
      </c>
      <c r="B4266" t="str">
        <f>"440514480"</f>
        <v>440514480</v>
      </c>
      <c r="C4266" s="1">
        <v>45189</v>
      </c>
      <c r="D4266" s="1">
        <v>45193</v>
      </c>
      <c r="E4266">
        <v>1</v>
      </c>
      <c r="F4266" t="str">
        <f>"08-K08-00"</f>
        <v>08-K08-00</v>
      </c>
      <c r="G4266">
        <v>0.5272</v>
      </c>
      <c r="H4266" t="s">
        <v>11</v>
      </c>
      <c r="I4266" t="s">
        <v>10</v>
      </c>
    </row>
    <row r="4267" spans="1:9" x14ac:dyDescent="0.25">
      <c r="A4267" t="str">
        <f t="shared" si="107"/>
        <v>89301000</v>
      </c>
      <c r="B4267" t="str">
        <f>"440515410"</f>
        <v>440515410</v>
      </c>
      <c r="C4267" s="1">
        <v>45134</v>
      </c>
      <c r="D4267" s="1">
        <v>45136</v>
      </c>
      <c r="E4267">
        <v>1</v>
      </c>
      <c r="F4267" t="str">
        <f>"05-I25-02"</f>
        <v>05-I25-02</v>
      </c>
      <c r="G4267">
        <v>2.9415</v>
      </c>
      <c r="H4267" t="s">
        <v>12</v>
      </c>
      <c r="I4267" t="s">
        <v>10</v>
      </c>
    </row>
    <row r="4268" spans="1:9" x14ac:dyDescent="0.25">
      <c r="A4268" t="str">
        <f t="shared" si="107"/>
        <v>89301000</v>
      </c>
      <c r="B4268" t="str">
        <f>"440516433"</f>
        <v>440516433</v>
      </c>
      <c r="C4268" s="1">
        <v>44937</v>
      </c>
      <c r="D4268" s="1">
        <v>44943</v>
      </c>
      <c r="E4268">
        <v>1</v>
      </c>
      <c r="F4268" t="str">
        <f>"01-I07-03"</f>
        <v>01-I07-03</v>
      </c>
      <c r="G4268">
        <v>3.0371000000000001</v>
      </c>
      <c r="H4268" t="s">
        <v>12</v>
      </c>
      <c r="I4268" t="s">
        <v>10</v>
      </c>
    </row>
    <row r="4269" spans="1:9" x14ac:dyDescent="0.25">
      <c r="A4269" t="str">
        <f t="shared" si="107"/>
        <v>89301000</v>
      </c>
      <c r="B4269" t="str">
        <f>"440519454"</f>
        <v>440519454</v>
      </c>
      <c r="C4269" s="1">
        <v>44999</v>
      </c>
      <c r="D4269" s="1">
        <v>45009</v>
      </c>
      <c r="E4269">
        <v>1</v>
      </c>
      <c r="F4269" t="str">
        <f>"05-I14-03"</f>
        <v>05-I14-03</v>
      </c>
      <c r="G4269">
        <v>6.7451999999999996</v>
      </c>
      <c r="H4269" t="s">
        <v>12</v>
      </c>
      <c r="I4269" t="s">
        <v>10</v>
      </c>
    </row>
    <row r="4270" spans="1:9" x14ac:dyDescent="0.25">
      <c r="A4270" t="str">
        <f t="shared" si="107"/>
        <v>89301000</v>
      </c>
      <c r="B4270" t="str">
        <f>"440605408"</f>
        <v>440605408</v>
      </c>
      <c r="C4270" s="1">
        <v>45180</v>
      </c>
      <c r="D4270" s="1">
        <v>45201</v>
      </c>
      <c r="E4270">
        <v>4</v>
      </c>
      <c r="F4270" t="str">
        <f>"08-K04-03"</f>
        <v>08-K04-03</v>
      </c>
      <c r="G4270">
        <v>1.0259</v>
      </c>
      <c r="H4270" t="s">
        <v>11</v>
      </c>
      <c r="I4270" t="s">
        <v>10</v>
      </c>
    </row>
    <row r="4271" spans="1:9" x14ac:dyDescent="0.25">
      <c r="A4271" t="str">
        <f t="shared" si="107"/>
        <v>89301000</v>
      </c>
      <c r="B4271" t="str">
        <f>"440606415"</f>
        <v>440606415</v>
      </c>
      <c r="C4271" s="1">
        <v>45106</v>
      </c>
      <c r="D4271" s="1">
        <v>45107</v>
      </c>
      <c r="E4271">
        <v>1</v>
      </c>
      <c r="F4271" t="str">
        <f>"05-D01-08"</f>
        <v>05-D01-08</v>
      </c>
      <c r="G4271">
        <v>0.43159999999999998</v>
      </c>
      <c r="H4271" t="s">
        <v>11</v>
      </c>
      <c r="I4271" t="s">
        <v>10</v>
      </c>
    </row>
    <row r="4272" spans="1:9" x14ac:dyDescent="0.25">
      <c r="A4272" t="str">
        <f t="shared" si="107"/>
        <v>89301000</v>
      </c>
      <c r="B4272" t="str">
        <f>"440610119"</f>
        <v>440610119</v>
      </c>
      <c r="C4272" s="1">
        <v>45077</v>
      </c>
      <c r="D4272" s="1">
        <v>45079</v>
      </c>
      <c r="E4272">
        <v>1</v>
      </c>
      <c r="F4272" t="str">
        <f>"04-K07-03"</f>
        <v>04-K07-03</v>
      </c>
      <c r="G4272">
        <v>0.62480000000000002</v>
      </c>
      <c r="H4272" t="s">
        <v>11</v>
      </c>
      <c r="I4272" t="s">
        <v>10</v>
      </c>
    </row>
    <row r="4273" spans="1:9" x14ac:dyDescent="0.25">
      <c r="A4273" t="str">
        <f t="shared" si="107"/>
        <v>89301000</v>
      </c>
      <c r="B4273" t="str">
        <f>"440610119"</f>
        <v>440610119</v>
      </c>
      <c r="C4273" s="1">
        <v>45238</v>
      </c>
      <c r="D4273" s="1">
        <v>45243</v>
      </c>
      <c r="E4273">
        <v>1</v>
      </c>
      <c r="F4273" t="str">
        <f>"04-K07-03"</f>
        <v>04-K07-03</v>
      </c>
      <c r="G4273">
        <v>0.61119999999999997</v>
      </c>
      <c r="H4273" t="s">
        <v>11</v>
      </c>
      <c r="I4273" t="s">
        <v>10</v>
      </c>
    </row>
    <row r="4274" spans="1:9" x14ac:dyDescent="0.25">
      <c r="A4274" t="str">
        <f t="shared" si="107"/>
        <v>89301000</v>
      </c>
      <c r="B4274" t="str">
        <f>"440617409"</f>
        <v>440617409</v>
      </c>
      <c r="C4274" s="1">
        <v>44930</v>
      </c>
      <c r="D4274" s="1">
        <v>44936</v>
      </c>
      <c r="E4274">
        <v>1</v>
      </c>
      <c r="F4274" t="str">
        <f>"04-K03-01"</f>
        <v>04-K03-01</v>
      </c>
      <c r="G4274">
        <v>1.3734</v>
      </c>
      <c r="H4274" t="s">
        <v>11</v>
      </c>
      <c r="I4274" t="s">
        <v>10</v>
      </c>
    </row>
    <row r="4275" spans="1:9" x14ac:dyDescent="0.25">
      <c r="A4275" t="str">
        <f t="shared" si="107"/>
        <v>89301000</v>
      </c>
      <c r="B4275" t="str">
        <f>"440617409"</f>
        <v>440617409</v>
      </c>
      <c r="C4275" s="1">
        <v>45186</v>
      </c>
      <c r="D4275" s="1">
        <v>45194</v>
      </c>
      <c r="E4275">
        <v>4</v>
      </c>
      <c r="F4275" t="str">
        <f>"08-I05-05"</f>
        <v>08-I05-05</v>
      </c>
      <c r="G4275">
        <v>2.8818999999999999</v>
      </c>
      <c r="H4275" t="s">
        <v>12</v>
      </c>
      <c r="I4275" t="s">
        <v>10</v>
      </c>
    </row>
    <row r="4276" spans="1:9" x14ac:dyDescent="0.25">
      <c r="A4276" t="str">
        <f t="shared" si="107"/>
        <v>89301000</v>
      </c>
      <c r="B4276" t="str">
        <f>"440617409"</f>
        <v>440617409</v>
      </c>
      <c r="C4276" s="1">
        <v>45236</v>
      </c>
      <c r="D4276" s="1">
        <v>45244</v>
      </c>
      <c r="E4276">
        <v>1</v>
      </c>
      <c r="F4276" t="str">
        <f>"24-M06-02"</f>
        <v>24-M06-02</v>
      </c>
      <c r="G4276">
        <v>1.0699000000000001</v>
      </c>
      <c r="H4276" t="s">
        <v>11</v>
      </c>
      <c r="I4276" t="s">
        <v>10</v>
      </c>
    </row>
    <row r="4277" spans="1:9" x14ac:dyDescent="0.25">
      <c r="A4277" t="str">
        <f t="shared" si="107"/>
        <v>89301000</v>
      </c>
      <c r="B4277" t="str">
        <f>"440701454"</f>
        <v>440701454</v>
      </c>
      <c r="C4277" s="1">
        <v>45040</v>
      </c>
      <c r="D4277" s="1">
        <v>45042</v>
      </c>
      <c r="E4277">
        <v>1</v>
      </c>
      <c r="F4277" t="str">
        <f>"11-M06-03"</f>
        <v>11-M06-03</v>
      </c>
      <c r="G4277">
        <v>0.62009999999999998</v>
      </c>
      <c r="H4277" t="s">
        <v>12</v>
      </c>
      <c r="I4277" t="s">
        <v>10</v>
      </c>
    </row>
    <row r="4278" spans="1:9" x14ac:dyDescent="0.25">
      <c r="A4278" t="str">
        <f t="shared" si="107"/>
        <v>89301000</v>
      </c>
      <c r="B4278" t="str">
        <f>"440707471"</f>
        <v>440707471</v>
      </c>
      <c r="C4278" s="1">
        <v>45259</v>
      </c>
      <c r="D4278" s="1">
        <v>45264</v>
      </c>
      <c r="E4278">
        <v>1</v>
      </c>
      <c r="F4278" t="str">
        <f>"12-I08-03"</f>
        <v>12-I08-03</v>
      </c>
      <c r="G4278">
        <v>0.7258</v>
      </c>
      <c r="H4278" t="s">
        <v>11</v>
      </c>
      <c r="I4278" t="s">
        <v>10</v>
      </c>
    </row>
    <row r="4279" spans="1:9" x14ac:dyDescent="0.25">
      <c r="A4279" t="str">
        <f t="shared" si="107"/>
        <v>89301000</v>
      </c>
      <c r="B4279" t="str">
        <f>"440707471"</f>
        <v>440707471</v>
      </c>
      <c r="C4279" s="1">
        <v>45242</v>
      </c>
      <c r="D4279" s="1">
        <v>45245</v>
      </c>
      <c r="E4279">
        <v>1</v>
      </c>
      <c r="F4279" t="str">
        <f>"12-I13-02"</f>
        <v>12-I13-02</v>
      </c>
      <c r="G4279">
        <v>0.53879999999999995</v>
      </c>
      <c r="H4279" t="s">
        <v>9</v>
      </c>
      <c r="I4279" t="s">
        <v>10</v>
      </c>
    </row>
    <row r="4280" spans="1:9" x14ac:dyDescent="0.25">
      <c r="A4280" t="str">
        <f t="shared" si="107"/>
        <v>89301000</v>
      </c>
      <c r="B4280" t="str">
        <f>"440709479"</f>
        <v>440709479</v>
      </c>
      <c r="C4280" s="1">
        <v>44970</v>
      </c>
      <c r="D4280" s="1">
        <v>44974</v>
      </c>
      <c r="E4280">
        <v>1</v>
      </c>
      <c r="F4280" t="str">
        <f>"17-I09-02"</f>
        <v>17-I09-02</v>
      </c>
      <c r="G4280">
        <v>1.0943000000000001</v>
      </c>
      <c r="H4280" t="s">
        <v>11</v>
      </c>
      <c r="I4280" t="s">
        <v>10</v>
      </c>
    </row>
    <row r="4281" spans="1:9" x14ac:dyDescent="0.25">
      <c r="A4281" t="str">
        <f t="shared" si="107"/>
        <v>89301000</v>
      </c>
      <c r="B4281" t="str">
        <f>"440716413"</f>
        <v>440716413</v>
      </c>
      <c r="C4281" s="1">
        <v>45056</v>
      </c>
      <c r="D4281" s="1">
        <v>45057</v>
      </c>
      <c r="E4281">
        <v>1</v>
      </c>
      <c r="F4281" t="str">
        <f>"05-I14-03"</f>
        <v>05-I14-03</v>
      </c>
      <c r="G4281">
        <v>6.0362</v>
      </c>
      <c r="H4281" t="s">
        <v>12</v>
      </c>
      <c r="I4281" t="s">
        <v>10</v>
      </c>
    </row>
    <row r="4282" spans="1:9" x14ac:dyDescent="0.25">
      <c r="A4282" t="str">
        <f t="shared" si="107"/>
        <v>89301000</v>
      </c>
      <c r="B4282" t="str">
        <f>"440721054"</f>
        <v>440721054</v>
      </c>
      <c r="C4282" s="1">
        <v>45091</v>
      </c>
      <c r="D4282" s="1">
        <v>45093</v>
      </c>
      <c r="E4282">
        <v>1</v>
      </c>
      <c r="F4282" t="str">
        <f>"05-I25-02"</f>
        <v>05-I25-02</v>
      </c>
      <c r="G4282">
        <v>2.9415</v>
      </c>
      <c r="H4282" t="s">
        <v>12</v>
      </c>
      <c r="I4282" t="s">
        <v>10</v>
      </c>
    </row>
    <row r="4283" spans="1:9" x14ac:dyDescent="0.25">
      <c r="A4283" t="str">
        <f t="shared" si="107"/>
        <v>89301000</v>
      </c>
      <c r="B4283" t="str">
        <f>"440722479"</f>
        <v>440722479</v>
      </c>
      <c r="C4283" s="1">
        <v>45266</v>
      </c>
      <c r="D4283" s="1">
        <v>45272</v>
      </c>
      <c r="E4283">
        <v>4</v>
      </c>
      <c r="F4283" t="str">
        <f>"08-I05-05"</f>
        <v>08-I05-05</v>
      </c>
      <c r="G4283">
        <v>2.2633000000000001</v>
      </c>
      <c r="H4283" t="s">
        <v>12</v>
      </c>
      <c r="I4283" t="s">
        <v>10</v>
      </c>
    </row>
    <row r="4284" spans="1:9" x14ac:dyDescent="0.25">
      <c r="A4284" t="str">
        <f t="shared" si="107"/>
        <v>89301000</v>
      </c>
      <c r="B4284" t="str">
        <f>"440725164"</f>
        <v>440725164</v>
      </c>
      <c r="C4284" s="1">
        <v>45180</v>
      </c>
      <c r="D4284" s="1">
        <v>45184</v>
      </c>
      <c r="E4284">
        <v>1</v>
      </c>
      <c r="F4284" t="str">
        <f>"01-K04-02"</f>
        <v>01-K04-02</v>
      </c>
      <c r="G4284">
        <v>0.79990000000000006</v>
      </c>
      <c r="H4284" t="s">
        <v>11</v>
      </c>
      <c r="I4284" t="s">
        <v>10</v>
      </c>
    </row>
    <row r="4285" spans="1:9" x14ac:dyDescent="0.25">
      <c r="A4285" t="str">
        <f t="shared" si="107"/>
        <v>89301000</v>
      </c>
      <c r="B4285" t="str">
        <f>"440807467"</f>
        <v>440807467</v>
      </c>
      <c r="C4285" s="1">
        <v>45167</v>
      </c>
      <c r="D4285" s="1">
        <v>45168</v>
      </c>
      <c r="E4285">
        <v>1</v>
      </c>
      <c r="F4285" t="str">
        <f>"01-I07-03"</f>
        <v>01-I07-03</v>
      </c>
      <c r="G4285">
        <v>1.2985</v>
      </c>
      <c r="H4285" t="s">
        <v>12</v>
      </c>
      <c r="I4285" t="s">
        <v>10</v>
      </c>
    </row>
    <row r="4286" spans="1:9" x14ac:dyDescent="0.25">
      <c r="A4286" t="str">
        <f t="shared" si="107"/>
        <v>89301000</v>
      </c>
      <c r="B4286" t="str">
        <f>"440818438"</f>
        <v>440818438</v>
      </c>
      <c r="C4286" s="1">
        <v>45097</v>
      </c>
      <c r="D4286" s="1">
        <v>45110</v>
      </c>
      <c r="E4286">
        <v>1</v>
      </c>
      <c r="F4286" t="str">
        <f>"04-R02-05"</f>
        <v>04-R02-05</v>
      </c>
      <c r="G4286">
        <v>2.2357</v>
      </c>
      <c r="H4286" t="s">
        <v>11</v>
      </c>
      <c r="I4286" t="s">
        <v>10</v>
      </c>
    </row>
    <row r="4287" spans="1:9" x14ac:dyDescent="0.25">
      <c r="A4287" t="str">
        <f t="shared" si="107"/>
        <v>89301000</v>
      </c>
      <c r="B4287" t="str">
        <f>"440823420"</f>
        <v>440823420</v>
      </c>
      <c r="C4287" s="1">
        <v>45098</v>
      </c>
      <c r="D4287" s="1">
        <v>45100</v>
      </c>
      <c r="E4287">
        <v>1</v>
      </c>
      <c r="F4287" t="str">
        <f>"16-K02-01"</f>
        <v>16-K02-01</v>
      </c>
      <c r="G4287">
        <v>1.3922000000000001</v>
      </c>
      <c r="H4287" t="s">
        <v>11</v>
      </c>
      <c r="I4287" t="s">
        <v>10</v>
      </c>
    </row>
    <row r="4288" spans="1:9" x14ac:dyDescent="0.25">
      <c r="A4288" t="str">
        <f t="shared" si="107"/>
        <v>89301000</v>
      </c>
      <c r="B4288" t="str">
        <f>"440902442"</f>
        <v>440902442</v>
      </c>
      <c r="C4288" s="1">
        <v>45062</v>
      </c>
      <c r="D4288" s="1">
        <v>45070</v>
      </c>
      <c r="E4288">
        <v>4</v>
      </c>
      <c r="F4288" t="str">
        <f>"08-I05-05"</f>
        <v>08-I05-05</v>
      </c>
      <c r="G4288">
        <v>2.2633000000000001</v>
      </c>
      <c r="H4288" t="s">
        <v>12</v>
      </c>
      <c r="I4288" t="s">
        <v>10</v>
      </c>
    </row>
    <row r="4289" spans="1:9" x14ac:dyDescent="0.25">
      <c r="A4289" t="str">
        <f t="shared" si="107"/>
        <v>89301000</v>
      </c>
      <c r="B4289" t="str">
        <f>"440903434"</f>
        <v>440903434</v>
      </c>
      <c r="C4289" s="1">
        <v>45108</v>
      </c>
      <c r="D4289" s="1">
        <v>45111</v>
      </c>
      <c r="E4289">
        <v>1</v>
      </c>
      <c r="F4289" t="str">
        <f>"05-K07-04"</f>
        <v>05-K07-04</v>
      </c>
      <c r="G4289">
        <v>1.0598000000000001</v>
      </c>
      <c r="H4289" t="s">
        <v>11</v>
      </c>
      <c r="I4289" t="s">
        <v>10</v>
      </c>
    </row>
    <row r="4290" spans="1:9" x14ac:dyDescent="0.25">
      <c r="A4290" t="str">
        <f t="shared" si="107"/>
        <v>89301000</v>
      </c>
      <c r="B4290" t="str">
        <f>"440912468"</f>
        <v>440912468</v>
      </c>
      <c r="C4290" s="1">
        <v>45071</v>
      </c>
      <c r="D4290" s="1">
        <v>45076</v>
      </c>
      <c r="E4290">
        <v>8</v>
      </c>
      <c r="F4290" t="str">
        <f>"01-K11-01"</f>
        <v>01-K11-01</v>
      </c>
      <c r="G4290">
        <v>3.2582</v>
      </c>
      <c r="H4290" t="s">
        <v>11</v>
      </c>
      <c r="I4290" t="s">
        <v>10</v>
      </c>
    </row>
    <row r="4291" spans="1:9" x14ac:dyDescent="0.25">
      <c r="A4291" t="str">
        <f t="shared" si="107"/>
        <v>89301000</v>
      </c>
      <c r="B4291" t="str">
        <f>"440914414"</f>
        <v>440914414</v>
      </c>
      <c r="C4291" s="1">
        <v>45141</v>
      </c>
      <c r="D4291" s="1">
        <v>45141</v>
      </c>
      <c r="E4291">
        <v>1</v>
      </c>
      <c r="F4291" t="str">
        <f>"05-M06-08"</f>
        <v>05-M06-08</v>
      </c>
      <c r="G4291">
        <v>1.1012</v>
      </c>
      <c r="H4291" t="s">
        <v>12</v>
      </c>
      <c r="I4291" t="s">
        <v>10</v>
      </c>
    </row>
    <row r="4292" spans="1:9" x14ac:dyDescent="0.25">
      <c r="A4292" t="str">
        <f t="shared" si="107"/>
        <v>89301000</v>
      </c>
      <c r="B4292" t="str">
        <f>"440917488"</f>
        <v>440917488</v>
      </c>
      <c r="C4292" s="1">
        <v>44943</v>
      </c>
      <c r="D4292" s="1">
        <v>44946</v>
      </c>
      <c r="E4292">
        <v>8</v>
      </c>
      <c r="F4292" t="str">
        <f>"05-K06-01"</f>
        <v>05-K06-01</v>
      </c>
      <c r="G4292">
        <v>3.1059000000000001</v>
      </c>
      <c r="H4292" t="s">
        <v>11</v>
      </c>
      <c r="I4292" t="s">
        <v>10</v>
      </c>
    </row>
    <row r="4293" spans="1:9" x14ac:dyDescent="0.25">
      <c r="A4293" t="str">
        <f t="shared" si="107"/>
        <v>89301000</v>
      </c>
      <c r="B4293" t="str">
        <f>"440919131"</f>
        <v>440919131</v>
      </c>
      <c r="C4293" s="1">
        <v>45178</v>
      </c>
      <c r="D4293" s="1">
        <v>45183</v>
      </c>
      <c r="E4293">
        <v>4</v>
      </c>
      <c r="F4293" t="str">
        <f>"01-K04-01"</f>
        <v>01-K04-01</v>
      </c>
      <c r="G4293">
        <v>1.1131</v>
      </c>
      <c r="H4293" t="s">
        <v>11</v>
      </c>
      <c r="I4293" t="s">
        <v>10</v>
      </c>
    </row>
    <row r="4294" spans="1:9" x14ac:dyDescent="0.25">
      <c r="A4294" t="str">
        <f t="shared" si="107"/>
        <v>89301000</v>
      </c>
      <c r="B4294" t="str">
        <f>"441001445"</f>
        <v>441001445</v>
      </c>
      <c r="C4294" s="1">
        <v>45034</v>
      </c>
      <c r="D4294" s="1">
        <v>45041</v>
      </c>
      <c r="E4294">
        <v>1</v>
      </c>
      <c r="F4294" t="str">
        <f>"03-I24-00"</f>
        <v>03-I24-00</v>
      </c>
      <c r="G4294">
        <v>0.53100000000000003</v>
      </c>
      <c r="H4294" t="s">
        <v>11</v>
      </c>
      <c r="I4294" t="s">
        <v>10</v>
      </c>
    </row>
    <row r="4295" spans="1:9" x14ac:dyDescent="0.25">
      <c r="A4295" t="str">
        <f t="shared" si="107"/>
        <v>89301000</v>
      </c>
      <c r="B4295" t="str">
        <f>"441009420"</f>
        <v>441009420</v>
      </c>
      <c r="C4295" s="1">
        <v>45215</v>
      </c>
      <c r="D4295" s="1">
        <v>45244</v>
      </c>
      <c r="E4295">
        <v>1</v>
      </c>
      <c r="F4295" t="str">
        <f>"04-K02-02"</f>
        <v>04-K02-02</v>
      </c>
      <c r="G4295">
        <v>2.8616999999999999</v>
      </c>
      <c r="H4295" t="s">
        <v>11</v>
      </c>
      <c r="I4295" t="s">
        <v>10</v>
      </c>
    </row>
    <row r="4296" spans="1:9" x14ac:dyDescent="0.25">
      <c r="A4296" t="str">
        <f t="shared" si="107"/>
        <v>89301000</v>
      </c>
      <c r="B4296" t="str">
        <f>"441011412"</f>
        <v>441011412</v>
      </c>
      <c r="C4296" s="1">
        <v>45061</v>
      </c>
      <c r="D4296" s="1">
        <v>45064</v>
      </c>
      <c r="E4296">
        <v>1</v>
      </c>
      <c r="F4296" t="str">
        <f>"03-K09-01"</f>
        <v>03-K09-01</v>
      </c>
      <c r="G4296">
        <v>0.58250000000000002</v>
      </c>
      <c r="H4296" t="s">
        <v>11</v>
      </c>
      <c r="I4296" t="s">
        <v>10</v>
      </c>
    </row>
    <row r="4297" spans="1:9" x14ac:dyDescent="0.25">
      <c r="A4297" t="str">
        <f t="shared" si="107"/>
        <v>89301000</v>
      </c>
      <c r="B4297" t="str">
        <f>"441011412"</f>
        <v>441011412</v>
      </c>
      <c r="C4297" s="1">
        <v>45081</v>
      </c>
      <c r="D4297" s="1">
        <v>45085</v>
      </c>
      <c r="E4297">
        <v>1</v>
      </c>
      <c r="F4297" t="str">
        <f>"03-I06-01"</f>
        <v>03-I06-01</v>
      </c>
      <c r="G4297">
        <v>4.4042000000000003</v>
      </c>
      <c r="H4297" t="s">
        <v>14</v>
      </c>
      <c r="I4297" t="s">
        <v>10</v>
      </c>
    </row>
    <row r="4298" spans="1:9" x14ac:dyDescent="0.25">
      <c r="A4298" t="str">
        <f t="shared" si="107"/>
        <v>89301000</v>
      </c>
      <c r="B4298" t="str">
        <f>"441012004"</f>
        <v>441012004</v>
      </c>
      <c r="C4298" s="1">
        <v>45201</v>
      </c>
      <c r="D4298" s="1">
        <v>45203</v>
      </c>
      <c r="E4298">
        <v>1</v>
      </c>
      <c r="F4298" t="str">
        <f>"08-K02-03"</f>
        <v>08-K02-03</v>
      </c>
      <c r="G4298">
        <v>0.6361</v>
      </c>
      <c r="H4298" t="s">
        <v>11</v>
      </c>
      <c r="I4298" t="s">
        <v>10</v>
      </c>
    </row>
    <row r="4299" spans="1:9" x14ac:dyDescent="0.25">
      <c r="A4299" t="str">
        <f t="shared" si="107"/>
        <v>89301000</v>
      </c>
      <c r="B4299" t="str">
        <f>"441024448"</f>
        <v>441024448</v>
      </c>
      <c r="C4299" s="1">
        <v>45043</v>
      </c>
      <c r="D4299" s="1">
        <v>45045</v>
      </c>
      <c r="E4299">
        <v>1</v>
      </c>
      <c r="F4299" t="str">
        <f>"06-I16-04"</f>
        <v>06-I16-04</v>
      </c>
      <c r="G4299">
        <v>0.68920000000000003</v>
      </c>
      <c r="H4299" t="s">
        <v>9</v>
      </c>
      <c r="I4299" t="s">
        <v>10</v>
      </c>
    </row>
    <row r="4300" spans="1:9" x14ac:dyDescent="0.25">
      <c r="A4300" t="str">
        <f t="shared" si="107"/>
        <v>89301000</v>
      </c>
      <c r="B4300" t="str">
        <f>"441030424"</f>
        <v>441030424</v>
      </c>
      <c r="C4300" s="1">
        <v>45033</v>
      </c>
      <c r="D4300" s="1">
        <v>45034</v>
      </c>
      <c r="E4300">
        <v>1</v>
      </c>
      <c r="F4300" t="str">
        <f>"05-D01-08"</f>
        <v>05-D01-08</v>
      </c>
      <c r="G4300">
        <v>0.43159999999999998</v>
      </c>
      <c r="H4300" t="s">
        <v>11</v>
      </c>
      <c r="I4300" t="s">
        <v>10</v>
      </c>
    </row>
    <row r="4301" spans="1:9" x14ac:dyDescent="0.25">
      <c r="A4301" t="str">
        <f t="shared" si="107"/>
        <v>89301000</v>
      </c>
      <c r="B4301" t="str">
        <f>"441031094"</f>
        <v>441031094</v>
      </c>
      <c r="C4301" s="1">
        <v>45228</v>
      </c>
      <c r="D4301" s="1">
        <v>45230</v>
      </c>
      <c r="E4301">
        <v>1</v>
      </c>
      <c r="F4301" t="str">
        <f>"12-I13-02"</f>
        <v>12-I13-02</v>
      </c>
      <c r="G4301">
        <v>0.53879999999999995</v>
      </c>
      <c r="H4301" t="s">
        <v>9</v>
      </c>
      <c r="I4301" t="s">
        <v>10</v>
      </c>
    </row>
    <row r="4302" spans="1:9" x14ac:dyDescent="0.25">
      <c r="A4302" t="str">
        <f t="shared" si="107"/>
        <v>89301000</v>
      </c>
      <c r="B4302" t="str">
        <f>"441105080"</f>
        <v>441105080</v>
      </c>
      <c r="C4302" s="1">
        <v>45244</v>
      </c>
      <c r="D4302" s="1">
        <v>45245</v>
      </c>
      <c r="E4302">
        <v>1</v>
      </c>
      <c r="F4302" t="str">
        <f>"17-K09-02"</f>
        <v>17-K09-02</v>
      </c>
      <c r="G4302">
        <v>0.77080000000000004</v>
      </c>
      <c r="H4302" t="s">
        <v>11</v>
      </c>
      <c r="I4302" t="s">
        <v>10</v>
      </c>
    </row>
    <row r="4303" spans="1:9" x14ac:dyDescent="0.25">
      <c r="A4303" t="str">
        <f t="shared" si="107"/>
        <v>89301000</v>
      </c>
      <c r="B4303" t="str">
        <f>"441112411"</f>
        <v>441112411</v>
      </c>
      <c r="C4303" s="1">
        <v>45044</v>
      </c>
      <c r="D4303" s="1">
        <v>45045</v>
      </c>
      <c r="E4303">
        <v>1</v>
      </c>
      <c r="F4303" t="str">
        <f>"06-M01-02"</f>
        <v>06-M01-02</v>
      </c>
      <c r="G4303">
        <v>1.2206999999999999</v>
      </c>
      <c r="H4303" t="s">
        <v>11</v>
      </c>
      <c r="I4303" t="s">
        <v>10</v>
      </c>
    </row>
    <row r="4304" spans="1:9" x14ac:dyDescent="0.25">
      <c r="A4304" t="str">
        <f t="shared" si="107"/>
        <v>89301000</v>
      </c>
      <c r="B4304" t="str">
        <f>"441118073"</f>
        <v>441118073</v>
      </c>
      <c r="C4304" s="1">
        <v>45149</v>
      </c>
      <c r="D4304" s="1">
        <v>45156</v>
      </c>
      <c r="E4304">
        <v>3</v>
      </c>
      <c r="F4304" t="str">
        <f>"01-K10-02"</f>
        <v>01-K10-02</v>
      </c>
      <c r="G4304">
        <v>1.6027</v>
      </c>
      <c r="H4304" t="s">
        <v>11</v>
      </c>
      <c r="I4304" t="s">
        <v>10</v>
      </c>
    </row>
    <row r="4305" spans="1:9" x14ac:dyDescent="0.25">
      <c r="A4305" t="str">
        <f t="shared" si="107"/>
        <v>89301000</v>
      </c>
      <c r="B4305" t="str">
        <f>"441118073"</f>
        <v>441118073</v>
      </c>
      <c r="C4305" s="1">
        <v>45156</v>
      </c>
      <c r="D4305" s="1">
        <v>45170</v>
      </c>
      <c r="E4305">
        <v>3</v>
      </c>
      <c r="F4305" t="str">
        <f>"24-M07-01"</f>
        <v>24-M07-01</v>
      </c>
      <c r="G4305">
        <v>1.7825</v>
      </c>
      <c r="H4305" t="s">
        <v>11</v>
      </c>
      <c r="I4305" t="s">
        <v>10</v>
      </c>
    </row>
    <row r="4306" spans="1:9" x14ac:dyDescent="0.25">
      <c r="A4306" t="str">
        <f t="shared" si="107"/>
        <v>89301000</v>
      </c>
      <c r="B4306" t="str">
        <f>"441118073"</f>
        <v>441118073</v>
      </c>
      <c r="C4306" s="1">
        <v>45184</v>
      </c>
      <c r="D4306" s="1">
        <v>45196</v>
      </c>
      <c r="E4306">
        <v>4</v>
      </c>
      <c r="F4306" t="str">
        <f>"24-M06-01"</f>
        <v>24-M06-01</v>
      </c>
      <c r="G4306">
        <v>1.1991000000000001</v>
      </c>
      <c r="H4306" t="s">
        <v>11</v>
      </c>
      <c r="I4306" t="s">
        <v>10</v>
      </c>
    </row>
    <row r="4307" spans="1:9" x14ac:dyDescent="0.25">
      <c r="A4307" t="str">
        <f t="shared" si="107"/>
        <v>89301000</v>
      </c>
      <c r="B4307" t="str">
        <f>"441118073"</f>
        <v>441118073</v>
      </c>
      <c r="C4307" s="1">
        <v>45170</v>
      </c>
      <c r="D4307" s="1">
        <v>45184</v>
      </c>
      <c r="E4307">
        <v>3</v>
      </c>
      <c r="F4307" t="str">
        <f>"01-K10-02"</f>
        <v>01-K10-02</v>
      </c>
      <c r="G4307">
        <v>1.62</v>
      </c>
      <c r="H4307" t="s">
        <v>11</v>
      </c>
      <c r="I4307" t="s">
        <v>10</v>
      </c>
    </row>
    <row r="4308" spans="1:9" x14ac:dyDescent="0.25">
      <c r="A4308" t="str">
        <f t="shared" si="107"/>
        <v>89301000</v>
      </c>
      <c r="B4308" t="str">
        <f>"441118073"</f>
        <v>441118073</v>
      </c>
      <c r="C4308" s="1">
        <v>45100</v>
      </c>
      <c r="D4308" s="1">
        <v>45107</v>
      </c>
      <c r="E4308">
        <v>1</v>
      </c>
      <c r="F4308" t="str">
        <f>"01-K10-03"</f>
        <v>01-K10-03</v>
      </c>
      <c r="G4308">
        <v>1.0348999999999999</v>
      </c>
      <c r="H4308" t="s">
        <v>11</v>
      </c>
      <c r="I4308" t="s">
        <v>10</v>
      </c>
    </row>
    <row r="4309" spans="1:9" x14ac:dyDescent="0.25">
      <c r="A4309" t="str">
        <f t="shared" si="107"/>
        <v>89301000</v>
      </c>
      <c r="B4309" t="str">
        <f>"441118123"</f>
        <v>441118123</v>
      </c>
      <c r="C4309" s="1">
        <v>45261</v>
      </c>
      <c r="D4309" s="1">
        <v>45265</v>
      </c>
      <c r="E4309">
        <v>1</v>
      </c>
      <c r="F4309" t="str">
        <f>"01-I08-04"</f>
        <v>01-I08-04</v>
      </c>
      <c r="G4309">
        <v>1.4927999999999999</v>
      </c>
      <c r="H4309" t="s">
        <v>14</v>
      </c>
      <c r="I4309" t="s">
        <v>10</v>
      </c>
    </row>
    <row r="4310" spans="1:9" x14ac:dyDescent="0.25">
      <c r="A4310" t="str">
        <f t="shared" si="107"/>
        <v>89301000</v>
      </c>
      <c r="B4310" t="str">
        <f>"441120457"</f>
        <v>441120457</v>
      </c>
      <c r="C4310" s="1">
        <v>45128</v>
      </c>
      <c r="D4310" s="1">
        <v>45129</v>
      </c>
      <c r="E4310">
        <v>1</v>
      </c>
      <c r="F4310" t="str">
        <f>"01-K16-06"</f>
        <v>01-K16-06</v>
      </c>
      <c r="G4310">
        <v>0.27260000000000001</v>
      </c>
      <c r="H4310" t="s">
        <v>11</v>
      </c>
      <c r="I4310" t="s">
        <v>10</v>
      </c>
    </row>
    <row r="4311" spans="1:9" x14ac:dyDescent="0.25">
      <c r="A4311" t="str">
        <f t="shared" si="107"/>
        <v>89301000</v>
      </c>
      <c r="B4311" t="str">
        <f>"441127484"</f>
        <v>441127484</v>
      </c>
      <c r="C4311" s="1">
        <v>45015</v>
      </c>
      <c r="D4311" s="1">
        <v>45022</v>
      </c>
      <c r="E4311">
        <v>5</v>
      </c>
      <c r="F4311" t="str">
        <f>"01-M02-00"</f>
        <v>01-M02-00</v>
      </c>
      <c r="G4311">
        <v>5.3973000000000004</v>
      </c>
      <c r="H4311" t="s">
        <v>12</v>
      </c>
      <c r="I4311" t="s">
        <v>10</v>
      </c>
    </row>
    <row r="4312" spans="1:9" x14ac:dyDescent="0.25">
      <c r="A4312" t="str">
        <f t="shared" si="107"/>
        <v>89301000</v>
      </c>
      <c r="B4312" t="str">
        <f>"441130464"</f>
        <v>441130464</v>
      </c>
      <c r="C4312" s="1">
        <v>45239</v>
      </c>
      <c r="D4312" s="1">
        <v>45241</v>
      </c>
      <c r="E4312">
        <v>1</v>
      </c>
      <c r="F4312" t="str">
        <f>"06-C02-03"</f>
        <v>06-C02-03</v>
      </c>
      <c r="G4312">
        <v>0.32650000000000001</v>
      </c>
      <c r="H4312" t="s">
        <v>11</v>
      </c>
      <c r="I4312" t="s">
        <v>10</v>
      </c>
    </row>
    <row r="4313" spans="1:9" x14ac:dyDescent="0.25">
      <c r="A4313" t="str">
        <f t="shared" si="107"/>
        <v>89301000</v>
      </c>
      <c r="B4313" t="str">
        <f>"441130464"</f>
        <v>441130464</v>
      </c>
      <c r="C4313" s="1">
        <v>45253</v>
      </c>
      <c r="D4313" s="1">
        <v>45255</v>
      </c>
      <c r="E4313">
        <v>1</v>
      </c>
      <c r="F4313" t="str">
        <f>"06-C02-03"</f>
        <v>06-C02-03</v>
      </c>
      <c r="G4313">
        <v>0.32650000000000001</v>
      </c>
      <c r="H4313" t="s">
        <v>11</v>
      </c>
      <c r="I4313" t="s">
        <v>10</v>
      </c>
    </row>
    <row r="4314" spans="1:9" x14ac:dyDescent="0.25">
      <c r="A4314" t="str">
        <f t="shared" si="107"/>
        <v>89301000</v>
      </c>
      <c r="B4314" t="str">
        <f>"441130464"</f>
        <v>441130464</v>
      </c>
      <c r="C4314" s="1">
        <v>45274</v>
      </c>
      <c r="D4314" s="1">
        <v>45276</v>
      </c>
      <c r="E4314">
        <v>1</v>
      </c>
      <c r="F4314" t="str">
        <f>"06-C02-03"</f>
        <v>06-C02-03</v>
      </c>
      <c r="G4314">
        <v>0.32650000000000001</v>
      </c>
      <c r="H4314" t="s">
        <v>11</v>
      </c>
      <c r="I4314" t="s">
        <v>10</v>
      </c>
    </row>
    <row r="4315" spans="1:9" x14ac:dyDescent="0.25">
      <c r="A4315" t="str">
        <f t="shared" si="107"/>
        <v>89301000</v>
      </c>
      <c r="B4315" t="str">
        <f>"441130464"</f>
        <v>441130464</v>
      </c>
      <c r="C4315" s="1">
        <v>45181</v>
      </c>
      <c r="D4315" s="1">
        <v>45183</v>
      </c>
      <c r="E4315">
        <v>1</v>
      </c>
      <c r="F4315" t="str">
        <f>"05-M03-00"</f>
        <v>05-M03-00</v>
      </c>
      <c r="G4315">
        <v>3.4253999999999998</v>
      </c>
      <c r="H4315" t="s">
        <v>14</v>
      </c>
      <c r="I4315" t="s">
        <v>10</v>
      </c>
    </row>
    <row r="4316" spans="1:9" x14ac:dyDescent="0.25">
      <c r="A4316" t="str">
        <f t="shared" si="107"/>
        <v>89301000</v>
      </c>
      <c r="B4316" t="str">
        <f>"441130464"</f>
        <v>441130464</v>
      </c>
      <c r="C4316" s="1">
        <v>45081</v>
      </c>
      <c r="D4316" s="1">
        <v>45091</v>
      </c>
      <c r="E4316">
        <v>1</v>
      </c>
      <c r="F4316" t="str">
        <f>"06-I12-02"</f>
        <v>06-I12-02</v>
      </c>
      <c r="G4316">
        <v>2.3982999999999999</v>
      </c>
      <c r="H4316" t="s">
        <v>11</v>
      </c>
      <c r="I4316" t="s">
        <v>10</v>
      </c>
    </row>
    <row r="4317" spans="1:9" x14ac:dyDescent="0.25">
      <c r="A4317" t="str">
        <f t="shared" si="107"/>
        <v>89301000</v>
      </c>
      <c r="B4317" t="str">
        <f>"441210042"</f>
        <v>441210042</v>
      </c>
      <c r="C4317" s="1">
        <v>45267</v>
      </c>
      <c r="D4317" s="1">
        <v>45268</v>
      </c>
      <c r="E4317">
        <v>1</v>
      </c>
      <c r="F4317" t="str">
        <f>"05-I25-03"</f>
        <v>05-I25-03</v>
      </c>
      <c r="G4317">
        <v>1.633</v>
      </c>
      <c r="H4317" t="s">
        <v>12</v>
      </c>
      <c r="I4317" t="s">
        <v>10</v>
      </c>
    </row>
    <row r="4318" spans="1:9" x14ac:dyDescent="0.25">
      <c r="A4318" t="str">
        <f t="shared" si="107"/>
        <v>89301000</v>
      </c>
      <c r="B4318" t="str">
        <f>"441213149"</f>
        <v>441213149</v>
      </c>
      <c r="C4318" s="1">
        <v>45158</v>
      </c>
      <c r="D4318" s="1">
        <v>45181</v>
      </c>
      <c r="E4318">
        <v>1</v>
      </c>
      <c r="F4318" t="str">
        <f>"01-K05-01"</f>
        <v>01-K05-01</v>
      </c>
      <c r="G4318">
        <v>1.5953999999999999</v>
      </c>
      <c r="H4318" t="s">
        <v>11</v>
      </c>
      <c r="I4318" t="s">
        <v>10</v>
      </c>
    </row>
    <row r="4319" spans="1:9" x14ac:dyDescent="0.25">
      <c r="A4319" t="str">
        <f t="shared" si="107"/>
        <v>89301000</v>
      </c>
      <c r="B4319" t="str">
        <f>"441225431"</f>
        <v>441225431</v>
      </c>
      <c r="C4319" s="1">
        <v>45086</v>
      </c>
      <c r="D4319" s="1">
        <v>45087</v>
      </c>
      <c r="E4319">
        <v>1</v>
      </c>
      <c r="F4319" t="str">
        <f>"05-D01-06"</f>
        <v>05-D01-06</v>
      </c>
      <c r="G4319">
        <v>0.7571</v>
      </c>
      <c r="H4319" t="s">
        <v>11</v>
      </c>
      <c r="I4319" t="s">
        <v>10</v>
      </c>
    </row>
    <row r="4320" spans="1:9" x14ac:dyDescent="0.25">
      <c r="A4320" t="str">
        <f t="shared" ref="A4320:A4383" si="108">"89301000"</f>
        <v>89301000</v>
      </c>
      <c r="B4320" t="str">
        <f>"441225431"</f>
        <v>441225431</v>
      </c>
      <c r="C4320" s="1">
        <v>45131</v>
      </c>
      <c r="D4320" s="1">
        <v>45134</v>
      </c>
      <c r="E4320">
        <v>1</v>
      </c>
      <c r="F4320" t="str">
        <f>"05-M01-03"</f>
        <v>05-M01-03</v>
      </c>
      <c r="G4320">
        <v>11.4411</v>
      </c>
      <c r="H4320" t="s">
        <v>12</v>
      </c>
      <c r="I4320" t="s">
        <v>10</v>
      </c>
    </row>
    <row r="4321" spans="1:9" x14ac:dyDescent="0.25">
      <c r="A4321" t="str">
        <f t="shared" si="108"/>
        <v>89301000</v>
      </c>
      <c r="B4321" t="str">
        <f>"445105155"</f>
        <v>445105155</v>
      </c>
      <c r="C4321" s="1">
        <v>45151</v>
      </c>
      <c r="D4321" s="1">
        <v>45156</v>
      </c>
      <c r="E4321">
        <v>5</v>
      </c>
      <c r="F4321" t="str">
        <f>"01-C02-02"</f>
        <v>01-C02-02</v>
      </c>
      <c r="G4321">
        <v>1.6685000000000001</v>
      </c>
      <c r="H4321" t="s">
        <v>11</v>
      </c>
      <c r="I4321" t="s">
        <v>10</v>
      </c>
    </row>
    <row r="4322" spans="1:9" x14ac:dyDescent="0.25">
      <c r="A4322" t="str">
        <f t="shared" si="108"/>
        <v>89301000</v>
      </c>
      <c r="B4322" t="str">
        <f>"445106425"</f>
        <v>445106425</v>
      </c>
      <c r="C4322" s="1">
        <v>45174</v>
      </c>
      <c r="D4322" s="1">
        <v>45175</v>
      </c>
      <c r="E4322">
        <v>1</v>
      </c>
      <c r="F4322" t="str">
        <f>"05-D01-08"</f>
        <v>05-D01-08</v>
      </c>
      <c r="G4322">
        <v>0.43159999999999998</v>
      </c>
      <c r="H4322" t="s">
        <v>11</v>
      </c>
      <c r="I4322" t="s">
        <v>10</v>
      </c>
    </row>
    <row r="4323" spans="1:9" x14ac:dyDescent="0.25">
      <c r="A4323" t="str">
        <f t="shared" si="108"/>
        <v>89301000</v>
      </c>
      <c r="B4323" t="str">
        <f>"445115412"</f>
        <v>445115412</v>
      </c>
      <c r="C4323" s="1">
        <v>44978</v>
      </c>
      <c r="D4323" s="1">
        <v>44982</v>
      </c>
      <c r="E4323">
        <v>1</v>
      </c>
      <c r="F4323" t="str">
        <f>"08-I23-02"</f>
        <v>08-I23-02</v>
      </c>
      <c r="G4323">
        <v>0.96389999999999998</v>
      </c>
      <c r="H4323" t="s">
        <v>12</v>
      </c>
      <c r="I4323" t="s">
        <v>10</v>
      </c>
    </row>
    <row r="4324" spans="1:9" x14ac:dyDescent="0.25">
      <c r="A4324" t="str">
        <f t="shared" si="108"/>
        <v>89301000</v>
      </c>
      <c r="B4324" t="str">
        <f>"445117439"</f>
        <v>445117439</v>
      </c>
      <c r="C4324" s="1">
        <v>45230</v>
      </c>
      <c r="D4324" s="1">
        <v>45238</v>
      </c>
      <c r="E4324">
        <v>5</v>
      </c>
      <c r="F4324" t="str">
        <f>"01-M02-00"</f>
        <v>01-M02-00</v>
      </c>
      <c r="G4324">
        <v>5.3973000000000004</v>
      </c>
      <c r="H4324" t="s">
        <v>12</v>
      </c>
      <c r="I4324" t="s">
        <v>10</v>
      </c>
    </row>
    <row r="4325" spans="1:9" x14ac:dyDescent="0.25">
      <c r="A4325" t="str">
        <f t="shared" si="108"/>
        <v>89301000</v>
      </c>
      <c r="B4325" t="str">
        <f>"445120125"</f>
        <v>445120125</v>
      </c>
      <c r="C4325" s="1">
        <v>44928</v>
      </c>
      <c r="D4325" s="1">
        <v>44936</v>
      </c>
      <c r="E4325">
        <v>2</v>
      </c>
      <c r="F4325" t="str">
        <f>"10-K14-01"</f>
        <v>10-K14-01</v>
      </c>
      <c r="G4325">
        <v>2.0171999999999999</v>
      </c>
      <c r="H4325" t="s">
        <v>11</v>
      </c>
      <c r="I4325" t="s">
        <v>10</v>
      </c>
    </row>
    <row r="4326" spans="1:9" x14ac:dyDescent="0.25">
      <c r="A4326" t="str">
        <f t="shared" si="108"/>
        <v>89301000</v>
      </c>
      <c r="B4326" t="str">
        <f>"445126459"</f>
        <v>445126459</v>
      </c>
      <c r="C4326" s="1">
        <v>45181</v>
      </c>
      <c r="D4326" s="1">
        <v>45187</v>
      </c>
      <c r="E4326">
        <v>1</v>
      </c>
      <c r="F4326" t="str">
        <f>"06-K21-02"</f>
        <v>06-K21-02</v>
      </c>
      <c r="G4326">
        <v>0.88049999999999995</v>
      </c>
      <c r="H4326" t="s">
        <v>11</v>
      </c>
      <c r="I4326" t="s">
        <v>10</v>
      </c>
    </row>
    <row r="4327" spans="1:9" x14ac:dyDescent="0.25">
      <c r="A4327" t="str">
        <f t="shared" si="108"/>
        <v>89301000</v>
      </c>
      <c r="B4327" t="str">
        <f>"445206497"</f>
        <v>445206497</v>
      </c>
      <c r="C4327" s="1">
        <v>45090</v>
      </c>
      <c r="D4327" s="1">
        <v>45091</v>
      </c>
      <c r="E4327">
        <v>1</v>
      </c>
      <c r="F4327" t="str">
        <f>"11-I14-02"</f>
        <v>11-I14-02</v>
      </c>
      <c r="G4327">
        <v>0.61839999999999995</v>
      </c>
      <c r="H4327" t="s">
        <v>9</v>
      </c>
      <c r="I4327" t="s">
        <v>10</v>
      </c>
    </row>
    <row r="4328" spans="1:9" x14ac:dyDescent="0.25">
      <c r="A4328" t="str">
        <f t="shared" si="108"/>
        <v>89301000</v>
      </c>
      <c r="B4328" t="str">
        <f>"445207427"</f>
        <v>445207427</v>
      </c>
      <c r="C4328" s="1">
        <v>45202</v>
      </c>
      <c r="D4328" s="1">
        <v>45208</v>
      </c>
      <c r="E4328">
        <v>4</v>
      </c>
      <c r="F4328" t="str">
        <f>"08-I06-04"</f>
        <v>08-I06-04</v>
      </c>
      <c r="G4328">
        <v>2.4180000000000001</v>
      </c>
      <c r="H4328" t="s">
        <v>9</v>
      </c>
      <c r="I4328" t="s">
        <v>10</v>
      </c>
    </row>
    <row r="4329" spans="1:9" x14ac:dyDescent="0.25">
      <c r="A4329" t="str">
        <f t="shared" si="108"/>
        <v>89301000</v>
      </c>
      <c r="B4329" t="str">
        <f>"445207427"</f>
        <v>445207427</v>
      </c>
      <c r="C4329" s="1">
        <v>44945</v>
      </c>
      <c r="D4329" s="1">
        <v>44948</v>
      </c>
      <c r="E4329">
        <v>1</v>
      </c>
      <c r="F4329" t="str">
        <f>"08-I32-00"</f>
        <v>08-I32-00</v>
      </c>
      <c r="G4329">
        <v>0.4093</v>
      </c>
      <c r="H4329" t="s">
        <v>11</v>
      </c>
      <c r="I4329" t="s">
        <v>10</v>
      </c>
    </row>
    <row r="4330" spans="1:9" x14ac:dyDescent="0.25">
      <c r="A4330" t="str">
        <f t="shared" si="108"/>
        <v>89301000</v>
      </c>
      <c r="B4330" t="str">
        <f>"445213167"</f>
        <v>445213167</v>
      </c>
      <c r="C4330" s="1">
        <v>45048</v>
      </c>
      <c r="D4330" s="1">
        <v>45056</v>
      </c>
      <c r="E4330">
        <v>1</v>
      </c>
      <c r="F4330" t="str">
        <f>"09-I13-03"</f>
        <v>09-I13-03</v>
      </c>
      <c r="G4330">
        <v>0.79510000000000003</v>
      </c>
      <c r="H4330" t="s">
        <v>11</v>
      </c>
      <c r="I4330" t="s">
        <v>10</v>
      </c>
    </row>
    <row r="4331" spans="1:9" x14ac:dyDescent="0.25">
      <c r="A4331" t="str">
        <f t="shared" si="108"/>
        <v>89301000</v>
      </c>
      <c r="B4331" t="str">
        <f>"445219421"</f>
        <v>445219421</v>
      </c>
      <c r="C4331" s="1">
        <v>45074</v>
      </c>
      <c r="D4331" s="1">
        <v>45085</v>
      </c>
      <c r="E4331">
        <v>2</v>
      </c>
      <c r="F4331" t="str">
        <f>"01-M02-00"</f>
        <v>01-M02-00</v>
      </c>
      <c r="G4331">
        <v>5.3973000000000004</v>
      </c>
      <c r="H4331" t="s">
        <v>12</v>
      </c>
      <c r="I4331" t="s">
        <v>10</v>
      </c>
    </row>
    <row r="4332" spans="1:9" x14ac:dyDescent="0.25">
      <c r="A4332" t="str">
        <f t="shared" si="108"/>
        <v>89301000</v>
      </c>
      <c r="B4332" t="str">
        <f>"445224412"</f>
        <v>445224412</v>
      </c>
      <c r="C4332" s="1">
        <v>45278</v>
      </c>
      <c r="D4332" s="1">
        <v>45280</v>
      </c>
      <c r="E4332">
        <v>1</v>
      </c>
      <c r="F4332" t="str">
        <f>"09-I06-04"</f>
        <v>09-I06-04</v>
      </c>
      <c r="G4332">
        <v>0.95069999999999999</v>
      </c>
      <c r="H4332" t="s">
        <v>12</v>
      </c>
      <c r="I4332" t="s">
        <v>10</v>
      </c>
    </row>
    <row r="4333" spans="1:9" x14ac:dyDescent="0.25">
      <c r="A4333" t="str">
        <f t="shared" si="108"/>
        <v>89301000</v>
      </c>
      <c r="B4333" t="str">
        <f>"445224467"</f>
        <v>445224467</v>
      </c>
      <c r="C4333" s="1">
        <v>44993</v>
      </c>
      <c r="D4333" s="1">
        <v>44997</v>
      </c>
      <c r="E4333">
        <v>6</v>
      </c>
      <c r="F4333" t="str">
        <f>"10-I13-02"</f>
        <v>10-I13-02</v>
      </c>
      <c r="G4333">
        <v>1.1124000000000001</v>
      </c>
      <c r="H4333" t="s">
        <v>9</v>
      </c>
      <c r="I4333" t="s">
        <v>10</v>
      </c>
    </row>
    <row r="4334" spans="1:9" x14ac:dyDescent="0.25">
      <c r="A4334" t="str">
        <f t="shared" si="108"/>
        <v>89301000</v>
      </c>
      <c r="B4334" t="str">
        <f>"445228999"</f>
        <v>445228999</v>
      </c>
      <c r="C4334" s="1">
        <v>44998</v>
      </c>
      <c r="D4334" s="1">
        <v>45006</v>
      </c>
      <c r="E4334">
        <v>1</v>
      </c>
      <c r="F4334" t="str">
        <f>"05-D01-06"</f>
        <v>05-D01-06</v>
      </c>
      <c r="G4334">
        <v>0.86309999999999998</v>
      </c>
      <c r="H4334" t="s">
        <v>11</v>
      </c>
      <c r="I4334" t="s">
        <v>10</v>
      </c>
    </row>
    <row r="4335" spans="1:9" x14ac:dyDescent="0.25">
      <c r="A4335" t="str">
        <f t="shared" si="108"/>
        <v>89301000</v>
      </c>
      <c r="B4335" t="str">
        <f>"445228999"</f>
        <v>445228999</v>
      </c>
      <c r="C4335" s="1">
        <v>45020</v>
      </c>
      <c r="D4335" s="1">
        <v>45030</v>
      </c>
      <c r="E4335">
        <v>1</v>
      </c>
      <c r="F4335" t="str">
        <f>"05-M01-03"</f>
        <v>05-M01-03</v>
      </c>
      <c r="G4335">
        <v>11.4411</v>
      </c>
      <c r="H4335" t="s">
        <v>12</v>
      </c>
      <c r="I4335" t="s">
        <v>10</v>
      </c>
    </row>
    <row r="4336" spans="1:9" x14ac:dyDescent="0.25">
      <c r="A4336" t="str">
        <f t="shared" si="108"/>
        <v>89301000</v>
      </c>
      <c r="B4336" t="str">
        <f>"445228999"</f>
        <v>445228999</v>
      </c>
      <c r="C4336" s="1">
        <v>45083</v>
      </c>
      <c r="D4336" s="1">
        <v>45093</v>
      </c>
      <c r="E4336">
        <v>1</v>
      </c>
      <c r="F4336" t="str">
        <f>"24-M06-01"</f>
        <v>24-M06-01</v>
      </c>
      <c r="G4336">
        <v>1.1990000000000001</v>
      </c>
      <c r="H4336" t="s">
        <v>11</v>
      </c>
      <c r="I4336" t="s">
        <v>10</v>
      </c>
    </row>
    <row r="4337" spans="1:9" x14ac:dyDescent="0.25">
      <c r="A4337" t="str">
        <f t="shared" si="108"/>
        <v>89301000</v>
      </c>
      <c r="B4337" t="str">
        <f>"4452710515"</f>
        <v>4452710515</v>
      </c>
      <c r="C4337" s="1">
        <v>44967</v>
      </c>
      <c r="D4337" s="1">
        <v>44968</v>
      </c>
      <c r="E4337">
        <v>1</v>
      </c>
      <c r="F4337" t="str">
        <f>"05-D01-06"</f>
        <v>05-D01-06</v>
      </c>
      <c r="G4337">
        <v>0.7571</v>
      </c>
      <c r="H4337" t="s">
        <v>11</v>
      </c>
      <c r="I4337" t="s">
        <v>10</v>
      </c>
    </row>
    <row r="4338" spans="1:9" x14ac:dyDescent="0.25">
      <c r="A4338" t="str">
        <f t="shared" si="108"/>
        <v>89301000</v>
      </c>
      <c r="B4338" t="str">
        <f>"4452710515"</f>
        <v>4452710515</v>
      </c>
      <c r="C4338" s="1">
        <v>44971</v>
      </c>
      <c r="D4338" s="1">
        <v>44985</v>
      </c>
      <c r="E4338">
        <v>1</v>
      </c>
      <c r="F4338" t="str">
        <f>"05-M01-01"</f>
        <v>05-M01-01</v>
      </c>
      <c r="G4338">
        <v>14.674200000000001</v>
      </c>
      <c r="H4338" t="s">
        <v>12</v>
      </c>
      <c r="I4338" t="s">
        <v>10</v>
      </c>
    </row>
    <row r="4339" spans="1:9" x14ac:dyDescent="0.25">
      <c r="A4339" t="str">
        <f t="shared" si="108"/>
        <v>89301000</v>
      </c>
      <c r="B4339" t="str">
        <f>"445301495"</f>
        <v>445301495</v>
      </c>
      <c r="C4339" s="1">
        <v>45009</v>
      </c>
      <c r="D4339" s="1">
        <v>45019</v>
      </c>
      <c r="E4339">
        <v>1</v>
      </c>
      <c r="F4339" t="str">
        <f>"05-M06-07"</f>
        <v>05-M06-07</v>
      </c>
      <c r="G4339">
        <v>2.6131000000000002</v>
      </c>
      <c r="H4339" t="s">
        <v>12</v>
      </c>
      <c r="I4339" t="s">
        <v>10</v>
      </c>
    </row>
    <row r="4340" spans="1:9" x14ac:dyDescent="0.25">
      <c r="A4340" t="str">
        <f t="shared" si="108"/>
        <v>89301000</v>
      </c>
      <c r="B4340" t="str">
        <f>"445301495"</f>
        <v>445301495</v>
      </c>
      <c r="C4340" s="1">
        <v>45062</v>
      </c>
      <c r="D4340" s="1">
        <v>45063</v>
      </c>
      <c r="E4340">
        <v>1</v>
      </c>
      <c r="F4340" t="str">
        <f>"05-M06-08"</f>
        <v>05-M06-08</v>
      </c>
      <c r="G4340">
        <v>1.4228000000000001</v>
      </c>
      <c r="H4340" t="s">
        <v>12</v>
      </c>
      <c r="I4340" t="s">
        <v>10</v>
      </c>
    </row>
    <row r="4341" spans="1:9" x14ac:dyDescent="0.25">
      <c r="A4341" t="str">
        <f t="shared" si="108"/>
        <v>89301000</v>
      </c>
      <c r="B4341" t="str">
        <f>"445307120"</f>
        <v>445307120</v>
      </c>
      <c r="C4341" s="1">
        <v>45005</v>
      </c>
      <c r="D4341" s="1">
        <v>45007</v>
      </c>
      <c r="E4341">
        <v>1</v>
      </c>
      <c r="F4341" t="str">
        <f>"05-I14-04"</f>
        <v>05-I14-04</v>
      </c>
      <c r="G4341">
        <v>5.2220000000000004</v>
      </c>
      <c r="H4341" t="s">
        <v>12</v>
      </c>
      <c r="I4341" t="s">
        <v>10</v>
      </c>
    </row>
    <row r="4342" spans="1:9" x14ac:dyDescent="0.25">
      <c r="A4342" t="str">
        <f t="shared" si="108"/>
        <v>89301000</v>
      </c>
      <c r="B4342" t="str">
        <f>"445308478"</f>
        <v>445308478</v>
      </c>
      <c r="C4342" s="1">
        <v>44971</v>
      </c>
      <c r="D4342" s="1">
        <v>44977</v>
      </c>
      <c r="E4342">
        <v>4</v>
      </c>
      <c r="F4342" t="str">
        <f>"08-I06-04"</f>
        <v>08-I06-04</v>
      </c>
      <c r="G4342">
        <v>2.4180000000000001</v>
      </c>
      <c r="H4342" t="s">
        <v>9</v>
      </c>
      <c r="I4342" t="s">
        <v>10</v>
      </c>
    </row>
    <row r="4343" spans="1:9" x14ac:dyDescent="0.25">
      <c r="A4343" t="str">
        <f t="shared" si="108"/>
        <v>89301000</v>
      </c>
      <c r="B4343" t="str">
        <f>"445309109"</f>
        <v>445309109</v>
      </c>
      <c r="C4343" s="1">
        <v>45076</v>
      </c>
      <c r="D4343" s="1">
        <v>45099</v>
      </c>
      <c r="E4343">
        <v>1</v>
      </c>
      <c r="F4343" t="str">
        <f>"18-K01-04"</f>
        <v>18-K01-04</v>
      </c>
      <c r="G4343">
        <v>2.9117000000000002</v>
      </c>
      <c r="H4343" t="s">
        <v>11</v>
      </c>
      <c r="I4343" t="s">
        <v>10</v>
      </c>
    </row>
    <row r="4344" spans="1:9" x14ac:dyDescent="0.25">
      <c r="A4344" t="str">
        <f t="shared" si="108"/>
        <v>89301000</v>
      </c>
      <c r="B4344" t="str">
        <f>"445309109"</f>
        <v>445309109</v>
      </c>
      <c r="C4344" s="1">
        <v>45212</v>
      </c>
      <c r="D4344" s="1">
        <v>45246</v>
      </c>
      <c r="E4344">
        <v>1</v>
      </c>
      <c r="F4344" t="str">
        <f>"06-I12-03"</f>
        <v>06-I12-03</v>
      </c>
      <c r="G4344">
        <v>3.8883999999999999</v>
      </c>
      <c r="H4344" t="s">
        <v>11</v>
      </c>
      <c r="I4344" t="s">
        <v>10</v>
      </c>
    </row>
    <row r="4345" spans="1:9" x14ac:dyDescent="0.25">
      <c r="A4345" t="str">
        <f t="shared" si="108"/>
        <v>89301000</v>
      </c>
      <c r="B4345" t="str">
        <f>"445309109"</f>
        <v>445309109</v>
      </c>
      <c r="C4345" s="1">
        <v>45150</v>
      </c>
      <c r="D4345" s="1">
        <v>45157</v>
      </c>
      <c r="E4345">
        <v>1</v>
      </c>
      <c r="F4345" t="str">
        <f>"11-I17-02"</f>
        <v>11-I17-02</v>
      </c>
      <c r="G4345">
        <v>0.82050000000000001</v>
      </c>
      <c r="H4345" t="s">
        <v>11</v>
      </c>
      <c r="I4345" t="s">
        <v>10</v>
      </c>
    </row>
    <row r="4346" spans="1:9" x14ac:dyDescent="0.25">
      <c r="A4346" t="str">
        <f t="shared" si="108"/>
        <v>89301000</v>
      </c>
      <c r="B4346" t="str">
        <f>"445309109"</f>
        <v>445309109</v>
      </c>
      <c r="C4346" s="1">
        <v>45116</v>
      </c>
      <c r="D4346" s="1">
        <v>45125</v>
      </c>
      <c r="E4346">
        <v>1</v>
      </c>
      <c r="F4346" t="str">
        <f>"11-K01-02"</f>
        <v>11-K01-02</v>
      </c>
      <c r="G4346">
        <v>0.86480000000000001</v>
      </c>
      <c r="H4346" t="s">
        <v>11</v>
      </c>
      <c r="I4346" t="s">
        <v>10</v>
      </c>
    </row>
    <row r="4347" spans="1:9" x14ac:dyDescent="0.25">
      <c r="A4347" t="str">
        <f t="shared" si="108"/>
        <v>89301000</v>
      </c>
      <c r="B4347" t="str">
        <f>"445319460"</f>
        <v>445319460</v>
      </c>
      <c r="C4347" s="1">
        <v>45271</v>
      </c>
      <c r="D4347" s="1">
        <v>45273</v>
      </c>
      <c r="E4347">
        <v>1</v>
      </c>
      <c r="F4347" t="str">
        <f>"09-I06-04"</f>
        <v>09-I06-04</v>
      </c>
      <c r="G4347">
        <v>0.95069999999999999</v>
      </c>
      <c r="H4347" t="s">
        <v>12</v>
      </c>
      <c r="I4347" t="s">
        <v>10</v>
      </c>
    </row>
    <row r="4348" spans="1:9" x14ac:dyDescent="0.25">
      <c r="A4348" t="str">
        <f t="shared" si="108"/>
        <v>89301000</v>
      </c>
      <c r="B4348" t="str">
        <f>"445321479"</f>
        <v>445321479</v>
      </c>
      <c r="C4348" s="1">
        <v>45284</v>
      </c>
      <c r="D4348" s="1">
        <v>45288</v>
      </c>
      <c r="E4348">
        <v>4</v>
      </c>
      <c r="F4348" t="str">
        <f>"08-I13-05"</f>
        <v>08-I13-05</v>
      </c>
      <c r="G4348">
        <v>2.343</v>
      </c>
      <c r="H4348" t="s">
        <v>12</v>
      </c>
      <c r="I4348" t="s">
        <v>10</v>
      </c>
    </row>
    <row r="4349" spans="1:9" x14ac:dyDescent="0.25">
      <c r="A4349" t="str">
        <f t="shared" si="108"/>
        <v>89301000</v>
      </c>
      <c r="B4349" t="str">
        <f>"445323426"</f>
        <v>445323426</v>
      </c>
      <c r="C4349" s="1">
        <v>45162</v>
      </c>
      <c r="D4349" s="1">
        <v>45163</v>
      </c>
      <c r="E4349">
        <v>1</v>
      </c>
      <c r="F4349" t="str">
        <f>"08-I15-02"</f>
        <v>08-I15-02</v>
      </c>
      <c r="G4349">
        <v>1.1005</v>
      </c>
      <c r="H4349" t="s">
        <v>12</v>
      </c>
      <c r="I4349" t="s">
        <v>10</v>
      </c>
    </row>
    <row r="4350" spans="1:9" x14ac:dyDescent="0.25">
      <c r="A4350" t="str">
        <f t="shared" si="108"/>
        <v>89301000</v>
      </c>
      <c r="B4350" t="str">
        <f>"445327444"</f>
        <v>445327444</v>
      </c>
      <c r="C4350" s="1">
        <v>45128</v>
      </c>
      <c r="D4350" s="1">
        <v>45131</v>
      </c>
      <c r="E4350">
        <v>1</v>
      </c>
      <c r="F4350" t="str">
        <f>"02-I06-04"</f>
        <v>02-I06-04</v>
      </c>
      <c r="G4350">
        <v>0.79630000000000001</v>
      </c>
      <c r="H4350" t="s">
        <v>12</v>
      </c>
      <c r="I4350" t="s">
        <v>10</v>
      </c>
    </row>
    <row r="4351" spans="1:9" x14ac:dyDescent="0.25">
      <c r="A4351" t="str">
        <f t="shared" si="108"/>
        <v>89301000</v>
      </c>
      <c r="B4351" t="str">
        <f>"445327477"</f>
        <v>445327477</v>
      </c>
      <c r="C4351" s="1">
        <v>45034</v>
      </c>
      <c r="D4351" s="1">
        <v>45038</v>
      </c>
      <c r="E4351">
        <v>1</v>
      </c>
      <c r="F4351" t="str">
        <f>"05-M06-08"</f>
        <v>05-M06-08</v>
      </c>
      <c r="G4351">
        <v>1.4228000000000001</v>
      </c>
      <c r="H4351" t="s">
        <v>12</v>
      </c>
      <c r="I4351" t="s">
        <v>10</v>
      </c>
    </row>
    <row r="4352" spans="1:9" x14ac:dyDescent="0.25">
      <c r="A4352" t="str">
        <f t="shared" si="108"/>
        <v>89301000</v>
      </c>
      <c r="B4352" t="str">
        <f>"445405425"</f>
        <v>445405425</v>
      </c>
      <c r="C4352" s="1">
        <v>45025</v>
      </c>
      <c r="D4352" s="1">
        <v>45030</v>
      </c>
      <c r="E4352">
        <v>4</v>
      </c>
      <c r="F4352" t="str">
        <f>"11-K01-02"</f>
        <v>11-K01-02</v>
      </c>
      <c r="G4352">
        <v>0.86480000000000001</v>
      </c>
      <c r="H4352" t="s">
        <v>11</v>
      </c>
      <c r="I4352" t="s">
        <v>10</v>
      </c>
    </row>
    <row r="4353" spans="1:9" x14ac:dyDescent="0.25">
      <c r="A4353" t="str">
        <f t="shared" si="108"/>
        <v>89301000</v>
      </c>
      <c r="B4353" t="str">
        <f>"445405425"</f>
        <v>445405425</v>
      </c>
      <c r="C4353" s="1">
        <v>45273</v>
      </c>
      <c r="D4353" s="1">
        <v>45274</v>
      </c>
      <c r="E4353">
        <v>5</v>
      </c>
      <c r="F4353" t="str">
        <f>"01-I06-02"</f>
        <v>01-I06-02</v>
      </c>
      <c r="G4353">
        <v>2.6964000000000001</v>
      </c>
      <c r="H4353" t="s">
        <v>12</v>
      </c>
      <c r="I4353" t="s">
        <v>10</v>
      </c>
    </row>
    <row r="4354" spans="1:9" x14ac:dyDescent="0.25">
      <c r="A4354" t="str">
        <f t="shared" si="108"/>
        <v>89301000</v>
      </c>
      <c r="B4354" t="str">
        <f>"445413406"</f>
        <v>445413406</v>
      </c>
      <c r="C4354" s="1">
        <v>45036</v>
      </c>
      <c r="D4354" s="1">
        <v>45040</v>
      </c>
      <c r="E4354">
        <v>1</v>
      </c>
      <c r="F4354" t="str">
        <f>"08-K08-00"</f>
        <v>08-K08-00</v>
      </c>
      <c r="G4354">
        <v>0.5272</v>
      </c>
      <c r="H4354" t="s">
        <v>11</v>
      </c>
      <c r="I4354" t="s">
        <v>10</v>
      </c>
    </row>
    <row r="4355" spans="1:9" x14ac:dyDescent="0.25">
      <c r="A4355" t="str">
        <f t="shared" si="108"/>
        <v>89301000</v>
      </c>
      <c r="B4355" t="str">
        <f>"445416459"</f>
        <v>445416459</v>
      </c>
      <c r="C4355" s="1">
        <v>44959</v>
      </c>
      <c r="D4355" s="1">
        <v>44961</v>
      </c>
      <c r="E4355">
        <v>1</v>
      </c>
      <c r="F4355" t="str">
        <f>"09-I09-02"</f>
        <v>09-I09-02</v>
      </c>
      <c r="G4355">
        <v>0.76900000000000002</v>
      </c>
      <c r="H4355" t="s">
        <v>12</v>
      </c>
      <c r="I4355" t="s">
        <v>10</v>
      </c>
    </row>
    <row r="4356" spans="1:9" x14ac:dyDescent="0.25">
      <c r="A4356" t="str">
        <f t="shared" si="108"/>
        <v>89301000</v>
      </c>
      <c r="B4356" t="str">
        <f>"445425137"</f>
        <v>445425137</v>
      </c>
      <c r="C4356" s="1">
        <v>44979</v>
      </c>
      <c r="D4356" s="1">
        <v>44984</v>
      </c>
      <c r="E4356">
        <v>1</v>
      </c>
      <c r="F4356" t="str">
        <f>"08-I03-04"</f>
        <v>08-I03-04</v>
      </c>
      <c r="G4356">
        <v>4.0994000000000002</v>
      </c>
      <c r="H4356" t="s">
        <v>9</v>
      </c>
      <c r="I4356" t="s">
        <v>10</v>
      </c>
    </row>
    <row r="4357" spans="1:9" x14ac:dyDescent="0.25">
      <c r="A4357" t="str">
        <f t="shared" si="108"/>
        <v>89301000</v>
      </c>
      <c r="B4357" t="str">
        <f>"445502468"</f>
        <v>445502468</v>
      </c>
      <c r="C4357" s="1">
        <v>45135</v>
      </c>
      <c r="D4357" s="1">
        <v>45139</v>
      </c>
      <c r="E4357">
        <v>4</v>
      </c>
      <c r="F4357" t="str">
        <f>"09-K13-02"</f>
        <v>09-K13-02</v>
      </c>
      <c r="G4357">
        <v>0.31190000000000001</v>
      </c>
      <c r="H4357" t="s">
        <v>11</v>
      </c>
      <c r="I4357" t="s">
        <v>10</v>
      </c>
    </row>
    <row r="4358" spans="1:9" x14ac:dyDescent="0.25">
      <c r="A4358" t="str">
        <f t="shared" si="108"/>
        <v>89301000</v>
      </c>
      <c r="B4358" t="str">
        <f>"445516426"</f>
        <v>445516426</v>
      </c>
      <c r="C4358" s="1">
        <v>45260</v>
      </c>
      <c r="D4358" s="1">
        <v>45281</v>
      </c>
      <c r="E4358">
        <v>1</v>
      </c>
      <c r="F4358" t="str">
        <f>"24-M08-02"</f>
        <v>24-M08-02</v>
      </c>
      <c r="G4358">
        <v>2.0236999999999998</v>
      </c>
      <c r="H4358" t="s">
        <v>11</v>
      </c>
      <c r="I4358" t="s">
        <v>10</v>
      </c>
    </row>
    <row r="4359" spans="1:9" x14ac:dyDescent="0.25">
      <c r="A4359" t="str">
        <f t="shared" si="108"/>
        <v>89301000</v>
      </c>
      <c r="B4359" t="str">
        <f>"445516426"</f>
        <v>445516426</v>
      </c>
      <c r="C4359" s="1">
        <v>45255</v>
      </c>
      <c r="D4359" s="1">
        <v>45260</v>
      </c>
      <c r="E4359">
        <v>3</v>
      </c>
      <c r="F4359" t="str">
        <f>"08-I05-05"</f>
        <v>08-I05-05</v>
      </c>
      <c r="G4359">
        <v>2.2633000000000001</v>
      </c>
      <c r="H4359" t="s">
        <v>12</v>
      </c>
      <c r="I4359" t="s">
        <v>10</v>
      </c>
    </row>
    <row r="4360" spans="1:9" x14ac:dyDescent="0.25">
      <c r="A4360" t="str">
        <f t="shared" si="108"/>
        <v>89301000</v>
      </c>
      <c r="B4360" t="str">
        <f>"445522131"</f>
        <v>445522131</v>
      </c>
      <c r="C4360" s="1">
        <v>44978</v>
      </c>
      <c r="D4360" s="1">
        <v>44985</v>
      </c>
      <c r="E4360">
        <v>1</v>
      </c>
      <c r="F4360" t="str">
        <f>"08-K08-00"</f>
        <v>08-K08-00</v>
      </c>
      <c r="G4360">
        <v>0.5272</v>
      </c>
      <c r="H4360" t="s">
        <v>11</v>
      </c>
      <c r="I4360" t="s">
        <v>10</v>
      </c>
    </row>
    <row r="4361" spans="1:9" x14ac:dyDescent="0.25">
      <c r="A4361" t="str">
        <f t="shared" si="108"/>
        <v>89301000</v>
      </c>
      <c r="B4361" t="str">
        <f>"445531109"</f>
        <v>445531109</v>
      </c>
      <c r="C4361" s="1">
        <v>45013</v>
      </c>
      <c r="D4361" s="1">
        <v>45015</v>
      </c>
      <c r="E4361">
        <v>1</v>
      </c>
      <c r="F4361" t="str">
        <f>"09-I12-01"</f>
        <v>09-I12-01</v>
      </c>
      <c r="G4361">
        <v>1.1654</v>
      </c>
      <c r="H4361" t="s">
        <v>11</v>
      </c>
      <c r="I4361" t="s">
        <v>10</v>
      </c>
    </row>
    <row r="4362" spans="1:9" x14ac:dyDescent="0.25">
      <c r="A4362" t="str">
        <f t="shared" si="108"/>
        <v>89301000</v>
      </c>
      <c r="B4362" t="str">
        <f>"445601478"</f>
        <v>445601478</v>
      </c>
      <c r="C4362" s="1">
        <v>44989</v>
      </c>
      <c r="D4362" s="1">
        <v>45007</v>
      </c>
      <c r="E4362">
        <v>4</v>
      </c>
      <c r="F4362" t="str">
        <f>"01-K10-02"</f>
        <v>01-K10-02</v>
      </c>
      <c r="G4362">
        <v>1.62</v>
      </c>
      <c r="H4362" t="s">
        <v>11</v>
      </c>
      <c r="I4362" t="s">
        <v>10</v>
      </c>
    </row>
    <row r="4363" spans="1:9" x14ac:dyDescent="0.25">
      <c r="A4363" t="str">
        <f t="shared" si="108"/>
        <v>89301000</v>
      </c>
      <c r="B4363" t="str">
        <f>"445606411"</f>
        <v>445606411</v>
      </c>
      <c r="C4363" s="1">
        <v>44960</v>
      </c>
      <c r="D4363" s="1">
        <v>44965</v>
      </c>
      <c r="E4363">
        <v>1</v>
      </c>
      <c r="F4363" t="str">
        <f>"08-I03-06"</f>
        <v>08-I03-06</v>
      </c>
      <c r="G4363">
        <v>2.9211999999999998</v>
      </c>
      <c r="H4363" t="s">
        <v>9</v>
      </c>
      <c r="I4363" t="s">
        <v>10</v>
      </c>
    </row>
    <row r="4364" spans="1:9" x14ac:dyDescent="0.25">
      <c r="A4364" t="str">
        <f t="shared" si="108"/>
        <v>89301000</v>
      </c>
      <c r="B4364" t="str">
        <f>"445614490"</f>
        <v>445614490</v>
      </c>
      <c r="C4364" s="1">
        <v>45261</v>
      </c>
      <c r="D4364" s="1">
        <v>45267</v>
      </c>
      <c r="E4364">
        <v>1</v>
      </c>
      <c r="F4364" t="str">
        <f>"05-K12-02"</f>
        <v>05-K12-02</v>
      </c>
      <c r="G4364">
        <v>0.48820000000000002</v>
      </c>
      <c r="H4364" t="s">
        <v>11</v>
      </c>
      <c r="I4364" t="s">
        <v>10</v>
      </c>
    </row>
    <row r="4365" spans="1:9" x14ac:dyDescent="0.25">
      <c r="A4365" t="str">
        <f t="shared" si="108"/>
        <v>89301000</v>
      </c>
      <c r="B4365" t="str">
        <f>"445618468"</f>
        <v>445618468</v>
      </c>
      <c r="C4365" s="1">
        <v>45203</v>
      </c>
      <c r="D4365" s="1">
        <v>45215</v>
      </c>
      <c r="E4365">
        <v>4</v>
      </c>
      <c r="F4365" t="str">
        <f>"09-K01-01"</f>
        <v>09-K01-01</v>
      </c>
      <c r="G4365">
        <v>2.7812000000000001</v>
      </c>
      <c r="H4365" t="s">
        <v>11</v>
      </c>
      <c r="I4365" t="s">
        <v>10</v>
      </c>
    </row>
    <row r="4366" spans="1:9" x14ac:dyDescent="0.25">
      <c r="A4366" t="str">
        <f t="shared" si="108"/>
        <v>89301000</v>
      </c>
      <c r="B4366" t="str">
        <f>"445620413"</f>
        <v>445620413</v>
      </c>
      <c r="C4366" s="1">
        <v>45047</v>
      </c>
      <c r="D4366" s="1">
        <v>45055</v>
      </c>
      <c r="E4366">
        <v>4</v>
      </c>
      <c r="F4366" t="str">
        <f>"08-I06-04"</f>
        <v>08-I06-04</v>
      </c>
      <c r="G4366">
        <v>2.3616000000000001</v>
      </c>
      <c r="H4366" t="s">
        <v>9</v>
      </c>
      <c r="I4366" t="s">
        <v>10</v>
      </c>
    </row>
    <row r="4367" spans="1:9" x14ac:dyDescent="0.25">
      <c r="A4367" t="str">
        <f t="shared" si="108"/>
        <v>89301000</v>
      </c>
      <c r="B4367" t="str">
        <f>"445620422"</f>
        <v>445620422</v>
      </c>
      <c r="C4367" s="1">
        <v>45019</v>
      </c>
      <c r="D4367" s="1">
        <v>45020</v>
      </c>
      <c r="E4367">
        <v>1</v>
      </c>
      <c r="F4367" t="str">
        <f>"05-D01-08"</f>
        <v>05-D01-08</v>
      </c>
      <c r="G4367">
        <v>0.43159999999999998</v>
      </c>
      <c r="H4367" t="s">
        <v>11</v>
      </c>
      <c r="I4367" t="s">
        <v>10</v>
      </c>
    </row>
    <row r="4368" spans="1:9" x14ac:dyDescent="0.25">
      <c r="A4368" t="str">
        <f t="shared" si="108"/>
        <v>89301000</v>
      </c>
      <c r="B4368" t="str">
        <f>"445620422"</f>
        <v>445620422</v>
      </c>
      <c r="C4368" s="1">
        <v>45063</v>
      </c>
      <c r="D4368" s="1">
        <v>45064</v>
      </c>
      <c r="E4368">
        <v>1</v>
      </c>
      <c r="F4368" t="str">
        <f>"05-M06-07"</f>
        <v>05-M06-07</v>
      </c>
      <c r="G4368">
        <v>1.7686999999999999</v>
      </c>
      <c r="H4368" t="s">
        <v>12</v>
      </c>
      <c r="I4368" t="s">
        <v>10</v>
      </c>
    </row>
    <row r="4369" spans="1:9" x14ac:dyDescent="0.25">
      <c r="A4369" t="str">
        <f t="shared" si="108"/>
        <v>89301000</v>
      </c>
      <c r="B4369" t="str">
        <f>"445628182"</f>
        <v>445628182</v>
      </c>
      <c r="C4369" s="1">
        <v>45212</v>
      </c>
      <c r="D4369" s="1">
        <v>45218</v>
      </c>
      <c r="E4369">
        <v>1</v>
      </c>
      <c r="F4369" t="str">
        <f>"08-K08-00"</f>
        <v>08-K08-00</v>
      </c>
      <c r="G4369">
        <v>0.5272</v>
      </c>
      <c r="H4369" t="s">
        <v>11</v>
      </c>
      <c r="I4369" t="s">
        <v>10</v>
      </c>
    </row>
    <row r="4370" spans="1:9" x14ac:dyDescent="0.25">
      <c r="A4370" t="str">
        <f t="shared" si="108"/>
        <v>89301000</v>
      </c>
      <c r="B4370" t="str">
        <f>"445703408"</f>
        <v>445703408</v>
      </c>
      <c r="C4370" s="1">
        <v>44972</v>
      </c>
      <c r="D4370" s="1">
        <v>44974</v>
      </c>
      <c r="E4370">
        <v>1</v>
      </c>
      <c r="F4370" t="str">
        <f>"07-K03-02"</f>
        <v>07-K03-02</v>
      </c>
      <c r="G4370">
        <v>0.48620000000000002</v>
      </c>
      <c r="H4370" t="s">
        <v>11</v>
      </c>
      <c r="I4370" t="s">
        <v>10</v>
      </c>
    </row>
    <row r="4371" spans="1:9" x14ac:dyDescent="0.25">
      <c r="A4371" t="str">
        <f t="shared" si="108"/>
        <v>89301000</v>
      </c>
      <c r="B4371" t="str">
        <f>"445703408"</f>
        <v>445703408</v>
      </c>
      <c r="C4371" s="1">
        <v>44944</v>
      </c>
      <c r="D4371" s="1">
        <v>44946</v>
      </c>
      <c r="E4371">
        <v>5</v>
      </c>
      <c r="F4371" t="str">
        <f>"07-M02-04"</f>
        <v>07-M02-04</v>
      </c>
      <c r="G4371">
        <v>1.4285000000000001</v>
      </c>
      <c r="H4371" t="s">
        <v>12</v>
      </c>
      <c r="I4371" t="s">
        <v>10</v>
      </c>
    </row>
    <row r="4372" spans="1:9" x14ac:dyDescent="0.25">
      <c r="A4372" t="str">
        <f t="shared" si="108"/>
        <v>89301000</v>
      </c>
      <c r="B4372" t="str">
        <f>"445703703"</f>
        <v>445703703</v>
      </c>
      <c r="C4372" s="1">
        <v>44950</v>
      </c>
      <c r="D4372" s="1">
        <v>44952</v>
      </c>
      <c r="E4372">
        <v>1</v>
      </c>
      <c r="F4372" t="str">
        <f>"03-I19-03"</f>
        <v>03-I19-03</v>
      </c>
      <c r="G4372">
        <v>0.53249999999999997</v>
      </c>
      <c r="H4372" t="s">
        <v>11</v>
      </c>
      <c r="I4372" t="s">
        <v>10</v>
      </c>
    </row>
    <row r="4373" spans="1:9" x14ac:dyDescent="0.25">
      <c r="A4373" t="str">
        <f t="shared" si="108"/>
        <v>89301000</v>
      </c>
      <c r="B4373" t="str">
        <f>"445709024"</f>
        <v>445709024</v>
      </c>
      <c r="C4373" s="1">
        <v>45075</v>
      </c>
      <c r="D4373" s="1">
        <v>45076</v>
      </c>
      <c r="E4373">
        <v>1</v>
      </c>
      <c r="F4373" t="str">
        <f>"05-D01-06"</f>
        <v>05-D01-06</v>
      </c>
      <c r="G4373">
        <v>0.7571</v>
      </c>
      <c r="H4373" t="s">
        <v>11</v>
      </c>
      <c r="I4373" t="s">
        <v>10</v>
      </c>
    </row>
    <row r="4374" spans="1:9" x14ac:dyDescent="0.25">
      <c r="A4374" t="str">
        <f t="shared" si="108"/>
        <v>89301000</v>
      </c>
      <c r="B4374" t="str">
        <f>"445709416"</f>
        <v>445709416</v>
      </c>
      <c r="C4374" s="1">
        <v>45239</v>
      </c>
      <c r="D4374" s="1">
        <v>45246</v>
      </c>
      <c r="E4374">
        <v>1</v>
      </c>
      <c r="F4374" t="str">
        <f>"01-I06-02"</f>
        <v>01-I06-02</v>
      </c>
      <c r="G4374">
        <v>5.1349</v>
      </c>
      <c r="H4374" t="s">
        <v>12</v>
      </c>
      <c r="I4374" t="s">
        <v>10</v>
      </c>
    </row>
    <row r="4375" spans="1:9" x14ac:dyDescent="0.25">
      <c r="A4375" t="str">
        <f t="shared" si="108"/>
        <v>89301000</v>
      </c>
      <c r="B4375" t="str">
        <f>"445720456"</f>
        <v>445720456</v>
      </c>
      <c r="C4375" s="1">
        <v>44973</v>
      </c>
      <c r="D4375" s="1">
        <v>44981</v>
      </c>
      <c r="E4375">
        <v>4</v>
      </c>
      <c r="F4375" t="str">
        <f>"08-I06-04"</f>
        <v>08-I06-04</v>
      </c>
      <c r="G4375">
        <v>2.4180000000000001</v>
      </c>
      <c r="H4375" t="s">
        <v>9</v>
      </c>
      <c r="I4375" t="s">
        <v>10</v>
      </c>
    </row>
    <row r="4376" spans="1:9" x14ac:dyDescent="0.25">
      <c r="A4376" t="str">
        <f t="shared" si="108"/>
        <v>89301000</v>
      </c>
      <c r="B4376" t="str">
        <f>"445722128"</f>
        <v>445722128</v>
      </c>
      <c r="C4376" s="1">
        <v>45061</v>
      </c>
      <c r="D4376" s="1">
        <v>45068</v>
      </c>
      <c r="E4376">
        <v>5</v>
      </c>
      <c r="F4376" t="str">
        <f>"24-M06-02"</f>
        <v>24-M06-02</v>
      </c>
      <c r="G4376">
        <v>1.0699000000000001</v>
      </c>
      <c r="H4376" t="s">
        <v>11</v>
      </c>
      <c r="I4376" t="s">
        <v>10</v>
      </c>
    </row>
    <row r="4377" spans="1:9" x14ac:dyDescent="0.25">
      <c r="A4377" t="str">
        <f t="shared" si="108"/>
        <v>89301000</v>
      </c>
      <c r="B4377" t="str">
        <f>"445722128"</f>
        <v>445722128</v>
      </c>
      <c r="C4377" s="1">
        <v>45054</v>
      </c>
      <c r="D4377" s="1">
        <v>45061</v>
      </c>
      <c r="E4377">
        <v>3</v>
      </c>
      <c r="F4377" t="str">
        <f>"08-I06-04"</f>
        <v>08-I06-04</v>
      </c>
      <c r="G4377">
        <v>2.4119999999999999</v>
      </c>
      <c r="H4377" t="s">
        <v>9</v>
      </c>
      <c r="I4377" t="s">
        <v>10</v>
      </c>
    </row>
    <row r="4378" spans="1:9" x14ac:dyDescent="0.25">
      <c r="A4378" t="str">
        <f t="shared" si="108"/>
        <v>89301000</v>
      </c>
      <c r="B4378" t="str">
        <f>"445723433"</f>
        <v>445723433</v>
      </c>
      <c r="C4378" s="1">
        <v>44983</v>
      </c>
      <c r="D4378" s="1">
        <v>44985</v>
      </c>
      <c r="E4378">
        <v>5</v>
      </c>
      <c r="F4378" t="str">
        <f>"05-K10-00"</f>
        <v>05-K10-00</v>
      </c>
      <c r="G4378">
        <v>0.52610000000000001</v>
      </c>
      <c r="H4378" t="s">
        <v>11</v>
      </c>
      <c r="I4378" t="s">
        <v>10</v>
      </c>
    </row>
    <row r="4379" spans="1:9" x14ac:dyDescent="0.25">
      <c r="A4379" t="str">
        <f t="shared" si="108"/>
        <v>89301000</v>
      </c>
      <c r="B4379" t="str">
        <f>"445726703"</f>
        <v>445726703</v>
      </c>
      <c r="C4379" s="1">
        <v>45083</v>
      </c>
      <c r="D4379" s="1">
        <v>45084</v>
      </c>
      <c r="E4379">
        <v>1</v>
      </c>
      <c r="F4379" t="str">
        <f>"05-D01-06"</f>
        <v>05-D01-06</v>
      </c>
      <c r="G4379">
        <v>0.7571</v>
      </c>
      <c r="H4379" t="s">
        <v>11</v>
      </c>
      <c r="I4379" t="s">
        <v>10</v>
      </c>
    </row>
    <row r="4380" spans="1:9" x14ac:dyDescent="0.25">
      <c r="A4380" t="str">
        <f t="shared" si="108"/>
        <v>89301000</v>
      </c>
      <c r="B4380" t="str">
        <f>"445729434"</f>
        <v>445729434</v>
      </c>
      <c r="C4380" s="1">
        <v>45245</v>
      </c>
      <c r="D4380" s="1">
        <v>45250</v>
      </c>
      <c r="E4380">
        <v>1</v>
      </c>
      <c r="F4380" t="str">
        <f>"13-I15-01"</f>
        <v>13-I15-01</v>
      </c>
      <c r="G4380">
        <v>1.1839999999999999</v>
      </c>
      <c r="H4380" t="s">
        <v>12</v>
      </c>
      <c r="I4380" t="s">
        <v>10</v>
      </c>
    </row>
    <row r="4381" spans="1:9" x14ac:dyDescent="0.25">
      <c r="A4381" t="str">
        <f t="shared" si="108"/>
        <v>89301000</v>
      </c>
      <c r="B4381" t="str">
        <f>"445802411"</f>
        <v>445802411</v>
      </c>
      <c r="C4381" s="1">
        <v>45161</v>
      </c>
      <c r="D4381" s="1">
        <v>45175</v>
      </c>
      <c r="E4381">
        <v>1</v>
      </c>
      <c r="F4381" t="str">
        <f>"24-M07-02"</f>
        <v>24-M07-02</v>
      </c>
      <c r="G4381">
        <v>1.5729</v>
      </c>
      <c r="H4381" t="s">
        <v>11</v>
      </c>
      <c r="I4381" t="s">
        <v>10</v>
      </c>
    </row>
    <row r="4382" spans="1:9" x14ac:dyDescent="0.25">
      <c r="A4382" t="str">
        <f t="shared" si="108"/>
        <v>89301000</v>
      </c>
      <c r="B4382" t="str">
        <f>"445802411"</f>
        <v>445802411</v>
      </c>
      <c r="C4382" s="1">
        <v>45144</v>
      </c>
      <c r="D4382" s="1">
        <v>45161</v>
      </c>
      <c r="E4382">
        <v>3</v>
      </c>
      <c r="F4382" t="str">
        <f>"08-K08-00"</f>
        <v>08-K08-00</v>
      </c>
      <c r="G4382">
        <v>0.84350000000000003</v>
      </c>
      <c r="H4382" t="s">
        <v>11</v>
      </c>
      <c r="I4382" t="s">
        <v>10</v>
      </c>
    </row>
    <row r="4383" spans="1:9" x14ac:dyDescent="0.25">
      <c r="A4383" t="str">
        <f t="shared" si="108"/>
        <v>89301000</v>
      </c>
      <c r="B4383" t="str">
        <f>"445802411"</f>
        <v>445802411</v>
      </c>
      <c r="C4383" s="1">
        <v>44963</v>
      </c>
      <c r="D4383" s="1">
        <v>44967</v>
      </c>
      <c r="E4383">
        <v>1</v>
      </c>
      <c r="F4383" t="str">
        <f>"09-K04-02"</f>
        <v>09-K04-02</v>
      </c>
      <c r="G4383">
        <v>0.64849999999999997</v>
      </c>
      <c r="H4383" t="s">
        <v>11</v>
      </c>
      <c r="I4383" t="s">
        <v>10</v>
      </c>
    </row>
    <row r="4384" spans="1:9" x14ac:dyDescent="0.25">
      <c r="A4384" t="str">
        <f t="shared" ref="A4384:A4447" si="109">"89301000"</f>
        <v>89301000</v>
      </c>
      <c r="B4384" t="str">
        <f>"445802472"</f>
        <v>445802472</v>
      </c>
      <c r="C4384" s="1">
        <v>45269</v>
      </c>
      <c r="D4384" s="1">
        <v>45272</v>
      </c>
      <c r="E4384">
        <v>5</v>
      </c>
      <c r="F4384" t="str">
        <f>"05-M06-06"</f>
        <v>05-M06-06</v>
      </c>
      <c r="G4384">
        <v>1.8264</v>
      </c>
      <c r="H4384" t="s">
        <v>12</v>
      </c>
      <c r="I4384" t="s">
        <v>10</v>
      </c>
    </row>
    <row r="4385" spans="1:9" x14ac:dyDescent="0.25">
      <c r="A4385" t="str">
        <f t="shared" si="109"/>
        <v>89301000</v>
      </c>
      <c r="B4385" t="str">
        <f>"445807412"</f>
        <v>445807412</v>
      </c>
      <c r="C4385" s="1">
        <v>45180</v>
      </c>
      <c r="D4385" s="1">
        <v>45187</v>
      </c>
      <c r="E4385">
        <v>1</v>
      </c>
      <c r="F4385" t="str">
        <f>"10-R02-01"</f>
        <v>10-R02-01</v>
      </c>
      <c r="G4385">
        <v>0.92279999999999995</v>
      </c>
      <c r="H4385" t="s">
        <v>9</v>
      </c>
      <c r="I4385" t="s">
        <v>10</v>
      </c>
    </row>
    <row r="4386" spans="1:9" x14ac:dyDescent="0.25">
      <c r="A4386" t="str">
        <f t="shared" si="109"/>
        <v>89301000</v>
      </c>
      <c r="B4386" t="str">
        <f>"445912163"</f>
        <v>445912163</v>
      </c>
      <c r="C4386" s="1">
        <v>45216</v>
      </c>
      <c r="D4386" s="1">
        <v>45223</v>
      </c>
      <c r="E4386">
        <v>4</v>
      </c>
      <c r="F4386" t="str">
        <f>"24-M05-02"</f>
        <v>24-M05-02</v>
      </c>
      <c r="G4386">
        <v>0.58660000000000001</v>
      </c>
      <c r="H4386" t="s">
        <v>11</v>
      </c>
      <c r="I4386" t="s">
        <v>10</v>
      </c>
    </row>
    <row r="4387" spans="1:9" x14ac:dyDescent="0.25">
      <c r="A4387" t="str">
        <f t="shared" si="109"/>
        <v>89301000</v>
      </c>
      <c r="B4387" t="str">
        <f>"445912163"</f>
        <v>445912163</v>
      </c>
      <c r="C4387" s="1">
        <v>45211</v>
      </c>
      <c r="D4387" s="1">
        <v>45216</v>
      </c>
      <c r="E4387">
        <v>3</v>
      </c>
      <c r="F4387" t="str">
        <f>"08-I06-04"</f>
        <v>08-I06-04</v>
      </c>
      <c r="G4387">
        <v>2.3995000000000002</v>
      </c>
      <c r="H4387" t="s">
        <v>9</v>
      </c>
      <c r="I4387" t="s">
        <v>10</v>
      </c>
    </row>
    <row r="4388" spans="1:9" x14ac:dyDescent="0.25">
      <c r="A4388" t="str">
        <f t="shared" si="109"/>
        <v>89301000</v>
      </c>
      <c r="B4388" t="str">
        <f>"445912446"</f>
        <v>445912446</v>
      </c>
      <c r="C4388" s="1">
        <v>45229</v>
      </c>
      <c r="D4388" s="1">
        <v>45232</v>
      </c>
      <c r="E4388">
        <v>1</v>
      </c>
      <c r="F4388" t="str">
        <f>"03-I19-02"</f>
        <v>03-I19-02</v>
      </c>
      <c r="G4388">
        <v>0.7016</v>
      </c>
      <c r="H4388" t="s">
        <v>11</v>
      </c>
      <c r="I4388" t="s">
        <v>10</v>
      </c>
    </row>
    <row r="4389" spans="1:9" x14ac:dyDescent="0.25">
      <c r="A4389" t="str">
        <f t="shared" si="109"/>
        <v>89301000</v>
      </c>
      <c r="B4389" t="str">
        <f>"445912446"</f>
        <v>445912446</v>
      </c>
      <c r="C4389" s="1">
        <v>44956</v>
      </c>
      <c r="D4389" s="1">
        <v>44958</v>
      </c>
      <c r="E4389">
        <v>1</v>
      </c>
      <c r="F4389" t="str">
        <f>"03-I19-02"</f>
        <v>03-I19-02</v>
      </c>
      <c r="G4389">
        <v>0.7016</v>
      </c>
      <c r="H4389" t="s">
        <v>11</v>
      </c>
      <c r="I4389" t="s">
        <v>10</v>
      </c>
    </row>
    <row r="4390" spans="1:9" x14ac:dyDescent="0.25">
      <c r="A4390" t="str">
        <f t="shared" si="109"/>
        <v>89301000</v>
      </c>
      <c r="B4390" t="str">
        <f>"445915104"</f>
        <v>445915104</v>
      </c>
      <c r="C4390" s="1">
        <v>45156</v>
      </c>
      <c r="D4390" s="1">
        <v>45159</v>
      </c>
      <c r="E4390">
        <v>1</v>
      </c>
      <c r="F4390" t="str">
        <f>"05-M06-06"</f>
        <v>05-M06-06</v>
      </c>
      <c r="G4390">
        <v>1.7331000000000001</v>
      </c>
      <c r="H4390" t="s">
        <v>12</v>
      </c>
      <c r="I4390" t="s">
        <v>10</v>
      </c>
    </row>
    <row r="4391" spans="1:9" x14ac:dyDescent="0.25">
      <c r="A4391" t="str">
        <f t="shared" si="109"/>
        <v>89301000</v>
      </c>
      <c r="B4391" t="str">
        <f>"445922410"</f>
        <v>445922410</v>
      </c>
      <c r="C4391" s="1">
        <v>45037</v>
      </c>
      <c r="D4391" s="1">
        <v>45040</v>
      </c>
      <c r="E4391">
        <v>1</v>
      </c>
      <c r="F4391" t="str">
        <f>"05-I14-04"</f>
        <v>05-I14-04</v>
      </c>
      <c r="G4391">
        <v>5.2220000000000004</v>
      </c>
      <c r="H4391" t="s">
        <v>12</v>
      </c>
      <c r="I4391" t="s">
        <v>10</v>
      </c>
    </row>
    <row r="4392" spans="1:9" x14ac:dyDescent="0.25">
      <c r="A4392" t="str">
        <f t="shared" si="109"/>
        <v>89301000</v>
      </c>
      <c r="B4392" t="str">
        <f>"445922410"</f>
        <v>445922410</v>
      </c>
      <c r="C4392" s="1">
        <v>45025</v>
      </c>
      <c r="D4392" s="1">
        <v>45030</v>
      </c>
      <c r="E4392">
        <v>5</v>
      </c>
      <c r="F4392" t="str">
        <f>"05-M06-05"</f>
        <v>05-M06-05</v>
      </c>
      <c r="G4392">
        <v>2.3681000000000001</v>
      </c>
      <c r="H4392" t="s">
        <v>12</v>
      </c>
      <c r="I4392" t="s">
        <v>10</v>
      </c>
    </row>
    <row r="4393" spans="1:9" x14ac:dyDescent="0.25">
      <c r="A4393" t="str">
        <f t="shared" si="109"/>
        <v>89301000</v>
      </c>
      <c r="B4393" t="str">
        <f>"445922474"</f>
        <v>445922474</v>
      </c>
      <c r="C4393" s="1">
        <v>45229</v>
      </c>
      <c r="D4393" s="1">
        <v>45233</v>
      </c>
      <c r="E4393">
        <v>1</v>
      </c>
      <c r="F4393" t="str">
        <f>"08-I03-04"</f>
        <v>08-I03-04</v>
      </c>
      <c r="G4393">
        <v>4.6435000000000004</v>
      </c>
      <c r="H4393" t="s">
        <v>9</v>
      </c>
      <c r="I4393" t="s">
        <v>10</v>
      </c>
    </row>
    <row r="4394" spans="1:9" x14ac:dyDescent="0.25">
      <c r="A4394" t="str">
        <f t="shared" si="109"/>
        <v>89301000</v>
      </c>
      <c r="B4394" t="str">
        <f>"445924462"</f>
        <v>445924462</v>
      </c>
      <c r="C4394" s="1">
        <v>44929</v>
      </c>
      <c r="D4394" s="1">
        <v>44930</v>
      </c>
      <c r="E4394">
        <v>4</v>
      </c>
      <c r="F4394" t="str">
        <f>"05-D01-06"</f>
        <v>05-D01-06</v>
      </c>
      <c r="G4394">
        <v>0.7571</v>
      </c>
      <c r="H4394" t="s">
        <v>11</v>
      </c>
      <c r="I4394" t="s">
        <v>10</v>
      </c>
    </row>
    <row r="4395" spans="1:9" x14ac:dyDescent="0.25">
      <c r="A4395" t="str">
        <f t="shared" si="109"/>
        <v>89301000</v>
      </c>
      <c r="B4395" t="str">
        <f>"445929407"</f>
        <v>445929407</v>
      </c>
      <c r="C4395" s="1">
        <v>44929</v>
      </c>
      <c r="D4395" s="1">
        <v>44930</v>
      </c>
      <c r="E4395">
        <v>5</v>
      </c>
      <c r="F4395" t="str">
        <f>"05-M06-06"</f>
        <v>05-M06-06</v>
      </c>
      <c r="G4395">
        <v>1.8264</v>
      </c>
      <c r="H4395" t="s">
        <v>12</v>
      </c>
      <c r="I4395" t="s">
        <v>10</v>
      </c>
    </row>
    <row r="4396" spans="1:9" x14ac:dyDescent="0.25">
      <c r="A4396" t="str">
        <f t="shared" si="109"/>
        <v>89301000</v>
      </c>
      <c r="B4396" t="str">
        <f>"445929407"</f>
        <v>445929407</v>
      </c>
      <c r="C4396" s="1">
        <v>44984</v>
      </c>
      <c r="D4396" s="1">
        <v>44998</v>
      </c>
      <c r="E4396">
        <v>4</v>
      </c>
      <c r="F4396" t="str">
        <f>"19-K04-02"</f>
        <v>19-K04-02</v>
      </c>
      <c r="G4396">
        <v>1.3380000000000001</v>
      </c>
      <c r="H4396" t="s">
        <v>15</v>
      </c>
      <c r="I4396" t="s">
        <v>10</v>
      </c>
    </row>
    <row r="4397" spans="1:9" x14ac:dyDescent="0.25">
      <c r="A4397" t="str">
        <f t="shared" si="109"/>
        <v>89301000</v>
      </c>
      <c r="B4397" t="str">
        <f>"445929420"</f>
        <v>445929420</v>
      </c>
      <c r="C4397" s="1">
        <v>45122</v>
      </c>
      <c r="D4397" s="1">
        <v>45135</v>
      </c>
      <c r="E4397">
        <v>1</v>
      </c>
      <c r="F4397" t="str">
        <f>"08-K08-00"</f>
        <v>08-K08-00</v>
      </c>
      <c r="G4397">
        <v>0.68130000000000002</v>
      </c>
      <c r="H4397" t="s">
        <v>11</v>
      </c>
      <c r="I4397" t="s">
        <v>10</v>
      </c>
    </row>
    <row r="4398" spans="1:9" x14ac:dyDescent="0.25">
      <c r="A4398" t="str">
        <f t="shared" si="109"/>
        <v>89301000</v>
      </c>
      <c r="B4398" t="str">
        <f>"445929420"</f>
        <v>445929420</v>
      </c>
      <c r="C4398" s="1">
        <v>45274</v>
      </c>
      <c r="D4398" s="1">
        <v>45275</v>
      </c>
      <c r="E4398">
        <v>1</v>
      </c>
      <c r="F4398" t="str">
        <f>"07-K04-03"</f>
        <v>07-K04-03</v>
      </c>
      <c r="G4398">
        <v>0.62570000000000003</v>
      </c>
      <c r="H4398" t="s">
        <v>11</v>
      </c>
      <c r="I4398" t="s">
        <v>10</v>
      </c>
    </row>
    <row r="4399" spans="1:9" x14ac:dyDescent="0.25">
      <c r="A4399" t="str">
        <f t="shared" si="109"/>
        <v>89301000</v>
      </c>
      <c r="B4399" t="str">
        <f>"445929420"</f>
        <v>445929420</v>
      </c>
      <c r="C4399" s="1">
        <v>45104</v>
      </c>
      <c r="D4399" s="1">
        <v>45110</v>
      </c>
      <c r="E4399">
        <v>1</v>
      </c>
      <c r="F4399" t="str">
        <f>"07-M02-04"</f>
        <v>07-M02-04</v>
      </c>
      <c r="G4399">
        <v>0.77339999999999998</v>
      </c>
      <c r="H4399" t="s">
        <v>12</v>
      </c>
      <c r="I4399" t="s">
        <v>10</v>
      </c>
    </row>
    <row r="4400" spans="1:9" x14ac:dyDescent="0.25">
      <c r="A4400" t="str">
        <f t="shared" si="109"/>
        <v>89301000</v>
      </c>
      <c r="B4400" t="str">
        <f>"445930132"</f>
        <v>445930132</v>
      </c>
      <c r="C4400" s="1">
        <v>45008</v>
      </c>
      <c r="D4400" s="1">
        <v>45014</v>
      </c>
      <c r="E4400">
        <v>1</v>
      </c>
      <c r="F4400" t="str">
        <f>"09-I06-04"</f>
        <v>09-I06-04</v>
      </c>
      <c r="G4400">
        <v>0.95069999999999999</v>
      </c>
      <c r="H4400" t="s">
        <v>12</v>
      </c>
      <c r="I4400" t="s">
        <v>10</v>
      </c>
    </row>
    <row r="4401" spans="1:9" x14ac:dyDescent="0.25">
      <c r="A4401" t="str">
        <f t="shared" si="109"/>
        <v>89301000</v>
      </c>
      <c r="B4401" t="str">
        <f>"446001162"</f>
        <v>446001162</v>
      </c>
      <c r="C4401" s="1">
        <v>44979</v>
      </c>
      <c r="D4401" s="1">
        <v>44981</v>
      </c>
      <c r="E4401">
        <v>1</v>
      </c>
      <c r="F4401" t="str">
        <f>"05-I25-03"</f>
        <v>05-I25-03</v>
      </c>
      <c r="G4401">
        <v>8.6811000000000007</v>
      </c>
      <c r="H4401" t="s">
        <v>12</v>
      </c>
      <c r="I4401" t="s">
        <v>10</v>
      </c>
    </row>
    <row r="4402" spans="1:9" x14ac:dyDescent="0.25">
      <c r="A4402" t="str">
        <f t="shared" si="109"/>
        <v>89301000</v>
      </c>
      <c r="B4402" t="str">
        <f>"446007424"</f>
        <v>446007424</v>
      </c>
      <c r="C4402" s="1">
        <v>45282</v>
      </c>
      <c r="D4402" s="1">
        <v>45287</v>
      </c>
      <c r="E4402">
        <v>1</v>
      </c>
      <c r="F4402" t="str">
        <f>"06-K06-02"</f>
        <v>06-K06-02</v>
      </c>
      <c r="G4402">
        <v>0.65269999999999995</v>
      </c>
      <c r="H4402" t="s">
        <v>11</v>
      </c>
      <c r="I4402" t="s">
        <v>10</v>
      </c>
    </row>
    <row r="4403" spans="1:9" x14ac:dyDescent="0.25">
      <c r="A4403" t="str">
        <f t="shared" si="109"/>
        <v>89301000</v>
      </c>
      <c r="B4403" t="str">
        <f>"446009441"</f>
        <v>446009441</v>
      </c>
      <c r="C4403" s="1">
        <v>44994</v>
      </c>
      <c r="D4403" s="1">
        <v>44998</v>
      </c>
      <c r="E4403">
        <v>1</v>
      </c>
      <c r="F4403" t="str">
        <f>"13-I14-03"</f>
        <v>13-I14-03</v>
      </c>
      <c r="G4403">
        <v>0.87760000000000005</v>
      </c>
      <c r="H4403" t="s">
        <v>9</v>
      </c>
      <c r="I4403" t="s">
        <v>10</v>
      </c>
    </row>
    <row r="4404" spans="1:9" x14ac:dyDescent="0.25">
      <c r="A4404" t="str">
        <f t="shared" si="109"/>
        <v>89301000</v>
      </c>
      <c r="B4404" t="str">
        <f>"446010459"</f>
        <v>446010459</v>
      </c>
      <c r="C4404" s="1">
        <v>44972</v>
      </c>
      <c r="D4404" s="1">
        <v>44978</v>
      </c>
      <c r="E4404">
        <v>3</v>
      </c>
      <c r="F4404" t="str">
        <f>"08-I06-04"</f>
        <v>08-I06-04</v>
      </c>
      <c r="G4404">
        <v>2.3563999999999998</v>
      </c>
      <c r="H4404" t="s">
        <v>9</v>
      </c>
      <c r="I4404" t="s">
        <v>10</v>
      </c>
    </row>
    <row r="4405" spans="1:9" x14ac:dyDescent="0.25">
      <c r="A4405" t="str">
        <f t="shared" si="109"/>
        <v>89301000</v>
      </c>
      <c r="B4405" t="str">
        <f>"446010459"</f>
        <v>446010459</v>
      </c>
      <c r="C4405" s="1">
        <v>44978</v>
      </c>
      <c r="D4405" s="1">
        <v>44984</v>
      </c>
      <c r="E4405">
        <v>4</v>
      </c>
      <c r="F4405" t="str">
        <f>"24-M06-02"</f>
        <v>24-M06-02</v>
      </c>
      <c r="G4405">
        <v>1.0699000000000001</v>
      </c>
      <c r="H4405" t="s">
        <v>11</v>
      </c>
      <c r="I4405" t="s">
        <v>10</v>
      </c>
    </row>
    <row r="4406" spans="1:9" x14ac:dyDescent="0.25">
      <c r="A4406" t="str">
        <f t="shared" si="109"/>
        <v>89301000</v>
      </c>
      <c r="B4406" t="str">
        <f>"446012418"</f>
        <v>446012418</v>
      </c>
      <c r="C4406" s="1">
        <v>45034</v>
      </c>
      <c r="D4406" s="1">
        <v>45041</v>
      </c>
      <c r="E4406">
        <v>1</v>
      </c>
      <c r="F4406" t="str">
        <f>"01-K04-01"</f>
        <v>01-K04-01</v>
      </c>
      <c r="G4406">
        <v>1.0985</v>
      </c>
      <c r="H4406" t="s">
        <v>11</v>
      </c>
      <c r="I4406" t="s">
        <v>10</v>
      </c>
    </row>
    <row r="4407" spans="1:9" x14ac:dyDescent="0.25">
      <c r="A4407" t="str">
        <f t="shared" si="109"/>
        <v>89301000</v>
      </c>
      <c r="B4407" t="str">
        <f>"446015456"</f>
        <v>446015456</v>
      </c>
      <c r="C4407" s="1">
        <v>45078</v>
      </c>
      <c r="D4407" s="1">
        <v>45082</v>
      </c>
      <c r="E4407">
        <v>1</v>
      </c>
      <c r="F4407" t="str">
        <f>"07-M02-04"</f>
        <v>07-M02-04</v>
      </c>
      <c r="G4407">
        <v>0.77339999999999998</v>
      </c>
      <c r="H4407" t="s">
        <v>12</v>
      </c>
      <c r="I4407" t="s">
        <v>10</v>
      </c>
    </row>
    <row r="4408" spans="1:9" x14ac:dyDescent="0.25">
      <c r="A4408" t="str">
        <f t="shared" si="109"/>
        <v>89301000</v>
      </c>
      <c r="B4408" t="str">
        <f>"446015456"</f>
        <v>446015456</v>
      </c>
      <c r="C4408" s="1">
        <v>45015</v>
      </c>
      <c r="D4408" s="1">
        <v>45020</v>
      </c>
      <c r="E4408">
        <v>1</v>
      </c>
      <c r="F4408" t="str">
        <f>"06-M01-02"</f>
        <v>06-M01-02</v>
      </c>
      <c r="G4408">
        <v>1.2206999999999999</v>
      </c>
      <c r="H4408" t="s">
        <v>11</v>
      </c>
      <c r="I4408" t="s">
        <v>10</v>
      </c>
    </row>
    <row r="4409" spans="1:9" x14ac:dyDescent="0.25">
      <c r="A4409" t="str">
        <f t="shared" si="109"/>
        <v>89301000</v>
      </c>
      <c r="B4409" t="str">
        <f>"446107452"</f>
        <v>446107452</v>
      </c>
      <c r="C4409" s="1">
        <v>45063</v>
      </c>
      <c r="D4409" s="1">
        <v>45068</v>
      </c>
      <c r="E4409">
        <v>2</v>
      </c>
      <c r="F4409" t="str">
        <f>"01-I08-03"</f>
        <v>01-I08-03</v>
      </c>
      <c r="G4409">
        <v>2.7724000000000002</v>
      </c>
      <c r="H4409" t="s">
        <v>14</v>
      </c>
      <c r="I4409" t="s">
        <v>10</v>
      </c>
    </row>
    <row r="4410" spans="1:9" x14ac:dyDescent="0.25">
      <c r="A4410" t="str">
        <f t="shared" si="109"/>
        <v>89301000</v>
      </c>
      <c r="B4410" t="str">
        <f>"446109471"</f>
        <v>446109471</v>
      </c>
      <c r="C4410" s="1">
        <v>45102</v>
      </c>
      <c r="D4410" s="1">
        <v>45105</v>
      </c>
      <c r="E4410">
        <v>5</v>
      </c>
      <c r="F4410" t="str">
        <f>"08-I04-02"</f>
        <v>08-I04-02</v>
      </c>
      <c r="G4410">
        <v>1.6229</v>
      </c>
      <c r="H4410" t="s">
        <v>14</v>
      </c>
      <c r="I4410" t="s">
        <v>10</v>
      </c>
    </row>
    <row r="4411" spans="1:9" x14ac:dyDescent="0.25">
      <c r="A4411" t="str">
        <f t="shared" si="109"/>
        <v>89301000</v>
      </c>
      <c r="B4411" t="str">
        <f>"446111410"</f>
        <v>446111410</v>
      </c>
      <c r="C4411" s="1">
        <v>45075</v>
      </c>
      <c r="D4411" s="1">
        <v>45078</v>
      </c>
      <c r="E4411">
        <v>1</v>
      </c>
      <c r="F4411" t="str">
        <f>"13-I13-02"</f>
        <v>13-I13-02</v>
      </c>
      <c r="G4411">
        <v>0.94840000000000002</v>
      </c>
      <c r="H4411" t="s">
        <v>12</v>
      </c>
      <c r="I4411" t="s">
        <v>10</v>
      </c>
    </row>
    <row r="4412" spans="1:9" x14ac:dyDescent="0.25">
      <c r="A4412" t="str">
        <f t="shared" si="109"/>
        <v>89301000</v>
      </c>
      <c r="B4412" t="str">
        <f>"446113446"</f>
        <v>446113446</v>
      </c>
      <c r="C4412" s="1">
        <v>44887</v>
      </c>
      <c r="D4412" s="1">
        <v>44949</v>
      </c>
      <c r="E4412">
        <v>1</v>
      </c>
      <c r="F4412" t="str">
        <f>"08-I26-03"</f>
        <v>08-I26-03</v>
      </c>
      <c r="G4412">
        <v>5.5164999999999997</v>
      </c>
      <c r="H4412" t="s">
        <v>11</v>
      </c>
      <c r="I4412" t="s">
        <v>10</v>
      </c>
    </row>
    <row r="4413" spans="1:9" x14ac:dyDescent="0.25">
      <c r="A4413" t="str">
        <f t="shared" si="109"/>
        <v>89301000</v>
      </c>
      <c r="B4413" t="str">
        <f>"446125451"</f>
        <v>446125451</v>
      </c>
      <c r="C4413" s="1">
        <v>45194</v>
      </c>
      <c r="D4413" s="1">
        <v>45197</v>
      </c>
      <c r="E4413">
        <v>1</v>
      </c>
      <c r="F4413" t="str">
        <f>"05-I30-02"</f>
        <v>05-I30-02</v>
      </c>
      <c r="G4413">
        <v>0.41699999999999998</v>
      </c>
      <c r="H4413" t="s">
        <v>12</v>
      </c>
      <c r="I4413" t="s">
        <v>10</v>
      </c>
    </row>
    <row r="4414" spans="1:9" x14ac:dyDescent="0.25">
      <c r="A4414" t="str">
        <f t="shared" si="109"/>
        <v>89301000</v>
      </c>
      <c r="B4414" t="str">
        <f>"446129406"</f>
        <v>446129406</v>
      </c>
      <c r="C4414" s="1">
        <v>44999</v>
      </c>
      <c r="D4414" s="1">
        <v>45012</v>
      </c>
      <c r="E4414">
        <v>1</v>
      </c>
      <c r="F4414" t="str">
        <f>"04-K06-03"</f>
        <v>04-K06-03</v>
      </c>
      <c r="G4414">
        <v>0.63190000000000002</v>
      </c>
      <c r="H4414" t="s">
        <v>11</v>
      </c>
      <c r="I4414" t="s">
        <v>10</v>
      </c>
    </row>
    <row r="4415" spans="1:9" x14ac:dyDescent="0.25">
      <c r="A4415" t="str">
        <f t="shared" si="109"/>
        <v>89301000</v>
      </c>
      <c r="B4415" t="str">
        <f>"446207436"</f>
        <v>446207436</v>
      </c>
      <c r="C4415" s="1">
        <v>45047</v>
      </c>
      <c r="D4415" s="1">
        <v>45068</v>
      </c>
      <c r="E4415">
        <v>4</v>
      </c>
      <c r="F4415" t="str">
        <f>"04-K02-02"</f>
        <v>04-K02-02</v>
      </c>
      <c r="G4415">
        <v>2.8616999999999999</v>
      </c>
      <c r="H4415" t="s">
        <v>11</v>
      </c>
      <c r="I4415" t="s">
        <v>10</v>
      </c>
    </row>
    <row r="4416" spans="1:9" x14ac:dyDescent="0.25">
      <c r="A4416" t="str">
        <f t="shared" si="109"/>
        <v>89301000</v>
      </c>
      <c r="B4416" t="str">
        <f>"446208462"</f>
        <v>446208462</v>
      </c>
      <c r="C4416" s="1">
        <v>44977</v>
      </c>
      <c r="D4416" s="1">
        <v>44979</v>
      </c>
      <c r="E4416">
        <v>1</v>
      </c>
      <c r="F4416" t="str">
        <f>"05-M10-00"</f>
        <v>05-M10-00</v>
      </c>
      <c r="G4416">
        <v>0.2036</v>
      </c>
      <c r="H4416" t="s">
        <v>11</v>
      </c>
      <c r="I4416" t="s">
        <v>10</v>
      </c>
    </row>
    <row r="4417" spans="1:9" x14ac:dyDescent="0.25">
      <c r="A4417" t="str">
        <f t="shared" si="109"/>
        <v>89301000</v>
      </c>
      <c r="B4417" t="str">
        <f>"446213437"</f>
        <v>446213437</v>
      </c>
      <c r="C4417" s="1">
        <v>45193</v>
      </c>
      <c r="D4417" s="1">
        <v>45237</v>
      </c>
      <c r="E4417">
        <v>1</v>
      </c>
      <c r="F4417" t="str">
        <f>"06-I07-03"</f>
        <v>06-I07-03</v>
      </c>
      <c r="G4417">
        <v>6.4238</v>
      </c>
      <c r="H4417" t="s">
        <v>12</v>
      </c>
      <c r="I4417" t="s">
        <v>10</v>
      </c>
    </row>
    <row r="4418" spans="1:9" x14ac:dyDescent="0.25">
      <c r="A4418" t="str">
        <f t="shared" si="109"/>
        <v>89301000</v>
      </c>
      <c r="B4418" t="str">
        <f>"446213437"</f>
        <v>446213437</v>
      </c>
      <c r="C4418" s="1">
        <v>45136</v>
      </c>
      <c r="D4418" s="1">
        <v>45142</v>
      </c>
      <c r="E4418">
        <v>1</v>
      </c>
      <c r="F4418" t="str">
        <f>"06-K03-02"</f>
        <v>06-K03-02</v>
      </c>
      <c r="G4418">
        <v>0.98809999999999998</v>
      </c>
      <c r="H4418" t="s">
        <v>11</v>
      </c>
      <c r="I4418" t="s">
        <v>10</v>
      </c>
    </row>
    <row r="4419" spans="1:9" x14ac:dyDescent="0.25">
      <c r="A4419" t="str">
        <f t="shared" si="109"/>
        <v>89301000</v>
      </c>
      <c r="B4419" t="str">
        <f>"446214413"</f>
        <v>446214413</v>
      </c>
      <c r="C4419" s="1">
        <v>45040</v>
      </c>
      <c r="D4419" s="1">
        <v>45051</v>
      </c>
      <c r="E4419">
        <v>1</v>
      </c>
      <c r="F4419" t="str">
        <f>"24-M06-02"</f>
        <v>24-M06-02</v>
      </c>
      <c r="G4419">
        <v>1.0699000000000001</v>
      </c>
      <c r="H4419" t="s">
        <v>11</v>
      </c>
      <c r="I4419" t="s">
        <v>10</v>
      </c>
    </row>
    <row r="4420" spans="1:9" x14ac:dyDescent="0.25">
      <c r="A4420" t="str">
        <f t="shared" si="109"/>
        <v>89301000</v>
      </c>
      <c r="B4420" t="str">
        <f>"446217452"</f>
        <v>446217452</v>
      </c>
      <c r="C4420" s="1">
        <v>44963</v>
      </c>
      <c r="D4420" s="1">
        <v>44966</v>
      </c>
      <c r="E4420">
        <v>1</v>
      </c>
      <c r="F4420" t="str">
        <f>"09-I06-04"</f>
        <v>09-I06-04</v>
      </c>
      <c r="G4420">
        <v>0.95069999999999999</v>
      </c>
      <c r="H4420" t="s">
        <v>12</v>
      </c>
      <c r="I4420" t="s">
        <v>10</v>
      </c>
    </row>
    <row r="4421" spans="1:9" x14ac:dyDescent="0.25">
      <c r="A4421" t="str">
        <f t="shared" si="109"/>
        <v>89301000</v>
      </c>
      <c r="B4421" t="str">
        <f>"446223448"</f>
        <v>446223448</v>
      </c>
      <c r="C4421" s="1">
        <v>45031</v>
      </c>
      <c r="D4421" s="1">
        <v>45050</v>
      </c>
      <c r="E4421">
        <v>4</v>
      </c>
      <c r="F4421" t="str">
        <f>"08-I05-07"</f>
        <v>08-I05-07</v>
      </c>
      <c r="G4421">
        <v>2.0836999999999999</v>
      </c>
      <c r="H4421" t="s">
        <v>12</v>
      </c>
      <c r="I4421" t="s">
        <v>10</v>
      </c>
    </row>
    <row r="4422" spans="1:9" x14ac:dyDescent="0.25">
      <c r="A4422" t="str">
        <f t="shared" si="109"/>
        <v>89301000</v>
      </c>
      <c r="B4422" t="str">
        <f>"446225403"</f>
        <v>446225403</v>
      </c>
      <c r="C4422" s="1">
        <v>44957</v>
      </c>
      <c r="D4422" s="1">
        <v>44958</v>
      </c>
      <c r="E4422">
        <v>1</v>
      </c>
      <c r="F4422" t="str">
        <f>"05-D01-08"</f>
        <v>05-D01-08</v>
      </c>
      <c r="G4422">
        <v>0.43159999999999998</v>
      </c>
      <c r="H4422" t="s">
        <v>11</v>
      </c>
      <c r="I4422" t="s">
        <v>10</v>
      </c>
    </row>
    <row r="4423" spans="1:9" x14ac:dyDescent="0.25">
      <c r="A4423" t="str">
        <f t="shared" si="109"/>
        <v>89301000</v>
      </c>
      <c r="B4423" t="str">
        <f>"446225403"</f>
        <v>446225403</v>
      </c>
      <c r="C4423" s="1">
        <v>45000</v>
      </c>
      <c r="D4423" s="1">
        <v>45005</v>
      </c>
      <c r="E4423">
        <v>1</v>
      </c>
      <c r="F4423" t="str">
        <f>"05-M01-03"</f>
        <v>05-M01-03</v>
      </c>
      <c r="G4423">
        <v>11.4411</v>
      </c>
      <c r="H4423" t="s">
        <v>12</v>
      </c>
      <c r="I4423" t="s">
        <v>10</v>
      </c>
    </row>
    <row r="4424" spans="1:9" x14ac:dyDescent="0.25">
      <c r="A4424" t="str">
        <f t="shared" si="109"/>
        <v>89301000</v>
      </c>
      <c r="B4424" t="str">
        <f>"446228454"</f>
        <v>446228454</v>
      </c>
      <c r="C4424" s="1">
        <v>45077</v>
      </c>
      <c r="D4424" s="1">
        <v>45078</v>
      </c>
      <c r="E4424">
        <v>1</v>
      </c>
      <c r="F4424" t="str">
        <f>"05-M05-03"</f>
        <v>05-M05-03</v>
      </c>
      <c r="G4424">
        <v>1.6222000000000001</v>
      </c>
      <c r="H4424" t="s">
        <v>14</v>
      </c>
      <c r="I4424" t="s">
        <v>10</v>
      </c>
    </row>
    <row r="4425" spans="1:9" x14ac:dyDescent="0.25">
      <c r="A4425" t="str">
        <f t="shared" si="109"/>
        <v>89301000</v>
      </c>
      <c r="B4425" t="str">
        <f>"446228454"</f>
        <v>446228454</v>
      </c>
      <c r="C4425" s="1">
        <v>45035</v>
      </c>
      <c r="D4425" s="1">
        <v>45036</v>
      </c>
      <c r="E4425">
        <v>1</v>
      </c>
      <c r="F4425" t="str">
        <f>"05-D01-06"</f>
        <v>05-D01-06</v>
      </c>
      <c r="G4425">
        <v>0.7571</v>
      </c>
      <c r="H4425" t="s">
        <v>11</v>
      </c>
      <c r="I4425" t="s">
        <v>10</v>
      </c>
    </row>
    <row r="4426" spans="1:9" x14ac:dyDescent="0.25">
      <c r="A4426" t="str">
        <f t="shared" si="109"/>
        <v>89301000</v>
      </c>
      <c r="B4426" t="str">
        <f>"446231404"</f>
        <v>446231404</v>
      </c>
      <c r="C4426" s="1">
        <v>45049</v>
      </c>
      <c r="D4426" s="1">
        <v>45055</v>
      </c>
      <c r="E4426">
        <v>1</v>
      </c>
      <c r="F4426" t="str">
        <f>"04-M02-04"</f>
        <v>04-M02-04</v>
      </c>
      <c r="G4426">
        <v>0.82489999999999997</v>
      </c>
      <c r="H4426" t="s">
        <v>11</v>
      </c>
      <c r="I4426" t="s">
        <v>10</v>
      </c>
    </row>
    <row r="4427" spans="1:9" x14ac:dyDescent="0.25">
      <c r="A4427" t="str">
        <f t="shared" si="109"/>
        <v>89301000</v>
      </c>
      <c r="B4427" t="str">
        <f>"446231404"</f>
        <v>446231404</v>
      </c>
      <c r="C4427" s="1">
        <v>45096</v>
      </c>
      <c r="D4427" s="1">
        <v>45098</v>
      </c>
      <c r="E4427">
        <v>1</v>
      </c>
      <c r="F4427" t="str">
        <f>"04-K15-03"</f>
        <v>04-K15-03</v>
      </c>
      <c r="G4427">
        <v>0.48670000000000002</v>
      </c>
      <c r="H4427" t="s">
        <v>11</v>
      </c>
      <c r="I4427" t="s">
        <v>10</v>
      </c>
    </row>
    <row r="4428" spans="1:9" x14ac:dyDescent="0.25">
      <c r="A4428" t="str">
        <f t="shared" si="109"/>
        <v>89301000</v>
      </c>
      <c r="B4428" t="str">
        <f>"450114439"</f>
        <v>450114439</v>
      </c>
      <c r="C4428" s="1">
        <v>45275</v>
      </c>
      <c r="D4428" s="1">
        <v>45276</v>
      </c>
      <c r="E4428">
        <v>1</v>
      </c>
      <c r="F4428" t="str">
        <f>"23-K04-02"</f>
        <v>23-K04-02</v>
      </c>
      <c r="G4428">
        <v>0.38150000000000001</v>
      </c>
      <c r="H4428" t="s">
        <v>11</v>
      </c>
      <c r="I4428" t="s">
        <v>10</v>
      </c>
    </row>
    <row r="4429" spans="1:9" x14ac:dyDescent="0.25">
      <c r="A4429" t="str">
        <f t="shared" si="109"/>
        <v>89301000</v>
      </c>
      <c r="B4429" t="str">
        <f>"450120417"</f>
        <v>450120417</v>
      </c>
      <c r="C4429" s="1">
        <v>44951</v>
      </c>
      <c r="D4429" s="1">
        <v>44966</v>
      </c>
      <c r="E4429">
        <v>7</v>
      </c>
      <c r="F4429" t="str">
        <f>"17-C05-01"</f>
        <v>17-C05-01</v>
      </c>
      <c r="G4429">
        <v>6.5885999999999996</v>
      </c>
      <c r="H4429" t="s">
        <v>11</v>
      </c>
      <c r="I4429" t="s">
        <v>10</v>
      </c>
    </row>
    <row r="4430" spans="1:9" x14ac:dyDescent="0.25">
      <c r="A4430" t="str">
        <f t="shared" si="109"/>
        <v>89301000</v>
      </c>
      <c r="B4430" t="str">
        <f>"450125448"</f>
        <v>450125448</v>
      </c>
      <c r="C4430" s="1">
        <v>45001</v>
      </c>
      <c r="D4430" s="1">
        <v>45003</v>
      </c>
      <c r="E4430">
        <v>1</v>
      </c>
      <c r="F4430" t="str">
        <f>"03-I24-00"</f>
        <v>03-I24-00</v>
      </c>
      <c r="G4430">
        <v>0.40670000000000001</v>
      </c>
      <c r="H4430" t="s">
        <v>11</v>
      </c>
      <c r="I4430" t="s">
        <v>10</v>
      </c>
    </row>
    <row r="4431" spans="1:9" x14ac:dyDescent="0.25">
      <c r="A4431" t="str">
        <f t="shared" si="109"/>
        <v>89301000</v>
      </c>
      <c r="B4431" t="str">
        <f>"450125465"</f>
        <v>450125465</v>
      </c>
      <c r="C4431" s="1">
        <v>45041</v>
      </c>
      <c r="D4431" s="1">
        <v>45065</v>
      </c>
      <c r="E4431">
        <v>5</v>
      </c>
      <c r="F4431" t="str">
        <f>"04-K09-03"</f>
        <v>04-K09-03</v>
      </c>
      <c r="G4431">
        <v>1.4132</v>
      </c>
      <c r="H4431" t="s">
        <v>11</v>
      </c>
      <c r="I4431" t="s">
        <v>10</v>
      </c>
    </row>
    <row r="4432" spans="1:9" x14ac:dyDescent="0.25">
      <c r="A4432" t="str">
        <f t="shared" si="109"/>
        <v>89301000</v>
      </c>
      <c r="B4432" t="str">
        <f>"450125465"</f>
        <v>450125465</v>
      </c>
      <c r="C4432" s="1">
        <v>44929</v>
      </c>
      <c r="D4432" s="1">
        <v>44936</v>
      </c>
      <c r="E4432">
        <v>1</v>
      </c>
      <c r="F4432" t="str">
        <f>"11-M06-02"</f>
        <v>11-M06-02</v>
      </c>
      <c r="G4432">
        <v>0.86240000000000006</v>
      </c>
      <c r="H4432" t="s">
        <v>12</v>
      </c>
      <c r="I4432" t="s">
        <v>10</v>
      </c>
    </row>
    <row r="4433" spans="1:9" x14ac:dyDescent="0.25">
      <c r="A4433" t="str">
        <f t="shared" si="109"/>
        <v>89301000</v>
      </c>
      <c r="B4433" t="str">
        <f>"450125465"</f>
        <v>450125465</v>
      </c>
      <c r="C4433" s="1">
        <v>44985</v>
      </c>
      <c r="D4433" s="1">
        <v>44987</v>
      </c>
      <c r="E4433">
        <v>1</v>
      </c>
      <c r="F4433" t="str">
        <f>"04-K09-03"</f>
        <v>04-K09-03</v>
      </c>
      <c r="G4433">
        <v>0.65600000000000003</v>
      </c>
      <c r="H4433" t="s">
        <v>11</v>
      </c>
      <c r="I4433" t="s">
        <v>10</v>
      </c>
    </row>
    <row r="4434" spans="1:9" x14ac:dyDescent="0.25">
      <c r="A4434" t="str">
        <f t="shared" si="109"/>
        <v>89301000</v>
      </c>
      <c r="B4434" t="str">
        <f>"450129435"</f>
        <v>450129435</v>
      </c>
      <c r="C4434" s="1">
        <v>45260</v>
      </c>
      <c r="D4434" s="1">
        <v>45264</v>
      </c>
      <c r="E4434">
        <v>1</v>
      </c>
      <c r="F4434" t="str">
        <f>"12-K02-02"</f>
        <v>12-K02-02</v>
      </c>
      <c r="G4434">
        <v>0.39479999999999998</v>
      </c>
      <c r="H4434" t="s">
        <v>11</v>
      </c>
      <c r="I4434" t="s">
        <v>10</v>
      </c>
    </row>
    <row r="4435" spans="1:9" x14ac:dyDescent="0.25">
      <c r="A4435" t="str">
        <f t="shared" si="109"/>
        <v>89301000</v>
      </c>
      <c r="B4435" t="str">
        <f>"450217451"</f>
        <v>450217451</v>
      </c>
      <c r="C4435" s="1">
        <v>44963</v>
      </c>
      <c r="D4435" s="1">
        <v>44964</v>
      </c>
      <c r="E4435">
        <v>1</v>
      </c>
      <c r="F4435" t="str">
        <f>"05-D01-08"</f>
        <v>05-D01-08</v>
      </c>
      <c r="G4435">
        <v>0.43159999999999998</v>
      </c>
      <c r="H4435" t="s">
        <v>11</v>
      </c>
      <c r="I4435" t="s">
        <v>10</v>
      </c>
    </row>
    <row r="4436" spans="1:9" x14ac:dyDescent="0.25">
      <c r="A4436" t="str">
        <f t="shared" si="109"/>
        <v>89301000</v>
      </c>
      <c r="B4436" t="str">
        <f>"450217451"</f>
        <v>450217451</v>
      </c>
      <c r="C4436" s="1">
        <v>44970</v>
      </c>
      <c r="D4436" s="1">
        <v>44981</v>
      </c>
      <c r="E4436">
        <v>1</v>
      </c>
      <c r="F4436" t="str">
        <f>"05-I16-06"</f>
        <v>05-I16-06</v>
      </c>
      <c r="G4436">
        <v>5.6303000000000001</v>
      </c>
      <c r="H4436" t="s">
        <v>14</v>
      </c>
      <c r="I4436" t="s">
        <v>10</v>
      </c>
    </row>
    <row r="4437" spans="1:9" x14ac:dyDescent="0.25">
      <c r="A4437" t="str">
        <f t="shared" si="109"/>
        <v>89301000</v>
      </c>
      <c r="B4437" t="str">
        <f>"450222409"</f>
        <v>450222409</v>
      </c>
      <c r="C4437" s="1">
        <v>45092</v>
      </c>
      <c r="D4437" s="1">
        <v>45097</v>
      </c>
      <c r="E4437">
        <v>4</v>
      </c>
      <c r="F4437" t="str">
        <f>"08-I05-04"</f>
        <v>08-I05-04</v>
      </c>
      <c r="G4437">
        <v>2.4445000000000001</v>
      </c>
      <c r="H4437" t="s">
        <v>12</v>
      </c>
      <c r="I4437" t="s">
        <v>10</v>
      </c>
    </row>
    <row r="4438" spans="1:9" x14ac:dyDescent="0.25">
      <c r="A4438" t="str">
        <f t="shared" si="109"/>
        <v>89301000</v>
      </c>
      <c r="B4438" t="str">
        <f>"450303424"</f>
        <v>450303424</v>
      </c>
      <c r="C4438" s="1">
        <v>45250</v>
      </c>
      <c r="D4438" s="1">
        <v>45251</v>
      </c>
      <c r="E4438">
        <v>1</v>
      </c>
      <c r="F4438" t="str">
        <f>"10-K15-02"</f>
        <v>10-K15-02</v>
      </c>
      <c r="G4438">
        <v>0.66379999999999995</v>
      </c>
      <c r="H4438" t="s">
        <v>11</v>
      </c>
      <c r="I4438" t="s">
        <v>10</v>
      </c>
    </row>
    <row r="4439" spans="1:9" x14ac:dyDescent="0.25">
      <c r="A4439" t="str">
        <f t="shared" si="109"/>
        <v>89301000</v>
      </c>
      <c r="B4439" t="str">
        <f>"450304437"</f>
        <v>450304437</v>
      </c>
      <c r="C4439" s="1">
        <v>45271</v>
      </c>
      <c r="D4439" s="1">
        <v>45278</v>
      </c>
      <c r="E4439">
        <v>2</v>
      </c>
      <c r="F4439" t="str">
        <f>"08-I05-05"</f>
        <v>08-I05-05</v>
      </c>
      <c r="G4439">
        <v>2.2633000000000001</v>
      </c>
      <c r="H4439" t="s">
        <v>12</v>
      </c>
      <c r="I4439" t="s">
        <v>10</v>
      </c>
    </row>
    <row r="4440" spans="1:9" x14ac:dyDescent="0.25">
      <c r="A4440" t="str">
        <f t="shared" si="109"/>
        <v>89301000</v>
      </c>
      <c r="B4440" t="str">
        <f>"450306426"</f>
        <v>450306426</v>
      </c>
      <c r="C4440" s="1">
        <v>44952</v>
      </c>
      <c r="D4440" s="1">
        <v>44956</v>
      </c>
      <c r="E4440">
        <v>7</v>
      </c>
      <c r="F4440" t="str">
        <f>"05-I03-04"</f>
        <v>05-I03-04</v>
      </c>
      <c r="G4440">
        <v>10.0669</v>
      </c>
      <c r="H4440" t="s">
        <v>12</v>
      </c>
      <c r="I4440" t="s">
        <v>10</v>
      </c>
    </row>
    <row r="4441" spans="1:9" x14ac:dyDescent="0.25">
      <c r="A4441" t="str">
        <f t="shared" si="109"/>
        <v>89301000</v>
      </c>
      <c r="B4441" t="str">
        <f>"450307429"</f>
        <v>450307429</v>
      </c>
      <c r="C4441" s="1">
        <v>44981</v>
      </c>
      <c r="D4441" s="1">
        <v>44987</v>
      </c>
      <c r="E4441">
        <v>1</v>
      </c>
      <c r="F4441" t="str">
        <f>"09-I12-02"</f>
        <v>09-I12-02</v>
      </c>
      <c r="G4441">
        <v>0.66720000000000002</v>
      </c>
      <c r="H4441" t="s">
        <v>11</v>
      </c>
      <c r="I4441" t="s">
        <v>10</v>
      </c>
    </row>
    <row r="4442" spans="1:9" x14ac:dyDescent="0.25">
      <c r="A4442" t="str">
        <f t="shared" si="109"/>
        <v>89301000</v>
      </c>
      <c r="B4442" t="str">
        <f>"450310437"</f>
        <v>450310437</v>
      </c>
      <c r="C4442" s="1">
        <v>45047</v>
      </c>
      <c r="D4442" s="1">
        <v>45049</v>
      </c>
      <c r="E4442">
        <v>1</v>
      </c>
      <c r="F4442" t="str">
        <f>"01-K03-07"</f>
        <v>01-K03-07</v>
      </c>
      <c r="G4442">
        <v>0.5988</v>
      </c>
      <c r="H4442" t="s">
        <v>11</v>
      </c>
      <c r="I4442" t="s">
        <v>10</v>
      </c>
    </row>
    <row r="4443" spans="1:9" x14ac:dyDescent="0.25">
      <c r="A4443" t="str">
        <f t="shared" si="109"/>
        <v>89301000</v>
      </c>
      <c r="B4443" t="str">
        <f>"450317466"</f>
        <v>450317466</v>
      </c>
      <c r="C4443" s="1">
        <v>45170</v>
      </c>
      <c r="D4443" s="1">
        <v>45170</v>
      </c>
      <c r="E4443">
        <v>7</v>
      </c>
      <c r="F4443" t="str">
        <f>"05-M06-08"</f>
        <v>05-M06-08</v>
      </c>
      <c r="G4443">
        <v>1.1012</v>
      </c>
      <c r="H4443" t="s">
        <v>12</v>
      </c>
      <c r="I4443" t="s">
        <v>10</v>
      </c>
    </row>
    <row r="4444" spans="1:9" x14ac:dyDescent="0.25">
      <c r="A4444" t="str">
        <f t="shared" si="109"/>
        <v>89301000</v>
      </c>
      <c r="B4444" t="str">
        <f>"450320473"</f>
        <v>450320473</v>
      </c>
      <c r="C4444" s="1">
        <v>45061</v>
      </c>
      <c r="D4444" s="1">
        <v>45062</v>
      </c>
      <c r="E4444">
        <v>1</v>
      </c>
      <c r="F4444" t="str">
        <f>"02-I13-02"</f>
        <v>02-I13-02</v>
      </c>
      <c r="G4444">
        <v>0.4259</v>
      </c>
      <c r="H4444" t="s">
        <v>11</v>
      </c>
      <c r="I4444" t="s">
        <v>10</v>
      </c>
    </row>
    <row r="4445" spans="1:9" x14ac:dyDescent="0.25">
      <c r="A4445" t="str">
        <f t="shared" si="109"/>
        <v>89301000</v>
      </c>
      <c r="B4445" t="str">
        <f>"450324462"</f>
        <v>450324462</v>
      </c>
      <c r="C4445" s="1">
        <v>45103</v>
      </c>
      <c r="D4445" s="1">
        <v>45107</v>
      </c>
      <c r="E4445">
        <v>1</v>
      </c>
      <c r="F4445" t="str">
        <f>"11-I07-01"</f>
        <v>11-I07-01</v>
      </c>
      <c r="G4445">
        <v>2.7482000000000002</v>
      </c>
      <c r="H4445" t="s">
        <v>9</v>
      </c>
      <c r="I4445" t="s">
        <v>10</v>
      </c>
    </row>
    <row r="4446" spans="1:9" x14ac:dyDescent="0.25">
      <c r="A4446" t="str">
        <f t="shared" si="109"/>
        <v>89301000</v>
      </c>
      <c r="B4446" t="str">
        <f>"450404448"</f>
        <v>450404448</v>
      </c>
      <c r="C4446" s="1">
        <v>45244</v>
      </c>
      <c r="D4446" s="1">
        <v>45251</v>
      </c>
      <c r="E4446">
        <v>1</v>
      </c>
      <c r="F4446" t="str">
        <f>"06-I05-01"</f>
        <v>06-I05-01</v>
      </c>
      <c r="G4446">
        <v>3.8811</v>
      </c>
      <c r="H4446" t="s">
        <v>12</v>
      </c>
      <c r="I4446" t="s">
        <v>10</v>
      </c>
    </row>
    <row r="4447" spans="1:9" x14ac:dyDescent="0.25">
      <c r="A4447" t="str">
        <f t="shared" si="109"/>
        <v>89301000</v>
      </c>
      <c r="B4447" t="str">
        <f>"450405415"</f>
        <v>450405415</v>
      </c>
      <c r="C4447" s="1">
        <v>45062</v>
      </c>
      <c r="D4447" s="1">
        <v>45063</v>
      </c>
      <c r="E4447">
        <v>1</v>
      </c>
      <c r="F4447" t="str">
        <f>"06-M01-02"</f>
        <v>06-M01-02</v>
      </c>
      <c r="G4447">
        <v>1.2206999999999999</v>
      </c>
      <c r="H4447" t="s">
        <v>11</v>
      </c>
      <c r="I4447" t="s">
        <v>10</v>
      </c>
    </row>
    <row r="4448" spans="1:9" x14ac:dyDescent="0.25">
      <c r="A4448" t="str">
        <f t="shared" ref="A4448:A4511" si="110">"89301000"</f>
        <v>89301000</v>
      </c>
      <c r="B4448" t="str">
        <f>"450405431"</f>
        <v>450405431</v>
      </c>
      <c r="C4448" s="1">
        <v>44924</v>
      </c>
      <c r="D4448" s="1">
        <v>44929</v>
      </c>
      <c r="E4448">
        <v>5</v>
      </c>
      <c r="F4448" t="str">
        <f>"05-K07-04"</f>
        <v>05-K07-04</v>
      </c>
      <c r="G4448">
        <v>1.0598000000000001</v>
      </c>
      <c r="H4448" t="s">
        <v>11</v>
      </c>
      <c r="I4448" t="s">
        <v>10</v>
      </c>
    </row>
    <row r="4449" spans="1:9" x14ac:dyDescent="0.25">
      <c r="A4449" t="str">
        <f t="shared" si="110"/>
        <v>89301000</v>
      </c>
      <c r="B4449" t="str">
        <f>"450407457"</f>
        <v>450407457</v>
      </c>
      <c r="C4449" s="1">
        <v>45145</v>
      </c>
      <c r="D4449" s="1">
        <v>45145</v>
      </c>
      <c r="E4449">
        <v>1</v>
      </c>
      <c r="F4449" t="str">
        <f>"05-K04-02"</f>
        <v>05-K04-02</v>
      </c>
      <c r="G4449">
        <v>0.26679999999999998</v>
      </c>
      <c r="H4449" t="s">
        <v>11</v>
      </c>
      <c r="I4449" t="s">
        <v>10</v>
      </c>
    </row>
    <row r="4450" spans="1:9" x14ac:dyDescent="0.25">
      <c r="A4450" t="str">
        <f t="shared" si="110"/>
        <v>89301000</v>
      </c>
      <c r="B4450" t="str">
        <f>"450411424"</f>
        <v>450411424</v>
      </c>
      <c r="C4450" s="1">
        <v>45153</v>
      </c>
      <c r="D4450" s="1">
        <v>45162</v>
      </c>
      <c r="E4450">
        <v>8</v>
      </c>
      <c r="F4450" t="str">
        <f>"00-M01-02"</f>
        <v>00-M01-02</v>
      </c>
      <c r="G4450">
        <v>13.5434</v>
      </c>
      <c r="H4450" t="s">
        <v>11</v>
      </c>
      <c r="I4450" t="s">
        <v>10</v>
      </c>
    </row>
    <row r="4451" spans="1:9" x14ac:dyDescent="0.25">
      <c r="A4451" t="str">
        <f t="shared" si="110"/>
        <v>89301000</v>
      </c>
      <c r="B4451" t="str">
        <f>"450411424"</f>
        <v>450411424</v>
      </c>
      <c r="C4451" s="1">
        <v>45057</v>
      </c>
      <c r="D4451" s="1">
        <v>45072</v>
      </c>
      <c r="E4451">
        <v>1</v>
      </c>
      <c r="F4451" t="str">
        <f>"20-K05-02"</f>
        <v>20-K05-02</v>
      </c>
      <c r="G4451">
        <v>1.7688999999999999</v>
      </c>
      <c r="H4451" t="s">
        <v>11</v>
      </c>
      <c r="I4451" t="s">
        <v>10</v>
      </c>
    </row>
    <row r="4452" spans="1:9" x14ac:dyDescent="0.25">
      <c r="A4452" t="str">
        <f t="shared" si="110"/>
        <v>89301000</v>
      </c>
      <c r="B4452" t="str">
        <f>"450426419"</f>
        <v>450426419</v>
      </c>
      <c r="C4452" s="1">
        <v>45049</v>
      </c>
      <c r="D4452" s="1">
        <v>45065</v>
      </c>
      <c r="E4452">
        <v>5</v>
      </c>
      <c r="F4452" t="str">
        <f>"05-I14-01"</f>
        <v>05-I14-01</v>
      </c>
      <c r="G4452">
        <v>10.0579</v>
      </c>
      <c r="H4452" t="s">
        <v>12</v>
      </c>
      <c r="I4452" t="s">
        <v>10</v>
      </c>
    </row>
    <row r="4453" spans="1:9" x14ac:dyDescent="0.25">
      <c r="A4453" t="str">
        <f t="shared" si="110"/>
        <v>89301000</v>
      </c>
      <c r="B4453" t="str">
        <f>"450428421"</f>
        <v>450428421</v>
      </c>
      <c r="C4453" s="1">
        <v>44973</v>
      </c>
      <c r="D4453" s="1">
        <v>44977</v>
      </c>
      <c r="E4453">
        <v>1</v>
      </c>
      <c r="F4453" t="str">
        <f>"07-I10-06"</f>
        <v>07-I10-06</v>
      </c>
      <c r="G4453">
        <v>0.98419999999999996</v>
      </c>
      <c r="H4453" t="s">
        <v>12</v>
      </c>
      <c r="I4453" t="s">
        <v>10</v>
      </c>
    </row>
    <row r="4454" spans="1:9" x14ac:dyDescent="0.25">
      <c r="A4454" t="str">
        <f t="shared" si="110"/>
        <v>89301000</v>
      </c>
      <c r="B4454" t="str">
        <f>"450502437"</f>
        <v>450502437</v>
      </c>
      <c r="C4454" s="1">
        <v>45208</v>
      </c>
      <c r="D4454" s="1">
        <v>45212</v>
      </c>
      <c r="E4454">
        <v>1</v>
      </c>
      <c r="F4454" t="str">
        <f>"24-M05-02"</f>
        <v>24-M05-02</v>
      </c>
      <c r="G4454">
        <v>0.58660000000000001</v>
      </c>
      <c r="H4454" t="s">
        <v>11</v>
      </c>
      <c r="I4454" t="s">
        <v>10</v>
      </c>
    </row>
    <row r="4455" spans="1:9" x14ac:dyDescent="0.25">
      <c r="A4455" t="str">
        <f t="shared" si="110"/>
        <v>89301000</v>
      </c>
      <c r="B4455" t="str">
        <f>"450511417"</f>
        <v>450511417</v>
      </c>
      <c r="C4455" s="1">
        <v>45159</v>
      </c>
      <c r="D4455" s="1">
        <v>45163</v>
      </c>
      <c r="E4455">
        <v>1</v>
      </c>
      <c r="F4455" t="str">
        <f>"08-I06-04"</f>
        <v>08-I06-04</v>
      </c>
      <c r="G4455">
        <v>2.4180000000000001</v>
      </c>
      <c r="H4455" t="s">
        <v>9</v>
      </c>
      <c r="I4455" t="s">
        <v>10</v>
      </c>
    </row>
    <row r="4456" spans="1:9" x14ac:dyDescent="0.25">
      <c r="A4456" t="str">
        <f t="shared" si="110"/>
        <v>89301000</v>
      </c>
      <c r="B4456" t="str">
        <f>"450511438"</f>
        <v>450511438</v>
      </c>
      <c r="C4456" s="1">
        <v>45076</v>
      </c>
      <c r="D4456" s="1">
        <v>45084</v>
      </c>
      <c r="E4456">
        <v>1</v>
      </c>
      <c r="F4456" t="str">
        <f>"06-I13-02"</f>
        <v>06-I13-02</v>
      </c>
      <c r="G4456">
        <v>2.1128999999999998</v>
      </c>
      <c r="H4456" t="s">
        <v>11</v>
      </c>
      <c r="I4456" t="s">
        <v>10</v>
      </c>
    </row>
    <row r="4457" spans="1:9" x14ac:dyDescent="0.25">
      <c r="A4457" t="str">
        <f t="shared" si="110"/>
        <v>89301000</v>
      </c>
      <c r="B4457" t="str">
        <f>"450511438"</f>
        <v>450511438</v>
      </c>
      <c r="C4457" s="1">
        <v>45105</v>
      </c>
      <c r="D4457" s="1">
        <v>45108</v>
      </c>
      <c r="E4457">
        <v>1</v>
      </c>
      <c r="F4457" t="str">
        <f>"06-C02-01"</f>
        <v>06-C02-01</v>
      </c>
      <c r="G4457">
        <v>0.31909999999999999</v>
      </c>
      <c r="H4457" t="s">
        <v>11</v>
      </c>
      <c r="I4457" t="s">
        <v>10</v>
      </c>
    </row>
    <row r="4458" spans="1:9" x14ac:dyDescent="0.25">
      <c r="A4458" t="str">
        <f t="shared" si="110"/>
        <v>89301000</v>
      </c>
      <c r="B4458" t="str">
        <f>"450516726"</f>
        <v>450516726</v>
      </c>
      <c r="C4458" s="1">
        <v>45014</v>
      </c>
      <c r="D4458" s="1">
        <v>45016</v>
      </c>
      <c r="E4458">
        <v>4</v>
      </c>
      <c r="F4458" t="str">
        <f>"08-I04-02"</f>
        <v>08-I04-02</v>
      </c>
      <c r="G4458">
        <v>1.6229</v>
      </c>
      <c r="H4458" t="s">
        <v>14</v>
      </c>
      <c r="I4458" t="s">
        <v>10</v>
      </c>
    </row>
    <row r="4459" spans="1:9" x14ac:dyDescent="0.25">
      <c r="A4459" t="str">
        <f t="shared" si="110"/>
        <v>89301000</v>
      </c>
      <c r="B4459" t="str">
        <f>"450524414"</f>
        <v>450524414</v>
      </c>
      <c r="C4459" s="1">
        <v>44950</v>
      </c>
      <c r="D4459" s="1">
        <v>44951</v>
      </c>
      <c r="E4459">
        <v>1</v>
      </c>
      <c r="F4459" t="str">
        <f>"05-D01-08"</f>
        <v>05-D01-08</v>
      </c>
      <c r="G4459">
        <v>0.43159999999999998</v>
      </c>
      <c r="H4459" t="s">
        <v>11</v>
      </c>
      <c r="I4459" t="s">
        <v>10</v>
      </c>
    </row>
    <row r="4460" spans="1:9" x14ac:dyDescent="0.25">
      <c r="A4460" t="str">
        <f t="shared" si="110"/>
        <v>89301000</v>
      </c>
      <c r="B4460" t="str">
        <f>"450524455"</f>
        <v>450524455</v>
      </c>
      <c r="C4460" s="1">
        <v>44945</v>
      </c>
      <c r="D4460" s="1">
        <v>44947</v>
      </c>
      <c r="E4460">
        <v>1</v>
      </c>
      <c r="F4460" t="str">
        <f>"03-I19-03"</f>
        <v>03-I19-03</v>
      </c>
      <c r="G4460">
        <v>0.53249999999999997</v>
      </c>
      <c r="H4460" t="s">
        <v>11</v>
      </c>
      <c r="I4460" t="s">
        <v>10</v>
      </c>
    </row>
    <row r="4461" spans="1:9" x14ac:dyDescent="0.25">
      <c r="A4461" t="str">
        <f t="shared" si="110"/>
        <v>89301000</v>
      </c>
      <c r="B4461" t="str">
        <f>"450601404"</f>
        <v>450601404</v>
      </c>
      <c r="C4461" s="1">
        <v>45238</v>
      </c>
      <c r="D4461" s="1">
        <v>45239</v>
      </c>
      <c r="E4461">
        <v>1</v>
      </c>
      <c r="F4461" t="str">
        <f>"01-K16-05"</f>
        <v>01-K16-05</v>
      </c>
      <c r="G4461">
        <v>0.62649999999999995</v>
      </c>
      <c r="H4461" t="s">
        <v>11</v>
      </c>
      <c r="I4461" t="s">
        <v>10</v>
      </c>
    </row>
    <row r="4462" spans="1:9" x14ac:dyDescent="0.25">
      <c r="A4462" t="str">
        <f t="shared" si="110"/>
        <v>89301000</v>
      </c>
      <c r="B4462" t="str">
        <f>"450607404"</f>
        <v>450607404</v>
      </c>
      <c r="C4462" s="1">
        <v>44952</v>
      </c>
      <c r="D4462" s="1">
        <v>44953</v>
      </c>
      <c r="E4462">
        <v>1</v>
      </c>
      <c r="F4462" t="str">
        <f>"02-I06-04"</f>
        <v>02-I06-04</v>
      </c>
      <c r="G4462">
        <v>0.79630000000000001</v>
      </c>
      <c r="H4462" t="s">
        <v>12</v>
      </c>
      <c r="I4462" t="s">
        <v>10</v>
      </c>
    </row>
    <row r="4463" spans="1:9" x14ac:dyDescent="0.25">
      <c r="A4463" t="str">
        <f t="shared" si="110"/>
        <v>89301000</v>
      </c>
      <c r="B4463" t="str">
        <f>"450608432"</f>
        <v>450608432</v>
      </c>
      <c r="C4463" s="1">
        <v>45233</v>
      </c>
      <c r="D4463" s="1">
        <v>45237</v>
      </c>
      <c r="E4463">
        <v>1</v>
      </c>
      <c r="F4463" t="str">
        <f>"06-K02-03"</f>
        <v>06-K02-03</v>
      </c>
      <c r="G4463">
        <v>0.50470000000000004</v>
      </c>
      <c r="H4463" t="s">
        <v>11</v>
      </c>
      <c r="I4463" t="s">
        <v>10</v>
      </c>
    </row>
    <row r="4464" spans="1:9" x14ac:dyDescent="0.25">
      <c r="A4464" t="str">
        <f t="shared" si="110"/>
        <v>89301000</v>
      </c>
      <c r="B4464" t="str">
        <f>"450614401"</f>
        <v>450614401</v>
      </c>
      <c r="C4464" s="1">
        <v>45159</v>
      </c>
      <c r="D4464" s="1">
        <v>45162</v>
      </c>
      <c r="E4464">
        <v>1</v>
      </c>
      <c r="F4464" t="str">
        <f>"05-M07-06"</f>
        <v>05-M07-06</v>
      </c>
      <c r="G4464">
        <v>1.2264999999999999</v>
      </c>
      <c r="H4464" t="s">
        <v>12</v>
      </c>
      <c r="I4464" t="s">
        <v>10</v>
      </c>
    </row>
    <row r="4465" spans="1:9" x14ac:dyDescent="0.25">
      <c r="A4465" t="str">
        <f t="shared" si="110"/>
        <v>89301000</v>
      </c>
      <c r="B4465" t="str">
        <f>"450629418"</f>
        <v>450629418</v>
      </c>
      <c r="C4465" s="1">
        <v>45120</v>
      </c>
      <c r="D4465" s="1">
        <v>45120</v>
      </c>
      <c r="E4465">
        <v>1</v>
      </c>
      <c r="F4465" t="str">
        <f>"05-D01-08"</f>
        <v>05-D01-08</v>
      </c>
      <c r="G4465">
        <v>0.2303</v>
      </c>
      <c r="H4465" t="s">
        <v>11</v>
      </c>
      <c r="I4465" t="s">
        <v>10</v>
      </c>
    </row>
    <row r="4466" spans="1:9" x14ac:dyDescent="0.25">
      <c r="A4466" t="str">
        <f t="shared" si="110"/>
        <v>89301000</v>
      </c>
      <c r="B4466" t="str">
        <f>"450630432"</f>
        <v>450630432</v>
      </c>
      <c r="C4466" s="1">
        <v>44972</v>
      </c>
      <c r="D4466" s="1">
        <v>44987</v>
      </c>
      <c r="E4466">
        <v>1</v>
      </c>
      <c r="F4466" t="str">
        <f>"05-M05-02"</f>
        <v>05-M05-02</v>
      </c>
      <c r="G4466">
        <v>5.6719999999999997</v>
      </c>
      <c r="H4466" t="s">
        <v>14</v>
      </c>
      <c r="I4466" t="s">
        <v>10</v>
      </c>
    </row>
    <row r="4467" spans="1:9" x14ac:dyDescent="0.25">
      <c r="A4467" t="str">
        <f t="shared" si="110"/>
        <v>89301000</v>
      </c>
      <c r="B4467" t="str">
        <f>"450707447"</f>
        <v>450707447</v>
      </c>
      <c r="C4467" s="1">
        <v>45203</v>
      </c>
      <c r="D4467" s="1">
        <v>45204</v>
      </c>
      <c r="E4467">
        <v>1</v>
      </c>
      <c r="F4467" t="str">
        <f>"05-M06-08"</f>
        <v>05-M06-08</v>
      </c>
      <c r="G4467">
        <v>1.4228000000000001</v>
      </c>
      <c r="H4467" t="s">
        <v>12</v>
      </c>
      <c r="I4467" t="s">
        <v>10</v>
      </c>
    </row>
    <row r="4468" spans="1:9" x14ac:dyDescent="0.25">
      <c r="A4468" t="str">
        <f t="shared" si="110"/>
        <v>89301000</v>
      </c>
      <c r="B4468" t="str">
        <f>"450707447"</f>
        <v>450707447</v>
      </c>
      <c r="C4468" s="1">
        <v>45237</v>
      </c>
      <c r="D4468" s="1">
        <v>45238</v>
      </c>
      <c r="E4468">
        <v>1</v>
      </c>
      <c r="F4468" t="str">
        <f>"05-M06-08"</f>
        <v>05-M06-08</v>
      </c>
      <c r="G4468">
        <v>0.93289999999999995</v>
      </c>
      <c r="H4468" t="s">
        <v>12</v>
      </c>
      <c r="I4468" t="s">
        <v>10</v>
      </c>
    </row>
    <row r="4469" spans="1:9" x14ac:dyDescent="0.25">
      <c r="A4469" t="str">
        <f t="shared" si="110"/>
        <v>89301000</v>
      </c>
      <c r="B4469" t="str">
        <f>"450721438"</f>
        <v>450721438</v>
      </c>
      <c r="C4469" s="1">
        <v>45008</v>
      </c>
      <c r="D4469" s="1">
        <v>45022</v>
      </c>
      <c r="E4469">
        <v>1</v>
      </c>
      <c r="F4469" t="str">
        <f>"12-I03-04"</f>
        <v>12-I03-04</v>
      </c>
      <c r="G4469">
        <v>1.8633999999999999</v>
      </c>
      <c r="H4469" t="s">
        <v>9</v>
      </c>
      <c r="I4469" t="s">
        <v>10</v>
      </c>
    </row>
    <row r="4470" spans="1:9" x14ac:dyDescent="0.25">
      <c r="A4470" t="str">
        <f t="shared" si="110"/>
        <v>89301000</v>
      </c>
      <c r="B4470" t="str">
        <f>"450723403"</f>
        <v>450723403</v>
      </c>
      <c r="C4470" s="1">
        <v>45222</v>
      </c>
      <c r="D4470" s="1">
        <v>45225</v>
      </c>
      <c r="E4470">
        <v>1</v>
      </c>
      <c r="F4470" t="str">
        <f>"01-K12-01"</f>
        <v>01-K12-01</v>
      </c>
      <c r="G4470">
        <v>0.72709999999999997</v>
      </c>
      <c r="H4470" t="s">
        <v>11</v>
      </c>
      <c r="I4470" t="s">
        <v>10</v>
      </c>
    </row>
    <row r="4471" spans="1:9" x14ac:dyDescent="0.25">
      <c r="A4471" t="str">
        <f t="shared" si="110"/>
        <v>89301000</v>
      </c>
      <c r="B4471" t="str">
        <f>"450726428"</f>
        <v>450726428</v>
      </c>
      <c r="C4471" s="1">
        <v>44937</v>
      </c>
      <c r="D4471" s="1">
        <v>44943</v>
      </c>
      <c r="E4471">
        <v>4</v>
      </c>
      <c r="F4471" t="str">
        <f>"04-K14-03"</f>
        <v>04-K14-03</v>
      </c>
      <c r="G4471">
        <v>0.76</v>
      </c>
      <c r="H4471" t="s">
        <v>11</v>
      </c>
      <c r="I4471" t="s">
        <v>10</v>
      </c>
    </row>
    <row r="4472" spans="1:9" x14ac:dyDescent="0.25">
      <c r="A4472" t="str">
        <f t="shared" si="110"/>
        <v>89301000</v>
      </c>
      <c r="B4472" t="str">
        <f>"450802403"</f>
        <v>450802403</v>
      </c>
      <c r="C4472" s="1">
        <v>44923</v>
      </c>
      <c r="D4472" s="1">
        <v>44946</v>
      </c>
      <c r="E4472">
        <v>1</v>
      </c>
      <c r="F4472" t="str">
        <f>"18-I01-02"</f>
        <v>18-I01-02</v>
      </c>
      <c r="G4472">
        <v>3.2707000000000002</v>
      </c>
      <c r="H4472" t="s">
        <v>11</v>
      </c>
      <c r="I4472" t="s">
        <v>10</v>
      </c>
    </row>
    <row r="4473" spans="1:9" x14ac:dyDescent="0.25">
      <c r="A4473" t="str">
        <f t="shared" si="110"/>
        <v>89301000</v>
      </c>
      <c r="B4473" t="str">
        <f>"450811447"</f>
        <v>450811447</v>
      </c>
      <c r="C4473" s="1">
        <v>45196</v>
      </c>
      <c r="D4473" s="1">
        <v>45202</v>
      </c>
      <c r="E4473">
        <v>5</v>
      </c>
      <c r="F4473" t="str">
        <f>"05-M06-02"</f>
        <v>05-M06-02</v>
      </c>
      <c r="G4473">
        <v>3.5638999999999998</v>
      </c>
      <c r="H4473" t="s">
        <v>12</v>
      </c>
      <c r="I4473" t="s">
        <v>10</v>
      </c>
    </row>
    <row r="4474" spans="1:9" x14ac:dyDescent="0.25">
      <c r="A4474" t="str">
        <f t="shared" si="110"/>
        <v>89301000</v>
      </c>
      <c r="B4474" t="str">
        <f>"450814407"</f>
        <v>450814407</v>
      </c>
      <c r="C4474" s="1">
        <v>45065</v>
      </c>
      <c r="D4474" s="1">
        <v>45067</v>
      </c>
      <c r="E4474">
        <v>1</v>
      </c>
      <c r="F4474" t="str">
        <f>"03-I24-00"</f>
        <v>03-I24-00</v>
      </c>
      <c r="G4474">
        <v>0.40670000000000001</v>
      </c>
      <c r="H4474" t="s">
        <v>11</v>
      </c>
      <c r="I4474" t="s">
        <v>10</v>
      </c>
    </row>
    <row r="4475" spans="1:9" x14ac:dyDescent="0.25">
      <c r="A4475" t="str">
        <f t="shared" si="110"/>
        <v>89301000</v>
      </c>
      <c r="B4475" t="str">
        <f>"450821472"</f>
        <v>450821472</v>
      </c>
      <c r="C4475" s="1">
        <v>45272</v>
      </c>
      <c r="D4475" s="1">
        <v>45279</v>
      </c>
      <c r="E4475">
        <v>1</v>
      </c>
      <c r="F4475" t="str">
        <f>"08-K08-00"</f>
        <v>08-K08-00</v>
      </c>
      <c r="G4475">
        <v>0.5272</v>
      </c>
      <c r="H4475" t="s">
        <v>11</v>
      </c>
      <c r="I4475" t="s">
        <v>10</v>
      </c>
    </row>
    <row r="4476" spans="1:9" x14ac:dyDescent="0.25">
      <c r="A4476" t="str">
        <f t="shared" si="110"/>
        <v>89301000</v>
      </c>
      <c r="B4476" t="str">
        <f>"450824408"</f>
        <v>450824408</v>
      </c>
      <c r="C4476" s="1">
        <v>45159</v>
      </c>
      <c r="D4476" s="1">
        <v>45163</v>
      </c>
      <c r="E4476">
        <v>1</v>
      </c>
      <c r="F4476" t="str">
        <f>"08-I06-04"</f>
        <v>08-I06-04</v>
      </c>
      <c r="G4476">
        <v>2.3995000000000002</v>
      </c>
      <c r="H4476" t="s">
        <v>9</v>
      </c>
      <c r="I4476" t="s">
        <v>10</v>
      </c>
    </row>
    <row r="4477" spans="1:9" x14ac:dyDescent="0.25">
      <c r="A4477" t="str">
        <f t="shared" si="110"/>
        <v>89301000</v>
      </c>
      <c r="B4477" t="str">
        <f>"450829406"</f>
        <v>450829406</v>
      </c>
      <c r="C4477" s="1">
        <v>45158</v>
      </c>
      <c r="D4477" s="1">
        <v>45170</v>
      </c>
      <c r="E4477">
        <v>1</v>
      </c>
      <c r="F4477" t="str">
        <f>"11-K02-02"</f>
        <v>11-K02-02</v>
      </c>
      <c r="G4477">
        <v>1.4524999999999999</v>
      </c>
      <c r="H4477" t="s">
        <v>11</v>
      </c>
      <c r="I4477" t="s">
        <v>10</v>
      </c>
    </row>
    <row r="4478" spans="1:9" x14ac:dyDescent="0.25">
      <c r="A4478" t="str">
        <f t="shared" si="110"/>
        <v>89301000</v>
      </c>
      <c r="B4478" t="str">
        <f>"450914417"</f>
        <v>450914417</v>
      </c>
      <c r="C4478" s="1">
        <v>44929</v>
      </c>
      <c r="D4478" s="1">
        <v>44935</v>
      </c>
      <c r="E4478">
        <v>1</v>
      </c>
      <c r="F4478" t="str">
        <f>"06-K13-02"</f>
        <v>06-K13-02</v>
      </c>
      <c r="G4478">
        <v>0.62629999999999997</v>
      </c>
      <c r="H4478" t="s">
        <v>11</v>
      </c>
      <c r="I4478" t="s">
        <v>10</v>
      </c>
    </row>
    <row r="4479" spans="1:9" x14ac:dyDescent="0.25">
      <c r="A4479" t="str">
        <f t="shared" si="110"/>
        <v>89301000</v>
      </c>
      <c r="B4479" t="str">
        <f>"450916118"</f>
        <v>450916118</v>
      </c>
      <c r="C4479" s="1">
        <v>45120</v>
      </c>
      <c r="D4479" s="1">
        <v>45127</v>
      </c>
      <c r="E4479">
        <v>4</v>
      </c>
      <c r="F4479" t="str">
        <f>"01-K04-02"</f>
        <v>01-K04-02</v>
      </c>
      <c r="G4479">
        <v>0.79990000000000006</v>
      </c>
      <c r="H4479" t="s">
        <v>11</v>
      </c>
      <c r="I4479" t="s">
        <v>10</v>
      </c>
    </row>
    <row r="4480" spans="1:9" x14ac:dyDescent="0.25">
      <c r="A4480" t="str">
        <f t="shared" si="110"/>
        <v>89301000</v>
      </c>
      <c r="B4480" t="str">
        <f>"450921131"</f>
        <v>450921131</v>
      </c>
      <c r="C4480" s="1">
        <v>45172</v>
      </c>
      <c r="D4480" s="1">
        <v>45174</v>
      </c>
      <c r="E4480">
        <v>1</v>
      </c>
      <c r="F4480" t="str">
        <f>"05-M05-02"</f>
        <v>05-M05-02</v>
      </c>
      <c r="G4480">
        <v>3.5497000000000001</v>
      </c>
      <c r="H4480" t="s">
        <v>14</v>
      </c>
      <c r="I4480" t="s">
        <v>10</v>
      </c>
    </row>
    <row r="4481" spans="1:9" x14ac:dyDescent="0.25">
      <c r="A4481" t="str">
        <f t="shared" si="110"/>
        <v>89301000</v>
      </c>
      <c r="B4481" t="str">
        <f>"450921409"</f>
        <v>450921409</v>
      </c>
      <c r="C4481" s="1">
        <v>45226</v>
      </c>
      <c r="D4481" s="1">
        <v>45231</v>
      </c>
      <c r="E4481">
        <v>1</v>
      </c>
      <c r="F4481" t="str">
        <f>"01-K10-02"</f>
        <v>01-K10-02</v>
      </c>
      <c r="G4481">
        <v>1.62</v>
      </c>
      <c r="H4481" t="s">
        <v>11</v>
      </c>
      <c r="I4481" t="s">
        <v>10</v>
      </c>
    </row>
    <row r="4482" spans="1:9" x14ac:dyDescent="0.25">
      <c r="A4482" t="str">
        <f t="shared" si="110"/>
        <v>89301000</v>
      </c>
      <c r="B4482" t="str">
        <f>"450923416"</f>
        <v>450923416</v>
      </c>
      <c r="C4482" s="1">
        <v>44952</v>
      </c>
      <c r="D4482" s="1">
        <v>44973</v>
      </c>
      <c r="E4482">
        <v>5</v>
      </c>
      <c r="F4482" t="str">
        <f>"24-M08-02"</f>
        <v>24-M08-02</v>
      </c>
      <c r="G4482">
        <v>2.0236999999999998</v>
      </c>
      <c r="H4482" t="s">
        <v>11</v>
      </c>
      <c r="I4482" t="s">
        <v>10</v>
      </c>
    </row>
    <row r="4483" spans="1:9" x14ac:dyDescent="0.25">
      <c r="A4483" t="str">
        <f t="shared" si="110"/>
        <v>89301000</v>
      </c>
      <c r="B4483" t="str">
        <f>"450924142"</f>
        <v>450924142</v>
      </c>
      <c r="C4483" s="1">
        <v>45198</v>
      </c>
      <c r="D4483" s="1">
        <v>45205</v>
      </c>
      <c r="E4483">
        <v>1</v>
      </c>
      <c r="F4483" t="str">
        <f>"04-K06-03"</f>
        <v>04-K06-03</v>
      </c>
      <c r="G4483">
        <v>0.63190000000000002</v>
      </c>
      <c r="H4483" t="s">
        <v>11</v>
      </c>
      <c r="I4483" t="s">
        <v>10</v>
      </c>
    </row>
    <row r="4484" spans="1:9" x14ac:dyDescent="0.25">
      <c r="A4484" t="str">
        <f t="shared" si="110"/>
        <v>89301000</v>
      </c>
      <c r="B4484" t="str">
        <f>"450926479"</f>
        <v>450926479</v>
      </c>
      <c r="C4484" s="1">
        <v>45273</v>
      </c>
      <c r="D4484" s="1">
        <v>45278</v>
      </c>
      <c r="E4484">
        <v>1</v>
      </c>
      <c r="F4484" t="str">
        <f>"05-M01-03"</f>
        <v>05-M01-03</v>
      </c>
      <c r="G4484">
        <v>11.4411</v>
      </c>
      <c r="H4484" t="s">
        <v>12</v>
      </c>
      <c r="I4484" t="s">
        <v>10</v>
      </c>
    </row>
    <row r="4485" spans="1:9" x14ac:dyDescent="0.25">
      <c r="A4485" t="str">
        <f t="shared" si="110"/>
        <v>89301000</v>
      </c>
      <c r="B4485" t="str">
        <f>"450926479"</f>
        <v>450926479</v>
      </c>
      <c r="C4485" s="1">
        <v>45190</v>
      </c>
      <c r="D4485" s="1">
        <v>45191</v>
      </c>
      <c r="E4485">
        <v>1</v>
      </c>
      <c r="F4485" t="str">
        <f>"05-D01-08"</f>
        <v>05-D01-08</v>
      </c>
      <c r="G4485">
        <v>0.92549999999999999</v>
      </c>
      <c r="H4485" t="s">
        <v>11</v>
      </c>
      <c r="I4485" t="s">
        <v>10</v>
      </c>
    </row>
    <row r="4486" spans="1:9" x14ac:dyDescent="0.25">
      <c r="A4486" t="str">
        <f t="shared" si="110"/>
        <v>89301000</v>
      </c>
      <c r="B4486" t="str">
        <f>"450930448"</f>
        <v>450930448</v>
      </c>
      <c r="C4486" s="1">
        <v>44934</v>
      </c>
      <c r="D4486" s="1">
        <v>44941</v>
      </c>
      <c r="E4486">
        <v>8</v>
      </c>
      <c r="F4486" t="str">
        <f>"05-K07-03"</f>
        <v>05-K07-03</v>
      </c>
      <c r="G4486">
        <v>1.8048</v>
      </c>
      <c r="H4486" t="s">
        <v>11</v>
      </c>
      <c r="I4486" t="s">
        <v>10</v>
      </c>
    </row>
    <row r="4487" spans="1:9" x14ac:dyDescent="0.25">
      <c r="A4487" t="str">
        <f t="shared" si="110"/>
        <v>89301000</v>
      </c>
      <c r="B4487" t="str">
        <f>"451020423"</f>
        <v>451020423</v>
      </c>
      <c r="C4487" s="1">
        <v>45175</v>
      </c>
      <c r="D4487" s="1">
        <v>45180</v>
      </c>
      <c r="E4487">
        <v>3</v>
      </c>
      <c r="F4487" t="str">
        <f>"08-I06-04"</f>
        <v>08-I06-04</v>
      </c>
      <c r="G4487">
        <v>2.4060999999999999</v>
      </c>
      <c r="H4487" t="s">
        <v>9</v>
      </c>
      <c r="I4487" t="s">
        <v>10</v>
      </c>
    </row>
    <row r="4488" spans="1:9" x14ac:dyDescent="0.25">
      <c r="A4488" t="str">
        <f t="shared" si="110"/>
        <v>89301000</v>
      </c>
      <c r="B4488" t="str">
        <f>"451020423"</f>
        <v>451020423</v>
      </c>
      <c r="C4488" s="1">
        <v>45180</v>
      </c>
      <c r="D4488" s="1">
        <v>45190</v>
      </c>
      <c r="E4488">
        <v>5</v>
      </c>
      <c r="F4488" t="str">
        <f>"24-M06-02"</f>
        <v>24-M06-02</v>
      </c>
      <c r="G4488">
        <v>1.0699000000000001</v>
      </c>
      <c r="H4488" t="s">
        <v>11</v>
      </c>
      <c r="I4488" t="s">
        <v>10</v>
      </c>
    </row>
    <row r="4489" spans="1:9" x14ac:dyDescent="0.25">
      <c r="A4489" t="str">
        <f t="shared" si="110"/>
        <v>89301000</v>
      </c>
      <c r="B4489" t="str">
        <f>"451021417"</f>
        <v>451021417</v>
      </c>
      <c r="C4489" s="1">
        <v>45131</v>
      </c>
      <c r="D4489" s="1">
        <v>45138</v>
      </c>
      <c r="E4489">
        <v>1</v>
      </c>
      <c r="F4489" t="str">
        <f>"01-K04-01"</f>
        <v>01-K04-01</v>
      </c>
      <c r="G4489">
        <v>1.1131</v>
      </c>
      <c r="H4489" t="s">
        <v>11</v>
      </c>
      <c r="I4489" t="s">
        <v>10</v>
      </c>
    </row>
    <row r="4490" spans="1:9" x14ac:dyDescent="0.25">
      <c r="A4490" t="str">
        <f t="shared" si="110"/>
        <v>89301000</v>
      </c>
      <c r="B4490" t="str">
        <f>"451028176"</f>
        <v>451028176</v>
      </c>
      <c r="C4490" s="1">
        <v>45237</v>
      </c>
      <c r="D4490" s="1">
        <v>45238</v>
      </c>
      <c r="E4490">
        <v>1</v>
      </c>
      <c r="F4490" t="str">
        <f>"05-D01-08"</f>
        <v>05-D01-08</v>
      </c>
      <c r="G4490">
        <v>0.43159999999999998</v>
      </c>
      <c r="H4490" t="s">
        <v>11</v>
      </c>
      <c r="I4490" t="s">
        <v>10</v>
      </c>
    </row>
    <row r="4491" spans="1:9" x14ac:dyDescent="0.25">
      <c r="A4491" t="str">
        <f t="shared" si="110"/>
        <v>89301000</v>
      </c>
      <c r="B4491" t="str">
        <f>"451106141"</f>
        <v>451106141</v>
      </c>
      <c r="C4491" s="1">
        <v>44979</v>
      </c>
      <c r="D4491" s="1">
        <v>44980</v>
      </c>
      <c r="E4491">
        <v>1</v>
      </c>
      <c r="F4491" t="str">
        <f>"05-M05-03"</f>
        <v>05-M05-03</v>
      </c>
      <c r="G4491">
        <v>2.0312999999999999</v>
      </c>
      <c r="H4491" t="s">
        <v>14</v>
      </c>
      <c r="I4491" t="s">
        <v>10</v>
      </c>
    </row>
    <row r="4492" spans="1:9" x14ac:dyDescent="0.25">
      <c r="A4492" t="str">
        <f t="shared" si="110"/>
        <v>89301000</v>
      </c>
      <c r="B4492" t="str">
        <f>"451106141"</f>
        <v>451106141</v>
      </c>
      <c r="C4492" s="1">
        <v>45008</v>
      </c>
      <c r="D4492" s="1">
        <v>45010</v>
      </c>
      <c r="E4492">
        <v>1</v>
      </c>
      <c r="F4492" t="str">
        <f>"05-M05-02"</f>
        <v>05-M05-02</v>
      </c>
      <c r="G4492">
        <v>3.4817999999999998</v>
      </c>
      <c r="H4492" t="s">
        <v>14</v>
      </c>
      <c r="I4492" t="s">
        <v>10</v>
      </c>
    </row>
    <row r="4493" spans="1:9" x14ac:dyDescent="0.25">
      <c r="A4493" t="str">
        <f t="shared" si="110"/>
        <v>89301000</v>
      </c>
      <c r="B4493" t="str">
        <f>"451107410"</f>
        <v>451107410</v>
      </c>
      <c r="C4493" s="1">
        <v>45142</v>
      </c>
      <c r="D4493" s="1">
        <v>45156</v>
      </c>
      <c r="E4493">
        <v>1</v>
      </c>
      <c r="F4493" t="str">
        <f>"24-M07-02"</f>
        <v>24-M07-02</v>
      </c>
      <c r="G4493">
        <v>1.5729</v>
      </c>
      <c r="H4493" t="s">
        <v>11</v>
      </c>
      <c r="I4493" t="s">
        <v>10</v>
      </c>
    </row>
    <row r="4494" spans="1:9" x14ac:dyDescent="0.25">
      <c r="A4494" t="str">
        <f t="shared" si="110"/>
        <v>89301000</v>
      </c>
      <c r="B4494" t="str">
        <f>"451107410"</f>
        <v>451107410</v>
      </c>
      <c r="C4494" s="1">
        <v>44963</v>
      </c>
      <c r="D4494" s="1">
        <v>44971</v>
      </c>
      <c r="E4494">
        <v>1</v>
      </c>
      <c r="F4494" t="str">
        <f>"08-I04-02"</f>
        <v>08-I04-02</v>
      </c>
      <c r="G4494">
        <v>1.6229</v>
      </c>
      <c r="H4494" t="s">
        <v>14</v>
      </c>
      <c r="I4494" t="s">
        <v>10</v>
      </c>
    </row>
    <row r="4495" spans="1:9" x14ac:dyDescent="0.25">
      <c r="A4495" t="str">
        <f t="shared" si="110"/>
        <v>89301000</v>
      </c>
      <c r="B4495" t="str">
        <f>"451107410"</f>
        <v>451107410</v>
      </c>
      <c r="C4495" s="1">
        <v>45137</v>
      </c>
      <c r="D4495" s="1">
        <v>45142</v>
      </c>
      <c r="E4495">
        <v>3</v>
      </c>
      <c r="F4495" t="str">
        <f>"08-I05-05"</f>
        <v>08-I05-05</v>
      </c>
      <c r="G4495">
        <v>2.2633000000000001</v>
      </c>
      <c r="H4495" t="s">
        <v>12</v>
      </c>
      <c r="I4495" t="s">
        <v>10</v>
      </c>
    </row>
    <row r="4496" spans="1:9" x14ac:dyDescent="0.25">
      <c r="A4496" t="str">
        <f t="shared" si="110"/>
        <v>89301000</v>
      </c>
      <c r="B4496" t="str">
        <f>"451118408"</f>
        <v>451118408</v>
      </c>
      <c r="C4496" s="1">
        <v>45084</v>
      </c>
      <c r="D4496" s="1">
        <v>45086</v>
      </c>
      <c r="E4496">
        <v>1</v>
      </c>
      <c r="F4496" t="str">
        <f>"02-I06-02"</f>
        <v>02-I06-02</v>
      </c>
      <c r="G4496">
        <v>1.2479</v>
      </c>
      <c r="H4496" t="s">
        <v>12</v>
      </c>
      <c r="I4496" t="s">
        <v>10</v>
      </c>
    </row>
    <row r="4497" spans="1:9" x14ac:dyDescent="0.25">
      <c r="A4497" t="str">
        <f t="shared" si="110"/>
        <v>89301000</v>
      </c>
      <c r="B4497" t="str">
        <f>"451213414"</f>
        <v>451213414</v>
      </c>
      <c r="C4497" s="1">
        <v>45217</v>
      </c>
      <c r="D4497" s="1">
        <v>45217</v>
      </c>
      <c r="E4497">
        <v>1</v>
      </c>
      <c r="F4497" t="str">
        <f>"05-D01-08"</f>
        <v>05-D01-08</v>
      </c>
      <c r="G4497">
        <v>0.2303</v>
      </c>
      <c r="H4497" t="s">
        <v>11</v>
      </c>
      <c r="I4497" t="s">
        <v>10</v>
      </c>
    </row>
    <row r="4498" spans="1:9" x14ac:dyDescent="0.25">
      <c r="A4498" t="str">
        <f t="shared" si="110"/>
        <v>89301000</v>
      </c>
      <c r="B4498" t="str">
        <f>"451216418"</f>
        <v>451216418</v>
      </c>
      <c r="C4498" s="1">
        <v>45259</v>
      </c>
      <c r="D4498" s="1">
        <v>45260</v>
      </c>
      <c r="E4498">
        <v>1</v>
      </c>
      <c r="F4498" t="str">
        <f>"06-M01-05"</f>
        <v>06-M01-05</v>
      </c>
      <c r="G4498">
        <v>0.4178</v>
      </c>
      <c r="H4498" t="s">
        <v>11</v>
      </c>
      <c r="I4498" t="s">
        <v>10</v>
      </c>
    </row>
    <row r="4499" spans="1:9" x14ac:dyDescent="0.25">
      <c r="A4499" t="str">
        <f t="shared" si="110"/>
        <v>89301000</v>
      </c>
      <c r="B4499" t="str">
        <f>"451219462"</f>
        <v>451219462</v>
      </c>
      <c r="C4499" s="1">
        <v>45194</v>
      </c>
      <c r="D4499" s="1">
        <v>45197</v>
      </c>
      <c r="E4499">
        <v>1</v>
      </c>
      <c r="F4499" t="str">
        <f>"04-K06-02"</f>
        <v>04-K06-02</v>
      </c>
      <c r="G4499">
        <v>0.99870000000000003</v>
      </c>
      <c r="H4499" t="s">
        <v>11</v>
      </c>
      <c r="I4499" t="s">
        <v>10</v>
      </c>
    </row>
    <row r="4500" spans="1:9" x14ac:dyDescent="0.25">
      <c r="A4500" t="str">
        <f t="shared" si="110"/>
        <v>89301000</v>
      </c>
      <c r="B4500" t="str">
        <f>"451228447"</f>
        <v>451228447</v>
      </c>
      <c r="C4500" s="1">
        <v>44998</v>
      </c>
      <c r="D4500" s="1">
        <v>45002</v>
      </c>
      <c r="E4500">
        <v>5</v>
      </c>
      <c r="F4500" t="str">
        <f>"08-I04-02"</f>
        <v>08-I04-02</v>
      </c>
      <c r="G4500">
        <v>1.6229</v>
      </c>
      <c r="H4500" t="s">
        <v>14</v>
      </c>
      <c r="I4500" t="s">
        <v>10</v>
      </c>
    </row>
    <row r="4501" spans="1:9" x14ac:dyDescent="0.25">
      <c r="A4501" t="str">
        <f t="shared" si="110"/>
        <v>89301000</v>
      </c>
      <c r="B4501" t="str">
        <f>"455103416"</f>
        <v>455103416</v>
      </c>
      <c r="C4501" s="1">
        <v>45227</v>
      </c>
      <c r="D4501" s="1">
        <v>45229</v>
      </c>
      <c r="E4501">
        <v>1</v>
      </c>
      <c r="F4501" t="str">
        <f>"05-D01-08"</f>
        <v>05-D01-08</v>
      </c>
      <c r="G4501">
        <v>0.43159999999999998</v>
      </c>
      <c r="H4501" t="s">
        <v>11</v>
      </c>
      <c r="I4501" t="s">
        <v>10</v>
      </c>
    </row>
    <row r="4502" spans="1:9" x14ac:dyDescent="0.25">
      <c r="A4502" t="str">
        <f t="shared" si="110"/>
        <v>89301000</v>
      </c>
      <c r="B4502" t="str">
        <f>"455105405"</f>
        <v>455105405</v>
      </c>
      <c r="C4502" s="1">
        <v>45225</v>
      </c>
      <c r="D4502" s="1">
        <v>45228</v>
      </c>
      <c r="E4502">
        <v>1</v>
      </c>
      <c r="F4502" t="str">
        <f>"03-I19-03"</f>
        <v>03-I19-03</v>
      </c>
      <c r="G4502">
        <v>0.53249999999999997</v>
      </c>
      <c r="H4502" t="s">
        <v>11</v>
      </c>
      <c r="I4502" t="s">
        <v>10</v>
      </c>
    </row>
    <row r="4503" spans="1:9" x14ac:dyDescent="0.25">
      <c r="A4503" t="str">
        <f t="shared" si="110"/>
        <v>89301000</v>
      </c>
      <c r="B4503" t="str">
        <f>"455108951"</f>
        <v>455108951</v>
      </c>
      <c r="C4503" s="1">
        <v>45237</v>
      </c>
      <c r="D4503" s="1">
        <v>45244</v>
      </c>
      <c r="E4503">
        <v>1</v>
      </c>
      <c r="F4503" t="str">
        <f>"09-K02-00"</f>
        <v>09-K02-00</v>
      </c>
      <c r="G4503">
        <v>0.99539999999999995</v>
      </c>
      <c r="H4503" t="s">
        <v>11</v>
      </c>
      <c r="I4503" t="s">
        <v>10</v>
      </c>
    </row>
    <row r="4504" spans="1:9" x14ac:dyDescent="0.25">
      <c r="A4504" t="str">
        <f t="shared" si="110"/>
        <v>89301000</v>
      </c>
      <c r="B4504" t="str">
        <f>"455117953"</f>
        <v>455117953</v>
      </c>
      <c r="C4504" s="1">
        <v>45132</v>
      </c>
      <c r="D4504" s="1">
        <v>45135</v>
      </c>
      <c r="E4504">
        <v>5</v>
      </c>
      <c r="F4504" t="str">
        <f>"08-I13-05"</f>
        <v>08-I13-05</v>
      </c>
      <c r="G4504">
        <v>2.343</v>
      </c>
      <c r="H4504" t="s">
        <v>12</v>
      </c>
      <c r="I4504" t="s">
        <v>10</v>
      </c>
    </row>
    <row r="4505" spans="1:9" x14ac:dyDescent="0.25">
      <c r="A4505" t="str">
        <f t="shared" si="110"/>
        <v>89301000</v>
      </c>
      <c r="B4505" t="str">
        <f>"455120406"</f>
        <v>455120406</v>
      </c>
      <c r="C4505" s="1">
        <v>45259</v>
      </c>
      <c r="D4505" s="1">
        <v>45259</v>
      </c>
      <c r="E4505">
        <v>1</v>
      </c>
      <c r="F4505" t="str">
        <f>"05-D01-08"</f>
        <v>05-D01-08</v>
      </c>
      <c r="G4505">
        <v>0.2303</v>
      </c>
      <c r="H4505" t="s">
        <v>11</v>
      </c>
      <c r="I4505" t="s">
        <v>10</v>
      </c>
    </row>
    <row r="4506" spans="1:9" x14ac:dyDescent="0.25">
      <c r="A4506" t="str">
        <f t="shared" si="110"/>
        <v>89301000</v>
      </c>
      <c r="B4506" t="str">
        <f>"455120406"</f>
        <v>455120406</v>
      </c>
      <c r="C4506" s="1">
        <v>44994</v>
      </c>
      <c r="D4506" s="1">
        <v>45000</v>
      </c>
      <c r="E4506">
        <v>1</v>
      </c>
      <c r="F4506" t="str">
        <f>"02-K05-01"</f>
        <v>02-K05-01</v>
      </c>
      <c r="G4506">
        <v>0.68920000000000003</v>
      </c>
      <c r="H4506" t="s">
        <v>11</v>
      </c>
      <c r="I4506" t="s">
        <v>10</v>
      </c>
    </row>
    <row r="4507" spans="1:9" x14ac:dyDescent="0.25">
      <c r="A4507" t="str">
        <f t="shared" si="110"/>
        <v>89301000</v>
      </c>
      <c r="B4507" t="str">
        <f>"455123404"</f>
        <v>455123404</v>
      </c>
      <c r="C4507" s="1">
        <v>44990</v>
      </c>
      <c r="D4507" s="1">
        <v>44993</v>
      </c>
      <c r="E4507">
        <v>1</v>
      </c>
      <c r="F4507" t="str">
        <f>"06-I16-04"</f>
        <v>06-I16-04</v>
      </c>
      <c r="G4507">
        <v>0.68920000000000003</v>
      </c>
      <c r="H4507" t="s">
        <v>9</v>
      </c>
      <c r="I4507" t="s">
        <v>10</v>
      </c>
    </row>
    <row r="4508" spans="1:9" x14ac:dyDescent="0.25">
      <c r="A4508" t="str">
        <f t="shared" si="110"/>
        <v>89301000</v>
      </c>
      <c r="B4508" t="str">
        <f>"455127144"</f>
        <v>455127144</v>
      </c>
      <c r="C4508" s="1">
        <v>45055</v>
      </c>
      <c r="D4508" s="1">
        <v>45065</v>
      </c>
      <c r="E4508">
        <v>1</v>
      </c>
      <c r="F4508" t="str">
        <f>"24-M06-02"</f>
        <v>24-M06-02</v>
      </c>
      <c r="G4508">
        <v>1.0699000000000001</v>
      </c>
      <c r="H4508" t="s">
        <v>11</v>
      </c>
      <c r="I4508" t="s">
        <v>10</v>
      </c>
    </row>
    <row r="4509" spans="1:9" x14ac:dyDescent="0.25">
      <c r="A4509" t="str">
        <f t="shared" si="110"/>
        <v>89301000</v>
      </c>
      <c r="B4509" t="str">
        <f>"455202420"</f>
        <v>455202420</v>
      </c>
      <c r="C4509" s="1">
        <v>44964</v>
      </c>
      <c r="D4509" s="1">
        <v>44971</v>
      </c>
      <c r="E4509">
        <v>4</v>
      </c>
      <c r="F4509" t="str">
        <f>"09-K01-02"</f>
        <v>09-K01-02</v>
      </c>
      <c r="G4509">
        <v>1.0348999999999999</v>
      </c>
      <c r="H4509" t="s">
        <v>11</v>
      </c>
      <c r="I4509" t="s">
        <v>10</v>
      </c>
    </row>
    <row r="4510" spans="1:9" x14ac:dyDescent="0.25">
      <c r="A4510" t="str">
        <f t="shared" si="110"/>
        <v>89301000</v>
      </c>
      <c r="B4510" t="str">
        <f>"455204447"</f>
        <v>455204447</v>
      </c>
      <c r="C4510" s="1">
        <v>44913</v>
      </c>
      <c r="D4510" s="1">
        <v>44928</v>
      </c>
      <c r="E4510">
        <v>2</v>
      </c>
      <c r="F4510" t="str">
        <f>"01-K18-04"</f>
        <v>01-K18-04</v>
      </c>
      <c r="G4510">
        <v>1.1194999999999999</v>
      </c>
      <c r="H4510" t="s">
        <v>11</v>
      </c>
      <c r="I4510" t="s">
        <v>10</v>
      </c>
    </row>
    <row r="4511" spans="1:9" x14ac:dyDescent="0.25">
      <c r="A4511" t="str">
        <f t="shared" si="110"/>
        <v>89301000</v>
      </c>
      <c r="B4511" t="str">
        <f>"455207422"</f>
        <v>455207422</v>
      </c>
      <c r="C4511" s="1">
        <v>44938</v>
      </c>
      <c r="D4511" s="1">
        <v>44951</v>
      </c>
      <c r="E4511">
        <v>4</v>
      </c>
      <c r="F4511" t="str">
        <f>"05-I16-04"</f>
        <v>05-I16-04</v>
      </c>
      <c r="G4511">
        <v>6.2375999999999996</v>
      </c>
      <c r="H4511" t="s">
        <v>14</v>
      </c>
      <c r="I4511" t="s">
        <v>10</v>
      </c>
    </row>
    <row r="4512" spans="1:9" x14ac:dyDescent="0.25">
      <c r="A4512" t="str">
        <f t="shared" ref="A4512:A4574" si="111">"89301000"</f>
        <v>89301000</v>
      </c>
      <c r="B4512" t="str">
        <f>"455212418"</f>
        <v>455212418</v>
      </c>
      <c r="C4512" s="1">
        <v>45224</v>
      </c>
      <c r="D4512" s="1">
        <v>45230</v>
      </c>
      <c r="E4512">
        <v>4</v>
      </c>
      <c r="F4512" t="str">
        <f>"08-I05-05"</f>
        <v>08-I05-05</v>
      </c>
      <c r="G4512">
        <v>2.2633000000000001</v>
      </c>
      <c r="H4512" t="s">
        <v>12</v>
      </c>
      <c r="I4512" t="s">
        <v>10</v>
      </c>
    </row>
    <row r="4513" spans="1:9" x14ac:dyDescent="0.25">
      <c r="A4513" t="str">
        <f t="shared" si="111"/>
        <v>89301000</v>
      </c>
      <c r="B4513" t="str">
        <f>"455219411"</f>
        <v>455219411</v>
      </c>
      <c r="C4513" s="1">
        <v>44956</v>
      </c>
      <c r="D4513" s="1">
        <v>44963</v>
      </c>
      <c r="E4513">
        <v>1</v>
      </c>
      <c r="F4513" t="str">
        <f>"05-I26-02"</f>
        <v>05-I26-02</v>
      </c>
      <c r="G4513">
        <v>1.6382000000000001</v>
      </c>
      <c r="H4513" t="s">
        <v>12</v>
      </c>
      <c r="I4513" t="s">
        <v>10</v>
      </c>
    </row>
    <row r="4514" spans="1:9" x14ac:dyDescent="0.25">
      <c r="A4514" t="str">
        <f t="shared" si="111"/>
        <v>89301000</v>
      </c>
      <c r="B4514" t="str">
        <f>"455226404"</f>
        <v>455226404</v>
      </c>
      <c r="C4514" s="1">
        <v>45266</v>
      </c>
      <c r="D4514" s="1">
        <v>45268</v>
      </c>
      <c r="E4514">
        <v>1</v>
      </c>
      <c r="F4514" t="str">
        <f>"05-D01-08"</f>
        <v>05-D01-08</v>
      </c>
      <c r="G4514">
        <v>0.43159999999999998</v>
      </c>
      <c r="H4514" t="s">
        <v>11</v>
      </c>
      <c r="I4514" t="s">
        <v>10</v>
      </c>
    </row>
    <row r="4515" spans="1:9" x14ac:dyDescent="0.25">
      <c r="A4515" t="str">
        <f t="shared" si="111"/>
        <v>89301000</v>
      </c>
      <c r="B4515" t="str">
        <f>"455308433"</f>
        <v>455308433</v>
      </c>
      <c r="C4515" s="1">
        <v>45068</v>
      </c>
      <c r="D4515" s="1">
        <v>45069</v>
      </c>
      <c r="E4515">
        <v>1</v>
      </c>
      <c r="F4515" t="str">
        <f>"05-M06-08"</f>
        <v>05-M06-08</v>
      </c>
      <c r="G4515">
        <v>1.4228000000000001</v>
      </c>
      <c r="H4515" t="s">
        <v>12</v>
      </c>
      <c r="I4515" t="s">
        <v>10</v>
      </c>
    </row>
    <row r="4516" spans="1:9" x14ac:dyDescent="0.25">
      <c r="A4516" t="str">
        <f t="shared" si="111"/>
        <v>89301000</v>
      </c>
      <c r="B4516" t="str">
        <f>"455308433"</f>
        <v>455308433</v>
      </c>
      <c r="C4516" s="1">
        <v>45022</v>
      </c>
      <c r="D4516" s="1">
        <v>45023</v>
      </c>
      <c r="E4516">
        <v>1</v>
      </c>
      <c r="F4516" t="str">
        <f>"05-D01-08"</f>
        <v>05-D01-08</v>
      </c>
      <c r="G4516">
        <v>0.43159999999999998</v>
      </c>
      <c r="H4516" t="s">
        <v>11</v>
      </c>
      <c r="I4516" t="s">
        <v>10</v>
      </c>
    </row>
    <row r="4517" spans="1:9" x14ac:dyDescent="0.25">
      <c r="A4517" t="str">
        <f t="shared" si="111"/>
        <v>89301000</v>
      </c>
      <c r="B4517" t="str">
        <f>"455311409"</f>
        <v>455311409</v>
      </c>
      <c r="C4517" s="1">
        <v>44994</v>
      </c>
      <c r="D4517" s="1">
        <v>44994</v>
      </c>
      <c r="E4517">
        <v>1</v>
      </c>
      <c r="F4517" t="str">
        <f>"05-D01-06"</f>
        <v>05-D01-06</v>
      </c>
      <c r="G4517">
        <v>0.4037</v>
      </c>
      <c r="H4517" t="s">
        <v>11</v>
      </c>
      <c r="I4517" t="s">
        <v>10</v>
      </c>
    </row>
    <row r="4518" spans="1:9" x14ac:dyDescent="0.25">
      <c r="A4518" t="str">
        <f t="shared" si="111"/>
        <v>89301000</v>
      </c>
      <c r="B4518" t="str">
        <f>"455314427"</f>
        <v>455314427</v>
      </c>
      <c r="C4518" s="1">
        <v>45199</v>
      </c>
      <c r="D4518" s="1">
        <v>45202</v>
      </c>
      <c r="E4518">
        <v>1</v>
      </c>
      <c r="F4518" t="str">
        <f>"05-K14-02"</f>
        <v>05-K14-02</v>
      </c>
      <c r="G4518">
        <v>0.9103</v>
      </c>
      <c r="H4518" t="s">
        <v>11</v>
      </c>
      <c r="I4518" t="s">
        <v>10</v>
      </c>
    </row>
    <row r="4519" spans="1:9" x14ac:dyDescent="0.25">
      <c r="A4519" t="str">
        <f t="shared" si="111"/>
        <v>89301000</v>
      </c>
      <c r="B4519" t="str">
        <f>"455314427"</f>
        <v>455314427</v>
      </c>
      <c r="C4519" s="1">
        <v>45269</v>
      </c>
      <c r="D4519" s="1">
        <v>45280</v>
      </c>
      <c r="E4519">
        <v>1</v>
      </c>
      <c r="F4519" t="str">
        <f>"05-M06-06"</f>
        <v>05-M06-06</v>
      </c>
      <c r="G4519">
        <v>2.4544000000000001</v>
      </c>
      <c r="H4519" t="s">
        <v>12</v>
      </c>
      <c r="I4519" t="s">
        <v>10</v>
      </c>
    </row>
    <row r="4520" spans="1:9" x14ac:dyDescent="0.25">
      <c r="A4520" t="str">
        <f t="shared" si="111"/>
        <v>89301000</v>
      </c>
      <c r="B4520" t="str">
        <f>"455403444"</f>
        <v>455403444</v>
      </c>
      <c r="C4520" s="1">
        <v>45204</v>
      </c>
      <c r="D4520" s="1">
        <v>45205</v>
      </c>
      <c r="E4520">
        <v>1</v>
      </c>
      <c r="F4520" t="str">
        <f>"05-D01-08"</f>
        <v>05-D01-08</v>
      </c>
      <c r="G4520">
        <v>0.43159999999999998</v>
      </c>
      <c r="H4520" t="s">
        <v>11</v>
      </c>
      <c r="I4520" t="s">
        <v>10</v>
      </c>
    </row>
    <row r="4521" spans="1:9" x14ac:dyDescent="0.25">
      <c r="A4521" t="str">
        <f t="shared" si="111"/>
        <v>89301000</v>
      </c>
      <c r="B4521" t="str">
        <f>"455416402"</f>
        <v>455416402</v>
      </c>
      <c r="C4521" s="1">
        <v>45225</v>
      </c>
      <c r="D4521" s="1">
        <v>45230</v>
      </c>
      <c r="E4521">
        <v>1</v>
      </c>
      <c r="F4521" t="str">
        <f>"01-K04-01"</f>
        <v>01-K04-01</v>
      </c>
      <c r="G4521">
        <v>1.0985</v>
      </c>
      <c r="H4521" t="s">
        <v>11</v>
      </c>
      <c r="I4521" t="s">
        <v>10</v>
      </c>
    </row>
    <row r="4522" spans="1:9" x14ac:dyDescent="0.25">
      <c r="A4522" t="str">
        <f t="shared" si="111"/>
        <v>89301000</v>
      </c>
      <c r="B4522" t="str">
        <f>"455418408"</f>
        <v>455418408</v>
      </c>
      <c r="C4522" s="1">
        <v>45086</v>
      </c>
      <c r="D4522" s="1">
        <v>45092</v>
      </c>
      <c r="E4522">
        <v>1</v>
      </c>
      <c r="F4522" t="str">
        <f>"05-K07-04"</f>
        <v>05-K07-04</v>
      </c>
      <c r="G4522">
        <v>1.0598000000000001</v>
      </c>
      <c r="H4522" t="s">
        <v>11</v>
      </c>
      <c r="I4522" t="s">
        <v>10</v>
      </c>
    </row>
    <row r="4523" spans="1:9" x14ac:dyDescent="0.25">
      <c r="A4523" t="str">
        <f t="shared" si="111"/>
        <v>89301000</v>
      </c>
      <c r="B4523" t="str">
        <f>"455418408"</f>
        <v>455418408</v>
      </c>
      <c r="C4523" s="1">
        <v>44962</v>
      </c>
      <c r="D4523" s="1">
        <v>44963</v>
      </c>
      <c r="E4523">
        <v>1</v>
      </c>
      <c r="F4523" t="str">
        <f>"05-K05-05"</f>
        <v>05-K05-05</v>
      </c>
      <c r="G4523">
        <v>0.35659999999999997</v>
      </c>
      <c r="H4523" t="s">
        <v>11</v>
      </c>
      <c r="I4523" t="s">
        <v>10</v>
      </c>
    </row>
    <row r="4524" spans="1:9" x14ac:dyDescent="0.25">
      <c r="A4524" t="str">
        <f t="shared" si="111"/>
        <v>89301000</v>
      </c>
      <c r="B4524" t="str">
        <f>"455419089"</f>
        <v>455419089</v>
      </c>
      <c r="C4524" s="1">
        <v>44951</v>
      </c>
      <c r="D4524" s="1">
        <v>44954</v>
      </c>
      <c r="E4524">
        <v>1</v>
      </c>
      <c r="F4524" t="str">
        <f>"08-I16-02"</f>
        <v>08-I16-02</v>
      </c>
      <c r="G4524">
        <v>1.8476999999999999</v>
      </c>
      <c r="H4524" t="s">
        <v>12</v>
      </c>
      <c r="I4524" t="s">
        <v>10</v>
      </c>
    </row>
    <row r="4525" spans="1:9" x14ac:dyDescent="0.25">
      <c r="A4525" t="str">
        <f t="shared" si="111"/>
        <v>89301000</v>
      </c>
      <c r="B4525" t="str">
        <f>"455428406"</f>
        <v>455428406</v>
      </c>
      <c r="C4525" s="1">
        <v>45224</v>
      </c>
      <c r="D4525" s="1">
        <v>45225</v>
      </c>
      <c r="E4525">
        <v>1</v>
      </c>
      <c r="F4525" t="str">
        <f>"05-D01-08"</f>
        <v>05-D01-08</v>
      </c>
      <c r="G4525">
        <v>0.43159999999999998</v>
      </c>
      <c r="H4525" t="s">
        <v>11</v>
      </c>
      <c r="I4525" t="s">
        <v>10</v>
      </c>
    </row>
    <row r="4526" spans="1:9" x14ac:dyDescent="0.25">
      <c r="A4526" t="str">
        <f t="shared" si="111"/>
        <v>89301000</v>
      </c>
      <c r="B4526" t="str">
        <f>"455504438"</f>
        <v>455504438</v>
      </c>
      <c r="C4526" s="1">
        <v>44931</v>
      </c>
      <c r="D4526" s="1">
        <v>44942</v>
      </c>
      <c r="E4526">
        <v>1</v>
      </c>
      <c r="F4526" t="str">
        <f>"09-K03-01"</f>
        <v>09-K03-01</v>
      </c>
      <c r="G4526">
        <v>1.1378999999999999</v>
      </c>
      <c r="H4526" t="s">
        <v>11</v>
      </c>
      <c r="I4526" t="s">
        <v>10</v>
      </c>
    </row>
    <row r="4527" spans="1:9" x14ac:dyDescent="0.25">
      <c r="A4527" t="str">
        <f t="shared" si="111"/>
        <v>89301000</v>
      </c>
      <c r="B4527" t="str">
        <f>"455504438"</f>
        <v>455504438</v>
      </c>
      <c r="C4527" s="1">
        <v>45210</v>
      </c>
      <c r="D4527" s="1">
        <v>45215</v>
      </c>
      <c r="E4527">
        <v>1</v>
      </c>
      <c r="F4527" t="str">
        <f>"09-K03-01"</f>
        <v>09-K03-01</v>
      </c>
      <c r="G4527">
        <v>1.1378999999999999</v>
      </c>
      <c r="H4527" t="s">
        <v>11</v>
      </c>
      <c r="I4527" t="s">
        <v>10</v>
      </c>
    </row>
    <row r="4528" spans="1:9" x14ac:dyDescent="0.25">
      <c r="A4528" t="str">
        <f t="shared" si="111"/>
        <v>89301000</v>
      </c>
      <c r="B4528" t="str">
        <f>"455507473"</f>
        <v>455507473</v>
      </c>
      <c r="C4528" s="1">
        <v>45016</v>
      </c>
      <c r="D4528" s="1">
        <v>45036</v>
      </c>
      <c r="E4528">
        <v>1</v>
      </c>
      <c r="F4528" t="str">
        <f>"04-K09-02"</f>
        <v>04-K09-02</v>
      </c>
      <c r="G4528">
        <v>1.2285999999999999</v>
      </c>
      <c r="H4528" t="s">
        <v>11</v>
      </c>
      <c r="I4528" t="s">
        <v>10</v>
      </c>
    </row>
    <row r="4529" spans="1:9" x14ac:dyDescent="0.25">
      <c r="A4529" t="str">
        <f t="shared" si="111"/>
        <v>89301000</v>
      </c>
      <c r="B4529" t="str">
        <f>"455510957"</f>
        <v>455510957</v>
      </c>
      <c r="C4529" s="1">
        <v>45177</v>
      </c>
      <c r="D4529" s="1">
        <v>45178</v>
      </c>
      <c r="E4529">
        <v>1</v>
      </c>
      <c r="F4529" t="str">
        <f>"05-D01-08"</f>
        <v>05-D01-08</v>
      </c>
      <c r="G4529">
        <v>0.43159999999999998</v>
      </c>
      <c r="H4529" t="s">
        <v>11</v>
      </c>
      <c r="I4529" t="s">
        <v>10</v>
      </c>
    </row>
    <row r="4530" spans="1:9" x14ac:dyDescent="0.25">
      <c r="A4530" t="str">
        <f t="shared" si="111"/>
        <v>89301000</v>
      </c>
      <c r="B4530" t="str">
        <f>"455512476"</f>
        <v>455512476</v>
      </c>
      <c r="C4530" s="1">
        <v>44994</v>
      </c>
      <c r="D4530" s="1">
        <v>44998</v>
      </c>
      <c r="E4530">
        <v>1</v>
      </c>
      <c r="F4530" t="str">
        <f>"09-I09-02"</f>
        <v>09-I09-02</v>
      </c>
      <c r="G4530">
        <v>0.76900000000000002</v>
      </c>
      <c r="H4530" t="s">
        <v>12</v>
      </c>
      <c r="I4530" t="s">
        <v>10</v>
      </c>
    </row>
    <row r="4531" spans="1:9" x14ac:dyDescent="0.25">
      <c r="A4531" t="str">
        <f t="shared" si="111"/>
        <v>89301000</v>
      </c>
      <c r="B4531" t="str">
        <f>"455513079"</f>
        <v>455513079</v>
      </c>
      <c r="C4531" s="1">
        <v>44938</v>
      </c>
      <c r="D4531" s="1">
        <v>44958</v>
      </c>
      <c r="E4531">
        <v>4</v>
      </c>
      <c r="F4531" t="str">
        <f>"05-K07-03"</f>
        <v>05-K07-03</v>
      </c>
      <c r="G4531">
        <v>1.8048</v>
      </c>
      <c r="H4531" t="s">
        <v>11</v>
      </c>
      <c r="I4531" t="s">
        <v>10</v>
      </c>
    </row>
    <row r="4532" spans="1:9" x14ac:dyDescent="0.25">
      <c r="A4532" t="str">
        <f t="shared" si="111"/>
        <v>89301000</v>
      </c>
      <c r="B4532" t="str">
        <f>"455513408"</f>
        <v>455513408</v>
      </c>
      <c r="C4532" s="1">
        <v>45184</v>
      </c>
      <c r="D4532" s="1">
        <v>45194</v>
      </c>
      <c r="E4532">
        <v>1</v>
      </c>
      <c r="F4532" t="str">
        <f>"23-K04-02"</f>
        <v>23-K04-02</v>
      </c>
      <c r="G4532">
        <v>0.66279999999999994</v>
      </c>
      <c r="H4532" t="s">
        <v>11</v>
      </c>
      <c r="I4532" t="s">
        <v>10</v>
      </c>
    </row>
    <row r="4533" spans="1:9" x14ac:dyDescent="0.25">
      <c r="A4533" t="str">
        <f t="shared" si="111"/>
        <v>89301000</v>
      </c>
      <c r="B4533" t="str">
        <f>"455522437"</f>
        <v>455522437</v>
      </c>
      <c r="C4533" s="1">
        <v>45047</v>
      </c>
      <c r="D4533" s="1">
        <v>45069</v>
      </c>
      <c r="E4533">
        <v>4</v>
      </c>
      <c r="F4533" t="str">
        <f>"01-K16-01"</f>
        <v>01-K16-01</v>
      </c>
      <c r="G4533">
        <v>2.5272999999999999</v>
      </c>
      <c r="H4533" t="s">
        <v>11</v>
      </c>
      <c r="I4533" t="s">
        <v>10</v>
      </c>
    </row>
    <row r="4534" spans="1:9" x14ac:dyDescent="0.25">
      <c r="A4534" t="str">
        <f t="shared" si="111"/>
        <v>89301000</v>
      </c>
      <c r="B4534" t="str">
        <f>"455522437"</f>
        <v>455522437</v>
      </c>
      <c r="C4534" s="1">
        <v>45237</v>
      </c>
      <c r="D4534" s="1">
        <v>45243</v>
      </c>
      <c r="E4534">
        <v>1</v>
      </c>
      <c r="F4534" t="str">
        <f>"04-K03-02"</f>
        <v>04-K03-02</v>
      </c>
      <c r="G4534">
        <v>0.80810000000000004</v>
      </c>
      <c r="H4534" t="s">
        <v>11</v>
      </c>
      <c r="I4534" t="s">
        <v>10</v>
      </c>
    </row>
    <row r="4535" spans="1:9" x14ac:dyDescent="0.25">
      <c r="A4535" t="str">
        <f t="shared" si="111"/>
        <v>89301000</v>
      </c>
      <c r="B4535" t="str">
        <f>"455523430"</f>
        <v>455523430</v>
      </c>
      <c r="C4535" s="1">
        <v>45229</v>
      </c>
      <c r="D4535" s="1">
        <v>45231</v>
      </c>
      <c r="E4535">
        <v>1</v>
      </c>
      <c r="F4535" t="str">
        <f>"07-M02-04"</f>
        <v>07-M02-04</v>
      </c>
      <c r="G4535">
        <v>0.78900000000000003</v>
      </c>
      <c r="H4535" t="s">
        <v>12</v>
      </c>
      <c r="I4535" t="s">
        <v>10</v>
      </c>
    </row>
    <row r="4536" spans="1:9" x14ac:dyDescent="0.25">
      <c r="A4536" t="str">
        <f t="shared" si="111"/>
        <v>89301000</v>
      </c>
      <c r="B4536" t="str">
        <f>"455523436"</f>
        <v>455523436</v>
      </c>
      <c r="C4536" s="1">
        <v>45066</v>
      </c>
      <c r="D4536" s="1">
        <v>45072</v>
      </c>
      <c r="E4536">
        <v>1</v>
      </c>
      <c r="F4536" t="str">
        <f>"09-K13-02"</f>
        <v>09-K13-02</v>
      </c>
      <c r="G4536">
        <v>0.31190000000000001</v>
      </c>
      <c r="H4536" t="s">
        <v>11</v>
      </c>
      <c r="I4536" t="s">
        <v>10</v>
      </c>
    </row>
    <row r="4537" spans="1:9" x14ac:dyDescent="0.25">
      <c r="A4537" t="str">
        <f t="shared" si="111"/>
        <v>89301000</v>
      </c>
      <c r="B4537" t="str">
        <f>"455524406"</f>
        <v>455524406</v>
      </c>
      <c r="C4537" s="1">
        <v>45243</v>
      </c>
      <c r="D4537" s="1">
        <v>45246</v>
      </c>
      <c r="E4537">
        <v>1</v>
      </c>
      <c r="F4537" t="str">
        <f>"13-K08-02"</f>
        <v>13-K08-02</v>
      </c>
      <c r="G4537">
        <v>0.41320000000000001</v>
      </c>
      <c r="H4537" t="s">
        <v>11</v>
      </c>
      <c r="I4537" t="s">
        <v>10</v>
      </c>
    </row>
    <row r="4538" spans="1:9" x14ac:dyDescent="0.25">
      <c r="A4538" t="str">
        <f t="shared" si="111"/>
        <v>89301000</v>
      </c>
      <c r="B4538" t="str">
        <f>"455524406"</f>
        <v>455524406</v>
      </c>
      <c r="C4538" s="1">
        <v>45015</v>
      </c>
      <c r="D4538" s="1">
        <v>45069</v>
      </c>
      <c r="E4538">
        <v>1</v>
      </c>
      <c r="F4538" t="str">
        <f>"13-R01-02"</f>
        <v>13-R01-02</v>
      </c>
      <c r="G4538">
        <v>5.5721999999999996</v>
      </c>
      <c r="H4538" t="s">
        <v>11</v>
      </c>
      <c r="I4538" t="s">
        <v>10</v>
      </c>
    </row>
    <row r="4539" spans="1:9" x14ac:dyDescent="0.25">
      <c r="A4539" t="str">
        <f t="shared" si="111"/>
        <v>89301000</v>
      </c>
      <c r="B4539" t="str">
        <f>"455601416"</f>
        <v>455601416</v>
      </c>
      <c r="C4539" s="1">
        <v>44945</v>
      </c>
      <c r="D4539" s="1">
        <v>44951</v>
      </c>
      <c r="E4539">
        <v>4</v>
      </c>
      <c r="F4539" t="str">
        <f>"08-I08-02"</f>
        <v>08-I08-02</v>
      </c>
      <c r="G4539">
        <v>3.4279999999999999</v>
      </c>
      <c r="H4539" t="s">
        <v>12</v>
      </c>
      <c r="I4539" t="s">
        <v>10</v>
      </c>
    </row>
    <row r="4540" spans="1:9" x14ac:dyDescent="0.25">
      <c r="A4540" t="str">
        <f t="shared" si="111"/>
        <v>89301000</v>
      </c>
      <c r="B4540" t="str">
        <f>"455601416"</f>
        <v>455601416</v>
      </c>
      <c r="C4540" s="1">
        <v>44984</v>
      </c>
      <c r="D4540" s="1">
        <v>44995</v>
      </c>
      <c r="E4540">
        <v>1</v>
      </c>
      <c r="F4540" t="str">
        <f>"24-M06-02"</f>
        <v>24-M06-02</v>
      </c>
      <c r="G4540">
        <v>1.0699000000000001</v>
      </c>
      <c r="H4540" t="s">
        <v>11</v>
      </c>
      <c r="I4540" t="s">
        <v>10</v>
      </c>
    </row>
    <row r="4541" spans="1:9" x14ac:dyDescent="0.25">
      <c r="A4541" t="str">
        <f t="shared" si="111"/>
        <v>89301000</v>
      </c>
      <c r="B4541" t="str">
        <f>"455602132"</f>
        <v>455602132</v>
      </c>
      <c r="C4541" s="1">
        <v>44930</v>
      </c>
      <c r="D4541" s="1">
        <v>44931</v>
      </c>
      <c r="E4541">
        <v>1</v>
      </c>
      <c r="F4541" t="str">
        <f>"05-D01-06"</f>
        <v>05-D01-06</v>
      </c>
      <c r="G4541">
        <v>0.7571</v>
      </c>
      <c r="H4541" t="s">
        <v>11</v>
      </c>
      <c r="I4541" t="s">
        <v>10</v>
      </c>
    </row>
    <row r="4542" spans="1:9" x14ac:dyDescent="0.25">
      <c r="A4542" t="str">
        <f t="shared" si="111"/>
        <v>89301000</v>
      </c>
      <c r="B4542" t="str">
        <f>"455602132"</f>
        <v>455602132</v>
      </c>
      <c r="C4542" s="1">
        <v>44979</v>
      </c>
      <c r="D4542" s="1">
        <v>44985</v>
      </c>
      <c r="E4542">
        <v>1</v>
      </c>
      <c r="F4542" t="str">
        <f>"05-M01-03"</f>
        <v>05-M01-03</v>
      </c>
      <c r="G4542">
        <v>11.4411</v>
      </c>
      <c r="H4542" t="s">
        <v>12</v>
      </c>
      <c r="I4542" t="s">
        <v>10</v>
      </c>
    </row>
    <row r="4543" spans="1:9" x14ac:dyDescent="0.25">
      <c r="A4543" t="str">
        <f t="shared" si="111"/>
        <v>89301000</v>
      </c>
      <c r="B4543" t="str">
        <f>"455606419"</f>
        <v>455606419</v>
      </c>
      <c r="C4543" s="1">
        <v>44966</v>
      </c>
      <c r="D4543" s="1">
        <v>44970</v>
      </c>
      <c r="E4543">
        <v>1</v>
      </c>
      <c r="F4543" t="str">
        <f>"01-K08-01"</f>
        <v>01-K08-01</v>
      </c>
      <c r="G4543">
        <v>1.2258</v>
      </c>
      <c r="H4543" t="s">
        <v>11</v>
      </c>
      <c r="I4543" t="s">
        <v>10</v>
      </c>
    </row>
    <row r="4544" spans="1:9" x14ac:dyDescent="0.25">
      <c r="A4544" t="str">
        <f t="shared" si="111"/>
        <v>89301000</v>
      </c>
      <c r="B4544" t="str">
        <f>"455606419"</f>
        <v>455606419</v>
      </c>
      <c r="C4544" s="1">
        <v>45076</v>
      </c>
      <c r="D4544" s="1">
        <v>45108</v>
      </c>
      <c r="E4544">
        <v>8</v>
      </c>
      <c r="F4544" t="str">
        <f>"04-K02-03"</f>
        <v>04-K02-03</v>
      </c>
      <c r="G4544">
        <v>1.9967999999999999</v>
      </c>
      <c r="H4544" t="s">
        <v>11</v>
      </c>
      <c r="I4544" t="s">
        <v>10</v>
      </c>
    </row>
    <row r="4545" spans="1:9" x14ac:dyDescent="0.25">
      <c r="A4545" t="str">
        <f t="shared" si="111"/>
        <v>89301000</v>
      </c>
      <c r="B4545" t="str">
        <f>"455610073"</f>
        <v>455610073</v>
      </c>
      <c r="C4545" s="1">
        <v>45191</v>
      </c>
      <c r="D4545" s="1">
        <v>45202</v>
      </c>
      <c r="E4545">
        <v>1</v>
      </c>
      <c r="F4545" t="str">
        <f>"05-K14-02"</f>
        <v>05-K14-02</v>
      </c>
      <c r="G4545">
        <v>0.9103</v>
      </c>
      <c r="H4545" t="s">
        <v>11</v>
      </c>
      <c r="I4545" t="s">
        <v>10</v>
      </c>
    </row>
    <row r="4546" spans="1:9" x14ac:dyDescent="0.25">
      <c r="A4546" t="str">
        <f t="shared" si="111"/>
        <v>89301000</v>
      </c>
      <c r="B4546" t="str">
        <f>"455617471"</f>
        <v>455617471</v>
      </c>
      <c r="C4546" s="1">
        <v>45278</v>
      </c>
      <c r="D4546" s="1">
        <v>45290</v>
      </c>
      <c r="E4546">
        <v>1</v>
      </c>
      <c r="F4546" t="str">
        <f>"21-K06-02"</f>
        <v>21-K06-02</v>
      </c>
      <c r="G4546">
        <v>0.61980000000000002</v>
      </c>
      <c r="H4546" t="s">
        <v>11</v>
      </c>
      <c r="I4546" t="s">
        <v>10</v>
      </c>
    </row>
    <row r="4547" spans="1:9" x14ac:dyDescent="0.25">
      <c r="A4547" t="str">
        <f t="shared" si="111"/>
        <v>89301000</v>
      </c>
      <c r="B4547" t="str">
        <f>"455617471"</f>
        <v>455617471</v>
      </c>
      <c r="C4547" s="1">
        <v>45264</v>
      </c>
      <c r="D4547" s="1">
        <v>45270</v>
      </c>
      <c r="E4547">
        <v>1</v>
      </c>
      <c r="F4547" t="str">
        <f>"08-I05-05"</f>
        <v>08-I05-05</v>
      </c>
      <c r="G4547">
        <v>2.2633000000000001</v>
      </c>
      <c r="H4547" t="s">
        <v>12</v>
      </c>
      <c r="I4547" t="s">
        <v>10</v>
      </c>
    </row>
    <row r="4548" spans="1:9" x14ac:dyDescent="0.25">
      <c r="A4548" t="str">
        <f t="shared" si="111"/>
        <v>89301000</v>
      </c>
      <c r="B4548" t="str">
        <f>"455703404"</f>
        <v>455703404</v>
      </c>
      <c r="C4548" s="1">
        <v>45237</v>
      </c>
      <c r="D4548" s="1">
        <v>45253</v>
      </c>
      <c r="E4548">
        <v>4</v>
      </c>
      <c r="F4548" t="str">
        <f>"10-K16-02"</f>
        <v>10-K16-02</v>
      </c>
      <c r="G4548">
        <v>0.80610000000000004</v>
      </c>
      <c r="H4548" t="s">
        <v>11</v>
      </c>
      <c r="I4548" t="s">
        <v>10</v>
      </c>
    </row>
    <row r="4549" spans="1:9" x14ac:dyDescent="0.25">
      <c r="A4549" t="str">
        <f t="shared" si="111"/>
        <v>89301000</v>
      </c>
      <c r="B4549" t="str">
        <f>"455705421"</f>
        <v>455705421</v>
      </c>
      <c r="C4549" s="1">
        <v>45033</v>
      </c>
      <c r="D4549" s="1">
        <v>45042</v>
      </c>
      <c r="E4549">
        <v>5</v>
      </c>
      <c r="F4549" t="str">
        <f>"01-M02-00"</f>
        <v>01-M02-00</v>
      </c>
      <c r="G4549">
        <v>5.3973000000000004</v>
      </c>
      <c r="H4549" t="s">
        <v>12</v>
      </c>
      <c r="I4549" t="s">
        <v>10</v>
      </c>
    </row>
    <row r="4550" spans="1:9" x14ac:dyDescent="0.25">
      <c r="A4550" t="str">
        <f t="shared" si="111"/>
        <v>89301000</v>
      </c>
      <c r="B4550" t="str">
        <f>"455709701"</f>
        <v>455709701</v>
      </c>
      <c r="C4550" s="1">
        <v>45029</v>
      </c>
      <c r="D4550" s="1">
        <v>45030</v>
      </c>
      <c r="E4550">
        <v>1</v>
      </c>
      <c r="F4550" t="str">
        <f>"02-I06-04"</f>
        <v>02-I06-04</v>
      </c>
      <c r="G4550">
        <v>0.79630000000000001</v>
      </c>
      <c r="H4550" t="s">
        <v>12</v>
      </c>
      <c r="I4550" t="s">
        <v>10</v>
      </c>
    </row>
    <row r="4551" spans="1:9" x14ac:dyDescent="0.25">
      <c r="A4551" t="str">
        <f t="shared" si="111"/>
        <v>89301000</v>
      </c>
      <c r="B4551" t="str">
        <f>"455717078"</f>
        <v>455717078</v>
      </c>
      <c r="C4551" s="1">
        <v>45202</v>
      </c>
      <c r="D4551" s="1">
        <v>45209</v>
      </c>
      <c r="E4551">
        <v>1</v>
      </c>
      <c r="F4551" t="str">
        <f>"01-D01-02"</f>
        <v>01-D01-02</v>
      </c>
      <c r="G4551">
        <v>0.4461</v>
      </c>
      <c r="H4551" t="s">
        <v>11</v>
      </c>
      <c r="I4551" t="s">
        <v>10</v>
      </c>
    </row>
    <row r="4552" spans="1:9" x14ac:dyDescent="0.25">
      <c r="A4552" t="str">
        <f t="shared" si="111"/>
        <v>89301000</v>
      </c>
      <c r="B4552" t="str">
        <f>"455728141"</f>
        <v>455728141</v>
      </c>
      <c r="C4552" s="1">
        <v>45152</v>
      </c>
      <c r="D4552" s="1">
        <v>45156</v>
      </c>
      <c r="E4552">
        <v>1</v>
      </c>
      <c r="F4552" t="str">
        <f>"01-I09-02"</f>
        <v>01-I09-02</v>
      </c>
      <c r="G4552">
        <v>1.5277000000000001</v>
      </c>
      <c r="H4552" t="s">
        <v>12</v>
      </c>
      <c r="I4552" t="s">
        <v>10</v>
      </c>
    </row>
    <row r="4553" spans="1:9" x14ac:dyDescent="0.25">
      <c r="A4553" t="str">
        <f t="shared" si="111"/>
        <v>89301000</v>
      </c>
      <c r="B4553" t="str">
        <f>"455728951"</f>
        <v>455728951</v>
      </c>
      <c r="C4553" s="1">
        <v>45205</v>
      </c>
      <c r="D4553" s="1">
        <v>45209</v>
      </c>
      <c r="E4553">
        <v>5</v>
      </c>
      <c r="F4553" t="str">
        <f>"01-K10-02"</f>
        <v>01-K10-02</v>
      </c>
      <c r="G4553">
        <v>1.62</v>
      </c>
      <c r="H4553" t="s">
        <v>11</v>
      </c>
      <c r="I4553" t="s">
        <v>10</v>
      </c>
    </row>
    <row r="4554" spans="1:9" x14ac:dyDescent="0.25">
      <c r="A4554" t="str">
        <f t="shared" si="111"/>
        <v>89301000</v>
      </c>
      <c r="B4554" t="str">
        <f>"455806403"</f>
        <v>455806403</v>
      </c>
      <c r="C4554" s="1">
        <v>45105</v>
      </c>
      <c r="D4554" s="1">
        <v>45111</v>
      </c>
      <c r="E4554">
        <v>3</v>
      </c>
      <c r="F4554" t="str">
        <f>"08-I05-05"</f>
        <v>08-I05-05</v>
      </c>
      <c r="G4554">
        <v>2.2633000000000001</v>
      </c>
      <c r="H4554" t="s">
        <v>12</v>
      </c>
      <c r="I4554" t="s">
        <v>10</v>
      </c>
    </row>
    <row r="4555" spans="1:9" x14ac:dyDescent="0.25">
      <c r="A4555" t="str">
        <f t="shared" si="111"/>
        <v>89301000</v>
      </c>
      <c r="B4555" t="str">
        <f>"455806403"</f>
        <v>455806403</v>
      </c>
      <c r="C4555" s="1">
        <v>45111</v>
      </c>
      <c r="D4555" s="1">
        <v>45128</v>
      </c>
      <c r="E4555">
        <v>1</v>
      </c>
      <c r="F4555" t="str">
        <f>"24-M07-02"</f>
        <v>24-M07-02</v>
      </c>
      <c r="G4555">
        <v>1.5729</v>
      </c>
      <c r="H4555" t="s">
        <v>11</v>
      </c>
      <c r="I4555" t="s">
        <v>10</v>
      </c>
    </row>
    <row r="4556" spans="1:9" x14ac:dyDescent="0.25">
      <c r="A4556" t="str">
        <f t="shared" si="111"/>
        <v>89301000</v>
      </c>
      <c r="B4556" t="str">
        <f>"455811427"</f>
        <v>455811427</v>
      </c>
      <c r="C4556" s="1">
        <v>45064</v>
      </c>
      <c r="D4556" s="1">
        <v>45068</v>
      </c>
      <c r="E4556">
        <v>1</v>
      </c>
      <c r="F4556" t="str">
        <f>"08-I03-05"</f>
        <v>08-I03-05</v>
      </c>
      <c r="G4556">
        <v>2.2833999999999999</v>
      </c>
      <c r="H4556" t="s">
        <v>9</v>
      </c>
      <c r="I4556" t="s">
        <v>10</v>
      </c>
    </row>
    <row r="4557" spans="1:9" x14ac:dyDescent="0.25">
      <c r="A4557" t="str">
        <f t="shared" si="111"/>
        <v>89301000</v>
      </c>
      <c r="B4557" t="str">
        <f>"455812439"</f>
        <v>455812439</v>
      </c>
      <c r="C4557" s="1">
        <v>45043</v>
      </c>
      <c r="D4557" s="1">
        <v>45044</v>
      </c>
      <c r="E4557">
        <v>1</v>
      </c>
      <c r="F4557" t="str">
        <f>"01-D01-03"</f>
        <v>01-D01-03</v>
      </c>
      <c r="G4557">
        <v>0.16200000000000001</v>
      </c>
      <c r="H4557" t="s">
        <v>11</v>
      </c>
      <c r="I4557" t="s">
        <v>10</v>
      </c>
    </row>
    <row r="4558" spans="1:9" x14ac:dyDescent="0.25">
      <c r="A4558" t="str">
        <f t="shared" si="111"/>
        <v>89301000</v>
      </c>
      <c r="B4558" t="str">
        <f>"455812439"</f>
        <v>455812439</v>
      </c>
      <c r="C4558" s="1">
        <v>45190</v>
      </c>
      <c r="D4558" s="1">
        <v>45194</v>
      </c>
      <c r="E4558">
        <v>1</v>
      </c>
      <c r="F4558" t="str">
        <f>"05-K05-02"</f>
        <v>05-K05-02</v>
      </c>
      <c r="G4558">
        <v>0.91449999999999998</v>
      </c>
      <c r="H4558" t="s">
        <v>11</v>
      </c>
      <c r="I4558" t="s">
        <v>10</v>
      </c>
    </row>
    <row r="4559" spans="1:9" x14ac:dyDescent="0.25">
      <c r="A4559" t="str">
        <f t="shared" si="111"/>
        <v>89301000</v>
      </c>
      <c r="B4559" t="str">
        <f>"455812439"</f>
        <v>455812439</v>
      </c>
      <c r="C4559" s="1">
        <v>45218</v>
      </c>
      <c r="D4559" s="1">
        <v>45223</v>
      </c>
      <c r="E4559">
        <v>1</v>
      </c>
      <c r="F4559" t="str">
        <f>"05-K01-01"</f>
        <v>05-K01-01</v>
      </c>
      <c r="G4559">
        <v>1.7850999999999999</v>
      </c>
      <c r="H4559" t="s">
        <v>11</v>
      </c>
      <c r="I4559" t="s">
        <v>10</v>
      </c>
    </row>
    <row r="4560" spans="1:9" x14ac:dyDescent="0.25">
      <c r="A4560" t="str">
        <f t="shared" si="111"/>
        <v>89301000</v>
      </c>
      <c r="B4560" t="str">
        <f>"455831427"</f>
        <v>455831427</v>
      </c>
      <c r="C4560" s="1">
        <v>44977</v>
      </c>
      <c r="D4560" s="1">
        <v>44983</v>
      </c>
      <c r="E4560">
        <v>1</v>
      </c>
      <c r="F4560" t="str">
        <f>"11-K01-04"</f>
        <v>11-K01-04</v>
      </c>
      <c r="G4560">
        <v>0.57130000000000003</v>
      </c>
      <c r="H4560" t="s">
        <v>11</v>
      </c>
      <c r="I4560" t="s">
        <v>10</v>
      </c>
    </row>
    <row r="4561" spans="1:9" x14ac:dyDescent="0.25">
      <c r="A4561" t="str">
        <f t="shared" si="111"/>
        <v>89301000</v>
      </c>
      <c r="B4561" t="str">
        <f>"455831427"</f>
        <v>455831427</v>
      </c>
      <c r="C4561" s="1">
        <v>45041</v>
      </c>
      <c r="D4561" s="1">
        <v>45044</v>
      </c>
      <c r="E4561">
        <v>1</v>
      </c>
      <c r="F4561" t="str">
        <f>"11-M05-01"</f>
        <v>11-M05-01</v>
      </c>
      <c r="G4561">
        <v>0.83750000000000002</v>
      </c>
      <c r="H4561" t="s">
        <v>12</v>
      </c>
      <c r="I4561" t="s">
        <v>10</v>
      </c>
    </row>
    <row r="4562" spans="1:9" x14ac:dyDescent="0.25">
      <c r="A4562" t="str">
        <f t="shared" si="111"/>
        <v>89301000</v>
      </c>
      <c r="B4562" t="str">
        <f>"455831444"</f>
        <v>455831444</v>
      </c>
      <c r="C4562" s="1">
        <v>45083</v>
      </c>
      <c r="D4562" s="1">
        <v>45086</v>
      </c>
      <c r="E4562">
        <v>1</v>
      </c>
      <c r="F4562" t="str">
        <f>"06-I17-04"</f>
        <v>06-I17-04</v>
      </c>
      <c r="G4562">
        <v>0.49869999999999998</v>
      </c>
      <c r="H4562" t="s">
        <v>12</v>
      </c>
      <c r="I4562" t="s">
        <v>10</v>
      </c>
    </row>
    <row r="4563" spans="1:9" x14ac:dyDescent="0.25">
      <c r="A4563" t="str">
        <f t="shared" si="111"/>
        <v>89301000</v>
      </c>
      <c r="B4563" t="str">
        <f>"455901444"</f>
        <v>455901444</v>
      </c>
      <c r="C4563" s="1">
        <v>44973</v>
      </c>
      <c r="D4563" s="1">
        <v>44979</v>
      </c>
      <c r="E4563">
        <v>1</v>
      </c>
      <c r="F4563" t="str">
        <f>"01-K10-03"</f>
        <v>01-K10-03</v>
      </c>
      <c r="G4563">
        <v>1.0348999999999999</v>
      </c>
      <c r="H4563" t="s">
        <v>11</v>
      </c>
      <c r="I4563" t="s">
        <v>10</v>
      </c>
    </row>
    <row r="4564" spans="1:9" x14ac:dyDescent="0.25">
      <c r="A4564" t="str">
        <f t="shared" si="111"/>
        <v>89301000</v>
      </c>
      <c r="B4564" t="str">
        <f>"455901444"</f>
        <v>455901444</v>
      </c>
      <c r="C4564" s="1">
        <v>45099</v>
      </c>
      <c r="D4564" s="1">
        <v>45105</v>
      </c>
      <c r="E4564">
        <v>4</v>
      </c>
      <c r="F4564" t="str">
        <f>"04-K09-03"</f>
        <v>04-K09-03</v>
      </c>
      <c r="G4564">
        <v>0.629</v>
      </c>
      <c r="H4564" t="s">
        <v>11</v>
      </c>
      <c r="I4564" t="s">
        <v>10</v>
      </c>
    </row>
    <row r="4565" spans="1:9" x14ac:dyDescent="0.25">
      <c r="A4565" t="str">
        <f t="shared" si="111"/>
        <v>89301000</v>
      </c>
      <c r="B4565" t="str">
        <f>"455904449"</f>
        <v>455904449</v>
      </c>
      <c r="C4565" s="1">
        <v>45007</v>
      </c>
      <c r="D4565" s="1">
        <v>45012</v>
      </c>
      <c r="E4565">
        <v>1</v>
      </c>
      <c r="F4565" t="str">
        <f>"02-I09-03"</f>
        <v>02-I09-03</v>
      </c>
      <c r="G4565">
        <v>0.89090000000000003</v>
      </c>
      <c r="H4565" t="s">
        <v>11</v>
      </c>
      <c r="I4565" t="s">
        <v>10</v>
      </c>
    </row>
    <row r="4566" spans="1:9" x14ac:dyDescent="0.25">
      <c r="A4566" t="str">
        <f t="shared" si="111"/>
        <v>89301000</v>
      </c>
      <c r="B4566" t="str">
        <f>"455904449"</f>
        <v>455904449</v>
      </c>
      <c r="C4566" s="1">
        <v>45040</v>
      </c>
      <c r="D4566" s="1">
        <v>45041</v>
      </c>
      <c r="E4566">
        <v>1</v>
      </c>
      <c r="F4566" t="str">
        <f>"02-K02-02"</f>
        <v>02-K02-02</v>
      </c>
      <c r="G4566">
        <v>0.64690000000000003</v>
      </c>
      <c r="H4566" t="s">
        <v>11</v>
      </c>
      <c r="I4566" t="s">
        <v>10</v>
      </c>
    </row>
    <row r="4567" spans="1:9" x14ac:dyDescent="0.25">
      <c r="A4567" t="str">
        <f t="shared" si="111"/>
        <v>89301000</v>
      </c>
      <c r="B4567" t="str">
        <f>"455905440"</f>
        <v>455905440</v>
      </c>
      <c r="C4567" s="1">
        <v>45049</v>
      </c>
      <c r="D4567" s="1">
        <v>45051</v>
      </c>
      <c r="E4567">
        <v>1</v>
      </c>
      <c r="F4567" t="str">
        <f>"11-I17-03"</f>
        <v>11-I17-03</v>
      </c>
      <c r="G4567">
        <v>0.50139999999999996</v>
      </c>
      <c r="H4567" t="s">
        <v>11</v>
      </c>
      <c r="I4567" t="s">
        <v>10</v>
      </c>
    </row>
    <row r="4568" spans="1:9" x14ac:dyDescent="0.25">
      <c r="A4568" t="str">
        <f t="shared" si="111"/>
        <v>89301000</v>
      </c>
      <c r="B4568" t="str">
        <f>"455911449"</f>
        <v>455911449</v>
      </c>
      <c r="C4568" s="1">
        <v>45072</v>
      </c>
      <c r="D4568" s="1">
        <v>45079</v>
      </c>
      <c r="E4568">
        <v>1</v>
      </c>
      <c r="F4568" t="str">
        <f>"03-I19-02"</f>
        <v>03-I19-02</v>
      </c>
      <c r="G4568">
        <v>0.71340000000000003</v>
      </c>
      <c r="H4568" t="s">
        <v>11</v>
      </c>
      <c r="I4568" t="s">
        <v>10</v>
      </c>
    </row>
    <row r="4569" spans="1:9" x14ac:dyDescent="0.25">
      <c r="A4569" t="str">
        <f t="shared" si="111"/>
        <v>89301000</v>
      </c>
      <c r="B4569" t="str">
        <f>"455911455"</f>
        <v>455911455</v>
      </c>
      <c r="C4569" s="1">
        <v>45093</v>
      </c>
      <c r="D4569" s="1">
        <v>45098</v>
      </c>
      <c r="E4569">
        <v>1</v>
      </c>
      <c r="F4569" t="str">
        <f>"04-K07-03"</f>
        <v>04-K07-03</v>
      </c>
      <c r="G4569">
        <v>0.62139999999999995</v>
      </c>
      <c r="H4569" t="s">
        <v>11</v>
      </c>
      <c r="I4569" t="s">
        <v>10</v>
      </c>
    </row>
    <row r="4570" spans="1:9" x14ac:dyDescent="0.25">
      <c r="A4570" t="str">
        <f t="shared" si="111"/>
        <v>89301000</v>
      </c>
      <c r="B4570" t="str">
        <f>"455914410"</f>
        <v>455914410</v>
      </c>
      <c r="C4570" s="1">
        <v>45269</v>
      </c>
      <c r="D4570" s="1">
        <v>45282</v>
      </c>
      <c r="E4570">
        <v>1</v>
      </c>
      <c r="F4570" t="str">
        <f>"07-K02-02"</f>
        <v>07-K02-02</v>
      </c>
      <c r="G4570">
        <v>1.4499</v>
      </c>
      <c r="H4570" t="s">
        <v>11</v>
      </c>
      <c r="I4570" t="s">
        <v>10</v>
      </c>
    </row>
    <row r="4571" spans="1:9" x14ac:dyDescent="0.25">
      <c r="A4571" t="str">
        <f t="shared" si="111"/>
        <v>89301000</v>
      </c>
      <c r="B4571" t="str">
        <f>"455915431"</f>
        <v>455915431</v>
      </c>
      <c r="C4571" s="1">
        <v>44976</v>
      </c>
      <c r="D4571" s="1">
        <v>44981</v>
      </c>
      <c r="E4571">
        <v>7</v>
      </c>
      <c r="F4571" t="str">
        <f>"01-K11-03"</f>
        <v>01-K11-03</v>
      </c>
      <c r="G4571">
        <v>1.6337999999999999</v>
      </c>
      <c r="H4571" t="s">
        <v>11</v>
      </c>
      <c r="I4571" t="s">
        <v>10</v>
      </c>
    </row>
    <row r="4572" spans="1:9" x14ac:dyDescent="0.25">
      <c r="A4572" t="str">
        <f t="shared" si="111"/>
        <v>89301000</v>
      </c>
      <c r="B4572" t="str">
        <f>"455915443"</f>
        <v>455915443</v>
      </c>
      <c r="C4572" s="1">
        <v>45088</v>
      </c>
      <c r="D4572" s="1">
        <v>45090</v>
      </c>
      <c r="E4572">
        <v>1</v>
      </c>
      <c r="F4572" t="str">
        <f>"05-I14-04"</f>
        <v>05-I14-04</v>
      </c>
      <c r="G4572">
        <v>5.2220000000000004</v>
      </c>
      <c r="H4572" t="s">
        <v>12</v>
      </c>
      <c r="I4572" t="s">
        <v>10</v>
      </c>
    </row>
    <row r="4573" spans="1:9" x14ac:dyDescent="0.25">
      <c r="A4573" t="str">
        <f t="shared" si="111"/>
        <v>89301000</v>
      </c>
      <c r="B4573" t="str">
        <f>"455915443"</f>
        <v>455915443</v>
      </c>
      <c r="C4573" s="1">
        <v>45079</v>
      </c>
      <c r="D4573" s="1">
        <v>45079</v>
      </c>
      <c r="E4573">
        <v>1</v>
      </c>
      <c r="F4573" t="str">
        <f>"05-D01-06"</f>
        <v>05-D01-06</v>
      </c>
      <c r="G4573">
        <v>0.4037</v>
      </c>
      <c r="H4573" t="s">
        <v>11</v>
      </c>
      <c r="I4573" t="s">
        <v>10</v>
      </c>
    </row>
    <row r="4574" spans="1:9" x14ac:dyDescent="0.25">
      <c r="A4574" t="str">
        <f t="shared" si="111"/>
        <v>89301000</v>
      </c>
      <c r="B4574" t="str">
        <f>"455915474"</f>
        <v>455915474</v>
      </c>
      <c r="C4574" s="1">
        <v>45095</v>
      </c>
      <c r="D4574" s="1">
        <v>45118</v>
      </c>
      <c r="E4574">
        <v>1</v>
      </c>
      <c r="F4574" t="str">
        <f>"01-K02-04"</f>
        <v>01-K02-04</v>
      </c>
      <c r="G4574">
        <v>1.9421999999999999</v>
      </c>
      <c r="H4574" t="s">
        <v>11</v>
      </c>
      <c r="I4574" t="s">
        <v>10</v>
      </c>
    </row>
    <row r="4575" spans="1:9" x14ac:dyDescent="0.25">
      <c r="A4575" t="str">
        <f t="shared" ref="A4575:A4637" si="112">"89301000"</f>
        <v>89301000</v>
      </c>
      <c r="B4575" t="str">
        <f>"455924418"</f>
        <v>455924418</v>
      </c>
      <c r="C4575" s="1">
        <v>44988</v>
      </c>
      <c r="D4575" s="1">
        <v>44998</v>
      </c>
      <c r="E4575">
        <v>1</v>
      </c>
      <c r="F4575" t="str">
        <f>"05-I16-04"</f>
        <v>05-I16-04</v>
      </c>
      <c r="G4575">
        <v>6.2375999999999996</v>
      </c>
      <c r="H4575" t="s">
        <v>14</v>
      </c>
      <c r="I4575" t="s">
        <v>10</v>
      </c>
    </row>
    <row r="4576" spans="1:9" x14ac:dyDescent="0.25">
      <c r="A4576" t="str">
        <f t="shared" si="112"/>
        <v>89301000</v>
      </c>
      <c r="B4576" t="str">
        <f>"455925415"</f>
        <v>455925415</v>
      </c>
      <c r="C4576" s="1">
        <v>45171</v>
      </c>
      <c r="D4576" s="1">
        <v>45175</v>
      </c>
      <c r="E4576">
        <v>8</v>
      </c>
      <c r="F4576" t="str">
        <f>"11-K08-02"</f>
        <v>11-K08-02</v>
      </c>
      <c r="G4576">
        <v>0.55700000000000005</v>
      </c>
      <c r="H4576" t="s">
        <v>11</v>
      </c>
      <c r="I4576" t="s">
        <v>10</v>
      </c>
    </row>
    <row r="4577" spans="1:9" x14ac:dyDescent="0.25">
      <c r="A4577" t="str">
        <f t="shared" si="112"/>
        <v>89301000</v>
      </c>
      <c r="B4577" t="str">
        <f>"455930020"</f>
        <v>455930020</v>
      </c>
      <c r="C4577" s="1">
        <v>45119</v>
      </c>
      <c r="D4577" s="1">
        <v>45122</v>
      </c>
      <c r="E4577">
        <v>1</v>
      </c>
      <c r="F4577" t="str">
        <f>"13-I14-03"</f>
        <v>13-I14-03</v>
      </c>
      <c r="G4577">
        <v>0.87760000000000005</v>
      </c>
      <c r="H4577" t="s">
        <v>9</v>
      </c>
      <c r="I4577" t="s">
        <v>10</v>
      </c>
    </row>
    <row r="4578" spans="1:9" x14ac:dyDescent="0.25">
      <c r="A4578" t="str">
        <f t="shared" si="112"/>
        <v>89301000</v>
      </c>
      <c r="B4578" t="str">
        <f>"456005115"</f>
        <v>456005115</v>
      </c>
      <c r="C4578" s="1">
        <v>45211</v>
      </c>
      <c r="D4578" s="1">
        <v>45212</v>
      </c>
      <c r="E4578">
        <v>1</v>
      </c>
      <c r="F4578" t="str">
        <f>"06-M01-05"</f>
        <v>06-M01-05</v>
      </c>
      <c r="G4578">
        <v>0.4178</v>
      </c>
      <c r="H4578" t="s">
        <v>11</v>
      </c>
      <c r="I4578" t="s">
        <v>10</v>
      </c>
    </row>
    <row r="4579" spans="1:9" x14ac:dyDescent="0.25">
      <c r="A4579" t="str">
        <f t="shared" si="112"/>
        <v>89301000</v>
      </c>
      <c r="B4579" t="str">
        <f>"456005445"</f>
        <v>456005445</v>
      </c>
      <c r="C4579" s="1">
        <v>45250</v>
      </c>
      <c r="D4579" s="1">
        <v>45254</v>
      </c>
      <c r="E4579">
        <v>1</v>
      </c>
      <c r="F4579" t="str">
        <f>"06-K14-02"</f>
        <v>06-K14-02</v>
      </c>
      <c r="G4579">
        <v>0.61380000000000001</v>
      </c>
      <c r="H4579" t="s">
        <v>11</v>
      </c>
      <c r="I4579" t="s">
        <v>10</v>
      </c>
    </row>
    <row r="4580" spans="1:9" x14ac:dyDescent="0.25">
      <c r="A4580" t="str">
        <f t="shared" si="112"/>
        <v>89301000</v>
      </c>
      <c r="B4580" t="str">
        <f>"456008436"</f>
        <v>456008436</v>
      </c>
      <c r="C4580" s="1">
        <v>45250</v>
      </c>
      <c r="D4580" s="1">
        <v>45254</v>
      </c>
      <c r="E4580">
        <v>1</v>
      </c>
      <c r="F4580" t="str">
        <f>"09-K08-02"</f>
        <v>09-K08-02</v>
      </c>
      <c r="G4580">
        <v>0.47689999999999999</v>
      </c>
      <c r="H4580" t="s">
        <v>11</v>
      </c>
      <c r="I4580" t="s">
        <v>10</v>
      </c>
    </row>
    <row r="4581" spans="1:9" x14ac:dyDescent="0.25">
      <c r="A4581" t="str">
        <f t="shared" si="112"/>
        <v>89301000</v>
      </c>
      <c r="B4581" t="str">
        <f>"456008436"</f>
        <v>456008436</v>
      </c>
      <c r="C4581" s="1">
        <v>45237</v>
      </c>
      <c r="D4581" s="1">
        <v>45238</v>
      </c>
      <c r="E4581">
        <v>1</v>
      </c>
      <c r="F4581" t="str">
        <f>"09-K08-01"</f>
        <v>09-K08-01</v>
      </c>
      <c r="G4581">
        <v>0.72270000000000001</v>
      </c>
      <c r="H4581" t="s">
        <v>11</v>
      </c>
      <c r="I4581" t="s">
        <v>10</v>
      </c>
    </row>
    <row r="4582" spans="1:9" x14ac:dyDescent="0.25">
      <c r="A4582" t="str">
        <f t="shared" si="112"/>
        <v>89301000</v>
      </c>
      <c r="B4582" t="str">
        <f>"456014448"</f>
        <v>456014448</v>
      </c>
      <c r="C4582" s="1">
        <v>45230</v>
      </c>
      <c r="D4582" s="1">
        <v>45234</v>
      </c>
      <c r="E4582">
        <v>1</v>
      </c>
      <c r="F4582" t="str">
        <f>"11-M06-03"</f>
        <v>11-M06-03</v>
      </c>
      <c r="G4582">
        <v>0.62009999999999998</v>
      </c>
      <c r="H4582" t="s">
        <v>12</v>
      </c>
      <c r="I4582" t="s">
        <v>10</v>
      </c>
    </row>
    <row r="4583" spans="1:9" x14ac:dyDescent="0.25">
      <c r="A4583" t="str">
        <f t="shared" si="112"/>
        <v>89301000</v>
      </c>
      <c r="B4583" t="str">
        <f>"456015146"</f>
        <v>456015146</v>
      </c>
      <c r="C4583" s="1">
        <v>45173</v>
      </c>
      <c r="D4583" s="1">
        <v>45177</v>
      </c>
      <c r="E4583">
        <v>4</v>
      </c>
      <c r="F4583" t="str">
        <f>"10-K12-03"</f>
        <v>10-K12-03</v>
      </c>
      <c r="G4583">
        <v>0.5091</v>
      </c>
      <c r="H4583" t="s">
        <v>11</v>
      </c>
      <c r="I4583" t="s">
        <v>10</v>
      </c>
    </row>
    <row r="4584" spans="1:9" x14ac:dyDescent="0.25">
      <c r="A4584" t="str">
        <f t="shared" si="112"/>
        <v>89301000</v>
      </c>
      <c r="B4584" t="str">
        <f>"456018473"</f>
        <v>456018473</v>
      </c>
      <c r="C4584" s="1">
        <v>45200</v>
      </c>
      <c r="D4584" s="1">
        <v>45202</v>
      </c>
      <c r="E4584">
        <v>1</v>
      </c>
      <c r="F4584" t="str">
        <f>"05-I14-04"</f>
        <v>05-I14-04</v>
      </c>
      <c r="G4584">
        <v>5.2220000000000004</v>
      </c>
      <c r="H4584" t="s">
        <v>12</v>
      </c>
      <c r="I4584" t="s">
        <v>10</v>
      </c>
    </row>
    <row r="4585" spans="1:9" x14ac:dyDescent="0.25">
      <c r="A4585" t="str">
        <f t="shared" si="112"/>
        <v>89301000</v>
      </c>
      <c r="B4585" t="str">
        <f>"456027043"</f>
        <v>456027043</v>
      </c>
      <c r="C4585" s="1">
        <v>45207</v>
      </c>
      <c r="D4585" s="1">
        <v>45215</v>
      </c>
      <c r="E4585">
        <v>2</v>
      </c>
      <c r="F4585" t="str">
        <f>"08-K08-00"</f>
        <v>08-K08-00</v>
      </c>
      <c r="G4585">
        <v>0.5272</v>
      </c>
      <c r="H4585" t="s">
        <v>11</v>
      </c>
      <c r="I4585" t="s">
        <v>10</v>
      </c>
    </row>
    <row r="4586" spans="1:9" x14ac:dyDescent="0.25">
      <c r="A4586" t="str">
        <f t="shared" si="112"/>
        <v>89301000</v>
      </c>
      <c r="B4586" t="str">
        <f>"456027043"</f>
        <v>456027043</v>
      </c>
      <c r="C4586" s="1">
        <v>44978</v>
      </c>
      <c r="D4586" s="1">
        <v>44980</v>
      </c>
      <c r="E4586">
        <v>1</v>
      </c>
      <c r="F4586" t="str">
        <f>"11-M06-03"</f>
        <v>11-M06-03</v>
      </c>
      <c r="G4586">
        <v>0.61150000000000004</v>
      </c>
      <c r="H4586" t="s">
        <v>12</v>
      </c>
      <c r="I4586" t="s">
        <v>10</v>
      </c>
    </row>
    <row r="4587" spans="1:9" x14ac:dyDescent="0.25">
      <c r="A4587" t="str">
        <f t="shared" si="112"/>
        <v>89301000</v>
      </c>
      <c r="B4587" t="str">
        <f>"456027407"</f>
        <v>456027407</v>
      </c>
      <c r="C4587" s="1">
        <v>45117</v>
      </c>
      <c r="D4587" s="1">
        <v>45124</v>
      </c>
      <c r="E4587">
        <v>4</v>
      </c>
      <c r="F4587" t="str">
        <f>"08-I05-06"</f>
        <v>08-I05-06</v>
      </c>
      <c r="G4587">
        <v>2.0308000000000002</v>
      </c>
      <c r="H4587" t="s">
        <v>12</v>
      </c>
      <c r="I4587" t="s">
        <v>10</v>
      </c>
    </row>
    <row r="4588" spans="1:9" x14ac:dyDescent="0.25">
      <c r="A4588" t="str">
        <f t="shared" si="112"/>
        <v>89301000</v>
      </c>
      <c r="B4588" t="str">
        <f>"456030407"</f>
        <v>456030407</v>
      </c>
      <c r="C4588" s="1">
        <v>45141</v>
      </c>
      <c r="D4588" s="1">
        <v>45147</v>
      </c>
      <c r="E4588">
        <v>1</v>
      </c>
      <c r="F4588" t="str">
        <f>"05-K12-02"</f>
        <v>05-K12-02</v>
      </c>
      <c r="G4588">
        <v>0.50290000000000001</v>
      </c>
      <c r="H4588" t="s">
        <v>11</v>
      </c>
      <c r="I4588" t="s">
        <v>10</v>
      </c>
    </row>
    <row r="4589" spans="1:9" x14ac:dyDescent="0.25">
      <c r="A4589" t="str">
        <f t="shared" si="112"/>
        <v>89301000</v>
      </c>
      <c r="B4589" t="str">
        <f>"456103413"</f>
        <v>456103413</v>
      </c>
      <c r="C4589" s="1">
        <v>44988</v>
      </c>
      <c r="D4589" s="1">
        <v>45000</v>
      </c>
      <c r="E4589">
        <v>1</v>
      </c>
      <c r="F4589" t="str">
        <f>"18-K02-03"</f>
        <v>18-K02-03</v>
      </c>
      <c r="G4589">
        <v>0.9234</v>
      </c>
      <c r="H4589" t="s">
        <v>11</v>
      </c>
      <c r="I4589" t="s">
        <v>10</v>
      </c>
    </row>
    <row r="4590" spans="1:9" x14ac:dyDescent="0.25">
      <c r="A4590" t="str">
        <f t="shared" si="112"/>
        <v>89301000</v>
      </c>
      <c r="B4590" t="str">
        <f>"456103451"</f>
        <v>456103451</v>
      </c>
      <c r="C4590" s="1">
        <v>45121</v>
      </c>
      <c r="D4590" s="1">
        <v>45131</v>
      </c>
      <c r="E4590">
        <v>1</v>
      </c>
      <c r="F4590" t="str">
        <f>"07-K01-02"</f>
        <v>07-K01-02</v>
      </c>
      <c r="G4590">
        <v>1.0002</v>
      </c>
      <c r="H4590" t="s">
        <v>11</v>
      </c>
      <c r="I4590" t="s">
        <v>10</v>
      </c>
    </row>
    <row r="4591" spans="1:9" x14ac:dyDescent="0.25">
      <c r="A4591" t="str">
        <f t="shared" si="112"/>
        <v>89301000</v>
      </c>
      <c r="B4591" t="str">
        <f>"456106446"</f>
        <v>456106446</v>
      </c>
      <c r="C4591" s="1">
        <v>45005</v>
      </c>
      <c r="D4591" s="1">
        <v>45019</v>
      </c>
      <c r="E4591">
        <v>8</v>
      </c>
      <c r="F4591" t="str">
        <f>"05-K07-03"</f>
        <v>05-K07-03</v>
      </c>
      <c r="G4591">
        <v>1.8048</v>
      </c>
      <c r="H4591" t="s">
        <v>11</v>
      </c>
      <c r="I4591" t="s">
        <v>10</v>
      </c>
    </row>
    <row r="4592" spans="1:9" x14ac:dyDescent="0.25">
      <c r="A4592" t="str">
        <f t="shared" si="112"/>
        <v>89301000</v>
      </c>
      <c r="B4592" t="str">
        <f>"456113431"</f>
        <v>456113431</v>
      </c>
      <c r="C4592" s="1">
        <v>45035</v>
      </c>
      <c r="D4592" s="1">
        <v>45036</v>
      </c>
      <c r="E4592">
        <v>1</v>
      </c>
      <c r="F4592" t="str">
        <f>"10-K15-02"</f>
        <v>10-K15-02</v>
      </c>
      <c r="G4592">
        <v>0.66379999999999995</v>
      </c>
      <c r="H4592" t="s">
        <v>11</v>
      </c>
      <c r="I4592" t="s">
        <v>10</v>
      </c>
    </row>
    <row r="4593" spans="1:9" x14ac:dyDescent="0.25">
      <c r="A4593" t="str">
        <f t="shared" si="112"/>
        <v>89301000</v>
      </c>
      <c r="B4593" t="str">
        <f>"456113431"</f>
        <v>456113431</v>
      </c>
      <c r="C4593" s="1">
        <v>44972</v>
      </c>
      <c r="D4593" s="1">
        <v>44973</v>
      </c>
      <c r="E4593">
        <v>1</v>
      </c>
      <c r="F4593" t="str">
        <f>"10-K15-02"</f>
        <v>10-K15-02</v>
      </c>
      <c r="G4593">
        <v>0.66379999999999995</v>
      </c>
      <c r="H4593" t="s">
        <v>11</v>
      </c>
      <c r="I4593" t="s">
        <v>10</v>
      </c>
    </row>
    <row r="4594" spans="1:9" x14ac:dyDescent="0.25">
      <c r="A4594" t="str">
        <f t="shared" si="112"/>
        <v>89301000</v>
      </c>
      <c r="B4594" t="str">
        <f>"456113431"</f>
        <v>456113431</v>
      </c>
      <c r="C4594" s="1">
        <v>45086</v>
      </c>
      <c r="D4594" s="1">
        <v>45089</v>
      </c>
      <c r="E4594">
        <v>1</v>
      </c>
      <c r="F4594" t="str">
        <f>"10-K15-02"</f>
        <v>10-K15-02</v>
      </c>
      <c r="G4594">
        <v>0.66379999999999995</v>
      </c>
      <c r="H4594" t="s">
        <v>11</v>
      </c>
      <c r="I4594" t="s">
        <v>10</v>
      </c>
    </row>
    <row r="4595" spans="1:9" x14ac:dyDescent="0.25">
      <c r="A4595" t="str">
        <f t="shared" si="112"/>
        <v>89301000</v>
      </c>
      <c r="B4595" t="str">
        <f>"456119414"</f>
        <v>456119414</v>
      </c>
      <c r="C4595" s="1">
        <v>45141</v>
      </c>
      <c r="D4595" s="1">
        <v>45147</v>
      </c>
      <c r="E4595">
        <v>4</v>
      </c>
      <c r="F4595" t="str">
        <f>"08-I06-04"</f>
        <v>08-I06-04</v>
      </c>
      <c r="G4595">
        <v>2.3645</v>
      </c>
      <c r="H4595" t="s">
        <v>9</v>
      </c>
      <c r="I4595" t="s">
        <v>10</v>
      </c>
    </row>
    <row r="4596" spans="1:9" x14ac:dyDescent="0.25">
      <c r="A4596" t="str">
        <f t="shared" si="112"/>
        <v>89301000</v>
      </c>
      <c r="B4596" t="str">
        <f>"456124119"</f>
        <v>456124119</v>
      </c>
      <c r="C4596" s="1">
        <v>45168</v>
      </c>
      <c r="D4596" s="1">
        <v>45175</v>
      </c>
      <c r="E4596">
        <v>1</v>
      </c>
      <c r="F4596" t="str">
        <f>"05-K12-02"</f>
        <v>05-K12-02</v>
      </c>
      <c r="G4596">
        <v>0.48820000000000002</v>
      </c>
      <c r="H4596" t="s">
        <v>11</v>
      </c>
      <c r="I4596" t="s">
        <v>10</v>
      </c>
    </row>
    <row r="4597" spans="1:9" x14ac:dyDescent="0.25">
      <c r="A4597" t="str">
        <f t="shared" si="112"/>
        <v>89301000</v>
      </c>
      <c r="B4597" t="str">
        <f>"456201429"</f>
        <v>456201429</v>
      </c>
      <c r="C4597" s="1">
        <v>45081</v>
      </c>
      <c r="D4597" s="1">
        <v>45083</v>
      </c>
      <c r="E4597">
        <v>1</v>
      </c>
      <c r="F4597" t="str">
        <f>"05-I25-03"</f>
        <v>05-I25-03</v>
      </c>
      <c r="G4597">
        <v>1.633</v>
      </c>
      <c r="H4597" t="s">
        <v>12</v>
      </c>
      <c r="I4597" t="s">
        <v>10</v>
      </c>
    </row>
    <row r="4598" spans="1:9" x14ac:dyDescent="0.25">
      <c r="A4598" t="str">
        <f t="shared" si="112"/>
        <v>89301000</v>
      </c>
      <c r="B4598" t="str">
        <f>"456203458"</f>
        <v>456203458</v>
      </c>
      <c r="C4598" s="1">
        <v>44971</v>
      </c>
      <c r="D4598" s="1">
        <v>44972</v>
      </c>
      <c r="E4598">
        <v>1</v>
      </c>
      <c r="F4598" t="str">
        <f>"03-K12-01"</f>
        <v>03-K12-01</v>
      </c>
      <c r="G4598">
        <v>0.37</v>
      </c>
      <c r="H4598" t="s">
        <v>11</v>
      </c>
      <c r="I4598" t="s">
        <v>10</v>
      </c>
    </row>
    <row r="4599" spans="1:9" x14ac:dyDescent="0.25">
      <c r="A4599" t="str">
        <f t="shared" si="112"/>
        <v>89301000</v>
      </c>
      <c r="B4599" t="str">
        <f>"456206468"</f>
        <v>456206468</v>
      </c>
      <c r="C4599" s="1">
        <v>45102</v>
      </c>
      <c r="D4599" s="1">
        <v>45125</v>
      </c>
      <c r="E4599">
        <v>4</v>
      </c>
      <c r="F4599" t="str">
        <f>"11-K01-04"</f>
        <v>11-K01-04</v>
      </c>
      <c r="G4599">
        <v>1.097</v>
      </c>
      <c r="H4599" t="s">
        <v>11</v>
      </c>
      <c r="I4599" t="s">
        <v>10</v>
      </c>
    </row>
    <row r="4600" spans="1:9" x14ac:dyDescent="0.25">
      <c r="A4600" t="str">
        <f t="shared" si="112"/>
        <v>89301000</v>
      </c>
      <c r="B4600" t="str">
        <f>"456214472"</f>
        <v>456214472</v>
      </c>
      <c r="C4600" s="1">
        <v>45167</v>
      </c>
      <c r="D4600" s="1">
        <v>45168</v>
      </c>
      <c r="E4600">
        <v>1</v>
      </c>
      <c r="F4600" t="str">
        <f>"01-I07-03"</f>
        <v>01-I07-03</v>
      </c>
      <c r="G4600">
        <v>1.2985</v>
      </c>
      <c r="H4600" t="s">
        <v>12</v>
      </c>
      <c r="I4600" t="s">
        <v>10</v>
      </c>
    </row>
    <row r="4601" spans="1:9" x14ac:dyDescent="0.25">
      <c r="A4601" t="str">
        <f t="shared" si="112"/>
        <v>89301000</v>
      </c>
      <c r="B4601" t="str">
        <f>"456226434"</f>
        <v>456226434</v>
      </c>
      <c r="C4601" s="1">
        <v>44942</v>
      </c>
      <c r="D4601" s="1">
        <v>44945</v>
      </c>
      <c r="E4601">
        <v>1</v>
      </c>
      <c r="F4601" t="str">
        <f>"06-M01-02"</f>
        <v>06-M01-02</v>
      </c>
      <c r="G4601">
        <v>1.2206999999999999</v>
      </c>
      <c r="H4601" t="s">
        <v>11</v>
      </c>
      <c r="I4601" t="s">
        <v>10</v>
      </c>
    </row>
    <row r="4602" spans="1:9" x14ac:dyDescent="0.25">
      <c r="A4602" t="str">
        <f t="shared" si="112"/>
        <v>89301000</v>
      </c>
      <c r="B4602" t="str">
        <f>"456227405"</f>
        <v>456227405</v>
      </c>
      <c r="C4602" s="1">
        <v>45148</v>
      </c>
      <c r="D4602" s="1">
        <v>45152</v>
      </c>
      <c r="E4602">
        <v>1</v>
      </c>
      <c r="F4602" t="str">
        <f>"01-I09-02"</f>
        <v>01-I09-02</v>
      </c>
      <c r="G4602">
        <v>1.5277000000000001</v>
      </c>
      <c r="H4602" t="s">
        <v>12</v>
      </c>
      <c r="I4602" t="s">
        <v>10</v>
      </c>
    </row>
    <row r="4603" spans="1:9" x14ac:dyDescent="0.25">
      <c r="A4603" t="str">
        <f t="shared" si="112"/>
        <v>89301000</v>
      </c>
      <c r="B4603" t="str">
        <f>"460105472"</f>
        <v>460105472</v>
      </c>
      <c r="C4603" s="1">
        <v>45209</v>
      </c>
      <c r="D4603" s="1">
        <v>45211</v>
      </c>
      <c r="E4603">
        <v>1</v>
      </c>
      <c r="F4603" t="str">
        <f>"05-M06-08"</f>
        <v>05-M06-08</v>
      </c>
      <c r="G4603">
        <v>1.4228000000000001</v>
      </c>
      <c r="H4603" t="s">
        <v>12</v>
      </c>
      <c r="I4603" t="s">
        <v>10</v>
      </c>
    </row>
    <row r="4604" spans="1:9" x14ac:dyDescent="0.25">
      <c r="A4604" t="str">
        <f t="shared" si="112"/>
        <v>89301000</v>
      </c>
      <c r="B4604" t="str">
        <f>"460115471"</f>
        <v>460115471</v>
      </c>
      <c r="C4604" s="1">
        <v>45007</v>
      </c>
      <c r="D4604" s="1">
        <v>45009</v>
      </c>
      <c r="E4604">
        <v>1</v>
      </c>
      <c r="F4604" t="str">
        <f>"05-D01-06"</f>
        <v>05-D01-06</v>
      </c>
      <c r="G4604">
        <v>0.7571</v>
      </c>
      <c r="H4604" t="s">
        <v>11</v>
      </c>
      <c r="I4604" t="s">
        <v>10</v>
      </c>
    </row>
    <row r="4605" spans="1:9" x14ac:dyDescent="0.25">
      <c r="A4605" t="str">
        <f t="shared" si="112"/>
        <v>89301000</v>
      </c>
      <c r="B4605" t="str">
        <f>"460201495"</f>
        <v>460201495</v>
      </c>
      <c r="C4605" s="1">
        <v>45068</v>
      </c>
      <c r="D4605" s="1">
        <v>45072</v>
      </c>
      <c r="E4605">
        <v>1</v>
      </c>
      <c r="F4605" t="str">
        <f>"05-M06-06"</f>
        <v>05-M06-06</v>
      </c>
      <c r="G4605">
        <v>1.8264</v>
      </c>
      <c r="H4605" t="s">
        <v>12</v>
      </c>
      <c r="I4605" t="s">
        <v>10</v>
      </c>
    </row>
    <row r="4606" spans="1:9" x14ac:dyDescent="0.25">
      <c r="A4606" t="str">
        <f t="shared" si="112"/>
        <v>89301000</v>
      </c>
      <c r="B4606" t="str">
        <f>"460201495"</f>
        <v>460201495</v>
      </c>
      <c r="C4606" s="1">
        <v>45093</v>
      </c>
      <c r="D4606" s="1">
        <v>45106</v>
      </c>
      <c r="E4606">
        <v>1</v>
      </c>
      <c r="F4606" t="str">
        <f>"05-I16-06"</f>
        <v>05-I16-06</v>
      </c>
      <c r="G4606">
        <v>5.6303000000000001</v>
      </c>
      <c r="H4606" t="s">
        <v>14</v>
      </c>
      <c r="I4606" t="s">
        <v>10</v>
      </c>
    </row>
    <row r="4607" spans="1:9" x14ac:dyDescent="0.25">
      <c r="A4607" t="str">
        <f t="shared" si="112"/>
        <v>89301000</v>
      </c>
      <c r="B4607" t="str">
        <f>"460202458"</f>
        <v>460202458</v>
      </c>
      <c r="C4607" s="1">
        <v>45249</v>
      </c>
      <c r="D4607" s="1">
        <v>45256</v>
      </c>
      <c r="E4607">
        <v>1</v>
      </c>
      <c r="F4607" t="str">
        <f>"05-I24-04"</f>
        <v>05-I24-04</v>
      </c>
      <c r="G4607">
        <v>2.1032000000000002</v>
      </c>
      <c r="H4607" t="s">
        <v>12</v>
      </c>
      <c r="I4607" t="s">
        <v>10</v>
      </c>
    </row>
    <row r="4608" spans="1:9" x14ac:dyDescent="0.25">
      <c r="A4608" t="str">
        <f t="shared" si="112"/>
        <v>89301000</v>
      </c>
      <c r="B4608" t="str">
        <f>"460203478"</f>
        <v>460203478</v>
      </c>
      <c r="C4608" s="1">
        <v>45080</v>
      </c>
      <c r="D4608" s="1">
        <v>45100</v>
      </c>
      <c r="E4608">
        <v>1</v>
      </c>
      <c r="F4608" t="str">
        <f>"01-I06-01"</f>
        <v>01-I06-01</v>
      </c>
      <c r="G4608">
        <v>7.6952999999999996</v>
      </c>
      <c r="H4608" t="s">
        <v>12</v>
      </c>
      <c r="I4608" t="s">
        <v>10</v>
      </c>
    </row>
    <row r="4609" spans="1:9" x14ac:dyDescent="0.25">
      <c r="A4609" t="str">
        <f t="shared" si="112"/>
        <v>89301000</v>
      </c>
      <c r="B4609" t="str">
        <f>"460209444"</f>
        <v>460209444</v>
      </c>
      <c r="C4609" s="1">
        <v>45004</v>
      </c>
      <c r="D4609" s="1">
        <v>45009</v>
      </c>
      <c r="E4609">
        <v>1</v>
      </c>
      <c r="F4609" t="str">
        <f>"04-I03-04"</f>
        <v>04-I03-04</v>
      </c>
      <c r="G4609">
        <v>1.9829000000000001</v>
      </c>
      <c r="H4609" t="s">
        <v>14</v>
      </c>
      <c r="I4609" t="s">
        <v>10</v>
      </c>
    </row>
    <row r="4610" spans="1:9" x14ac:dyDescent="0.25">
      <c r="A4610" t="str">
        <f t="shared" si="112"/>
        <v>89301000</v>
      </c>
      <c r="B4610" t="str">
        <f>"460214471"</f>
        <v>460214471</v>
      </c>
      <c r="C4610" s="1">
        <v>45049</v>
      </c>
      <c r="D4610" s="1">
        <v>45056</v>
      </c>
      <c r="E4610">
        <v>4</v>
      </c>
      <c r="F4610" t="str">
        <f>"08-I05-05"</f>
        <v>08-I05-05</v>
      </c>
      <c r="G4610">
        <v>2.2633000000000001</v>
      </c>
      <c r="H4610" t="s">
        <v>12</v>
      </c>
      <c r="I4610" t="s">
        <v>10</v>
      </c>
    </row>
    <row r="4611" spans="1:9" x14ac:dyDescent="0.25">
      <c r="A4611" t="str">
        <f t="shared" si="112"/>
        <v>89301000</v>
      </c>
      <c r="B4611" t="str">
        <f>"460214471"</f>
        <v>460214471</v>
      </c>
      <c r="C4611" s="1">
        <v>45119</v>
      </c>
      <c r="D4611" s="1">
        <v>45121</v>
      </c>
      <c r="E4611">
        <v>1</v>
      </c>
      <c r="F4611" t="str">
        <f>"09-K06-00"</f>
        <v>09-K06-00</v>
      </c>
      <c r="G4611">
        <v>0.78769999999999996</v>
      </c>
      <c r="H4611" t="s">
        <v>11</v>
      </c>
      <c r="I4611" t="s">
        <v>10</v>
      </c>
    </row>
    <row r="4612" spans="1:9" x14ac:dyDescent="0.25">
      <c r="A4612" t="str">
        <f t="shared" si="112"/>
        <v>89301000</v>
      </c>
      <c r="B4612" t="str">
        <f>"460214471"</f>
        <v>460214471</v>
      </c>
      <c r="C4612" s="1">
        <v>45271</v>
      </c>
      <c r="D4612" s="1">
        <v>45275</v>
      </c>
      <c r="E4612">
        <v>4</v>
      </c>
      <c r="F4612" t="str">
        <f>"08-I06-04"</f>
        <v>08-I06-04</v>
      </c>
      <c r="G4612">
        <v>2.4180000000000001</v>
      </c>
      <c r="H4612" t="s">
        <v>9</v>
      </c>
      <c r="I4612" t="s">
        <v>10</v>
      </c>
    </row>
    <row r="4613" spans="1:9" x14ac:dyDescent="0.25">
      <c r="A4613" t="str">
        <f t="shared" si="112"/>
        <v>89301000</v>
      </c>
      <c r="B4613" t="str">
        <f>"460302453"</f>
        <v>460302453</v>
      </c>
      <c r="C4613" s="1">
        <v>44956</v>
      </c>
      <c r="D4613" s="1">
        <v>44958</v>
      </c>
      <c r="E4613">
        <v>1</v>
      </c>
      <c r="F4613" t="str">
        <f>"02-I06-04"</f>
        <v>02-I06-04</v>
      </c>
      <c r="G4613">
        <v>0.79630000000000001</v>
      </c>
      <c r="H4613" t="s">
        <v>12</v>
      </c>
      <c r="I4613" t="s">
        <v>10</v>
      </c>
    </row>
    <row r="4614" spans="1:9" x14ac:dyDescent="0.25">
      <c r="A4614" t="str">
        <f t="shared" si="112"/>
        <v>89301000</v>
      </c>
      <c r="B4614" t="str">
        <f>"460302475"</f>
        <v>460302475</v>
      </c>
      <c r="C4614" s="1">
        <v>44992</v>
      </c>
      <c r="D4614" s="1">
        <v>45000</v>
      </c>
      <c r="E4614">
        <v>1</v>
      </c>
      <c r="F4614" t="str">
        <f>"05-I24-04"</f>
        <v>05-I24-04</v>
      </c>
      <c r="G4614">
        <v>2.1032000000000002</v>
      </c>
      <c r="H4614" t="s">
        <v>12</v>
      </c>
      <c r="I4614" t="s">
        <v>10</v>
      </c>
    </row>
    <row r="4615" spans="1:9" x14ac:dyDescent="0.25">
      <c r="A4615" t="str">
        <f t="shared" si="112"/>
        <v>89301000</v>
      </c>
      <c r="B4615" t="str">
        <f>"460304433"</f>
        <v>460304433</v>
      </c>
      <c r="C4615" s="1">
        <v>44981</v>
      </c>
      <c r="D4615" s="1">
        <v>44984</v>
      </c>
      <c r="E4615">
        <v>1</v>
      </c>
      <c r="F4615" t="str">
        <f>"01-D01-03"</f>
        <v>01-D01-03</v>
      </c>
      <c r="G4615">
        <v>0.21060000000000001</v>
      </c>
      <c r="H4615" t="s">
        <v>11</v>
      </c>
      <c r="I4615" t="s">
        <v>10</v>
      </c>
    </row>
    <row r="4616" spans="1:9" x14ac:dyDescent="0.25">
      <c r="A4616" t="str">
        <f t="shared" si="112"/>
        <v>89301000</v>
      </c>
      <c r="B4616" t="str">
        <f>"460314425"</f>
        <v>460314425</v>
      </c>
      <c r="C4616" s="1">
        <v>45256</v>
      </c>
      <c r="D4616" s="1">
        <v>45262</v>
      </c>
      <c r="E4616">
        <v>1</v>
      </c>
      <c r="F4616" t="str">
        <f>"11-I08-03"</f>
        <v>11-I08-03</v>
      </c>
      <c r="G4616">
        <v>2.0529999999999999</v>
      </c>
      <c r="H4616" t="s">
        <v>9</v>
      </c>
      <c r="I4616" t="s">
        <v>10</v>
      </c>
    </row>
    <row r="4617" spans="1:9" x14ac:dyDescent="0.25">
      <c r="A4617" t="str">
        <f t="shared" si="112"/>
        <v>89301000</v>
      </c>
      <c r="B4617" t="str">
        <f>"460315414"</f>
        <v>460315414</v>
      </c>
      <c r="C4617" s="1">
        <v>45184</v>
      </c>
      <c r="D4617" s="1">
        <v>45189</v>
      </c>
      <c r="E4617">
        <v>1</v>
      </c>
      <c r="F4617" t="str">
        <f>"07-M02-02"</f>
        <v>07-M02-02</v>
      </c>
      <c r="G4617">
        <v>2.0733000000000001</v>
      </c>
      <c r="H4617" t="s">
        <v>12</v>
      </c>
      <c r="I4617" t="s">
        <v>10</v>
      </c>
    </row>
    <row r="4618" spans="1:9" x14ac:dyDescent="0.25">
      <c r="A4618" t="str">
        <f t="shared" si="112"/>
        <v>89301000</v>
      </c>
      <c r="B4618" t="str">
        <f>"460315414"</f>
        <v>460315414</v>
      </c>
      <c r="C4618" s="1">
        <v>45267</v>
      </c>
      <c r="D4618" s="1">
        <v>45269</v>
      </c>
      <c r="E4618">
        <v>1</v>
      </c>
      <c r="F4618" t="str">
        <f>"07-M02-04"</f>
        <v>07-M02-04</v>
      </c>
      <c r="G4618">
        <v>0.77339999999999998</v>
      </c>
      <c r="H4618" t="s">
        <v>12</v>
      </c>
      <c r="I4618" t="s">
        <v>10</v>
      </c>
    </row>
    <row r="4619" spans="1:9" x14ac:dyDescent="0.25">
      <c r="A4619" t="str">
        <f t="shared" si="112"/>
        <v>89301000</v>
      </c>
      <c r="B4619" t="str">
        <f>"460323410"</f>
        <v>460323410</v>
      </c>
      <c r="C4619" s="1">
        <v>44952</v>
      </c>
      <c r="D4619" s="1">
        <v>44953</v>
      </c>
      <c r="E4619">
        <v>1</v>
      </c>
      <c r="F4619" t="str">
        <f>"11-K07-02"</f>
        <v>11-K07-02</v>
      </c>
      <c r="G4619">
        <v>0.55010000000000003</v>
      </c>
      <c r="H4619" t="s">
        <v>11</v>
      </c>
      <c r="I4619" t="s">
        <v>10</v>
      </c>
    </row>
    <row r="4620" spans="1:9" x14ac:dyDescent="0.25">
      <c r="A4620" t="str">
        <f t="shared" si="112"/>
        <v>89301000</v>
      </c>
      <c r="B4620" t="str">
        <f>"460323410"</f>
        <v>460323410</v>
      </c>
      <c r="C4620" s="1">
        <v>45012</v>
      </c>
      <c r="D4620" s="1">
        <v>45016</v>
      </c>
      <c r="E4620">
        <v>1</v>
      </c>
      <c r="F4620" t="str">
        <f>"11-C01-02"</f>
        <v>11-C01-02</v>
      </c>
      <c r="G4620">
        <v>0.26400000000000001</v>
      </c>
      <c r="H4620" t="s">
        <v>11</v>
      </c>
      <c r="I4620" t="s">
        <v>10</v>
      </c>
    </row>
    <row r="4621" spans="1:9" x14ac:dyDescent="0.25">
      <c r="A4621" t="str">
        <f t="shared" si="112"/>
        <v>89301000</v>
      </c>
      <c r="B4621" t="str">
        <f>"460323410"</f>
        <v>460323410</v>
      </c>
      <c r="C4621" s="1">
        <v>44991</v>
      </c>
      <c r="D4621" s="1">
        <v>44995</v>
      </c>
      <c r="E4621">
        <v>1</v>
      </c>
      <c r="F4621" t="str">
        <f>"11-C01-02"</f>
        <v>11-C01-02</v>
      </c>
      <c r="G4621">
        <v>0.27339999999999998</v>
      </c>
      <c r="H4621" t="s">
        <v>11</v>
      </c>
      <c r="I4621" t="s">
        <v>10</v>
      </c>
    </row>
    <row r="4622" spans="1:9" x14ac:dyDescent="0.25">
      <c r="A4622" t="str">
        <f t="shared" si="112"/>
        <v>89301000</v>
      </c>
      <c r="B4622" t="str">
        <f>"460323410"</f>
        <v>460323410</v>
      </c>
      <c r="C4622" s="1">
        <v>44967</v>
      </c>
      <c r="D4622" s="1">
        <v>44975</v>
      </c>
      <c r="E4622">
        <v>1</v>
      </c>
      <c r="F4622" t="str">
        <f>"17-C06-03"</f>
        <v>17-C06-03</v>
      </c>
      <c r="G4622">
        <v>0.42549999999999999</v>
      </c>
      <c r="H4622" t="s">
        <v>11</v>
      </c>
      <c r="I4622" t="s">
        <v>10</v>
      </c>
    </row>
    <row r="4623" spans="1:9" x14ac:dyDescent="0.25">
      <c r="A4623" t="str">
        <f t="shared" si="112"/>
        <v>89301000</v>
      </c>
      <c r="B4623" t="str">
        <f>"460327423"</f>
        <v>460327423</v>
      </c>
      <c r="C4623" s="1">
        <v>45266</v>
      </c>
      <c r="D4623" s="1">
        <v>45275</v>
      </c>
      <c r="E4623">
        <v>1</v>
      </c>
      <c r="F4623" t="str">
        <f>"04-K09-02"</f>
        <v>04-K09-02</v>
      </c>
      <c r="G4623">
        <v>1.155</v>
      </c>
      <c r="H4623" t="s">
        <v>11</v>
      </c>
      <c r="I4623" t="s">
        <v>10</v>
      </c>
    </row>
    <row r="4624" spans="1:9" x14ac:dyDescent="0.25">
      <c r="A4624" t="str">
        <f t="shared" si="112"/>
        <v>89301000</v>
      </c>
      <c r="B4624" t="str">
        <f>"460329460"</f>
        <v>460329460</v>
      </c>
      <c r="C4624" s="1">
        <v>45217</v>
      </c>
      <c r="D4624" s="1">
        <v>45219</v>
      </c>
      <c r="E4624">
        <v>1</v>
      </c>
      <c r="F4624" t="str">
        <f>"05-I14-01"</f>
        <v>05-I14-01</v>
      </c>
      <c r="G4624">
        <v>8.4530999999999992</v>
      </c>
      <c r="H4624" t="s">
        <v>12</v>
      </c>
      <c r="I4624" t="s">
        <v>10</v>
      </c>
    </row>
    <row r="4625" spans="1:9" x14ac:dyDescent="0.25">
      <c r="A4625" t="str">
        <f t="shared" si="112"/>
        <v>89301000</v>
      </c>
      <c r="B4625" t="str">
        <f>"460329460"</f>
        <v>460329460</v>
      </c>
      <c r="C4625" s="1">
        <v>45252</v>
      </c>
      <c r="D4625" s="1">
        <v>45254</v>
      </c>
      <c r="E4625">
        <v>1</v>
      </c>
      <c r="F4625" t="str">
        <f>"05-M06-08"</f>
        <v>05-M06-08</v>
      </c>
      <c r="G4625">
        <v>1.4228000000000001</v>
      </c>
      <c r="H4625" t="s">
        <v>12</v>
      </c>
      <c r="I4625" t="s">
        <v>10</v>
      </c>
    </row>
    <row r="4626" spans="1:9" x14ac:dyDescent="0.25">
      <c r="A4626" t="str">
        <f t="shared" si="112"/>
        <v>89301000</v>
      </c>
      <c r="B4626" t="str">
        <f>"460402484"</f>
        <v>460402484</v>
      </c>
      <c r="C4626" s="1">
        <v>44952</v>
      </c>
      <c r="D4626" s="1">
        <v>44955</v>
      </c>
      <c r="E4626">
        <v>1</v>
      </c>
      <c r="F4626" t="str">
        <f>"08-I23-02"</f>
        <v>08-I23-02</v>
      </c>
      <c r="G4626">
        <v>0.91059999999999997</v>
      </c>
      <c r="H4626" t="s">
        <v>12</v>
      </c>
      <c r="I4626" t="s">
        <v>10</v>
      </c>
    </row>
    <row r="4627" spans="1:9" x14ac:dyDescent="0.25">
      <c r="A4627" t="str">
        <f t="shared" si="112"/>
        <v>89301000</v>
      </c>
      <c r="B4627" t="str">
        <f>"460404512"</f>
        <v>460404512</v>
      </c>
      <c r="C4627" s="1">
        <v>44997</v>
      </c>
      <c r="D4627" s="1">
        <v>45007</v>
      </c>
      <c r="E4627">
        <v>4</v>
      </c>
      <c r="F4627" t="str">
        <f>"08-I05-05"</f>
        <v>08-I05-05</v>
      </c>
      <c r="G4627">
        <v>2.2633000000000001</v>
      </c>
      <c r="H4627" t="s">
        <v>12</v>
      </c>
      <c r="I4627" t="s">
        <v>10</v>
      </c>
    </row>
    <row r="4628" spans="1:9" x14ac:dyDescent="0.25">
      <c r="A4628" t="str">
        <f t="shared" si="112"/>
        <v>89301000</v>
      </c>
      <c r="B4628" t="str">
        <f>"460409402"</f>
        <v>460409402</v>
      </c>
      <c r="C4628" s="1">
        <v>45033</v>
      </c>
      <c r="D4628" s="1">
        <v>45036</v>
      </c>
      <c r="E4628">
        <v>1</v>
      </c>
      <c r="F4628" t="str">
        <f>"03-K13-02"</f>
        <v>03-K13-02</v>
      </c>
      <c r="G4628">
        <v>0.24610000000000001</v>
      </c>
      <c r="H4628" t="s">
        <v>11</v>
      </c>
      <c r="I4628" t="s">
        <v>10</v>
      </c>
    </row>
    <row r="4629" spans="1:9" x14ac:dyDescent="0.25">
      <c r="A4629" t="str">
        <f t="shared" si="112"/>
        <v>89301000</v>
      </c>
      <c r="B4629" t="str">
        <f>"460419194"</f>
        <v>460419194</v>
      </c>
      <c r="C4629" s="1">
        <v>44930</v>
      </c>
      <c r="D4629" s="1">
        <v>44944</v>
      </c>
      <c r="E4629">
        <v>5</v>
      </c>
      <c r="F4629" t="str">
        <f>"08-I03-04"</f>
        <v>08-I03-04</v>
      </c>
      <c r="G4629">
        <v>4.1828000000000003</v>
      </c>
      <c r="H4629" t="s">
        <v>9</v>
      </c>
      <c r="I4629" t="s">
        <v>10</v>
      </c>
    </row>
    <row r="4630" spans="1:9" x14ac:dyDescent="0.25">
      <c r="A4630" t="str">
        <f t="shared" si="112"/>
        <v>89301000</v>
      </c>
      <c r="B4630" t="str">
        <f>"460501562"</f>
        <v>460501562</v>
      </c>
      <c r="C4630" s="1">
        <v>45118</v>
      </c>
      <c r="D4630" s="1">
        <v>45119</v>
      </c>
      <c r="E4630">
        <v>1</v>
      </c>
      <c r="F4630" t="str">
        <f>"05-I25-03"</f>
        <v>05-I25-03</v>
      </c>
      <c r="G4630">
        <v>1.633</v>
      </c>
      <c r="H4630" t="s">
        <v>12</v>
      </c>
      <c r="I4630" t="s">
        <v>10</v>
      </c>
    </row>
    <row r="4631" spans="1:9" x14ac:dyDescent="0.25">
      <c r="A4631" t="str">
        <f t="shared" si="112"/>
        <v>89301000</v>
      </c>
      <c r="B4631" t="str">
        <f>"460508178"</f>
        <v>460508178</v>
      </c>
      <c r="C4631" s="1">
        <v>45077</v>
      </c>
      <c r="D4631" s="1">
        <v>45083</v>
      </c>
      <c r="E4631">
        <v>1</v>
      </c>
      <c r="F4631" t="str">
        <f>"08-K01-03"</f>
        <v>08-K01-03</v>
      </c>
      <c r="G4631">
        <v>0.59189999999999998</v>
      </c>
      <c r="H4631" t="s">
        <v>11</v>
      </c>
      <c r="I4631" t="s">
        <v>10</v>
      </c>
    </row>
    <row r="4632" spans="1:9" x14ac:dyDescent="0.25">
      <c r="A4632" t="str">
        <f t="shared" si="112"/>
        <v>89301000</v>
      </c>
      <c r="B4632" t="str">
        <f>"460513484"</f>
        <v>460513484</v>
      </c>
      <c r="C4632" s="1">
        <v>45176</v>
      </c>
      <c r="D4632" s="1">
        <v>45181</v>
      </c>
      <c r="E4632">
        <v>1</v>
      </c>
      <c r="F4632" t="str">
        <f>"11-I08-03"</f>
        <v>11-I08-03</v>
      </c>
      <c r="G4632">
        <v>2.0529999999999999</v>
      </c>
      <c r="H4632" t="s">
        <v>9</v>
      </c>
      <c r="I4632" t="s">
        <v>10</v>
      </c>
    </row>
    <row r="4633" spans="1:9" x14ac:dyDescent="0.25">
      <c r="A4633" t="str">
        <f t="shared" si="112"/>
        <v>89301000</v>
      </c>
      <c r="B4633" t="str">
        <f>"460513484"</f>
        <v>460513484</v>
      </c>
      <c r="C4633" s="1">
        <v>45065</v>
      </c>
      <c r="D4633" s="1">
        <v>45072</v>
      </c>
      <c r="E4633">
        <v>1</v>
      </c>
      <c r="F4633" t="str">
        <f>"08-I03-07"</f>
        <v>08-I03-07</v>
      </c>
      <c r="G4633">
        <v>3.1922999999999999</v>
      </c>
      <c r="H4633" t="s">
        <v>9</v>
      </c>
      <c r="I4633" t="s">
        <v>10</v>
      </c>
    </row>
    <row r="4634" spans="1:9" x14ac:dyDescent="0.25">
      <c r="A4634" t="str">
        <f t="shared" si="112"/>
        <v>89301000</v>
      </c>
      <c r="B4634" t="str">
        <f>"460513484"</f>
        <v>460513484</v>
      </c>
      <c r="C4634" s="1">
        <v>45023</v>
      </c>
      <c r="D4634" s="1">
        <v>45027</v>
      </c>
      <c r="E4634">
        <v>1</v>
      </c>
      <c r="F4634" t="str">
        <f>"08-I03-07"</f>
        <v>08-I03-07</v>
      </c>
      <c r="G4634">
        <v>3.3094999999999999</v>
      </c>
      <c r="H4634" t="s">
        <v>9</v>
      </c>
      <c r="I4634" t="s">
        <v>10</v>
      </c>
    </row>
    <row r="4635" spans="1:9" x14ac:dyDescent="0.25">
      <c r="A4635" t="str">
        <f t="shared" si="112"/>
        <v>89301000</v>
      </c>
      <c r="B4635" t="str">
        <f>"460515415"</f>
        <v>460515415</v>
      </c>
      <c r="C4635" s="1">
        <v>44929</v>
      </c>
      <c r="D4635" s="1">
        <v>44939</v>
      </c>
      <c r="E4635">
        <v>8</v>
      </c>
      <c r="F4635" t="str">
        <f>"11-K08-01"</f>
        <v>11-K08-01</v>
      </c>
      <c r="G4635">
        <v>1.2759</v>
      </c>
      <c r="H4635" t="s">
        <v>11</v>
      </c>
      <c r="I4635" t="s">
        <v>10</v>
      </c>
    </row>
    <row r="4636" spans="1:9" x14ac:dyDescent="0.25">
      <c r="A4636" t="str">
        <f t="shared" si="112"/>
        <v>89301000</v>
      </c>
      <c r="B4636" t="str">
        <f>"460522484"</f>
        <v>460522484</v>
      </c>
      <c r="C4636" s="1">
        <v>45261</v>
      </c>
      <c r="D4636" s="1">
        <v>45265</v>
      </c>
      <c r="E4636">
        <v>1</v>
      </c>
      <c r="F4636" t="str">
        <f>"08-I04-02"</f>
        <v>08-I04-02</v>
      </c>
      <c r="G4636">
        <v>1.6229</v>
      </c>
      <c r="H4636" t="s">
        <v>14</v>
      </c>
      <c r="I4636" t="s">
        <v>10</v>
      </c>
    </row>
    <row r="4637" spans="1:9" x14ac:dyDescent="0.25">
      <c r="A4637" t="str">
        <f t="shared" si="112"/>
        <v>89301000</v>
      </c>
      <c r="B4637" t="str">
        <f>"460528409"</f>
        <v>460528409</v>
      </c>
      <c r="C4637" s="1">
        <v>45026</v>
      </c>
      <c r="D4637" s="1">
        <v>45036</v>
      </c>
      <c r="E4637">
        <v>1</v>
      </c>
      <c r="F4637" t="str">
        <f>"05-K15-01"</f>
        <v>05-K15-01</v>
      </c>
      <c r="G4637">
        <v>0.84250000000000003</v>
      </c>
      <c r="H4637" t="s">
        <v>11</v>
      </c>
      <c r="I4637" t="s">
        <v>10</v>
      </c>
    </row>
    <row r="4638" spans="1:9" x14ac:dyDescent="0.25">
      <c r="A4638" t="str">
        <f t="shared" ref="A4638:A4700" si="113">"89301000"</f>
        <v>89301000</v>
      </c>
      <c r="B4638" t="str">
        <f>"460528409"</f>
        <v>460528409</v>
      </c>
      <c r="C4638" s="1">
        <v>45102</v>
      </c>
      <c r="D4638" s="1">
        <v>45110</v>
      </c>
      <c r="E4638">
        <v>8</v>
      </c>
      <c r="F4638" t="str">
        <f>"05-K07-03"</f>
        <v>05-K07-03</v>
      </c>
      <c r="G4638">
        <v>1.8048</v>
      </c>
      <c r="H4638" t="s">
        <v>11</v>
      </c>
      <c r="I4638" t="s">
        <v>10</v>
      </c>
    </row>
    <row r="4639" spans="1:9" x14ac:dyDescent="0.25">
      <c r="A4639" t="str">
        <f t="shared" si="113"/>
        <v>89301000</v>
      </c>
      <c r="B4639" t="str">
        <f>"460528409"</f>
        <v>460528409</v>
      </c>
      <c r="C4639" s="1">
        <v>44945</v>
      </c>
      <c r="D4639" s="1">
        <v>44951</v>
      </c>
      <c r="E4639">
        <v>1</v>
      </c>
      <c r="F4639" t="str">
        <f>"05-K14-01"</f>
        <v>05-K14-01</v>
      </c>
      <c r="G4639">
        <v>1.1436999999999999</v>
      </c>
      <c r="H4639" t="s">
        <v>11</v>
      </c>
      <c r="I4639" t="s">
        <v>10</v>
      </c>
    </row>
    <row r="4640" spans="1:9" x14ac:dyDescent="0.25">
      <c r="A4640" t="str">
        <f t="shared" si="113"/>
        <v>89301000</v>
      </c>
      <c r="B4640" t="str">
        <f>"460604500"</f>
        <v>460604500</v>
      </c>
      <c r="C4640" s="1">
        <v>45042</v>
      </c>
      <c r="D4640" s="1">
        <v>45050</v>
      </c>
      <c r="E4640">
        <v>4</v>
      </c>
      <c r="F4640" t="str">
        <f>"08-I05-05"</f>
        <v>08-I05-05</v>
      </c>
      <c r="G4640">
        <v>2.2633000000000001</v>
      </c>
      <c r="H4640" t="s">
        <v>12</v>
      </c>
      <c r="I4640" t="s">
        <v>10</v>
      </c>
    </row>
    <row r="4641" spans="1:9" x14ac:dyDescent="0.25">
      <c r="A4641" t="str">
        <f t="shared" si="113"/>
        <v>89301000</v>
      </c>
      <c r="B4641" t="str">
        <f>"460606401"</f>
        <v>460606401</v>
      </c>
      <c r="C4641" s="1">
        <v>44956</v>
      </c>
      <c r="D4641" s="1">
        <v>44960</v>
      </c>
      <c r="E4641">
        <v>8</v>
      </c>
      <c r="F4641" t="str">
        <f>"11-M02-03"</f>
        <v>11-M02-03</v>
      </c>
      <c r="G4641">
        <v>2.6562000000000001</v>
      </c>
      <c r="H4641" t="s">
        <v>11</v>
      </c>
      <c r="I4641" t="s">
        <v>10</v>
      </c>
    </row>
    <row r="4642" spans="1:9" x14ac:dyDescent="0.25">
      <c r="A4642" t="str">
        <f t="shared" si="113"/>
        <v>89301000</v>
      </c>
      <c r="B4642" t="str">
        <f>"460610405"</f>
        <v>460610405</v>
      </c>
      <c r="C4642" s="1">
        <v>45238</v>
      </c>
      <c r="D4642" s="1">
        <v>45242</v>
      </c>
      <c r="E4642">
        <v>1</v>
      </c>
      <c r="F4642" t="str">
        <f>"02-K11-02"</f>
        <v>02-K11-02</v>
      </c>
      <c r="G4642">
        <v>0.56559999999999999</v>
      </c>
      <c r="H4642" t="s">
        <v>11</v>
      </c>
      <c r="I4642" t="s">
        <v>10</v>
      </c>
    </row>
    <row r="4643" spans="1:9" x14ac:dyDescent="0.25">
      <c r="A4643" t="str">
        <f t="shared" si="113"/>
        <v>89301000</v>
      </c>
      <c r="B4643" t="str">
        <f>"460610473"</f>
        <v>460610473</v>
      </c>
      <c r="C4643" s="1">
        <v>45204</v>
      </c>
      <c r="D4643" s="1">
        <v>45204</v>
      </c>
      <c r="E4643">
        <v>1</v>
      </c>
      <c r="F4643" t="str">
        <f>"05-D01-08"</f>
        <v>05-D01-08</v>
      </c>
      <c r="G4643">
        <v>0.2303</v>
      </c>
      <c r="H4643" t="s">
        <v>11</v>
      </c>
      <c r="I4643" t="s">
        <v>10</v>
      </c>
    </row>
    <row r="4644" spans="1:9" x14ac:dyDescent="0.25">
      <c r="A4644" t="str">
        <f t="shared" si="113"/>
        <v>89301000</v>
      </c>
      <c r="B4644" t="str">
        <f>"460617402"</f>
        <v>460617402</v>
      </c>
      <c r="C4644" s="1">
        <v>45141</v>
      </c>
      <c r="D4644" s="1">
        <v>45149</v>
      </c>
      <c r="E4644">
        <v>3</v>
      </c>
      <c r="F4644" t="str">
        <f>"01-K10-03"</f>
        <v>01-K10-03</v>
      </c>
      <c r="G4644">
        <v>1.0443</v>
      </c>
      <c r="H4644" t="s">
        <v>11</v>
      </c>
      <c r="I4644" t="s">
        <v>10</v>
      </c>
    </row>
    <row r="4645" spans="1:9" x14ac:dyDescent="0.25">
      <c r="A4645" t="str">
        <f t="shared" si="113"/>
        <v>89301000</v>
      </c>
      <c r="B4645" t="str">
        <f>"460617402"</f>
        <v>460617402</v>
      </c>
      <c r="C4645" s="1">
        <v>45149</v>
      </c>
      <c r="D4645" s="1">
        <v>45155</v>
      </c>
      <c r="E4645">
        <v>3</v>
      </c>
      <c r="F4645" t="str">
        <f>"24-M06-01"</f>
        <v>24-M06-01</v>
      </c>
      <c r="G4645">
        <v>1.1991000000000001</v>
      </c>
      <c r="H4645" t="s">
        <v>11</v>
      </c>
      <c r="I4645" t="s">
        <v>10</v>
      </c>
    </row>
    <row r="4646" spans="1:9" x14ac:dyDescent="0.25">
      <c r="A4646" t="str">
        <f t="shared" si="113"/>
        <v>89301000</v>
      </c>
      <c r="B4646" t="str">
        <f>"460617402"</f>
        <v>460617402</v>
      </c>
      <c r="C4646" s="1">
        <v>45155</v>
      </c>
      <c r="D4646" s="1">
        <v>45160</v>
      </c>
      <c r="E4646">
        <v>3</v>
      </c>
      <c r="F4646" t="str">
        <f>"01-K10-03"</f>
        <v>01-K10-03</v>
      </c>
      <c r="G4646">
        <v>1.0348999999999999</v>
      </c>
      <c r="H4646" t="s">
        <v>11</v>
      </c>
      <c r="I4646" t="s">
        <v>10</v>
      </c>
    </row>
    <row r="4647" spans="1:9" x14ac:dyDescent="0.25">
      <c r="A4647" t="str">
        <f t="shared" si="113"/>
        <v>89301000</v>
      </c>
      <c r="B4647" t="str">
        <f>"460617402"</f>
        <v>460617402</v>
      </c>
      <c r="C4647" s="1">
        <v>45160</v>
      </c>
      <c r="D4647" s="1">
        <v>45170</v>
      </c>
      <c r="E4647">
        <v>1</v>
      </c>
      <c r="F4647" t="str">
        <f>"24-M06-01"</f>
        <v>24-M06-01</v>
      </c>
      <c r="G4647">
        <v>1.1990000000000001</v>
      </c>
      <c r="H4647" t="s">
        <v>11</v>
      </c>
      <c r="I4647" t="s">
        <v>10</v>
      </c>
    </row>
    <row r="4648" spans="1:9" x14ac:dyDescent="0.25">
      <c r="A4648" t="str">
        <f t="shared" si="113"/>
        <v>89301000</v>
      </c>
      <c r="B4648" t="str">
        <f>"460625409"</f>
        <v>460625409</v>
      </c>
      <c r="C4648" s="1">
        <v>45279</v>
      </c>
      <c r="D4648" s="1">
        <v>45283</v>
      </c>
      <c r="E4648">
        <v>1</v>
      </c>
      <c r="F4648" t="str">
        <f>"01-K03-07"</f>
        <v>01-K03-07</v>
      </c>
      <c r="G4648">
        <v>0.60709999999999997</v>
      </c>
      <c r="H4648" t="s">
        <v>11</v>
      </c>
      <c r="I4648" t="s">
        <v>10</v>
      </c>
    </row>
    <row r="4649" spans="1:9" x14ac:dyDescent="0.25">
      <c r="A4649" t="str">
        <f t="shared" si="113"/>
        <v>89301000</v>
      </c>
      <c r="B4649" t="str">
        <f>"460627772"</f>
        <v>460627772</v>
      </c>
      <c r="C4649" s="1">
        <v>45190</v>
      </c>
      <c r="D4649" s="1">
        <v>45222</v>
      </c>
      <c r="E4649">
        <v>1</v>
      </c>
      <c r="F4649" t="str">
        <f>"04-R02-03"</f>
        <v>04-R02-03</v>
      </c>
      <c r="G4649">
        <v>3.2854000000000001</v>
      </c>
      <c r="H4649" t="s">
        <v>11</v>
      </c>
      <c r="I4649" t="s">
        <v>10</v>
      </c>
    </row>
    <row r="4650" spans="1:9" x14ac:dyDescent="0.25">
      <c r="A4650" t="str">
        <f t="shared" si="113"/>
        <v>89301000</v>
      </c>
      <c r="B4650" t="str">
        <f>"460627772"</f>
        <v>460627772</v>
      </c>
      <c r="C4650" s="1">
        <v>45079</v>
      </c>
      <c r="D4650" s="1">
        <v>45082</v>
      </c>
      <c r="E4650">
        <v>1</v>
      </c>
      <c r="F4650" t="str">
        <f>"04-C02-02"</f>
        <v>04-C02-02</v>
      </c>
      <c r="G4650">
        <v>0.36070000000000002</v>
      </c>
      <c r="H4650" t="s">
        <v>11</v>
      </c>
      <c r="I4650" t="s">
        <v>10</v>
      </c>
    </row>
    <row r="4651" spans="1:9" x14ac:dyDescent="0.25">
      <c r="A4651" t="str">
        <f t="shared" si="113"/>
        <v>89301000</v>
      </c>
      <c r="B4651" t="str">
        <f>"460627772"</f>
        <v>460627772</v>
      </c>
      <c r="C4651" s="1">
        <v>45060</v>
      </c>
      <c r="D4651" s="1">
        <v>45062</v>
      </c>
      <c r="E4651">
        <v>1</v>
      </c>
      <c r="F4651" t="str">
        <f>"04-K09-03"</f>
        <v>04-K09-03</v>
      </c>
      <c r="G4651">
        <v>0.629</v>
      </c>
      <c r="H4651" t="s">
        <v>11</v>
      </c>
      <c r="I4651" t="s">
        <v>10</v>
      </c>
    </row>
    <row r="4652" spans="1:9" x14ac:dyDescent="0.25">
      <c r="A4652" t="str">
        <f t="shared" si="113"/>
        <v>89301000</v>
      </c>
      <c r="B4652" t="str">
        <f>"460703426"</f>
        <v>460703426</v>
      </c>
      <c r="C4652" s="1">
        <v>45166</v>
      </c>
      <c r="D4652" s="1">
        <v>45167</v>
      </c>
      <c r="E4652">
        <v>1</v>
      </c>
      <c r="F4652" t="str">
        <f>"05-D01-08"</f>
        <v>05-D01-08</v>
      </c>
      <c r="G4652">
        <v>0.43159999999999998</v>
      </c>
      <c r="H4652" t="s">
        <v>11</v>
      </c>
      <c r="I4652" t="s">
        <v>10</v>
      </c>
    </row>
    <row r="4653" spans="1:9" x14ac:dyDescent="0.25">
      <c r="A4653" t="str">
        <f t="shared" si="113"/>
        <v>89301000</v>
      </c>
      <c r="B4653" t="str">
        <f>"460703426"</f>
        <v>460703426</v>
      </c>
      <c r="C4653" s="1">
        <v>45221</v>
      </c>
      <c r="D4653" s="1">
        <v>45223</v>
      </c>
      <c r="E4653">
        <v>1</v>
      </c>
      <c r="F4653" t="str">
        <f>"05-I25-03"</f>
        <v>05-I25-03</v>
      </c>
      <c r="G4653">
        <v>1.633</v>
      </c>
      <c r="H4653" t="s">
        <v>12</v>
      </c>
      <c r="I4653" t="s">
        <v>10</v>
      </c>
    </row>
    <row r="4654" spans="1:9" x14ac:dyDescent="0.25">
      <c r="A4654" t="str">
        <f t="shared" si="113"/>
        <v>89301000</v>
      </c>
      <c r="B4654" t="str">
        <f>"460703449"</f>
        <v>460703449</v>
      </c>
      <c r="C4654" s="1">
        <v>45252</v>
      </c>
      <c r="D4654" s="1">
        <v>45265</v>
      </c>
      <c r="E4654">
        <v>1</v>
      </c>
      <c r="F4654" t="str">
        <f>"05-I16-06"</f>
        <v>05-I16-06</v>
      </c>
      <c r="G4654">
        <v>5.6303000000000001</v>
      </c>
      <c r="H4654" t="s">
        <v>14</v>
      </c>
      <c r="I4654" t="s">
        <v>10</v>
      </c>
    </row>
    <row r="4655" spans="1:9" x14ac:dyDescent="0.25">
      <c r="A4655" t="str">
        <f t="shared" si="113"/>
        <v>89301000</v>
      </c>
      <c r="B4655" t="str">
        <f>"460703456"</f>
        <v>460703456</v>
      </c>
      <c r="C4655" s="1">
        <v>45118</v>
      </c>
      <c r="D4655" s="1">
        <v>45120</v>
      </c>
      <c r="E4655">
        <v>1</v>
      </c>
      <c r="F4655" t="str">
        <f>"17-C05-05"</f>
        <v>17-C05-05</v>
      </c>
      <c r="G4655">
        <v>0.66069999999999995</v>
      </c>
      <c r="H4655" t="s">
        <v>11</v>
      </c>
      <c r="I4655" t="s">
        <v>10</v>
      </c>
    </row>
    <row r="4656" spans="1:9" x14ac:dyDescent="0.25">
      <c r="A4656" t="str">
        <f t="shared" si="113"/>
        <v>89301000</v>
      </c>
      <c r="B4656" t="str">
        <f>"460706191"</f>
        <v>460706191</v>
      </c>
      <c r="C4656" s="1">
        <v>45215</v>
      </c>
      <c r="D4656" s="1">
        <v>45217</v>
      </c>
      <c r="E4656">
        <v>1</v>
      </c>
      <c r="F4656" t="str">
        <f>"05-D01-08"</f>
        <v>05-D01-08</v>
      </c>
      <c r="G4656">
        <v>0.43159999999999998</v>
      </c>
      <c r="H4656" t="s">
        <v>11</v>
      </c>
      <c r="I4656" t="s">
        <v>10</v>
      </c>
    </row>
    <row r="4657" spans="1:9" x14ac:dyDescent="0.25">
      <c r="A4657" t="str">
        <f t="shared" si="113"/>
        <v>89301000</v>
      </c>
      <c r="B4657" t="str">
        <f>"460714416"</f>
        <v>460714416</v>
      </c>
      <c r="C4657" s="1">
        <v>45038</v>
      </c>
      <c r="D4657" s="1">
        <v>45049</v>
      </c>
      <c r="E4657">
        <v>1</v>
      </c>
      <c r="F4657" t="str">
        <f>"18-K02-03"</f>
        <v>18-K02-03</v>
      </c>
      <c r="G4657">
        <v>0.9234</v>
      </c>
      <c r="H4657" t="s">
        <v>11</v>
      </c>
      <c r="I4657" t="s">
        <v>10</v>
      </c>
    </row>
    <row r="4658" spans="1:9" x14ac:dyDescent="0.25">
      <c r="A4658" t="str">
        <f t="shared" si="113"/>
        <v>89301000</v>
      </c>
      <c r="B4658" t="str">
        <f>"460715420"</f>
        <v>460715420</v>
      </c>
      <c r="C4658" s="1">
        <v>45174</v>
      </c>
      <c r="D4658" s="1">
        <v>45187</v>
      </c>
      <c r="E4658">
        <v>1</v>
      </c>
      <c r="F4658" t="str">
        <f>"00-M01-02"</f>
        <v>00-M01-02</v>
      </c>
      <c r="G4658">
        <v>13.5434</v>
      </c>
      <c r="H4658" t="s">
        <v>11</v>
      </c>
      <c r="I4658" t="s">
        <v>10</v>
      </c>
    </row>
    <row r="4659" spans="1:9" x14ac:dyDescent="0.25">
      <c r="A4659" t="str">
        <f t="shared" si="113"/>
        <v>89301000</v>
      </c>
      <c r="B4659" t="str">
        <f>"460715420"</f>
        <v>460715420</v>
      </c>
      <c r="C4659" s="1">
        <v>45075</v>
      </c>
      <c r="D4659" s="1">
        <v>45077</v>
      </c>
      <c r="E4659">
        <v>1</v>
      </c>
      <c r="F4659" t="str">
        <f>"06-I17-04"</f>
        <v>06-I17-04</v>
      </c>
      <c r="G4659">
        <v>0.49869999999999998</v>
      </c>
      <c r="H4659" t="s">
        <v>12</v>
      </c>
      <c r="I4659" t="s">
        <v>10</v>
      </c>
    </row>
    <row r="4660" spans="1:9" x14ac:dyDescent="0.25">
      <c r="A4660" t="str">
        <f t="shared" si="113"/>
        <v>89301000</v>
      </c>
      <c r="B4660" t="str">
        <f>"460718480"</f>
        <v>460718480</v>
      </c>
      <c r="C4660" s="1">
        <v>45076</v>
      </c>
      <c r="D4660" s="1">
        <v>45078</v>
      </c>
      <c r="E4660">
        <v>1</v>
      </c>
      <c r="F4660" t="str">
        <f>"02-I06-03"</f>
        <v>02-I06-03</v>
      </c>
      <c r="G4660">
        <v>0.99260000000000004</v>
      </c>
      <c r="H4660" t="s">
        <v>12</v>
      </c>
      <c r="I4660" t="s">
        <v>10</v>
      </c>
    </row>
    <row r="4661" spans="1:9" x14ac:dyDescent="0.25">
      <c r="A4661" t="str">
        <f t="shared" si="113"/>
        <v>89301000</v>
      </c>
      <c r="B4661" t="str">
        <f>"460723486"</f>
        <v>460723486</v>
      </c>
      <c r="C4661" s="1">
        <v>44952</v>
      </c>
      <c r="D4661" s="1">
        <v>44957</v>
      </c>
      <c r="E4661">
        <v>1</v>
      </c>
      <c r="F4661" t="str">
        <f>"19-K03-03"</f>
        <v>19-K03-03</v>
      </c>
      <c r="G4661">
        <v>0.90410000000000001</v>
      </c>
      <c r="H4661" t="s">
        <v>15</v>
      </c>
      <c r="I4661" t="s">
        <v>10</v>
      </c>
    </row>
    <row r="4662" spans="1:9" x14ac:dyDescent="0.25">
      <c r="A4662" t="str">
        <f t="shared" si="113"/>
        <v>89301000</v>
      </c>
      <c r="B4662" t="str">
        <f>"460728425"</f>
        <v>460728425</v>
      </c>
      <c r="C4662" s="1">
        <v>44971</v>
      </c>
      <c r="D4662" s="1">
        <v>44981</v>
      </c>
      <c r="E4662">
        <v>1</v>
      </c>
      <c r="F4662" t="str">
        <f>"01-K04-01"</f>
        <v>01-K04-01</v>
      </c>
      <c r="G4662">
        <v>1.0985</v>
      </c>
      <c r="H4662" t="s">
        <v>11</v>
      </c>
      <c r="I4662" t="s">
        <v>10</v>
      </c>
    </row>
    <row r="4663" spans="1:9" x14ac:dyDescent="0.25">
      <c r="A4663" t="str">
        <f t="shared" si="113"/>
        <v>89301000</v>
      </c>
      <c r="B4663" t="str">
        <f>"460728425"</f>
        <v>460728425</v>
      </c>
      <c r="C4663" s="1">
        <v>45138</v>
      </c>
      <c r="D4663" s="1">
        <v>45149</v>
      </c>
      <c r="E4663">
        <v>1</v>
      </c>
      <c r="F4663" t="str">
        <f>"24-M06-02"</f>
        <v>24-M06-02</v>
      </c>
      <c r="G4663">
        <v>1.0699000000000001</v>
      </c>
      <c r="H4663" t="s">
        <v>11</v>
      </c>
      <c r="I4663" t="s">
        <v>10</v>
      </c>
    </row>
    <row r="4664" spans="1:9" x14ac:dyDescent="0.25">
      <c r="A4664" t="str">
        <f t="shared" si="113"/>
        <v>89301000</v>
      </c>
      <c r="B4664" t="str">
        <f>"460804414"</f>
        <v>460804414</v>
      </c>
      <c r="C4664" s="1">
        <v>45055</v>
      </c>
      <c r="D4664" s="1">
        <v>45061</v>
      </c>
      <c r="E4664">
        <v>1</v>
      </c>
      <c r="F4664" t="str">
        <f>"05-K15-02"</f>
        <v>05-K15-02</v>
      </c>
      <c r="G4664">
        <v>0.45369999999999999</v>
      </c>
      <c r="H4664" t="s">
        <v>11</v>
      </c>
      <c r="I4664" t="s">
        <v>10</v>
      </c>
    </row>
    <row r="4665" spans="1:9" x14ac:dyDescent="0.25">
      <c r="A4665" t="str">
        <f t="shared" si="113"/>
        <v>89301000</v>
      </c>
      <c r="B4665" t="str">
        <f>"460813482"</f>
        <v>460813482</v>
      </c>
      <c r="C4665" s="1">
        <v>45002</v>
      </c>
      <c r="D4665" s="1">
        <v>45009</v>
      </c>
      <c r="E4665">
        <v>1</v>
      </c>
      <c r="F4665" t="str">
        <f>"01-K11-03"</f>
        <v>01-K11-03</v>
      </c>
      <c r="G4665">
        <v>1.6337999999999999</v>
      </c>
      <c r="H4665" t="s">
        <v>11</v>
      </c>
      <c r="I4665" t="s">
        <v>10</v>
      </c>
    </row>
    <row r="4666" spans="1:9" x14ac:dyDescent="0.25">
      <c r="A4666" t="str">
        <f t="shared" si="113"/>
        <v>89301000</v>
      </c>
      <c r="B4666" t="str">
        <f>"460813484"</f>
        <v>460813484</v>
      </c>
      <c r="C4666" s="1">
        <v>45093</v>
      </c>
      <c r="D4666" s="1">
        <v>45120</v>
      </c>
      <c r="E4666">
        <v>1</v>
      </c>
      <c r="F4666" t="str">
        <f>"16-K02-01"</f>
        <v>16-K02-01</v>
      </c>
      <c r="G4666">
        <v>1.8905000000000001</v>
      </c>
      <c r="H4666" t="s">
        <v>11</v>
      </c>
      <c r="I4666" t="s">
        <v>10</v>
      </c>
    </row>
    <row r="4667" spans="1:9" x14ac:dyDescent="0.25">
      <c r="A4667" t="str">
        <f t="shared" si="113"/>
        <v>89301000</v>
      </c>
      <c r="B4667" t="str">
        <f>"460813484"</f>
        <v>460813484</v>
      </c>
      <c r="C4667" s="1">
        <v>45044</v>
      </c>
      <c r="D4667" s="1">
        <v>45050</v>
      </c>
      <c r="E4667">
        <v>1</v>
      </c>
      <c r="F4667" t="str">
        <f>"05-K12-02"</f>
        <v>05-K12-02</v>
      </c>
      <c r="G4667">
        <v>0.48820000000000002</v>
      </c>
      <c r="H4667" t="s">
        <v>11</v>
      </c>
      <c r="I4667" t="s">
        <v>10</v>
      </c>
    </row>
    <row r="4668" spans="1:9" x14ac:dyDescent="0.25">
      <c r="A4668" t="str">
        <f t="shared" si="113"/>
        <v>89301000</v>
      </c>
      <c r="B4668" t="str">
        <f>"460819467"</f>
        <v>460819467</v>
      </c>
      <c r="C4668" s="1">
        <v>45140</v>
      </c>
      <c r="D4668" s="1">
        <v>45142</v>
      </c>
      <c r="E4668">
        <v>1</v>
      </c>
      <c r="F4668" t="str">
        <f>"05-M05-02"</f>
        <v>05-M05-02</v>
      </c>
      <c r="G4668">
        <v>3.4817999999999998</v>
      </c>
      <c r="H4668" t="s">
        <v>14</v>
      </c>
      <c r="I4668" t="s">
        <v>10</v>
      </c>
    </row>
    <row r="4669" spans="1:9" x14ac:dyDescent="0.25">
      <c r="A4669" t="str">
        <f t="shared" si="113"/>
        <v>89301000</v>
      </c>
      <c r="B4669" t="str">
        <f>"460819467"</f>
        <v>460819467</v>
      </c>
      <c r="C4669" s="1">
        <v>45048</v>
      </c>
      <c r="D4669" s="1">
        <v>45049</v>
      </c>
      <c r="E4669">
        <v>1</v>
      </c>
      <c r="F4669" t="str">
        <f>"05-D01-07"</f>
        <v>05-D01-07</v>
      </c>
      <c r="G4669">
        <v>0.59299999999999997</v>
      </c>
      <c r="H4669" t="s">
        <v>11</v>
      </c>
      <c r="I4669" t="s">
        <v>10</v>
      </c>
    </row>
    <row r="4670" spans="1:9" x14ac:dyDescent="0.25">
      <c r="A4670" t="str">
        <f t="shared" si="113"/>
        <v>89301000</v>
      </c>
      <c r="B4670" t="str">
        <f>"460916067"</f>
        <v>460916067</v>
      </c>
      <c r="C4670" s="1">
        <v>45174</v>
      </c>
      <c r="D4670" s="1">
        <v>45176</v>
      </c>
      <c r="E4670">
        <v>1</v>
      </c>
      <c r="F4670" t="str">
        <f>"11-I17-03"</f>
        <v>11-I17-03</v>
      </c>
      <c r="G4670">
        <v>0.45600000000000002</v>
      </c>
      <c r="H4670" t="s">
        <v>11</v>
      </c>
      <c r="I4670" t="s">
        <v>10</v>
      </c>
    </row>
    <row r="4671" spans="1:9" x14ac:dyDescent="0.25">
      <c r="A4671" t="str">
        <f t="shared" si="113"/>
        <v>89301000</v>
      </c>
      <c r="B4671" t="str">
        <f>"460916067"</f>
        <v>460916067</v>
      </c>
      <c r="C4671" s="1">
        <v>45034</v>
      </c>
      <c r="D4671" s="1">
        <v>45036</v>
      </c>
      <c r="E4671">
        <v>1</v>
      </c>
      <c r="F4671" t="str">
        <f>"11-I17-03"</f>
        <v>11-I17-03</v>
      </c>
      <c r="G4671">
        <v>0.50139999999999996</v>
      </c>
      <c r="H4671" t="s">
        <v>11</v>
      </c>
      <c r="I4671" t="s">
        <v>10</v>
      </c>
    </row>
    <row r="4672" spans="1:9" x14ac:dyDescent="0.25">
      <c r="A4672" t="str">
        <f t="shared" si="113"/>
        <v>89301000</v>
      </c>
      <c r="B4672" t="str">
        <f>"460917481"</f>
        <v>460917481</v>
      </c>
      <c r="C4672" s="1">
        <v>45078</v>
      </c>
      <c r="D4672" s="1">
        <v>45079</v>
      </c>
      <c r="E4672">
        <v>1</v>
      </c>
      <c r="F4672" t="str">
        <f>"01-I13-00"</f>
        <v>01-I13-00</v>
      </c>
      <c r="G4672">
        <v>0.38400000000000001</v>
      </c>
      <c r="H4672" t="s">
        <v>11</v>
      </c>
      <c r="I4672" t="s">
        <v>10</v>
      </c>
    </row>
    <row r="4673" spans="1:9" x14ac:dyDescent="0.25">
      <c r="A4673" t="str">
        <f t="shared" si="113"/>
        <v>89301000</v>
      </c>
      <c r="B4673" t="str">
        <f>"460928745"</f>
        <v>460928745</v>
      </c>
      <c r="C4673" s="1">
        <v>45068</v>
      </c>
      <c r="D4673" s="1">
        <v>45099</v>
      </c>
      <c r="E4673">
        <v>1</v>
      </c>
      <c r="F4673" t="str">
        <f>"04-C02-02"</f>
        <v>04-C02-02</v>
      </c>
      <c r="G4673">
        <v>1.2749999999999999</v>
      </c>
      <c r="H4673" t="s">
        <v>11</v>
      </c>
      <c r="I4673" t="s">
        <v>10</v>
      </c>
    </row>
    <row r="4674" spans="1:9" x14ac:dyDescent="0.25">
      <c r="A4674" t="str">
        <f t="shared" si="113"/>
        <v>89301000</v>
      </c>
      <c r="B4674" t="str">
        <f>"460928745"</f>
        <v>460928745</v>
      </c>
      <c r="C4674" s="1">
        <v>45121</v>
      </c>
      <c r="D4674" s="1">
        <v>45135</v>
      </c>
      <c r="E4674">
        <v>1</v>
      </c>
      <c r="F4674" t="str">
        <f>"04-K09-02"</f>
        <v>04-K09-02</v>
      </c>
      <c r="G4674">
        <v>1.155</v>
      </c>
      <c r="H4674" t="s">
        <v>11</v>
      </c>
      <c r="I4674" t="s">
        <v>10</v>
      </c>
    </row>
    <row r="4675" spans="1:9" x14ac:dyDescent="0.25">
      <c r="A4675" t="str">
        <f t="shared" si="113"/>
        <v>89301000</v>
      </c>
      <c r="B4675" t="str">
        <f>"461003450"</f>
        <v>461003450</v>
      </c>
      <c r="C4675" s="1">
        <v>45104</v>
      </c>
      <c r="D4675" s="1">
        <v>45106</v>
      </c>
      <c r="E4675">
        <v>1</v>
      </c>
      <c r="F4675" t="str">
        <f>"17-K03-01"</f>
        <v>17-K03-01</v>
      </c>
      <c r="G4675">
        <v>1.3413999999999999</v>
      </c>
      <c r="H4675" t="s">
        <v>11</v>
      </c>
      <c r="I4675" t="s">
        <v>10</v>
      </c>
    </row>
    <row r="4676" spans="1:9" x14ac:dyDescent="0.25">
      <c r="A4676" t="str">
        <f t="shared" si="113"/>
        <v>89301000</v>
      </c>
      <c r="B4676" t="str">
        <f>"461005410"</f>
        <v>461005410</v>
      </c>
      <c r="C4676" s="1">
        <v>45170</v>
      </c>
      <c r="D4676" s="1">
        <v>45177</v>
      </c>
      <c r="E4676">
        <v>1</v>
      </c>
      <c r="F4676" t="str">
        <f>"05-K12-02"</f>
        <v>05-K12-02</v>
      </c>
      <c r="G4676">
        <v>0.48820000000000002</v>
      </c>
      <c r="H4676" t="s">
        <v>11</v>
      </c>
      <c r="I4676" t="s">
        <v>10</v>
      </c>
    </row>
    <row r="4677" spans="1:9" x14ac:dyDescent="0.25">
      <c r="A4677" t="str">
        <f t="shared" si="113"/>
        <v>89301000</v>
      </c>
      <c r="B4677" t="str">
        <f>"461005450"</f>
        <v>461005450</v>
      </c>
      <c r="C4677" s="1">
        <v>44957</v>
      </c>
      <c r="D4677" s="1">
        <v>44964</v>
      </c>
      <c r="E4677">
        <v>7</v>
      </c>
      <c r="F4677" t="str">
        <f>"10-I11-00"</f>
        <v>10-I11-00</v>
      </c>
      <c r="G4677">
        <v>2.0297000000000001</v>
      </c>
      <c r="H4677" t="s">
        <v>9</v>
      </c>
      <c r="I4677" t="s">
        <v>10</v>
      </c>
    </row>
    <row r="4678" spans="1:9" x14ac:dyDescent="0.25">
      <c r="A4678" t="str">
        <f t="shared" si="113"/>
        <v>89301000</v>
      </c>
      <c r="B4678" t="str">
        <f>"461012408"</f>
        <v>461012408</v>
      </c>
      <c r="C4678" s="1">
        <v>45039</v>
      </c>
      <c r="D4678" s="1">
        <v>45048</v>
      </c>
      <c r="E4678">
        <v>4</v>
      </c>
      <c r="F4678" t="str">
        <f>"08-I06-04"</f>
        <v>08-I06-04</v>
      </c>
      <c r="G4678">
        <v>2.4180000000000001</v>
      </c>
      <c r="H4678" t="s">
        <v>9</v>
      </c>
      <c r="I4678" t="s">
        <v>10</v>
      </c>
    </row>
    <row r="4679" spans="1:9" x14ac:dyDescent="0.25">
      <c r="A4679" t="str">
        <f t="shared" si="113"/>
        <v>89301000</v>
      </c>
      <c r="B4679" t="str">
        <f>"461019415"</f>
        <v>461019415</v>
      </c>
      <c r="C4679" s="1">
        <v>44971</v>
      </c>
      <c r="D4679" s="1">
        <v>44977</v>
      </c>
      <c r="E4679">
        <v>1</v>
      </c>
      <c r="F4679" t="str">
        <f>"08-I04-02"</f>
        <v>08-I04-02</v>
      </c>
      <c r="G4679">
        <v>1.6229</v>
      </c>
      <c r="H4679" t="s">
        <v>14</v>
      </c>
      <c r="I4679" t="s">
        <v>10</v>
      </c>
    </row>
    <row r="4680" spans="1:9" x14ac:dyDescent="0.25">
      <c r="A4680" t="str">
        <f t="shared" si="113"/>
        <v>89301000</v>
      </c>
      <c r="B4680" t="str">
        <f>"461021059"</f>
        <v>461021059</v>
      </c>
      <c r="C4680" s="1">
        <v>45265</v>
      </c>
      <c r="D4680" s="1">
        <v>45268</v>
      </c>
      <c r="E4680">
        <v>1</v>
      </c>
      <c r="F4680" t="str">
        <f>"07-K07-02"</f>
        <v>07-K07-02</v>
      </c>
      <c r="G4680">
        <v>0.53069999999999995</v>
      </c>
      <c r="H4680" t="s">
        <v>11</v>
      </c>
      <c r="I4680" t="s">
        <v>10</v>
      </c>
    </row>
    <row r="4681" spans="1:9" x14ac:dyDescent="0.25">
      <c r="A4681" t="str">
        <f t="shared" si="113"/>
        <v>89301000</v>
      </c>
      <c r="B4681" t="str">
        <f>"461022447"</f>
        <v>461022447</v>
      </c>
      <c r="C4681" s="1">
        <v>45131</v>
      </c>
      <c r="D4681" s="1">
        <v>45132</v>
      </c>
      <c r="E4681">
        <v>1</v>
      </c>
      <c r="F4681" t="str">
        <f>"02-I13-01"</f>
        <v>02-I13-01</v>
      </c>
      <c r="G4681">
        <v>0.63970000000000005</v>
      </c>
      <c r="H4681" t="s">
        <v>11</v>
      </c>
      <c r="I4681" t="s">
        <v>10</v>
      </c>
    </row>
    <row r="4682" spans="1:9" x14ac:dyDescent="0.25">
      <c r="A4682" t="str">
        <f t="shared" si="113"/>
        <v>89301000</v>
      </c>
      <c r="B4682" t="str">
        <f>"461102423"</f>
        <v>461102423</v>
      </c>
      <c r="C4682" s="1">
        <v>45237</v>
      </c>
      <c r="D4682" s="1">
        <v>45239</v>
      </c>
      <c r="E4682">
        <v>1</v>
      </c>
      <c r="F4682" t="str">
        <f>"11-M06-03"</f>
        <v>11-M06-03</v>
      </c>
      <c r="G4682">
        <v>0.62009999999999998</v>
      </c>
      <c r="H4682" t="s">
        <v>12</v>
      </c>
      <c r="I4682" t="s">
        <v>10</v>
      </c>
    </row>
    <row r="4683" spans="1:9" x14ac:dyDescent="0.25">
      <c r="A4683" t="str">
        <f t="shared" si="113"/>
        <v>89301000</v>
      </c>
      <c r="B4683" t="str">
        <f>"461216401"</f>
        <v>461216401</v>
      </c>
      <c r="C4683" s="1">
        <v>45027</v>
      </c>
      <c r="D4683" s="1">
        <v>45058</v>
      </c>
      <c r="E4683">
        <v>5</v>
      </c>
      <c r="F4683" t="str">
        <f>"05-M06-02"</f>
        <v>05-M06-02</v>
      </c>
      <c r="G4683">
        <v>6.7660999999999998</v>
      </c>
      <c r="H4683" t="s">
        <v>12</v>
      </c>
      <c r="I4683" t="s">
        <v>10</v>
      </c>
    </row>
    <row r="4684" spans="1:9" x14ac:dyDescent="0.25">
      <c r="A4684" t="str">
        <f t="shared" si="113"/>
        <v>89301000</v>
      </c>
      <c r="B4684" t="str">
        <f>"461218136"</f>
        <v>461218136</v>
      </c>
      <c r="C4684" s="1">
        <v>45161</v>
      </c>
      <c r="D4684" s="1">
        <v>45167</v>
      </c>
      <c r="E4684">
        <v>1</v>
      </c>
      <c r="F4684" t="str">
        <f>"05-M01-01"</f>
        <v>05-M01-01</v>
      </c>
      <c r="G4684">
        <v>14.674200000000001</v>
      </c>
      <c r="H4684" t="s">
        <v>12</v>
      </c>
      <c r="I4684" t="s">
        <v>10</v>
      </c>
    </row>
    <row r="4685" spans="1:9" x14ac:dyDescent="0.25">
      <c r="A4685" t="str">
        <f t="shared" si="113"/>
        <v>89301000</v>
      </c>
      <c r="B4685" t="str">
        <f>"461218136"</f>
        <v>461218136</v>
      </c>
      <c r="C4685" s="1">
        <v>45005</v>
      </c>
      <c r="D4685" s="1">
        <v>45006</v>
      </c>
      <c r="E4685">
        <v>1</v>
      </c>
      <c r="F4685" t="str">
        <f>"05-D01-08"</f>
        <v>05-D01-08</v>
      </c>
      <c r="G4685">
        <v>0.43159999999999998</v>
      </c>
      <c r="H4685" t="s">
        <v>11</v>
      </c>
      <c r="I4685" t="s">
        <v>10</v>
      </c>
    </row>
    <row r="4686" spans="1:9" x14ac:dyDescent="0.25">
      <c r="A4686" t="str">
        <f t="shared" si="113"/>
        <v>89301000</v>
      </c>
      <c r="B4686" t="str">
        <f>"461226167"</f>
        <v>461226167</v>
      </c>
      <c r="C4686" s="1">
        <v>45015</v>
      </c>
      <c r="D4686" s="1">
        <v>45016</v>
      </c>
      <c r="E4686">
        <v>1</v>
      </c>
      <c r="F4686" t="str">
        <f>"01-D01-03"</f>
        <v>01-D01-03</v>
      </c>
      <c r="G4686">
        <v>0.16200000000000001</v>
      </c>
      <c r="H4686" t="s">
        <v>11</v>
      </c>
      <c r="I4686" t="s">
        <v>10</v>
      </c>
    </row>
    <row r="4687" spans="1:9" x14ac:dyDescent="0.25">
      <c r="A4687" t="str">
        <f t="shared" si="113"/>
        <v>89301000</v>
      </c>
      <c r="B4687" t="str">
        <f>"461226167"</f>
        <v>461226167</v>
      </c>
      <c r="C4687" s="1">
        <v>45063</v>
      </c>
      <c r="D4687" s="1">
        <v>45065</v>
      </c>
      <c r="E4687">
        <v>1</v>
      </c>
      <c r="F4687" t="str">
        <f>"01-D01-03"</f>
        <v>01-D01-03</v>
      </c>
      <c r="G4687">
        <v>0.16200000000000001</v>
      </c>
      <c r="H4687" t="s">
        <v>11</v>
      </c>
      <c r="I4687" t="s">
        <v>10</v>
      </c>
    </row>
    <row r="4688" spans="1:9" x14ac:dyDescent="0.25">
      <c r="A4688" t="str">
        <f t="shared" si="113"/>
        <v>89301000</v>
      </c>
      <c r="B4688" t="str">
        <f>"461226412"</f>
        <v>461226412</v>
      </c>
      <c r="C4688" s="1">
        <v>44959</v>
      </c>
      <c r="D4688" s="1">
        <v>44959</v>
      </c>
      <c r="E4688">
        <v>1</v>
      </c>
      <c r="F4688" t="str">
        <f>"05-D01-08"</f>
        <v>05-D01-08</v>
      </c>
      <c r="G4688">
        <v>0.2303</v>
      </c>
      <c r="H4688" t="s">
        <v>11</v>
      </c>
      <c r="I4688" t="s">
        <v>10</v>
      </c>
    </row>
    <row r="4689" spans="1:9" x14ac:dyDescent="0.25">
      <c r="A4689" t="str">
        <f t="shared" si="113"/>
        <v>89301000</v>
      </c>
      <c r="B4689" t="str">
        <f>"461227435"</f>
        <v>461227435</v>
      </c>
      <c r="C4689" s="1">
        <v>45085</v>
      </c>
      <c r="D4689" s="1">
        <v>45085</v>
      </c>
      <c r="E4689">
        <v>1</v>
      </c>
      <c r="F4689" t="str">
        <f>"03-K08-00"</f>
        <v>03-K08-00</v>
      </c>
      <c r="G4689">
        <v>0.2276</v>
      </c>
      <c r="H4689" t="s">
        <v>11</v>
      </c>
      <c r="I4689" t="s">
        <v>10</v>
      </c>
    </row>
    <row r="4690" spans="1:9" x14ac:dyDescent="0.25">
      <c r="A4690" t="str">
        <f t="shared" si="113"/>
        <v>89301000</v>
      </c>
      <c r="B4690" t="str">
        <f>"461227435"</f>
        <v>461227435</v>
      </c>
      <c r="C4690" s="1">
        <v>45100</v>
      </c>
      <c r="D4690" s="1">
        <v>45101</v>
      </c>
      <c r="E4690">
        <v>1</v>
      </c>
      <c r="F4690" t="str">
        <f>"03-I24-00"</f>
        <v>03-I24-00</v>
      </c>
      <c r="G4690">
        <v>0.40670000000000001</v>
      </c>
      <c r="H4690" t="s">
        <v>11</v>
      </c>
      <c r="I4690" t="s">
        <v>10</v>
      </c>
    </row>
    <row r="4691" spans="1:9" x14ac:dyDescent="0.25">
      <c r="A4691" t="str">
        <f t="shared" si="113"/>
        <v>89301000</v>
      </c>
      <c r="B4691" t="str">
        <f>"461228449"</f>
        <v>461228449</v>
      </c>
      <c r="C4691" s="1">
        <v>45182</v>
      </c>
      <c r="D4691" s="1">
        <v>45187</v>
      </c>
      <c r="E4691">
        <v>1</v>
      </c>
      <c r="F4691" t="str">
        <f>"10-K04-04"</f>
        <v>10-K04-04</v>
      </c>
      <c r="G4691">
        <v>0.53949999999999998</v>
      </c>
      <c r="H4691" t="s">
        <v>11</v>
      </c>
      <c r="I4691" t="s">
        <v>10</v>
      </c>
    </row>
    <row r="4692" spans="1:9" x14ac:dyDescent="0.25">
      <c r="A4692" t="str">
        <f t="shared" si="113"/>
        <v>89301000</v>
      </c>
      <c r="B4692" t="str">
        <f>"461229433"</f>
        <v>461229433</v>
      </c>
      <c r="C4692" s="1">
        <v>45141</v>
      </c>
      <c r="D4692" s="1">
        <v>45142</v>
      </c>
      <c r="E4692">
        <v>1</v>
      </c>
      <c r="F4692" t="str">
        <f>"05-M06-05"</f>
        <v>05-M06-05</v>
      </c>
      <c r="G4692">
        <v>2.3681000000000001</v>
      </c>
      <c r="H4692" t="s">
        <v>12</v>
      </c>
      <c r="I4692" t="s">
        <v>10</v>
      </c>
    </row>
    <row r="4693" spans="1:9" x14ac:dyDescent="0.25">
      <c r="A4693" t="str">
        <f t="shared" si="113"/>
        <v>89301000</v>
      </c>
      <c r="B4693" t="str">
        <f>"461229461"</f>
        <v>461229461</v>
      </c>
      <c r="C4693" s="1">
        <v>45042</v>
      </c>
      <c r="D4693" s="1">
        <v>45044</v>
      </c>
      <c r="E4693">
        <v>1</v>
      </c>
      <c r="F4693" t="str">
        <f>"02-I08-02"</f>
        <v>02-I08-02</v>
      </c>
      <c r="G4693">
        <v>0.60729999999999995</v>
      </c>
      <c r="H4693" t="s">
        <v>12</v>
      </c>
      <c r="I4693" t="s">
        <v>10</v>
      </c>
    </row>
    <row r="4694" spans="1:9" x14ac:dyDescent="0.25">
      <c r="A4694" t="str">
        <f t="shared" si="113"/>
        <v>89301000</v>
      </c>
      <c r="B4694" t="str">
        <f>"461230427"</f>
        <v>461230427</v>
      </c>
      <c r="C4694" s="1">
        <v>45202</v>
      </c>
      <c r="D4694" s="1">
        <v>45212</v>
      </c>
      <c r="E4694">
        <v>1</v>
      </c>
      <c r="F4694" t="str">
        <f>"06-K14-02"</f>
        <v>06-K14-02</v>
      </c>
      <c r="G4694">
        <v>0.61380000000000001</v>
      </c>
      <c r="H4694" t="s">
        <v>11</v>
      </c>
      <c r="I4694" t="s">
        <v>10</v>
      </c>
    </row>
    <row r="4695" spans="1:9" x14ac:dyDescent="0.25">
      <c r="A4695" t="str">
        <f t="shared" si="113"/>
        <v>89301000</v>
      </c>
      <c r="B4695" t="str">
        <f>"461230444"</f>
        <v>461230444</v>
      </c>
      <c r="C4695" s="1">
        <v>45224</v>
      </c>
      <c r="D4695" s="1">
        <v>45230</v>
      </c>
      <c r="E4695">
        <v>1</v>
      </c>
      <c r="F4695" t="str">
        <f>"01-K04-02"</f>
        <v>01-K04-02</v>
      </c>
      <c r="G4695">
        <v>0.79990000000000006</v>
      </c>
      <c r="H4695" t="s">
        <v>11</v>
      </c>
      <c r="I4695" t="s">
        <v>10</v>
      </c>
    </row>
    <row r="4696" spans="1:9" x14ac:dyDescent="0.25">
      <c r="A4696" t="str">
        <f t="shared" si="113"/>
        <v>89301000</v>
      </c>
      <c r="B4696" t="str">
        <f>"465102054"</f>
        <v>465102054</v>
      </c>
      <c r="C4696" s="1">
        <v>45096</v>
      </c>
      <c r="D4696" s="1">
        <v>45100</v>
      </c>
      <c r="E4696">
        <v>1</v>
      </c>
      <c r="F4696" t="str">
        <f>"08-K02-02"</f>
        <v>08-K02-02</v>
      </c>
      <c r="G4696">
        <v>0.81369999999999998</v>
      </c>
      <c r="H4696" t="s">
        <v>11</v>
      </c>
      <c r="I4696" t="s">
        <v>10</v>
      </c>
    </row>
    <row r="4697" spans="1:9" x14ac:dyDescent="0.25">
      <c r="A4697" t="str">
        <f t="shared" si="113"/>
        <v>89301000</v>
      </c>
      <c r="B4697" t="str">
        <f>"465106411"</f>
        <v>465106411</v>
      </c>
      <c r="C4697" s="1">
        <v>45240</v>
      </c>
      <c r="D4697" s="1">
        <v>45246</v>
      </c>
      <c r="E4697">
        <v>4</v>
      </c>
      <c r="F4697" t="str">
        <f>"05-K07-03"</f>
        <v>05-K07-03</v>
      </c>
      <c r="G4697">
        <v>1.8048</v>
      </c>
      <c r="H4697" t="s">
        <v>11</v>
      </c>
      <c r="I4697" t="s">
        <v>10</v>
      </c>
    </row>
    <row r="4698" spans="1:9" x14ac:dyDescent="0.25">
      <c r="A4698" t="str">
        <f t="shared" si="113"/>
        <v>89301000</v>
      </c>
      <c r="B4698" t="str">
        <f>"465106411"</f>
        <v>465106411</v>
      </c>
      <c r="C4698" s="1">
        <v>45091</v>
      </c>
      <c r="D4698" s="1">
        <v>45096</v>
      </c>
      <c r="E4698">
        <v>1</v>
      </c>
      <c r="F4698" t="str">
        <f>"16-K02-03"</f>
        <v>16-K02-03</v>
      </c>
      <c r="G4698">
        <v>0.46679999999999999</v>
      </c>
      <c r="H4698" t="s">
        <v>11</v>
      </c>
      <c r="I4698" t="s">
        <v>10</v>
      </c>
    </row>
    <row r="4699" spans="1:9" x14ac:dyDescent="0.25">
      <c r="A4699" t="str">
        <f t="shared" si="113"/>
        <v>89301000</v>
      </c>
      <c r="B4699" t="str">
        <f>"465106411"</f>
        <v>465106411</v>
      </c>
      <c r="C4699" s="1">
        <v>45102</v>
      </c>
      <c r="D4699" s="1">
        <v>45104</v>
      </c>
      <c r="E4699">
        <v>1</v>
      </c>
      <c r="F4699" t="str">
        <f>"05-I14-03"</f>
        <v>05-I14-03</v>
      </c>
      <c r="G4699">
        <v>6.0362</v>
      </c>
      <c r="H4699" t="s">
        <v>12</v>
      </c>
      <c r="I4699" t="s">
        <v>10</v>
      </c>
    </row>
    <row r="4700" spans="1:9" x14ac:dyDescent="0.25">
      <c r="A4700" t="str">
        <f t="shared" si="113"/>
        <v>89301000</v>
      </c>
      <c r="B4700" t="str">
        <f>"465112463"</f>
        <v>465112463</v>
      </c>
      <c r="C4700" s="1">
        <v>44987</v>
      </c>
      <c r="D4700" s="1">
        <v>44992</v>
      </c>
      <c r="E4700">
        <v>1</v>
      </c>
      <c r="F4700" t="str">
        <f>"08-I04-02"</f>
        <v>08-I04-02</v>
      </c>
      <c r="G4700">
        <v>1.6229</v>
      </c>
      <c r="H4700" t="s">
        <v>14</v>
      </c>
      <c r="I4700" t="s">
        <v>10</v>
      </c>
    </row>
    <row r="4701" spans="1:9" x14ac:dyDescent="0.25">
      <c r="A4701" t="str">
        <f t="shared" ref="A4701:A4763" si="114">"89301000"</f>
        <v>89301000</v>
      </c>
      <c r="B4701" t="str">
        <f>"465117402"</f>
        <v>465117402</v>
      </c>
      <c r="C4701" s="1">
        <v>45187</v>
      </c>
      <c r="D4701" s="1">
        <v>45190</v>
      </c>
      <c r="E4701">
        <v>1</v>
      </c>
      <c r="F4701" t="str">
        <f>"06-K02-04"</f>
        <v>06-K02-04</v>
      </c>
      <c r="G4701">
        <v>0.37659999999999999</v>
      </c>
      <c r="H4701" t="s">
        <v>11</v>
      </c>
      <c r="I4701" t="s">
        <v>10</v>
      </c>
    </row>
    <row r="4702" spans="1:9" x14ac:dyDescent="0.25">
      <c r="A4702" t="str">
        <f t="shared" si="114"/>
        <v>89301000</v>
      </c>
      <c r="B4702" t="str">
        <f>"465203429"</f>
        <v>465203429</v>
      </c>
      <c r="C4702" s="1">
        <v>45039</v>
      </c>
      <c r="D4702" s="1">
        <v>45039</v>
      </c>
      <c r="E4702">
        <v>7</v>
      </c>
      <c r="F4702" t="str">
        <f>"05-M02-01"</f>
        <v>05-M02-01</v>
      </c>
      <c r="G4702">
        <v>7.2404000000000002</v>
      </c>
      <c r="H4702" t="s">
        <v>14</v>
      </c>
      <c r="I4702" t="s">
        <v>10</v>
      </c>
    </row>
    <row r="4703" spans="1:9" x14ac:dyDescent="0.25">
      <c r="A4703" t="str">
        <f t="shared" si="114"/>
        <v>89301000</v>
      </c>
      <c r="B4703" t="str">
        <f>"465206490"</f>
        <v>465206490</v>
      </c>
      <c r="C4703" s="1">
        <v>44956</v>
      </c>
      <c r="D4703" s="1">
        <v>44958</v>
      </c>
      <c r="E4703">
        <v>1</v>
      </c>
      <c r="F4703" t="str">
        <f>"03-K03-02"</f>
        <v>03-K03-02</v>
      </c>
      <c r="G4703">
        <v>0.51060000000000005</v>
      </c>
      <c r="H4703" t="s">
        <v>11</v>
      </c>
      <c r="I4703" t="s">
        <v>10</v>
      </c>
    </row>
    <row r="4704" spans="1:9" x14ac:dyDescent="0.25">
      <c r="A4704" t="str">
        <f t="shared" si="114"/>
        <v>89301000</v>
      </c>
      <c r="B4704" t="str">
        <f>"465210409"</f>
        <v>465210409</v>
      </c>
      <c r="C4704" s="1">
        <v>45063</v>
      </c>
      <c r="D4704" s="1">
        <v>45076</v>
      </c>
      <c r="E4704">
        <v>4</v>
      </c>
      <c r="F4704" t="str">
        <f>"10-K13-02"</f>
        <v>10-K13-02</v>
      </c>
      <c r="G4704">
        <v>1.0637000000000001</v>
      </c>
      <c r="H4704" t="s">
        <v>11</v>
      </c>
      <c r="I4704" t="s">
        <v>10</v>
      </c>
    </row>
    <row r="4705" spans="1:9" x14ac:dyDescent="0.25">
      <c r="A4705" t="str">
        <f t="shared" si="114"/>
        <v>89301000</v>
      </c>
      <c r="B4705" t="str">
        <f>"465210409"</f>
        <v>465210409</v>
      </c>
      <c r="C4705" s="1">
        <v>44943</v>
      </c>
      <c r="D4705" s="1">
        <v>44946</v>
      </c>
      <c r="E4705">
        <v>5</v>
      </c>
      <c r="F4705" t="str">
        <f>"05-K01-03"</f>
        <v>05-K01-03</v>
      </c>
      <c r="G4705">
        <v>0.73540000000000005</v>
      </c>
      <c r="H4705" t="s">
        <v>11</v>
      </c>
      <c r="I4705" t="s">
        <v>10</v>
      </c>
    </row>
    <row r="4706" spans="1:9" x14ac:dyDescent="0.25">
      <c r="A4706" t="str">
        <f t="shared" si="114"/>
        <v>89301000</v>
      </c>
      <c r="B4706" t="str">
        <f>"465210409"</f>
        <v>465210409</v>
      </c>
      <c r="C4706" s="1">
        <v>44952</v>
      </c>
      <c r="D4706" s="1">
        <v>44955</v>
      </c>
      <c r="E4706">
        <v>1</v>
      </c>
      <c r="F4706" t="str">
        <f>"10-K05-02"</f>
        <v>10-K05-02</v>
      </c>
      <c r="G4706">
        <v>0.46429999999999999</v>
      </c>
      <c r="H4706" t="s">
        <v>11</v>
      </c>
      <c r="I4706" t="s">
        <v>10</v>
      </c>
    </row>
    <row r="4707" spans="1:9" x14ac:dyDescent="0.25">
      <c r="A4707" t="str">
        <f t="shared" si="114"/>
        <v>89301000</v>
      </c>
      <c r="B4707" t="str">
        <f>"465210409"</f>
        <v>465210409</v>
      </c>
      <c r="C4707" s="1">
        <v>45032</v>
      </c>
      <c r="D4707" s="1">
        <v>45035</v>
      </c>
      <c r="E4707">
        <v>1</v>
      </c>
      <c r="F4707" t="str">
        <f>"07-K06-02"</f>
        <v>07-K06-02</v>
      </c>
      <c r="G4707">
        <v>0.44590000000000002</v>
      </c>
      <c r="H4707" t="s">
        <v>11</v>
      </c>
      <c r="I4707" t="s">
        <v>10</v>
      </c>
    </row>
    <row r="4708" spans="1:9" x14ac:dyDescent="0.25">
      <c r="A4708" t="str">
        <f t="shared" si="114"/>
        <v>89301000</v>
      </c>
      <c r="B4708" t="str">
        <f>"465210409"</f>
        <v>465210409</v>
      </c>
      <c r="C4708" s="1">
        <v>44972</v>
      </c>
      <c r="D4708" s="1">
        <v>44974</v>
      </c>
      <c r="E4708">
        <v>1</v>
      </c>
      <c r="F4708" t="str">
        <f>"07-K06-02"</f>
        <v>07-K06-02</v>
      </c>
      <c r="G4708">
        <v>0.50939999999999996</v>
      </c>
      <c r="H4708" t="s">
        <v>11</v>
      </c>
      <c r="I4708" t="s">
        <v>10</v>
      </c>
    </row>
    <row r="4709" spans="1:9" x14ac:dyDescent="0.25">
      <c r="A4709" t="str">
        <f t="shared" si="114"/>
        <v>89301000</v>
      </c>
      <c r="B4709" t="str">
        <f>"465218472"</f>
        <v>465218472</v>
      </c>
      <c r="C4709" s="1">
        <v>45084</v>
      </c>
      <c r="D4709" s="1">
        <v>45090</v>
      </c>
      <c r="E4709">
        <v>1</v>
      </c>
      <c r="F4709" t="str">
        <f>"05-M01-03"</f>
        <v>05-M01-03</v>
      </c>
      <c r="G4709">
        <v>11.4411</v>
      </c>
      <c r="H4709" t="s">
        <v>12</v>
      </c>
      <c r="I4709" t="s">
        <v>10</v>
      </c>
    </row>
    <row r="4710" spans="1:9" x14ac:dyDescent="0.25">
      <c r="A4710" t="str">
        <f t="shared" si="114"/>
        <v>89301000</v>
      </c>
      <c r="B4710" t="str">
        <f>"465218472"</f>
        <v>465218472</v>
      </c>
      <c r="C4710" s="1">
        <v>45077</v>
      </c>
      <c r="D4710" s="1">
        <v>45078</v>
      </c>
      <c r="E4710">
        <v>1</v>
      </c>
      <c r="F4710" t="str">
        <f>"05-D01-08"</f>
        <v>05-D01-08</v>
      </c>
      <c r="G4710">
        <v>0.43159999999999998</v>
      </c>
      <c r="H4710" t="s">
        <v>11</v>
      </c>
      <c r="I4710" t="s">
        <v>10</v>
      </c>
    </row>
    <row r="4711" spans="1:9" x14ac:dyDescent="0.25">
      <c r="A4711" t="str">
        <f t="shared" si="114"/>
        <v>89301000</v>
      </c>
      <c r="B4711" t="str">
        <f>"465218474"</f>
        <v>465218474</v>
      </c>
      <c r="C4711" s="1">
        <v>45019</v>
      </c>
      <c r="D4711" s="1">
        <v>45027</v>
      </c>
      <c r="E4711">
        <v>4</v>
      </c>
      <c r="F4711" t="str">
        <f>"08-I05-05"</f>
        <v>08-I05-05</v>
      </c>
      <c r="G4711">
        <v>2.2633000000000001</v>
      </c>
      <c r="H4711" t="s">
        <v>12</v>
      </c>
      <c r="I4711" t="s">
        <v>10</v>
      </c>
    </row>
    <row r="4712" spans="1:9" x14ac:dyDescent="0.25">
      <c r="A4712" t="str">
        <f t="shared" si="114"/>
        <v>89301000</v>
      </c>
      <c r="B4712" t="str">
        <f>"465222492"</f>
        <v>465222492</v>
      </c>
      <c r="C4712" s="1">
        <v>44949</v>
      </c>
      <c r="D4712" s="1">
        <v>44954</v>
      </c>
      <c r="E4712">
        <v>1</v>
      </c>
      <c r="F4712" t="str">
        <f>"08-I04-02"</f>
        <v>08-I04-02</v>
      </c>
      <c r="G4712">
        <v>1.6229</v>
      </c>
      <c r="H4712" t="s">
        <v>14</v>
      </c>
      <c r="I4712" t="s">
        <v>10</v>
      </c>
    </row>
    <row r="4713" spans="1:9" x14ac:dyDescent="0.25">
      <c r="A4713" t="str">
        <f t="shared" si="114"/>
        <v>89301000</v>
      </c>
      <c r="B4713" t="str">
        <f>"465225485"</f>
        <v>465225485</v>
      </c>
      <c r="C4713" s="1">
        <v>44858</v>
      </c>
      <c r="D4713" s="1">
        <v>44929</v>
      </c>
      <c r="E4713">
        <v>4</v>
      </c>
      <c r="F4713" t="str">
        <f>"06-K20-01"</f>
        <v>06-K20-01</v>
      </c>
      <c r="G4713">
        <v>5.9394999999999998</v>
      </c>
      <c r="H4713" t="s">
        <v>11</v>
      </c>
      <c r="I4713" t="s">
        <v>10</v>
      </c>
    </row>
    <row r="4714" spans="1:9" x14ac:dyDescent="0.25">
      <c r="A4714" t="str">
        <f t="shared" si="114"/>
        <v>89301000</v>
      </c>
      <c r="B4714" t="str">
        <f>"465225485"</f>
        <v>465225485</v>
      </c>
      <c r="C4714" s="1">
        <v>44998</v>
      </c>
      <c r="D4714" s="1">
        <v>45013</v>
      </c>
      <c r="E4714">
        <v>2</v>
      </c>
      <c r="F4714" t="str">
        <f>"11-K01-01"</f>
        <v>11-K01-01</v>
      </c>
      <c r="G4714">
        <v>1.377</v>
      </c>
      <c r="H4714" t="s">
        <v>11</v>
      </c>
      <c r="I4714" t="s">
        <v>10</v>
      </c>
    </row>
    <row r="4715" spans="1:9" x14ac:dyDescent="0.25">
      <c r="A4715" t="str">
        <f t="shared" si="114"/>
        <v>89301000</v>
      </c>
      <c r="B4715" t="str">
        <f>"465228454"</f>
        <v>465228454</v>
      </c>
      <c r="C4715" s="1">
        <v>45273</v>
      </c>
      <c r="D4715" s="1">
        <v>45274</v>
      </c>
      <c r="E4715">
        <v>1</v>
      </c>
      <c r="F4715" t="str">
        <f>"05-M06-08"</f>
        <v>05-M06-08</v>
      </c>
      <c r="G4715">
        <v>1.4228000000000001</v>
      </c>
      <c r="H4715" t="s">
        <v>12</v>
      </c>
      <c r="I4715" t="s">
        <v>10</v>
      </c>
    </row>
    <row r="4716" spans="1:9" x14ac:dyDescent="0.25">
      <c r="A4716" t="str">
        <f t="shared" si="114"/>
        <v>89301000</v>
      </c>
      <c r="B4716" t="str">
        <f>"465228454"</f>
        <v>465228454</v>
      </c>
      <c r="C4716" s="1">
        <v>45252</v>
      </c>
      <c r="D4716" s="1">
        <v>45255</v>
      </c>
      <c r="E4716">
        <v>1</v>
      </c>
      <c r="F4716" t="str">
        <f>"05-M06-02"</f>
        <v>05-M06-02</v>
      </c>
      <c r="G4716">
        <v>3.8536000000000001</v>
      </c>
      <c r="H4716" t="s">
        <v>12</v>
      </c>
      <c r="I4716" t="s">
        <v>10</v>
      </c>
    </row>
    <row r="4717" spans="1:9" x14ac:dyDescent="0.25">
      <c r="A4717" t="str">
        <f t="shared" si="114"/>
        <v>89301000</v>
      </c>
      <c r="B4717" t="str">
        <f>"465303412"</f>
        <v>465303412</v>
      </c>
      <c r="C4717" s="1">
        <v>45141</v>
      </c>
      <c r="D4717" s="1">
        <v>45146</v>
      </c>
      <c r="E4717">
        <v>1</v>
      </c>
      <c r="F4717" t="str">
        <f>"03-I07-03"</f>
        <v>03-I07-03</v>
      </c>
      <c r="G4717">
        <v>1.9420999999999999</v>
      </c>
      <c r="H4717" t="s">
        <v>12</v>
      </c>
      <c r="I4717" t="s">
        <v>10</v>
      </c>
    </row>
    <row r="4718" spans="1:9" x14ac:dyDescent="0.25">
      <c r="A4718" t="str">
        <f t="shared" si="114"/>
        <v>89301000</v>
      </c>
      <c r="B4718" t="str">
        <f>"465306469"</f>
        <v>465306469</v>
      </c>
      <c r="C4718" s="1">
        <v>45000</v>
      </c>
      <c r="D4718" s="1">
        <v>45005</v>
      </c>
      <c r="E4718">
        <v>1</v>
      </c>
      <c r="F4718" t="str">
        <f>"13-I04-01"</f>
        <v>13-I04-01</v>
      </c>
      <c r="G4718">
        <v>2.8856000000000002</v>
      </c>
      <c r="H4718" t="s">
        <v>14</v>
      </c>
      <c r="I4718" t="s">
        <v>10</v>
      </c>
    </row>
    <row r="4719" spans="1:9" x14ac:dyDescent="0.25">
      <c r="A4719" t="str">
        <f t="shared" si="114"/>
        <v>89301000</v>
      </c>
      <c r="B4719" t="str">
        <f>"465309474"</f>
        <v>465309474</v>
      </c>
      <c r="C4719" s="1">
        <v>45195</v>
      </c>
      <c r="D4719" s="1">
        <v>45218</v>
      </c>
      <c r="E4719">
        <v>4</v>
      </c>
      <c r="F4719" t="str">
        <f>"05-I16-04"</f>
        <v>05-I16-04</v>
      </c>
      <c r="G4719">
        <v>6.9458000000000002</v>
      </c>
      <c r="H4719" t="s">
        <v>14</v>
      </c>
      <c r="I4719" t="s">
        <v>10</v>
      </c>
    </row>
    <row r="4720" spans="1:9" x14ac:dyDescent="0.25">
      <c r="A4720" t="str">
        <f t="shared" si="114"/>
        <v>89301000</v>
      </c>
      <c r="B4720" t="str">
        <f>"465316417"</f>
        <v>465316417</v>
      </c>
      <c r="C4720" s="1">
        <v>45036</v>
      </c>
      <c r="D4720" s="1">
        <v>45042</v>
      </c>
      <c r="E4720">
        <v>1</v>
      </c>
      <c r="F4720" t="str">
        <f>"09-K13-01"</f>
        <v>09-K13-01</v>
      </c>
      <c r="G4720">
        <v>0.54759999999999998</v>
      </c>
      <c r="H4720" t="s">
        <v>11</v>
      </c>
      <c r="I4720" t="s">
        <v>10</v>
      </c>
    </row>
    <row r="4721" spans="1:9" x14ac:dyDescent="0.25">
      <c r="A4721" t="str">
        <f t="shared" si="114"/>
        <v>89301000</v>
      </c>
      <c r="B4721" t="str">
        <f>"465317415"</f>
        <v>465317415</v>
      </c>
      <c r="C4721" s="1">
        <v>45072</v>
      </c>
      <c r="D4721" s="1">
        <v>45074</v>
      </c>
      <c r="E4721">
        <v>8</v>
      </c>
      <c r="F4721" t="str">
        <f>"01-K10-02"</f>
        <v>01-K10-02</v>
      </c>
      <c r="G4721">
        <v>1.6027</v>
      </c>
      <c r="H4721" t="s">
        <v>11</v>
      </c>
      <c r="I4721" t="s">
        <v>10</v>
      </c>
    </row>
    <row r="4722" spans="1:9" x14ac:dyDescent="0.25">
      <c r="A4722" t="str">
        <f t="shared" si="114"/>
        <v>89301000</v>
      </c>
      <c r="B4722" t="str">
        <f>"465317415"</f>
        <v>465317415</v>
      </c>
      <c r="C4722" s="1">
        <v>45062</v>
      </c>
      <c r="D4722" s="1">
        <v>45065</v>
      </c>
      <c r="E4722">
        <v>4</v>
      </c>
      <c r="F4722" t="str">
        <f>"16-K02-02"</f>
        <v>16-K02-02</v>
      </c>
      <c r="G4722">
        <v>0.76349999999999996</v>
      </c>
      <c r="H4722" t="s">
        <v>11</v>
      </c>
      <c r="I4722" t="s">
        <v>10</v>
      </c>
    </row>
    <row r="4723" spans="1:9" x14ac:dyDescent="0.25">
      <c r="A4723" t="str">
        <f t="shared" si="114"/>
        <v>89301000</v>
      </c>
      <c r="B4723" t="str">
        <f>"465317415"</f>
        <v>465317415</v>
      </c>
      <c r="C4723" s="1">
        <v>44944</v>
      </c>
      <c r="D4723" s="1">
        <v>44973</v>
      </c>
      <c r="E4723">
        <v>4</v>
      </c>
      <c r="F4723" t="str">
        <f>"16-K02-01"</f>
        <v>16-K02-01</v>
      </c>
      <c r="G4723">
        <v>2.0329000000000002</v>
      </c>
      <c r="H4723" t="s">
        <v>11</v>
      </c>
      <c r="I4723" t="s">
        <v>10</v>
      </c>
    </row>
    <row r="4724" spans="1:9" x14ac:dyDescent="0.25">
      <c r="A4724" t="str">
        <f t="shared" si="114"/>
        <v>89301000</v>
      </c>
      <c r="B4724" t="str">
        <f>"465329490"</f>
        <v>465329490</v>
      </c>
      <c r="C4724" s="1">
        <v>44979</v>
      </c>
      <c r="D4724" s="1">
        <v>44985</v>
      </c>
      <c r="E4724">
        <v>4</v>
      </c>
      <c r="F4724" t="str">
        <f>"08-I13-05"</f>
        <v>08-I13-05</v>
      </c>
      <c r="G4724">
        <v>2.343</v>
      </c>
      <c r="H4724" t="s">
        <v>12</v>
      </c>
      <c r="I4724" t="s">
        <v>10</v>
      </c>
    </row>
    <row r="4725" spans="1:9" x14ac:dyDescent="0.25">
      <c r="A4725" t="str">
        <f t="shared" si="114"/>
        <v>89301000</v>
      </c>
      <c r="B4725" t="str">
        <f>"465331473"</f>
        <v>465331473</v>
      </c>
      <c r="C4725" s="1">
        <v>45092</v>
      </c>
      <c r="D4725" s="1">
        <v>45094</v>
      </c>
      <c r="E4725">
        <v>1</v>
      </c>
      <c r="F4725" t="str">
        <f>"05-D01-08"</f>
        <v>05-D01-08</v>
      </c>
      <c r="G4725">
        <v>0.43159999999999998</v>
      </c>
      <c r="H4725" t="s">
        <v>11</v>
      </c>
      <c r="I4725" t="s">
        <v>10</v>
      </c>
    </row>
    <row r="4726" spans="1:9" x14ac:dyDescent="0.25">
      <c r="A4726" t="str">
        <f t="shared" si="114"/>
        <v>89301000</v>
      </c>
      <c r="B4726" t="str">
        <f>"465402513"</f>
        <v>465402513</v>
      </c>
      <c r="C4726" s="1">
        <v>44985</v>
      </c>
      <c r="D4726" s="1">
        <v>44995</v>
      </c>
      <c r="E4726">
        <v>1</v>
      </c>
      <c r="F4726" t="str">
        <f>"06-K14-01"</f>
        <v>06-K14-01</v>
      </c>
      <c r="G4726">
        <v>1.2667999999999999</v>
      </c>
      <c r="H4726" t="s">
        <v>11</v>
      </c>
      <c r="I4726" t="s">
        <v>10</v>
      </c>
    </row>
    <row r="4727" spans="1:9" x14ac:dyDescent="0.25">
      <c r="A4727" t="str">
        <f t="shared" si="114"/>
        <v>89301000</v>
      </c>
      <c r="B4727" t="str">
        <f>"465402513"</f>
        <v>465402513</v>
      </c>
      <c r="C4727" s="1">
        <v>45021</v>
      </c>
      <c r="D4727" s="1">
        <v>45036</v>
      </c>
      <c r="E4727">
        <v>1</v>
      </c>
      <c r="F4727" t="str">
        <f>"06-K14-02"</f>
        <v>06-K14-02</v>
      </c>
      <c r="G4727">
        <v>1.0183</v>
      </c>
      <c r="H4727" t="s">
        <v>11</v>
      </c>
      <c r="I4727" t="s">
        <v>10</v>
      </c>
    </row>
    <row r="4728" spans="1:9" x14ac:dyDescent="0.25">
      <c r="A4728" t="str">
        <f t="shared" si="114"/>
        <v>89301000</v>
      </c>
      <c r="B4728" t="str">
        <f>"465411482"</f>
        <v>465411482</v>
      </c>
      <c r="C4728" s="1">
        <v>45265</v>
      </c>
      <c r="D4728" s="1">
        <v>45266</v>
      </c>
      <c r="E4728">
        <v>1</v>
      </c>
      <c r="F4728" t="str">
        <f>"05-D01-08"</f>
        <v>05-D01-08</v>
      </c>
      <c r="G4728">
        <v>0.43159999999999998</v>
      </c>
      <c r="H4728" t="s">
        <v>11</v>
      </c>
      <c r="I4728" t="s">
        <v>10</v>
      </c>
    </row>
    <row r="4729" spans="1:9" x14ac:dyDescent="0.25">
      <c r="A4729" t="str">
        <f t="shared" si="114"/>
        <v>89301000</v>
      </c>
      <c r="B4729" t="str">
        <f>"465419473"</f>
        <v>465419473</v>
      </c>
      <c r="C4729" s="1">
        <v>45070</v>
      </c>
      <c r="D4729" s="1">
        <v>45083</v>
      </c>
      <c r="E4729">
        <v>1</v>
      </c>
      <c r="F4729" t="str">
        <f>"20-K04-02"</f>
        <v>20-K04-02</v>
      </c>
      <c r="G4729">
        <v>1.3379000000000001</v>
      </c>
      <c r="H4729" t="s">
        <v>11</v>
      </c>
      <c r="I4729" t="s">
        <v>10</v>
      </c>
    </row>
    <row r="4730" spans="1:9" x14ac:dyDescent="0.25">
      <c r="A4730" t="str">
        <f t="shared" si="114"/>
        <v>89301000</v>
      </c>
      <c r="B4730" t="str">
        <f>"465424488"</f>
        <v>465424488</v>
      </c>
      <c r="C4730" s="1">
        <v>44966</v>
      </c>
      <c r="D4730" s="1">
        <v>44968</v>
      </c>
      <c r="E4730">
        <v>1</v>
      </c>
      <c r="F4730" t="str">
        <f>"07-M02-04"</f>
        <v>07-M02-04</v>
      </c>
      <c r="G4730">
        <v>0.77339999999999998</v>
      </c>
      <c r="H4730" t="s">
        <v>12</v>
      </c>
      <c r="I4730" t="s">
        <v>10</v>
      </c>
    </row>
    <row r="4731" spans="1:9" x14ac:dyDescent="0.25">
      <c r="A4731" t="str">
        <f t="shared" si="114"/>
        <v>89301000</v>
      </c>
      <c r="B4731" t="str">
        <f>"465430417"</f>
        <v>465430417</v>
      </c>
      <c r="C4731" s="1">
        <v>45252</v>
      </c>
      <c r="D4731" s="1">
        <v>45252</v>
      </c>
      <c r="E4731">
        <v>1</v>
      </c>
      <c r="F4731" t="str">
        <f>"05-D01-08"</f>
        <v>05-D01-08</v>
      </c>
      <c r="G4731">
        <v>0.2303</v>
      </c>
      <c r="H4731" t="s">
        <v>11</v>
      </c>
      <c r="I4731" t="s">
        <v>10</v>
      </c>
    </row>
    <row r="4732" spans="1:9" x14ac:dyDescent="0.25">
      <c r="A4732" t="str">
        <f t="shared" si="114"/>
        <v>89301000</v>
      </c>
      <c r="B4732" t="str">
        <f>"465508401"</f>
        <v>465508401</v>
      </c>
      <c r="C4732" s="1">
        <v>44937</v>
      </c>
      <c r="D4732" s="1">
        <v>44944</v>
      </c>
      <c r="E4732">
        <v>1</v>
      </c>
      <c r="F4732" t="str">
        <f>"04-K04-01"</f>
        <v>04-K04-01</v>
      </c>
      <c r="G4732">
        <v>1.0286</v>
      </c>
      <c r="H4732" t="s">
        <v>11</v>
      </c>
      <c r="I4732" t="s">
        <v>10</v>
      </c>
    </row>
    <row r="4733" spans="1:9" x14ac:dyDescent="0.25">
      <c r="A4733" t="str">
        <f t="shared" si="114"/>
        <v>89301000</v>
      </c>
      <c r="B4733" t="str">
        <f>"465508482"</f>
        <v>465508482</v>
      </c>
      <c r="C4733" s="1">
        <v>45059</v>
      </c>
      <c r="D4733" s="1">
        <v>45072</v>
      </c>
      <c r="E4733">
        <v>1</v>
      </c>
      <c r="F4733" t="str">
        <f>"16-K02-01"</f>
        <v>16-K02-01</v>
      </c>
      <c r="G4733">
        <v>1.3922000000000001</v>
      </c>
      <c r="H4733" t="s">
        <v>11</v>
      </c>
      <c r="I4733" t="s">
        <v>10</v>
      </c>
    </row>
    <row r="4734" spans="1:9" x14ac:dyDescent="0.25">
      <c r="A4734" t="str">
        <f t="shared" si="114"/>
        <v>89301000</v>
      </c>
      <c r="B4734" t="str">
        <f>"465510431"</f>
        <v>465510431</v>
      </c>
      <c r="C4734" s="1">
        <v>45257</v>
      </c>
      <c r="D4734" s="1">
        <v>45265</v>
      </c>
      <c r="E4734">
        <v>4</v>
      </c>
      <c r="F4734" t="str">
        <f>"08-K08-00"</f>
        <v>08-K08-00</v>
      </c>
      <c r="G4734">
        <v>0.5272</v>
      </c>
      <c r="H4734" t="s">
        <v>11</v>
      </c>
      <c r="I4734" t="s">
        <v>10</v>
      </c>
    </row>
    <row r="4735" spans="1:9" x14ac:dyDescent="0.25">
      <c r="A4735" t="str">
        <f t="shared" si="114"/>
        <v>89301000</v>
      </c>
      <c r="B4735" t="str">
        <f>"465510431"</f>
        <v>465510431</v>
      </c>
      <c r="C4735" s="1">
        <v>45189</v>
      </c>
      <c r="D4735" s="1">
        <v>45194</v>
      </c>
      <c r="E4735">
        <v>4</v>
      </c>
      <c r="F4735" t="str">
        <f>"09-K03-02"</f>
        <v>09-K03-02</v>
      </c>
      <c r="G4735">
        <v>0.95399999999999996</v>
      </c>
      <c r="H4735" t="s">
        <v>11</v>
      </c>
      <c r="I4735" t="s">
        <v>10</v>
      </c>
    </row>
    <row r="4736" spans="1:9" x14ac:dyDescent="0.25">
      <c r="A4736" t="str">
        <f t="shared" si="114"/>
        <v>89301000</v>
      </c>
      <c r="B4736" t="str">
        <f>"465514408"</f>
        <v>465514408</v>
      </c>
      <c r="C4736" s="1">
        <v>45219</v>
      </c>
      <c r="D4736" s="1">
        <v>45221</v>
      </c>
      <c r="E4736">
        <v>1</v>
      </c>
      <c r="F4736" t="str">
        <f>"08-I16-02"</f>
        <v>08-I16-02</v>
      </c>
      <c r="G4736">
        <v>1.8476999999999999</v>
      </c>
      <c r="H4736" t="s">
        <v>12</v>
      </c>
      <c r="I4736" t="s">
        <v>10</v>
      </c>
    </row>
    <row r="4737" spans="1:9" x14ac:dyDescent="0.25">
      <c r="A4737" t="str">
        <f t="shared" si="114"/>
        <v>89301000</v>
      </c>
      <c r="B4737" t="str">
        <f>"465514952"</f>
        <v>465514952</v>
      </c>
      <c r="C4737" s="1">
        <v>45162</v>
      </c>
      <c r="D4737" s="1">
        <v>45166</v>
      </c>
      <c r="E4737">
        <v>5</v>
      </c>
      <c r="F4737" t="str">
        <f>"08-I13-05"</f>
        <v>08-I13-05</v>
      </c>
      <c r="G4737">
        <v>2.343</v>
      </c>
      <c r="H4737" t="s">
        <v>12</v>
      </c>
      <c r="I4737" t="s">
        <v>10</v>
      </c>
    </row>
    <row r="4738" spans="1:9" x14ac:dyDescent="0.25">
      <c r="A4738" t="str">
        <f t="shared" si="114"/>
        <v>89301000</v>
      </c>
      <c r="B4738" t="str">
        <f>"465515420"</f>
        <v>465515420</v>
      </c>
      <c r="C4738" s="1">
        <v>45002</v>
      </c>
      <c r="D4738" s="1">
        <v>45007</v>
      </c>
      <c r="E4738">
        <v>4</v>
      </c>
      <c r="F4738" t="str">
        <f>"08-I13-05"</f>
        <v>08-I13-05</v>
      </c>
      <c r="G4738">
        <v>2.343</v>
      </c>
      <c r="H4738" t="s">
        <v>12</v>
      </c>
      <c r="I4738" t="s">
        <v>10</v>
      </c>
    </row>
    <row r="4739" spans="1:9" x14ac:dyDescent="0.25">
      <c r="A4739" t="str">
        <f t="shared" si="114"/>
        <v>89301000</v>
      </c>
      <c r="B4739" t="str">
        <f>"465517499"</f>
        <v>465517499</v>
      </c>
      <c r="C4739" s="1">
        <v>45107</v>
      </c>
      <c r="D4739" s="1">
        <v>45111</v>
      </c>
      <c r="E4739">
        <v>1</v>
      </c>
      <c r="F4739" t="str">
        <f>"05-D01-04"</f>
        <v>05-D01-04</v>
      </c>
      <c r="G4739">
        <v>2.6101999999999999</v>
      </c>
      <c r="H4739" t="s">
        <v>11</v>
      </c>
      <c r="I4739" t="s">
        <v>10</v>
      </c>
    </row>
    <row r="4740" spans="1:9" x14ac:dyDescent="0.25">
      <c r="A4740" t="str">
        <f t="shared" si="114"/>
        <v>89301000</v>
      </c>
      <c r="B4740" t="str">
        <f>"465517499"</f>
        <v>465517499</v>
      </c>
      <c r="C4740" s="1">
        <v>45088</v>
      </c>
      <c r="D4740" s="1">
        <v>45090</v>
      </c>
      <c r="E4740">
        <v>1</v>
      </c>
      <c r="F4740" t="str">
        <f>"05-I25-03"</f>
        <v>05-I25-03</v>
      </c>
      <c r="G4740">
        <v>1.633</v>
      </c>
      <c r="H4740" t="s">
        <v>12</v>
      </c>
      <c r="I4740" t="s">
        <v>10</v>
      </c>
    </row>
    <row r="4741" spans="1:9" x14ac:dyDescent="0.25">
      <c r="A4741" t="str">
        <f t="shared" si="114"/>
        <v>89301000</v>
      </c>
      <c r="B4741" t="str">
        <f>"465517499"</f>
        <v>465517499</v>
      </c>
      <c r="C4741" s="1">
        <v>45153</v>
      </c>
      <c r="D4741" s="1">
        <v>45154</v>
      </c>
      <c r="E4741">
        <v>1</v>
      </c>
      <c r="F4741" t="str">
        <f>"05-M06-08"</f>
        <v>05-M06-08</v>
      </c>
      <c r="G4741">
        <v>1.9306000000000001</v>
      </c>
      <c r="H4741" t="s">
        <v>12</v>
      </c>
      <c r="I4741" t="s">
        <v>10</v>
      </c>
    </row>
    <row r="4742" spans="1:9" x14ac:dyDescent="0.25">
      <c r="A4742" t="str">
        <f t="shared" si="114"/>
        <v>89301000</v>
      </c>
      <c r="B4742" t="str">
        <f>"465525451"</f>
        <v>465525451</v>
      </c>
      <c r="C4742" s="1">
        <v>45182</v>
      </c>
      <c r="D4742" s="1">
        <v>45195</v>
      </c>
      <c r="E4742">
        <v>1</v>
      </c>
      <c r="F4742" t="str">
        <f>"08-I03-08"</f>
        <v>08-I03-08</v>
      </c>
      <c r="G4742">
        <v>2.6092</v>
      </c>
      <c r="H4742" t="s">
        <v>9</v>
      </c>
      <c r="I4742" t="s">
        <v>10</v>
      </c>
    </row>
    <row r="4743" spans="1:9" x14ac:dyDescent="0.25">
      <c r="A4743" t="str">
        <f t="shared" si="114"/>
        <v>89301000</v>
      </c>
      <c r="B4743" t="str">
        <f>"465601450"</f>
        <v>465601450</v>
      </c>
      <c r="C4743" s="1">
        <v>45190</v>
      </c>
      <c r="D4743" s="1">
        <v>45194</v>
      </c>
      <c r="E4743">
        <v>1</v>
      </c>
      <c r="F4743" t="str">
        <f>"05-M06-07"</f>
        <v>05-M06-07</v>
      </c>
      <c r="G4743">
        <v>1.9440999999999999</v>
      </c>
      <c r="H4743" t="s">
        <v>12</v>
      </c>
      <c r="I4743" t="s">
        <v>10</v>
      </c>
    </row>
    <row r="4744" spans="1:9" x14ac:dyDescent="0.25">
      <c r="A4744" t="str">
        <f t="shared" si="114"/>
        <v>89301000</v>
      </c>
      <c r="B4744" t="str">
        <f>"465602407"</f>
        <v>465602407</v>
      </c>
      <c r="C4744" s="1">
        <v>45019</v>
      </c>
      <c r="D4744" s="1">
        <v>45021</v>
      </c>
      <c r="E4744">
        <v>1</v>
      </c>
      <c r="F4744" t="str">
        <f>"03-I13-00"</f>
        <v>03-I13-00</v>
      </c>
      <c r="G4744">
        <v>1.2201</v>
      </c>
      <c r="H4744" t="s">
        <v>9</v>
      </c>
      <c r="I4744" t="s">
        <v>10</v>
      </c>
    </row>
    <row r="4745" spans="1:9" x14ac:dyDescent="0.25">
      <c r="A4745" t="str">
        <f t="shared" si="114"/>
        <v>89301000</v>
      </c>
      <c r="B4745" t="str">
        <f>"465603483"</f>
        <v>465603483</v>
      </c>
      <c r="C4745" s="1">
        <v>45197</v>
      </c>
      <c r="D4745" s="1">
        <v>45201</v>
      </c>
      <c r="E4745">
        <v>1</v>
      </c>
      <c r="F4745" t="str">
        <f>"09-I09-02"</f>
        <v>09-I09-02</v>
      </c>
      <c r="G4745">
        <v>0.78180000000000005</v>
      </c>
      <c r="H4745" t="s">
        <v>12</v>
      </c>
      <c r="I4745" t="s">
        <v>10</v>
      </c>
    </row>
    <row r="4746" spans="1:9" x14ac:dyDescent="0.25">
      <c r="A4746" t="str">
        <f t="shared" si="114"/>
        <v>89301000</v>
      </c>
      <c r="B4746" t="str">
        <f>"465604417"</f>
        <v>465604417</v>
      </c>
      <c r="C4746" s="1">
        <v>45130</v>
      </c>
      <c r="D4746" s="1">
        <v>45134</v>
      </c>
      <c r="E4746">
        <v>1</v>
      </c>
      <c r="F4746" t="str">
        <f>"11-I16-02"</f>
        <v>11-I16-02</v>
      </c>
      <c r="G4746">
        <v>0.4546</v>
      </c>
      <c r="H4746" t="s">
        <v>11</v>
      </c>
      <c r="I4746" t="s">
        <v>10</v>
      </c>
    </row>
    <row r="4747" spans="1:9" x14ac:dyDescent="0.25">
      <c r="A4747" t="str">
        <f t="shared" si="114"/>
        <v>89301000</v>
      </c>
      <c r="B4747" t="str">
        <f>"465607415"</f>
        <v>465607415</v>
      </c>
      <c r="C4747" s="1">
        <v>45031</v>
      </c>
      <c r="D4747" s="1">
        <v>45036</v>
      </c>
      <c r="E4747">
        <v>1</v>
      </c>
      <c r="F4747" t="str">
        <f>"16-K02-02"</f>
        <v>16-K02-02</v>
      </c>
      <c r="G4747">
        <v>0.76349999999999996</v>
      </c>
      <c r="H4747" t="s">
        <v>11</v>
      </c>
      <c r="I4747" t="s">
        <v>10</v>
      </c>
    </row>
    <row r="4748" spans="1:9" x14ac:dyDescent="0.25">
      <c r="A4748" t="str">
        <f t="shared" si="114"/>
        <v>89301000</v>
      </c>
      <c r="B4748" t="str">
        <f>"465607415"</f>
        <v>465607415</v>
      </c>
      <c r="C4748" s="1">
        <v>44973</v>
      </c>
      <c r="D4748" s="1">
        <v>44978</v>
      </c>
      <c r="E4748">
        <v>1</v>
      </c>
      <c r="F4748" t="str">
        <f>"04-K05-02"</f>
        <v>04-K05-02</v>
      </c>
      <c r="G4748">
        <v>1.4056</v>
      </c>
      <c r="H4748" t="s">
        <v>11</v>
      </c>
      <c r="I4748" t="s">
        <v>10</v>
      </c>
    </row>
    <row r="4749" spans="1:9" x14ac:dyDescent="0.25">
      <c r="A4749" t="str">
        <f t="shared" si="114"/>
        <v>89301000</v>
      </c>
      <c r="B4749" t="str">
        <f>"465607415"</f>
        <v>465607415</v>
      </c>
      <c r="C4749" s="1">
        <v>44950</v>
      </c>
      <c r="D4749" s="1">
        <v>44959</v>
      </c>
      <c r="E4749">
        <v>1</v>
      </c>
      <c r="F4749" t="str">
        <f>"04-K05-03"</f>
        <v>04-K05-03</v>
      </c>
      <c r="G4749">
        <v>0.76719999999999999</v>
      </c>
      <c r="H4749" t="s">
        <v>11</v>
      </c>
      <c r="I4749" t="s">
        <v>10</v>
      </c>
    </row>
    <row r="4750" spans="1:9" x14ac:dyDescent="0.25">
      <c r="A4750" t="str">
        <f t="shared" si="114"/>
        <v>89301000</v>
      </c>
      <c r="B4750" t="str">
        <f>"465609488"</f>
        <v>465609488</v>
      </c>
      <c r="C4750" s="1">
        <v>44968</v>
      </c>
      <c r="D4750" s="1">
        <v>44969</v>
      </c>
      <c r="E4750">
        <v>1</v>
      </c>
      <c r="F4750" t="str">
        <f>"05-M05-03"</f>
        <v>05-M05-03</v>
      </c>
      <c r="G4750">
        <v>1.6755</v>
      </c>
      <c r="H4750" t="s">
        <v>14</v>
      </c>
      <c r="I4750" t="s">
        <v>10</v>
      </c>
    </row>
    <row r="4751" spans="1:9" x14ac:dyDescent="0.25">
      <c r="A4751" t="str">
        <f t="shared" si="114"/>
        <v>89301000</v>
      </c>
      <c r="B4751" t="str">
        <f>"465612184"</f>
        <v>465612184</v>
      </c>
      <c r="C4751" s="1">
        <v>45019</v>
      </c>
      <c r="D4751" s="1">
        <v>45023</v>
      </c>
      <c r="E4751">
        <v>1</v>
      </c>
      <c r="F4751" t="str">
        <f>"09-I09-02"</f>
        <v>09-I09-02</v>
      </c>
      <c r="G4751">
        <v>0.76900000000000002</v>
      </c>
      <c r="H4751" t="s">
        <v>12</v>
      </c>
      <c r="I4751" t="s">
        <v>10</v>
      </c>
    </row>
    <row r="4752" spans="1:9" x14ac:dyDescent="0.25">
      <c r="A4752" t="str">
        <f t="shared" si="114"/>
        <v>89301000</v>
      </c>
      <c r="B4752" t="str">
        <f>"465613419"</f>
        <v>465613419</v>
      </c>
      <c r="C4752" s="1">
        <v>45109</v>
      </c>
      <c r="D4752" s="1">
        <v>45111</v>
      </c>
      <c r="E4752">
        <v>1</v>
      </c>
      <c r="F4752" t="str">
        <f>"05-I25-03"</f>
        <v>05-I25-03</v>
      </c>
      <c r="G4752">
        <v>1.633</v>
      </c>
      <c r="H4752" t="s">
        <v>12</v>
      </c>
      <c r="I4752" t="s">
        <v>10</v>
      </c>
    </row>
    <row r="4753" spans="1:9" x14ac:dyDescent="0.25">
      <c r="A4753" t="str">
        <f t="shared" si="114"/>
        <v>89301000</v>
      </c>
      <c r="B4753" t="str">
        <f>"465616414"</f>
        <v>465616414</v>
      </c>
      <c r="C4753" s="1">
        <v>45160</v>
      </c>
      <c r="D4753" s="1">
        <v>45168</v>
      </c>
      <c r="E4753">
        <v>2</v>
      </c>
      <c r="F4753" t="str">
        <f>"08-K08-00"</f>
        <v>08-K08-00</v>
      </c>
      <c r="G4753">
        <v>0.5272</v>
      </c>
      <c r="H4753" t="s">
        <v>11</v>
      </c>
      <c r="I4753" t="s">
        <v>10</v>
      </c>
    </row>
    <row r="4754" spans="1:9" x14ac:dyDescent="0.25">
      <c r="A4754" t="str">
        <f t="shared" si="114"/>
        <v>89301000</v>
      </c>
      <c r="B4754" t="str">
        <f>"465616428"</f>
        <v>465616428</v>
      </c>
      <c r="C4754" s="1">
        <v>45170</v>
      </c>
      <c r="D4754" s="1">
        <v>45171</v>
      </c>
      <c r="E4754">
        <v>1</v>
      </c>
      <c r="F4754" t="str">
        <f>"05-M06-08"</f>
        <v>05-M06-08</v>
      </c>
      <c r="G4754">
        <v>1.4228000000000001</v>
      </c>
      <c r="H4754" t="s">
        <v>12</v>
      </c>
      <c r="I4754" t="s">
        <v>10</v>
      </c>
    </row>
    <row r="4755" spans="1:9" x14ac:dyDescent="0.25">
      <c r="A4755" t="str">
        <f t="shared" si="114"/>
        <v>89301000</v>
      </c>
      <c r="B4755" t="str">
        <f>"465617424"</f>
        <v>465617424</v>
      </c>
      <c r="C4755" s="1">
        <v>45211</v>
      </c>
      <c r="D4755" s="1">
        <v>45217</v>
      </c>
      <c r="E4755">
        <v>1</v>
      </c>
      <c r="F4755" t="str">
        <f>"01-I09-02"</f>
        <v>01-I09-02</v>
      </c>
      <c r="G4755">
        <v>1.5277000000000001</v>
      </c>
      <c r="H4755" t="s">
        <v>12</v>
      </c>
      <c r="I4755" t="s">
        <v>10</v>
      </c>
    </row>
    <row r="4756" spans="1:9" x14ac:dyDescent="0.25">
      <c r="A4756" t="str">
        <f t="shared" si="114"/>
        <v>89301000</v>
      </c>
      <c r="B4756" t="str">
        <f>"465620486"</f>
        <v>465620486</v>
      </c>
      <c r="C4756" s="1">
        <v>45131</v>
      </c>
      <c r="D4756" s="1">
        <v>45137</v>
      </c>
      <c r="E4756">
        <v>1</v>
      </c>
      <c r="F4756" t="str">
        <f>"03-I12-02"</f>
        <v>03-I12-02</v>
      </c>
      <c r="G4756">
        <v>1.3378000000000001</v>
      </c>
      <c r="H4756" t="s">
        <v>12</v>
      </c>
      <c r="I4756" t="s">
        <v>10</v>
      </c>
    </row>
    <row r="4757" spans="1:9" x14ac:dyDescent="0.25">
      <c r="A4757" t="str">
        <f t="shared" si="114"/>
        <v>89301000</v>
      </c>
      <c r="B4757" t="str">
        <f>"465627132"</f>
        <v>465627132</v>
      </c>
      <c r="C4757" s="1">
        <v>44936</v>
      </c>
      <c r="D4757" s="1">
        <v>44951</v>
      </c>
      <c r="E4757">
        <v>1</v>
      </c>
      <c r="F4757" t="str">
        <f>"06-K14-01"</f>
        <v>06-K14-01</v>
      </c>
      <c r="G4757">
        <v>1.3392999999999999</v>
      </c>
      <c r="H4757" t="s">
        <v>11</v>
      </c>
      <c r="I4757" t="s">
        <v>10</v>
      </c>
    </row>
    <row r="4758" spans="1:9" x14ac:dyDescent="0.25">
      <c r="A4758" t="str">
        <f t="shared" si="114"/>
        <v>89301000</v>
      </c>
      <c r="B4758" t="str">
        <f>"465629491"</f>
        <v>465629491</v>
      </c>
      <c r="C4758" s="1">
        <v>44925</v>
      </c>
      <c r="D4758" s="1">
        <v>44940</v>
      </c>
      <c r="E4758">
        <v>8</v>
      </c>
      <c r="F4758" t="str">
        <f>"04-K09-02"</f>
        <v>04-K09-02</v>
      </c>
      <c r="G4758">
        <v>1.155</v>
      </c>
      <c r="H4758" t="s">
        <v>11</v>
      </c>
      <c r="I4758" t="s">
        <v>10</v>
      </c>
    </row>
    <row r="4759" spans="1:9" x14ac:dyDescent="0.25">
      <c r="A4759" t="str">
        <f t="shared" si="114"/>
        <v>89301000</v>
      </c>
      <c r="B4759" t="str">
        <f>"465703196"</f>
        <v>465703196</v>
      </c>
      <c r="C4759" s="1">
        <v>45038</v>
      </c>
      <c r="D4759" s="1">
        <v>45052</v>
      </c>
      <c r="E4759">
        <v>1</v>
      </c>
      <c r="F4759" t="str">
        <f>"08-K08-00"</f>
        <v>08-K08-00</v>
      </c>
      <c r="G4759">
        <v>0.70279999999999998</v>
      </c>
      <c r="H4759" t="s">
        <v>11</v>
      </c>
      <c r="I4759" t="s">
        <v>10</v>
      </c>
    </row>
    <row r="4760" spans="1:9" x14ac:dyDescent="0.25">
      <c r="A4760" t="str">
        <f t="shared" si="114"/>
        <v>89301000</v>
      </c>
      <c r="B4760" t="str">
        <f>"465703410"</f>
        <v>465703410</v>
      </c>
      <c r="C4760" s="1">
        <v>44986</v>
      </c>
      <c r="D4760" s="1">
        <v>44987</v>
      </c>
      <c r="E4760">
        <v>7</v>
      </c>
      <c r="F4760" t="str">
        <f>"25-K01-02"</f>
        <v>25-K01-02</v>
      </c>
      <c r="G4760">
        <v>1.4918</v>
      </c>
      <c r="H4760" t="s">
        <v>14</v>
      </c>
      <c r="I4760" t="s">
        <v>10</v>
      </c>
    </row>
    <row r="4761" spans="1:9" x14ac:dyDescent="0.25">
      <c r="A4761" t="str">
        <f t="shared" si="114"/>
        <v>89301000</v>
      </c>
      <c r="B4761" t="str">
        <f>"465706474"</f>
        <v>465706474</v>
      </c>
      <c r="C4761" s="1">
        <v>45105</v>
      </c>
      <c r="D4761" s="1">
        <v>45106</v>
      </c>
      <c r="E4761">
        <v>1</v>
      </c>
      <c r="F4761" t="str">
        <f>"07-K07-02"</f>
        <v>07-K07-02</v>
      </c>
      <c r="G4761">
        <v>0.53069999999999995</v>
      </c>
      <c r="H4761" t="s">
        <v>11</v>
      </c>
      <c r="I4761" t="s">
        <v>10</v>
      </c>
    </row>
    <row r="4762" spans="1:9" x14ac:dyDescent="0.25">
      <c r="A4762" t="str">
        <f t="shared" si="114"/>
        <v>89301000</v>
      </c>
      <c r="B4762" t="str">
        <f>"465709426"</f>
        <v>465709426</v>
      </c>
      <c r="C4762" s="1">
        <v>44976</v>
      </c>
      <c r="D4762" s="1">
        <v>44980</v>
      </c>
      <c r="E4762">
        <v>1</v>
      </c>
      <c r="F4762" t="str">
        <f>"02-I02-01"</f>
        <v>02-I02-01</v>
      </c>
      <c r="G4762">
        <v>1.2369000000000001</v>
      </c>
      <c r="H4762" t="s">
        <v>12</v>
      </c>
      <c r="I4762" t="s">
        <v>10</v>
      </c>
    </row>
    <row r="4763" spans="1:9" x14ac:dyDescent="0.25">
      <c r="A4763" t="str">
        <f t="shared" si="114"/>
        <v>89301000</v>
      </c>
      <c r="B4763" t="str">
        <f>"465714190"</f>
        <v>465714190</v>
      </c>
      <c r="C4763" s="1">
        <v>45152</v>
      </c>
      <c r="D4763" s="1">
        <v>45156</v>
      </c>
      <c r="E4763">
        <v>1</v>
      </c>
      <c r="F4763" t="str">
        <f>"05-K07-04"</f>
        <v>05-K07-04</v>
      </c>
      <c r="G4763">
        <v>1.0760000000000001</v>
      </c>
      <c r="H4763" t="s">
        <v>11</v>
      </c>
      <c r="I4763" t="s">
        <v>10</v>
      </c>
    </row>
    <row r="4764" spans="1:9" x14ac:dyDescent="0.25">
      <c r="A4764" t="str">
        <f t="shared" ref="A4764:A4826" si="115">"89301000"</f>
        <v>89301000</v>
      </c>
      <c r="B4764" t="str">
        <f>"465719487"</f>
        <v>465719487</v>
      </c>
      <c r="C4764" s="1">
        <v>44929</v>
      </c>
      <c r="D4764" s="1">
        <v>44930</v>
      </c>
      <c r="E4764">
        <v>1</v>
      </c>
      <c r="F4764" t="str">
        <f>"09-R01-08"</f>
        <v>09-R01-08</v>
      </c>
      <c r="G4764">
        <v>0.73350000000000004</v>
      </c>
      <c r="H4764" t="s">
        <v>11</v>
      </c>
      <c r="I4764" t="s">
        <v>10</v>
      </c>
    </row>
    <row r="4765" spans="1:9" x14ac:dyDescent="0.25">
      <c r="A4765" t="str">
        <f t="shared" si="115"/>
        <v>89301000</v>
      </c>
      <c r="B4765" t="str">
        <f>"465721413"</f>
        <v>465721413</v>
      </c>
      <c r="C4765" s="1">
        <v>45079</v>
      </c>
      <c r="D4765" s="1">
        <v>45085</v>
      </c>
      <c r="E4765">
        <v>1</v>
      </c>
      <c r="F4765" t="str">
        <f>"06-K14-02"</f>
        <v>06-K14-02</v>
      </c>
      <c r="G4765">
        <v>0.61380000000000001</v>
      </c>
      <c r="H4765" t="s">
        <v>11</v>
      </c>
      <c r="I4765" t="s">
        <v>10</v>
      </c>
    </row>
    <row r="4766" spans="1:9" x14ac:dyDescent="0.25">
      <c r="A4766" t="str">
        <f t="shared" si="115"/>
        <v>89301000</v>
      </c>
      <c r="B4766" t="str">
        <f>"465806420"</f>
        <v>465806420</v>
      </c>
      <c r="C4766" s="1">
        <v>44978</v>
      </c>
      <c r="D4766" s="1">
        <v>44979</v>
      </c>
      <c r="E4766">
        <v>1</v>
      </c>
      <c r="F4766" t="str">
        <f>"02-I13-02"</f>
        <v>02-I13-02</v>
      </c>
      <c r="G4766">
        <v>0.4259</v>
      </c>
      <c r="H4766" t="s">
        <v>11</v>
      </c>
      <c r="I4766" t="s">
        <v>10</v>
      </c>
    </row>
    <row r="4767" spans="1:9" x14ac:dyDescent="0.25">
      <c r="A4767" t="str">
        <f t="shared" si="115"/>
        <v>89301000</v>
      </c>
      <c r="B4767" t="str">
        <f>"465815414"</f>
        <v>465815414</v>
      </c>
      <c r="C4767" s="1">
        <v>45184</v>
      </c>
      <c r="D4767" s="1">
        <v>45184</v>
      </c>
      <c r="E4767">
        <v>1</v>
      </c>
      <c r="F4767" t="str">
        <f>"05-I14-03"</f>
        <v>05-I14-03</v>
      </c>
      <c r="G4767">
        <v>5.6817000000000002</v>
      </c>
      <c r="H4767" t="s">
        <v>12</v>
      </c>
      <c r="I4767" t="s">
        <v>10</v>
      </c>
    </row>
    <row r="4768" spans="1:9" x14ac:dyDescent="0.25">
      <c r="A4768" t="str">
        <f t="shared" si="115"/>
        <v>89301000</v>
      </c>
      <c r="B4768" t="str">
        <f>"465818475"</f>
        <v>465818475</v>
      </c>
      <c r="C4768" s="1">
        <v>44922</v>
      </c>
      <c r="D4768" s="1">
        <v>44935</v>
      </c>
      <c r="E4768">
        <v>1</v>
      </c>
      <c r="F4768" t="str">
        <f>"05-K01-03"</f>
        <v>05-K01-03</v>
      </c>
      <c r="G4768">
        <v>0.72089999999999999</v>
      </c>
      <c r="H4768" t="s">
        <v>11</v>
      </c>
      <c r="I4768" t="s">
        <v>10</v>
      </c>
    </row>
    <row r="4769" spans="1:9" x14ac:dyDescent="0.25">
      <c r="A4769" t="str">
        <f t="shared" si="115"/>
        <v>89301000</v>
      </c>
      <c r="B4769" t="str">
        <f>"465819407"</f>
        <v>465819407</v>
      </c>
      <c r="C4769" s="1">
        <v>45089</v>
      </c>
      <c r="D4769" s="1">
        <v>45091</v>
      </c>
      <c r="E4769">
        <v>8</v>
      </c>
      <c r="F4769" t="str">
        <f>"04-K02-03"</f>
        <v>04-K02-03</v>
      </c>
      <c r="G4769">
        <v>0.98640000000000005</v>
      </c>
      <c r="H4769" t="s">
        <v>11</v>
      </c>
      <c r="I4769" t="s">
        <v>10</v>
      </c>
    </row>
    <row r="4770" spans="1:9" x14ac:dyDescent="0.25">
      <c r="A4770" t="str">
        <f t="shared" si="115"/>
        <v>89301000</v>
      </c>
      <c r="B4770" t="str">
        <f>"465819407"</f>
        <v>465819407</v>
      </c>
      <c r="C4770" s="1">
        <v>45077</v>
      </c>
      <c r="D4770" s="1">
        <v>45084</v>
      </c>
      <c r="E4770">
        <v>1</v>
      </c>
      <c r="F4770" t="str">
        <f>"04-K05-02"</f>
        <v>04-K05-02</v>
      </c>
      <c r="G4770">
        <v>1.4463999999999999</v>
      </c>
      <c r="H4770" t="s">
        <v>11</v>
      </c>
      <c r="I4770" t="s">
        <v>10</v>
      </c>
    </row>
    <row r="4771" spans="1:9" x14ac:dyDescent="0.25">
      <c r="A4771" t="str">
        <f t="shared" si="115"/>
        <v>89301000</v>
      </c>
      <c r="B4771" t="str">
        <f>"465819407"</f>
        <v>465819407</v>
      </c>
      <c r="C4771" s="1">
        <v>45050</v>
      </c>
      <c r="D4771" s="1">
        <v>45069</v>
      </c>
      <c r="E4771">
        <v>1</v>
      </c>
      <c r="F4771" t="str">
        <f>"06-I12-01"</f>
        <v>06-I12-01</v>
      </c>
      <c r="G4771">
        <v>4.9291</v>
      </c>
      <c r="H4771" t="s">
        <v>11</v>
      </c>
      <c r="I4771" t="s">
        <v>10</v>
      </c>
    </row>
    <row r="4772" spans="1:9" x14ac:dyDescent="0.25">
      <c r="A4772" t="str">
        <f t="shared" si="115"/>
        <v>89301000</v>
      </c>
      <c r="B4772" t="str">
        <f>"465819407"</f>
        <v>465819407</v>
      </c>
      <c r="C4772" s="1">
        <v>44944</v>
      </c>
      <c r="D4772" s="1">
        <v>44966</v>
      </c>
      <c r="E4772">
        <v>4</v>
      </c>
      <c r="F4772" t="str">
        <f>"04-K07-03"</f>
        <v>04-K07-03</v>
      </c>
      <c r="G4772">
        <v>1.3548</v>
      </c>
      <c r="H4772" t="s">
        <v>11</v>
      </c>
      <c r="I4772" t="s">
        <v>10</v>
      </c>
    </row>
    <row r="4773" spans="1:9" x14ac:dyDescent="0.25">
      <c r="A4773" t="str">
        <f t="shared" si="115"/>
        <v>89301000</v>
      </c>
      <c r="B4773" t="str">
        <f>"465914412"</f>
        <v>465914412</v>
      </c>
      <c r="C4773" s="1">
        <v>44990</v>
      </c>
      <c r="D4773" s="1">
        <v>44998</v>
      </c>
      <c r="E4773">
        <v>4</v>
      </c>
      <c r="F4773" t="str">
        <f>"08-I06-04"</f>
        <v>08-I06-04</v>
      </c>
      <c r="G4773">
        <v>2.4180000000000001</v>
      </c>
      <c r="H4773" t="s">
        <v>9</v>
      </c>
      <c r="I4773" t="s">
        <v>10</v>
      </c>
    </row>
    <row r="4774" spans="1:9" x14ac:dyDescent="0.25">
      <c r="A4774" t="str">
        <f t="shared" si="115"/>
        <v>89301000</v>
      </c>
      <c r="B4774" t="str">
        <f>"465924484"</f>
        <v>465924484</v>
      </c>
      <c r="C4774" s="1">
        <v>44985</v>
      </c>
      <c r="D4774" s="1">
        <v>45001</v>
      </c>
      <c r="E4774">
        <v>4</v>
      </c>
      <c r="F4774" t="str">
        <f>"01-K10-02"</f>
        <v>01-K10-02</v>
      </c>
      <c r="G4774">
        <v>1.6984999999999999</v>
      </c>
      <c r="H4774" t="s">
        <v>11</v>
      </c>
      <c r="I4774" t="s">
        <v>10</v>
      </c>
    </row>
    <row r="4775" spans="1:9" x14ac:dyDescent="0.25">
      <c r="A4775" t="str">
        <f t="shared" si="115"/>
        <v>89301000</v>
      </c>
      <c r="B4775" t="str">
        <f>"465924484"</f>
        <v>465924484</v>
      </c>
      <c r="C4775" s="1">
        <v>45099</v>
      </c>
      <c r="D4775" s="1">
        <v>45131</v>
      </c>
      <c r="E4775">
        <v>2</v>
      </c>
      <c r="F4775" t="str">
        <f>"01-M02-00"</f>
        <v>01-M02-00</v>
      </c>
      <c r="G4775">
        <v>8.5078999999999994</v>
      </c>
      <c r="H4775" t="s">
        <v>12</v>
      </c>
      <c r="I4775" t="s">
        <v>10</v>
      </c>
    </row>
    <row r="4776" spans="1:9" x14ac:dyDescent="0.25">
      <c r="A4776" t="str">
        <f t="shared" si="115"/>
        <v>89301000</v>
      </c>
      <c r="B4776" t="str">
        <f>"465926478"</f>
        <v>465926478</v>
      </c>
      <c r="C4776" s="1">
        <v>45071</v>
      </c>
      <c r="D4776" s="1">
        <v>45075</v>
      </c>
      <c r="E4776">
        <v>1</v>
      </c>
      <c r="F4776" t="str">
        <f>"13-I19-00"</f>
        <v>13-I19-00</v>
      </c>
      <c r="G4776">
        <v>0.36730000000000002</v>
      </c>
      <c r="H4776" t="s">
        <v>11</v>
      </c>
      <c r="I4776" t="s">
        <v>10</v>
      </c>
    </row>
    <row r="4777" spans="1:9" x14ac:dyDescent="0.25">
      <c r="A4777" t="str">
        <f t="shared" si="115"/>
        <v>89301000</v>
      </c>
      <c r="B4777" t="str">
        <f>"465926478"</f>
        <v>465926478</v>
      </c>
      <c r="C4777" s="1">
        <v>45126</v>
      </c>
      <c r="D4777" s="1">
        <v>45131</v>
      </c>
      <c r="E4777">
        <v>1</v>
      </c>
      <c r="F4777" t="str">
        <f>"13-I04-01"</f>
        <v>13-I04-01</v>
      </c>
      <c r="G4777">
        <v>2.8856000000000002</v>
      </c>
      <c r="H4777" t="s">
        <v>14</v>
      </c>
      <c r="I4777" t="s">
        <v>10</v>
      </c>
    </row>
    <row r="4778" spans="1:9" x14ac:dyDescent="0.25">
      <c r="A4778" t="str">
        <f t="shared" si="115"/>
        <v>89301000</v>
      </c>
      <c r="B4778" t="str">
        <f>"465928409"</f>
        <v>465928409</v>
      </c>
      <c r="C4778" s="1">
        <v>45057</v>
      </c>
      <c r="D4778" s="1">
        <v>45058</v>
      </c>
      <c r="E4778">
        <v>1</v>
      </c>
      <c r="F4778" t="str">
        <f>"13-I19-00"</f>
        <v>13-I19-00</v>
      </c>
      <c r="G4778">
        <v>0.28249999999999997</v>
      </c>
      <c r="H4778" t="s">
        <v>11</v>
      </c>
      <c r="I4778" t="s">
        <v>10</v>
      </c>
    </row>
    <row r="4779" spans="1:9" x14ac:dyDescent="0.25">
      <c r="A4779" t="str">
        <f t="shared" si="115"/>
        <v>89301000</v>
      </c>
      <c r="B4779" t="str">
        <f>"465929466"</f>
        <v>465929466</v>
      </c>
      <c r="C4779" s="1">
        <v>45119</v>
      </c>
      <c r="D4779" s="1">
        <v>45125</v>
      </c>
      <c r="E4779">
        <v>1</v>
      </c>
      <c r="F4779" t="str">
        <f>"13-I04-01"</f>
        <v>13-I04-01</v>
      </c>
      <c r="G4779">
        <v>2.8856000000000002</v>
      </c>
      <c r="H4779" t="s">
        <v>14</v>
      </c>
      <c r="I4779" t="s">
        <v>10</v>
      </c>
    </row>
    <row r="4780" spans="1:9" x14ac:dyDescent="0.25">
      <c r="A4780" t="str">
        <f t="shared" si="115"/>
        <v>89301000</v>
      </c>
      <c r="B4780" t="str">
        <f>"465929466"</f>
        <v>465929466</v>
      </c>
      <c r="C4780" s="1">
        <v>45057</v>
      </c>
      <c r="D4780" s="1">
        <v>45059</v>
      </c>
      <c r="E4780">
        <v>1</v>
      </c>
      <c r="F4780" t="str">
        <f>"13-I19-00"</f>
        <v>13-I19-00</v>
      </c>
      <c r="G4780">
        <v>0.28249999999999997</v>
      </c>
      <c r="H4780" t="s">
        <v>11</v>
      </c>
      <c r="I4780" t="s">
        <v>10</v>
      </c>
    </row>
    <row r="4781" spans="1:9" x14ac:dyDescent="0.25">
      <c r="A4781" t="str">
        <f t="shared" si="115"/>
        <v>89301000</v>
      </c>
      <c r="B4781" t="str">
        <f>"465929466"</f>
        <v>465929466</v>
      </c>
      <c r="C4781" s="1">
        <v>45216</v>
      </c>
      <c r="D4781" s="1">
        <v>45218</v>
      </c>
      <c r="E4781">
        <v>1</v>
      </c>
      <c r="F4781" t="str">
        <f>"13-K08-02"</f>
        <v>13-K08-02</v>
      </c>
      <c r="G4781">
        <v>0.41320000000000001</v>
      </c>
      <c r="H4781" t="s">
        <v>11</v>
      </c>
      <c r="I4781" t="s">
        <v>10</v>
      </c>
    </row>
    <row r="4782" spans="1:9" x14ac:dyDescent="0.25">
      <c r="A4782" t="str">
        <f t="shared" si="115"/>
        <v>89301000</v>
      </c>
      <c r="B4782" t="str">
        <f>"466002402"</f>
        <v>466002402</v>
      </c>
      <c r="C4782" s="1">
        <v>45269</v>
      </c>
      <c r="D4782" s="1">
        <v>45271</v>
      </c>
      <c r="E4782">
        <v>1</v>
      </c>
      <c r="F4782" t="str">
        <f>"08-I17-01"</f>
        <v>08-I17-01</v>
      </c>
      <c r="G4782">
        <v>1.6462000000000001</v>
      </c>
      <c r="H4782" t="s">
        <v>11</v>
      </c>
      <c r="I4782" t="s">
        <v>10</v>
      </c>
    </row>
    <row r="4783" spans="1:9" x14ac:dyDescent="0.25">
      <c r="A4783" t="str">
        <f t="shared" si="115"/>
        <v>89301000</v>
      </c>
      <c r="B4783" t="str">
        <f>"466002480"</f>
        <v>466002480</v>
      </c>
      <c r="C4783" s="1">
        <v>45071</v>
      </c>
      <c r="D4783" s="1">
        <v>45078</v>
      </c>
      <c r="E4783">
        <v>4</v>
      </c>
      <c r="F4783" t="str">
        <f>"08-I05-06"</f>
        <v>08-I05-06</v>
      </c>
      <c r="G4783">
        <v>2.0308000000000002</v>
      </c>
      <c r="H4783" t="s">
        <v>12</v>
      </c>
      <c r="I4783" t="s">
        <v>10</v>
      </c>
    </row>
    <row r="4784" spans="1:9" x14ac:dyDescent="0.25">
      <c r="A4784" t="str">
        <f t="shared" si="115"/>
        <v>89301000</v>
      </c>
      <c r="B4784" t="str">
        <f>"466004185"</f>
        <v>466004185</v>
      </c>
      <c r="C4784" s="1">
        <v>44996</v>
      </c>
      <c r="D4784" s="1">
        <v>45033</v>
      </c>
      <c r="E4784">
        <v>1</v>
      </c>
      <c r="F4784" t="str">
        <f>"10-K13-02"</f>
        <v>10-K13-02</v>
      </c>
      <c r="G4784">
        <v>2.0819999999999999</v>
      </c>
      <c r="H4784" t="s">
        <v>11</v>
      </c>
      <c r="I4784" t="s">
        <v>10</v>
      </c>
    </row>
    <row r="4785" spans="1:9" x14ac:dyDescent="0.25">
      <c r="A4785" t="str">
        <f t="shared" si="115"/>
        <v>89301000</v>
      </c>
      <c r="B4785" t="str">
        <f>"466008401"</f>
        <v>466008401</v>
      </c>
      <c r="C4785" s="1">
        <v>45004</v>
      </c>
      <c r="D4785" s="1">
        <v>45012</v>
      </c>
      <c r="E4785">
        <v>4</v>
      </c>
      <c r="F4785" t="str">
        <f>"01-K04-02"</f>
        <v>01-K04-02</v>
      </c>
      <c r="G4785">
        <v>0.79990000000000006</v>
      </c>
      <c r="H4785" t="s">
        <v>11</v>
      </c>
      <c r="I4785" t="s">
        <v>10</v>
      </c>
    </row>
    <row r="4786" spans="1:9" x14ac:dyDescent="0.25">
      <c r="A4786" t="str">
        <f t="shared" si="115"/>
        <v>89301000</v>
      </c>
      <c r="B4786" t="str">
        <f>"466009453"</f>
        <v>466009453</v>
      </c>
      <c r="C4786" s="1">
        <v>45251</v>
      </c>
      <c r="D4786" s="1">
        <v>45255</v>
      </c>
      <c r="E4786">
        <v>1</v>
      </c>
      <c r="F4786" t="str">
        <f>"13-I14-03"</f>
        <v>13-I14-03</v>
      </c>
      <c r="G4786">
        <v>0.87760000000000005</v>
      </c>
      <c r="H4786" t="s">
        <v>9</v>
      </c>
      <c r="I4786" t="s">
        <v>10</v>
      </c>
    </row>
    <row r="4787" spans="1:9" x14ac:dyDescent="0.25">
      <c r="A4787" t="str">
        <f t="shared" si="115"/>
        <v>89301000</v>
      </c>
      <c r="B4787" t="str">
        <f>"466009486"</f>
        <v>466009486</v>
      </c>
      <c r="C4787" s="1">
        <v>44972</v>
      </c>
      <c r="D4787" s="1">
        <v>44973</v>
      </c>
      <c r="E4787">
        <v>1</v>
      </c>
      <c r="F4787" t="str">
        <f>"02-I13-02"</f>
        <v>02-I13-02</v>
      </c>
      <c r="G4787">
        <v>0.4259</v>
      </c>
      <c r="H4787" t="s">
        <v>11</v>
      </c>
      <c r="I4787" t="s">
        <v>10</v>
      </c>
    </row>
    <row r="4788" spans="1:9" x14ac:dyDescent="0.25">
      <c r="A4788" t="str">
        <f t="shared" si="115"/>
        <v>89301000</v>
      </c>
      <c r="B4788" t="str">
        <f>"466020449"</f>
        <v>466020449</v>
      </c>
      <c r="C4788" s="1">
        <v>45035</v>
      </c>
      <c r="D4788" s="1">
        <v>45051</v>
      </c>
      <c r="E4788">
        <v>1</v>
      </c>
      <c r="F4788" t="str">
        <f>"24-M07-02"</f>
        <v>24-M07-02</v>
      </c>
      <c r="G4788">
        <v>1.5729</v>
      </c>
      <c r="H4788" t="s">
        <v>11</v>
      </c>
      <c r="I4788" t="s">
        <v>10</v>
      </c>
    </row>
    <row r="4789" spans="1:9" x14ac:dyDescent="0.25">
      <c r="A4789" t="str">
        <f t="shared" si="115"/>
        <v>89301000</v>
      </c>
      <c r="B4789" t="str">
        <f>"466020449"</f>
        <v>466020449</v>
      </c>
      <c r="C4789" s="1">
        <v>45032</v>
      </c>
      <c r="D4789" s="1">
        <v>45035</v>
      </c>
      <c r="E4789">
        <v>3</v>
      </c>
      <c r="F4789" t="str">
        <f>"08-I15-02"</f>
        <v>08-I15-02</v>
      </c>
      <c r="G4789">
        <v>1.5535000000000001</v>
      </c>
      <c r="H4789" t="s">
        <v>12</v>
      </c>
      <c r="I4789" t="s">
        <v>10</v>
      </c>
    </row>
    <row r="4790" spans="1:9" x14ac:dyDescent="0.25">
      <c r="A4790" t="str">
        <f t="shared" si="115"/>
        <v>89301000</v>
      </c>
      <c r="B4790" t="str">
        <f>"466021419"</f>
        <v>466021419</v>
      </c>
      <c r="C4790" s="1">
        <v>45051</v>
      </c>
      <c r="D4790" s="1">
        <v>45058</v>
      </c>
      <c r="E4790">
        <v>1</v>
      </c>
      <c r="F4790" t="str">
        <f>"05-I27-02"</f>
        <v>05-I27-02</v>
      </c>
      <c r="G4790">
        <v>1.0730999999999999</v>
      </c>
      <c r="H4790" t="s">
        <v>11</v>
      </c>
      <c r="I4790" t="s">
        <v>10</v>
      </c>
    </row>
    <row r="4791" spans="1:9" x14ac:dyDescent="0.25">
      <c r="A4791" t="str">
        <f t="shared" si="115"/>
        <v>89301000</v>
      </c>
      <c r="B4791" t="str">
        <f>"466029462"</f>
        <v>466029462</v>
      </c>
      <c r="C4791" s="1">
        <v>45036</v>
      </c>
      <c r="D4791" s="1">
        <v>45041</v>
      </c>
      <c r="E4791">
        <v>1</v>
      </c>
      <c r="F4791" t="str">
        <f>"09-I06-03"</f>
        <v>09-I06-03</v>
      </c>
      <c r="G4791">
        <v>1.3925000000000001</v>
      </c>
      <c r="H4791" t="s">
        <v>12</v>
      </c>
      <c r="I4791" t="s">
        <v>10</v>
      </c>
    </row>
    <row r="4792" spans="1:9" x14ac:dyDescent="0.25">
      <c r="A4792" t="str">
        <f t="shared" si="115"/>
        <v>89301000</v>
      </c>
      <c r="B4792" t="str">
        <f>"466116450"</f>
        <v>466116450</v>
      </c>
      <c r="C4792" s="1">
        <v>45001</v>
      </c>
      <c r="D4792" s="1">
        <v>45008</v>
      </c>
      <c r="E4792">
        <v>4</v>
      </c>
      <c r="F4792" t="str">
        <f>"08-I05-05"</f>
        <v>08-I05-05</v>
      </c>
      <c r="G4792">
        <v>2.2633000000000001</v>
      </c>
      <c r="H4792" t="s">
        <v>12</v>
      </c>
      <c r="I4792" t="s">
        <v>10</v>
      </c>
    </row>
    <row r="4793" spans="1:9" x14ac:dyDescent="0.25">
      <c r="A4793" t="str">
        <f t="shared" si="115"/>
        <v>89301000</v>
      </c>
      <c r="B4793" t="str">
        <f>"466117429"</f>
        <v>466117429</v>
      </c>
      <c r="C4793" s="1">
        <v>44925</v>
      </c>
      <c r="D4793" s="1">
        <v>44935</v>
      </c>
      <c r="E4793">
        <v>1</v>
      </c>
      <c r="F4793" t="str">
        <f>"05-I14-02"</f>
        <v>05-I14-02</v>
      </c>
      <c r="G4793">
        <v>6.4595000000000002</v>
      </c>
      <c r="H4793" t="s">
        <v>12</v>
      </c>
      <c r="I4793" t="s">
        <v>10</v>
      </c>
    </row>
    <row r="4794" spans="1:9" x14ac:dyDescent="0.25">
      <c r="A4794" t="str">
        <f t="shared" si="115"/>
        <v>89301000</v>
      </c>
      <c r="B4794" t="str">
        <f>"466117429"</f>
        <v>466117429</v>
      </c>
      <c r="C4794" s="1">
        <v>45268</v>
      </c>
      <c r="D4794" s="1">
        <v>45279</v>
      </c>
      <c r="E4794">
        <v>1</v>
      </c>
      <c r="F4794" t="str">
        <f>"05-K07-04"</f>
        <v>05-K07-04</v>
      </c>
      <c r="G4794">
        <v>1.0760000000000001</v>
      </c>
      <c r="H4794" t="s">
        <v>11</v>
      </c>
      <c r="I4794" t="s">
        <v>10</v>
      </c>
    </row>
    <row r="4795" spans="1:9" x14ac:dyDescent="0.25">
      <c r="A4795" t="str">
        <f t="shared" si="115"/>
        <v>89301000</v>
      </c>
      <c r="B4795" t="str">
        <f>"466119460"</f>
        <v>466119460</v>
      </c>
      <c r="C4795" s="1">
        <v>45274</v>
      </c>
      <c r="D4795" s="1">
        <v>45278</v>
      </c>
      <c r="E4795">
        <v>1</v>
      </c>
      <c r="F4795" t="str">
        <f>"06-I22-02"</f>
        <v>06-I22-02</v>
      </c>
      <c r="G4795">
        <v>0.41810000000000003</v>
      </c>
      <c r="H4795" t="s">
        <v>12</v>
      </c>
      <c r="I4795" t="s">
        <v>10</v>
      </c>
    </row>
    <row r="4796" spans="1:9" x14ac:dyDescent="0.25">
      <c r="A4796" t="str">
        <f t="shared" si="115"/>
        <v>89301000</v>
      </c>
      <c r="B4796" t="str">
        <f>"466206437"</f>
        <v>466206437</v>
      </c>
      <c r="C4796" s="1">
        <v>45000</v>
      </c>
      <c r="D4796" s="1">
        <v>45003</v>
      </c>
      <c r="E4796">
        <v>1</v>
      </c>
      <c r="F4796" t="str">
        <f>"11-M03-02"</f>
        <v>11-M03-02</v>
      </c>
      <c r="G4796">
        <v>1.4410000000000001</v>
      </c>
      <c r="H4796" t="s">
        <v>12</v>
      </c>
      <c r="I4796" t="s">
        <v>10</v>
      </c>
    </row>
    <row r="4797" spans="1:9" x14ac:dyDescent="0.25">
      <c r="A4797" t="str">
        <f t="shared" si="115"/>
        <v>89301000</v>
      </c>
      <c r="B4797" t="str">
        <f>"466209451"</f>
        <v>466209451</v>
      </c>
      <c r="C4797" s="1">
        <v>45203</v>
      </c>
      <c r="D4797" s="1">
        <v>45208</v>
      </c>
      <c r="E4797">
        <v>1</v>
      </c>
      <c r="F4797" t="str">
        <f>"05-M06-06"</f>
        <v>05-M06-06</v>
      </c>
      <c r="G4797">
        <v>1.8264</v>
      </c>
      <c r="H4797" t="s">
        <v>12</v>
      </c>
      <c r="I4797" t="s">
        <v>10</v>
      </c>
    </row>
    <row r="4798" spans="1:9" x14ac:dyDescent="0.25">
      <c r="A4798" t="str">
        <f t="shared" si="115"/>
        <v>89301000</v>
      </c>
      <c r="B4798" t="str">
        <f>"466211443"</f>
        <v>466211443</v>
      </c>
      <c r="C4798" s="1">
        <v>45043</v>
      </c>
      <c r="D4798" s="1">
        <v>45050</v>
      </c>
      <c r="E4798">
        <v>1</v>
      </c>
      <c r="F4798" t="str">
        <f>"05-D01-06"</f>
        <v>05-D01-06</v>
      </c>
      <c r="G4798">
        <v>0.7571</v>
      </c>
      <c r="H4798" t="s">
        <v>11</v>
      </c>
      <c r="I4798" t="s">
        <v>10</v>
      </c>
    </row>
    <row r="4799" spans="1:9" x14ac:dyDescent="0.25">
      <c r="A4799" t="str">
        <f t="shared" si="115"/>
        <v>89301000</v>
      </c>
      <c r="B4799" t="str">
        <f>"466213438"</f>
        <v>466213438</v>
      </c>
      <c r="C4799" s="1">
        <v>45007</v>
      </c>
      <c r="D4799" s="1">
        <v>45016</v>
      </c>
      <c r="E4799">
        <v>1</v>
      </c>
      <c r="F4799" t="str">
        <f>"04-K02-04"</f>
        <v>04-K02-04</v>
      </c>
      <c r="G4799">
        <v>0.82099999999999995</v>
      </c>
      <c r="H4799" t="s">
        <v>11</v>
      </c>
      <c r="I4799" t="s">
        <v>10</v>
      </c>
    </row>
    <row r="4800" spans="1:9" x14ac:dyDescent="0.25">
      <c r="A4800" t="str">
        <f t="shared" si="115"/>
        <v>89301000</v>
      </c>
      <c r="B4800" t="str">
        <f>"466214454"</f>
        <v>466214454</v>
      </c>
      <c r="C4800" s="1">
        <v>44942</v>
      </c>
      <c r="D4800" s="1">
        <v>44946</v>
      </c>
      <c r="E4800">
        <v>1</v>
      </c>
      <c r="F4800" t="str">
        <f>"05-K13-02"</f>
        <v>05-K13-02</v>
      </c>
      <c r="G4800">
        <v>0.57220000000000004</v>
      </c>
      <c r="H4800" t="s">
        <v>11</v>
      </c>
      <c r="I4800" t="s">
        <v>10</v>
      </c>
    </row>
    <row r="4801" spans="1:9" x14ac:dyDescent="0.25">
      <c r="A4801" t="str">
        <f t="shared" si="115"/>
        <v>89301000</v>
      </c>
      <c r="B4801" t="str">
        <f>"466218096"</f>
        <v>466218096</v>
      </c>
      <c r="C4801" s="1">
        <v>44995</v>
      </c>
      <c r="D4801" s="1">
        <v>44996</v>
      </c>
      <c r="E4801">
        <v>1</v>
      </c>
      <c r="F4801" t="str">
        <f>"05-D01-08"</f>
        <v>05-D01-08</v>
      </c>
      <c r="G4801">
        <v>0.43159999999999998</v>
      </c>
      <c r="H4801" t="s">
        <v>11</v>
      </c>
      <c r="I4801" t="s">
        <v>10</v>
      </c>
    </row>
    <row r="4802" spans="1:9" x14ac:dyDescent="0.25">
      <c r="A4802" t="str">
        <f t="shared" si="115"/>
        <v>89301000</v>
      </c>
      <c r="B4802" t="str">
        <f>"466222436"</f>
        <v>466222436</v>
      </c>
      <c r="C4802" s="1">
        <v>45231</v>
      </c>
      <c r="D4802" s="1">
        <v>45239</v>
      </c>
      <c r="E4802">
        <v>1</v>
      </c>
      <c r="F4802" t="str">
        <f>"11-M05-02"</f>
        <v>11-M05-02</v>
      </c>
      <c r="G4802">
        <v>0.84570000000000001</v>
      </c>
      <c r="H4802" t="s">
        <v>12</v>
      </c>
      <c r="I4802" t="s">
        <v>10</v>
      </c>
    </row>
    <row r="4803" spans="1:9" x14ac:dyDescent="0.25">
      <c r="A4803" t="str">
        <f t="shared" si="115"/>
        <v>89301000</v>
      </c>
      <c r="B4803" t="str">
        <f>"466225438"</f>
        <v>466225438</v>
      </c>
      <c r="C4803" s="1">
        <v>45171</v>
      </c>
      <c r="D4803" s="1">
        <v>45181</v>
      </c>
      <c r="E4803">
        <v>4</v>
      </c>
      <c r="F4803" t="str">
        <f>"08-I05-02"</f>
        <v>08-I05-02</v>
      </c>
      <c r="G4803">
        <v>4.0979000000000001</v>
      </c>
      <c r="H4803" t="s">
        <v>12</v>
      </c>
      <c r="I4803" t="s">
        <v>10</v>
      </c>
    </row>
    <row r="4804" spans="1:9" x14ac:dyDescent="0.25">
      <c r="A4804" t="str">
        <f t="shared" si="115"/>
        <v>89301000</v>
      </c>
      <c r="B4804" t="str">
        <f>"466226437"</f>
        <v>466226437</v>
      </c>
      <c r="C4804" s="1">
        <v>45173</v>
      </c>
      <c r="D4804" s="1">
        <v>45182</v>
      </c>
      <c r="E4804">
        <v>4</v>
      </c>
      <c r="F4804" t="str">
        <f>"08-I05-02"</f>
        <v>08-I05-02</v>
      </c>
      <c r="G4804">
        <v>3.5173999999999999</v>
      </c>
      <c r="H4804" t="s">
        <v>12</v>
      </c>
      <c r="I4804" t="s">
        <v>10</v>
      </c>
    </row>
    <row r="4805" spans="1:9" x14ac:dyDescent="0.25">
      <c r="A4805" t="str">
        <f t="shared" si="115"/>
        <v>89301000</v>
      </c>
      <c r="B4805" t="str">
        <f>"466228444"</f>
        <v>466228444</v>
      </c>
      <c r="C4805" s="1">
        <v>45138</v>
      </c>
      <c r="D4805" s="1">
        <v>45139</v>
      </c>
      <c r="E4805">
        <v>1</v>
      </c>
      <c r="F4805" t="str">
        <f>"05-D01-08"</f>
        <v>05-D01-08</v>
      </c>
      <c r="G4805">
        <v>0.43159999999999998</v>
      </c>
      <c r="H4805" t="s">
        <v>11</v>
      </c>
      <c r="I4805" t="s">
        <v>10</v>
      </c>
    </row>
    <row r="4806" spans="1:9" x14ac:dyDescent="0.25">
      <c r="A4806" t="str">
        <f t="shared" si="115"/>
        <v>89301000</v>
      </c>
      <c r="B4806" t="str">
        <f>"470102440"</f>
        <v>470102440</v>
      </c>
      <c r="C4806" s="1">
        <v>44939</v>
      </c>
      <c r="D4806" s="1">
        <v>44940</v>
      </c>
      <c r="E4806">
        <v>1</v>
      </c>
      <c r="F4806" t="str">
        <f>"12-I14-00"</f>
        <v>12-I14-00</v>
      </c>
      <c r="G4806">
        <v>0.42920000000000003</v>
      </c>
      <c r="H4806" t="s">
        <v>11</v>
      </c>
      <c r="I4806" t="s">
        <v>10</v>
      </c>
    </row>
    <row r="4807" spans="1:9" x14ac:dyDescent="0.25">
      <c r="A4807" t="str">
        <f t="shared" si="115"/>
        <v>89301000</v>
      </c>
      <c r="B4807" t="str">
        <f>"470117403"</f>
        <v>470117403</v>
      </c>
      <c r="C4807" s="1">
        <v>45215</v>
      </c>
      <c r="D4807" s="1">
        <v>45236</v>
      </c>
      <c r="E4807">
        <v>4</v>
      </c>
      <c r="F4807" t="str">
        <f>"04-K09-02"</f>
        <v>04-K09-02</v>
      </c>
      <c r="G4807">
        <v>1.3021</v>
      </c>
      <c r="H4807" t="s">
        <v>11</v>
      </c>
      <c r="I4807" t="s">
        <v>10</v>
      </c>
    </row>
    <row r="4808" spans="1:9" x14ac:dyDescent="0.25">
      <c r="A4808" t="str">
        <f t="shared" si="115"/>
        <v>89301000</v>
      </c>
      <c r="B4808" t="str">
        <f>"470127402"</f>
        <v>470127402</v>
      </c>
      <c r="C4808" s="1">
        <v>45021</v>
      </c>
      <c r="D4808" s="1">
        <v>45029</v>
      </c>
      <c r="E4808">
        <v>1</v>
      </c>
      <c r="F4808" t="str">
        <f>"08-K08-00"</f>
        <v>08-K08-00</v>
      </c>
      <c r="G4808">
        <v>0.5272</v>
      </c>
      <c r="H4808" t="s">
        <v>11</v>
      </c>
      <c r="I4808" t="s">
        <v>10</v>
      </c>
    </row>
    <row r="4809" spans="1:9" x14ac:dyDescent="0.25">
      <c r="A4809" t="str">
        <f t="shared" si="115"/>
        <v>89301000</v>
      </c>
      <c r="B4809" t="str">
        <f>"470127402"</f>
        <v>470127402</v>
      </c>
      <c r="C4809" s="1">
        <v>45204</v>
      </c>
      <c r="D4809" s="1">
        <v>45207</v>
      </c>
      <c r="E4809">
        <v>1</v>
      </c>
      <c r="F4809" t="str">
        <f>"08-I03-08"</f>
        <v>08-I03-08</v>
      </c>
      <c r="G4809">
        <v>1.9455</v>
      </c>
      <c r="H4809" t="s">
        <v>9</v>
      </c>
      <c r="I4809" t="s">
        <v>10</v>
      </c>
    </row>
    <row r="4810" spans="1:9" x14ac:dyDescent="0.25">
      <c r="A4810" t="str">
        <f t="shared" si="115"/>
        <v>89301000</v>
      </c>
      <c r="B4810" t="str">
        <f>"470127462"</f>
        <v>470127462</v>
      </c>
      <c r="C4810" s="1">
        <v>44930</v>
      </c>
      <c r="D4810" s="1">
        <v>44935</v>
      </c>
      <c r="E4810">
        <v>1</v>
      </c>
      <c r="F4810" t="str">
        <f>"04-K09-02"</f>
        <v>04-K09-02</v>
      </c>
      <c r="G4810">
        <v>1.155</v>
      </c>
      <c r="H4810" t="s">
        <v>11</v>
      </c>
      <c r="I4810" t="s">
        <v>10</v>
      </c>
    </row>
    <row r="4811" spans="1:9" x14ac:dyDescent="0.25">
      <c r="A4811" t="str">
        <f t="shared" si="115"/>
        <v>89301000</v>
      </c>
      <c r="B4811" t="str">
        <f>"470127462"</f>
        <v>470127462</v>
      </c>
      <c r="C4811" s="1">
        <v>45230</v>
      </c>
      <c r="D4811" s="1">
        <v>45243</v>
      </c>
      <c r="E4811">
        <v>1</v>
      </c>
      <c r="F4811" t="str">
        <f>"04-K09-02"</f>
        <v>04-K09-02</v>
      </c>
      <c r="G4811">
        <v>1.2297</v>
      </c>
      <c r="H4811" t="s">
        <v>11</v>
      </c>
      <c r="I4811" t="s">
        <v>10</v>
      </c>
    </row>
    <row r="4812" spans="1:9" x14ac:dyDescent="0.25">
      <c r="A4812" t="str">
        <f t="shared" si="115"/>
        <v>89301000</v>
      </c>
      <c r="B4812" t="str">
        <f>"470129423"</f>
        <v>470129423</v>
      </c>
      <c r="C4812" s="1">
        <v>44984</v>
      </c>
      <c r="D4812" s="1">
        <v>44992</v>
      </c>
      <c r="E4812">
        <v>1</v>
      </c>
      <c r="F4812" t="str">
        <f>"05-M09-00"</f>
        <v>05-M09-00</v>
      </c>
      <c r="G4812">
        <v>1.3347</v>
      </c>
      <c r="H4812" t="s">
        <v>11</v>
      </c>
      <c r="I4812" t="s">
        <v>10</v>
      </c>
    </row>
    <row r="4813" spans="1:9" x14ac:dyDescent="0.25">
      <c r="A4813" t="str">
        <f t="shared" si="115"/>
        <v>89301000</v>
      </c>
      <c r="B4813" t="str">
        <f>"470131428"</f>
        <v>470131428</v>
      </c>
      <c r="C4813" s="1">
        <v>45245</v>
      </c>
      <c r="D4813" s="1">
        <v>45252</v>
      </c>
      <c r="E4813">
        <v>1</v>
      </c>
      <c r="F4813" t="str">
        <f>"04-K06-03"</f>
        <v>04-K06-03</v>
      </c>
      <c r="G4813">
        <v>0.62519999999999998</v>
      </c>
      <c r="H4813" t="s">
        <v>11</v>
      </c>
      <c r="I4813" t="s">
        <v>10</v>
      </c>
    </row>
    <row r="4814" spans="1:9" x14ac:dyDescent="0.25">
      <c r="A4814" t="str">
        <f t="shared" si="115"/>
        <v>89301000</v>
      </c>
      <c r="B4814" t="str">
        <f>"470206405"</f>
        <v>470206405</v>
      </c>
      <c r="C4814" s="1">
        <v>45190</v>
      </c>
      <c r="D4814" s="1">
        <v>45196</v>
      </c>
      <c r="E4814">
        <v>1</v>
      </c>
      <c r="F4814" t="str">
        <f>"08-K08-00"</f>
        <v>08-K08-00</v>
      </c>
      <c r="G4814">
        <v>0.5272</v>
      </c>
      <c r="H4814" t="s">
        <v>11</v>
      </c>
      <c r="I4814" t="s">
        <v>10</v>
      </c>
    </row>
    <row r="4815" spans="1:9" x14ac:dyDescent="0.25">
      <c r="A4815" t="str">
        <f t="shared" si="115"/>
        <v>89301000</v>
      </c>
      <c r="B4815" t="str">
        <f>"470206405"</f>
        <v>470206405</v>
      </c>
      <c r="C4815" s="1">
        <v>45022</v>
      </c>
      <c r="D4815" s="1">
        <v>45030</v>
      </c>
      <c r="E4815">
        <v>1</v>
      </c>
      <c r="F4815" t="str">
        <f>"08-K08-00"</f>
        <v>08-K08-00</v>
      </c>
      <c r="G4815">
        <v>0.54790000000000005</v>
      </c>
      <c r="H4815" t="s">
        <v>11</v>
      </c>
      <c r="I4815" t="s">
        <v>10</v>
      </c>
    </row>
    <row r="4816" spans="1:9" x14ac:dyDescent="0.25">
      <c r="A4816" t="str">
        <f t="shared" si="115"/>
        <v>89301000</v>
      </c>
      <c r="B4816" t="str">
        <f>"470206422"</f>
        <v>470206422</v>
      </c>
      <c r="C4816" s="1">
        <v>45040</v>
      </c>
      <c r="D4816" s="1">
        <v>45048</v>
      </c>
      <c r="E4816">
        <v>1</v>
      </c>
      <c r="F4816" t="str">
        <f>"04-K06-03"</f>
        <v>04-K06-03</v>
      </c>
      <c r="G4816">
        <v>0.62519999999999998</v>
      </c>
      <c r="H4816" t="s">
        <v>11</v>
      </c>
      <c r="I4816" t="s">
        <v>10</v>
      </c>
    </row>
    <row r="4817" spans="1:9" x14ac:dyDescent="0.25">
      <c r="A4817" t="str">
        <f t="shared" si="115"/>
        <v>89301000</v>
      </c>
      <c r="B4817" t="str">
        <f>"470206422"</f>
        <v>470206422</v>
      </c>
      <c r="C4817" s="1">
        <v>45098</v>
      </c>
      <c r="D4817" s="1">
        <v>45100</v>
      </c>
      <c r="E4817">
        <v>1</v>
      </c>
      <c r="F4817" t="str">
        <f>"04-K07-03"</f>
        <v>04-K07-03</v>
      </c>
      <c r="G4817">
        <v>0.61119999999999997</v>
      </c>
      <c r="H4817" t="s">
        <v>11</v>
      </c>
      <c r="I4817" t="s">
        <v>10</v>
      </c>
    </row>
    <row r="4818" spans="1:9" x14ac:dyDescent="0.25">
      <c r="A4818" t="str">
        <f t="shared" si="115"/>
        <v>89301000</v>
      </c>
      <c r="B4818" t="str">
        <f>"470209456"</f>
        <v>470209456</v>
      </c>
      <c r="C4818" s="1">
        <v>45206</v>
      </c>
      <c r="D4818" s="1">
        <v>45251</v>
      </c>
      <c r="E4818">
        <v>1</v>
      </c>
      <c r="F4818" t="str">
        <f>"05-K07-04"</f>
        <v>05-K07-04</v>
      </c>
      <c r="G4818">
        <v>3.0286</v>
      </c>
      <c r="H4818" t="s">
        <v>11</v>
      </c>
      <c r="I4818" t="s">
        <v>10</v>
      </c>
    </row>
    <row r="4819" spans="1:9" x14ac:dyDescent="0.25">
      <c r="A4819" t="str">
        <f t="shared" si="115"/>
        <v>89301000</v>
      </c>
      <c r="B4819" t="str">
        <f>"470215401"</f>
        <v>470215401</v>
      </c>
      <c r="C4819" s="1">
        <v>44965</v>
      </c>
      <c r="D4819" s="1">
        <v>44966</v>
      </c>
      <c r="E4819">
        <v>1</v>
      </c>
      <c r="F4819" t="str">
        <f>"02-I13-02"</f>
        <v>02-I13-02</v>
      </c>
      <c r="G4819">
        <v>0.4259</v>
      </c>
      <c r="H4819" t="s">
        <v>11</v>
      </c>
      <c r="I4819" t="s">
        <v>10</v>
      </c>
    </row>
    <row r="4820" spans="1:9" x14ac:dyDescent="0.25">
      <c r="A4820" t="str">
        <f t="shared" si="115"/>
        <v>89301000</v>
      </c>
      <c r="B4820" t="str">
        <f>"470215407"</f>
        <v>470215407</v>
      </c>
      <c r="C4820" s="1">
        <v>45138</v>
      </c>
      <c r="D4820" s="1">
        <v>45145</v>
      </c>
      <c r="E4820">
        <v>1</v>
      </c>
      <c r="F4820" t="str">
        <f>"01-C01-01"</f>
        <v>01-C01-01</v>
      </c>
      <c r="G4820">
        <v>5.9936999999999996</v>
      </c>
      <c r="H4820" t="s">
        <v>11</v>
      </c>
      <c r="I4820" t="s">
        <v>10</v>
      </c>
    </row>
    <row r="4821" spans="1:9" x14ac:dyDescent="0.25">
      <c r="A4821" t="str">
        <f t="shared" si="115"/>
        <v>89301000</v>
      </c>
      <c r="B4821" t="str">
        <f>"470216412"</f>
        <v>470216412</v>
      </c>
      <c r="C4821" s="1">
        <v>45244</v>
      </c>
      <c r="D4821" s="1">
        <v>45253</v>
      </c>
      <c r="E4821">
        <v>4</v>
      </c>
      <c r="F4821" t="str">
        <f>"24-M06-01"</f>
        <v>24-M06-01</v>
      </c>
      <c r="G4821">
        <v>1.1990000000000001</v>
      </c>
      <c r="H4821" t="s">
        <v>11</v>
      </c>
      <c r="I4821" t="s">
        <v>10</v>
      </c>
    </row>
    <row r="4822" spans="1:9" x14ac:dyDescent="0.25">
      <c r="A4822" t="str">
        <f t="shared" si="115"/>
        <v>89301000</v>
      </c>
      <c r="B4822" t="str">
        <f>"470217404"</f>
        <v>470217404</v>
      </c>
      <c r="C4822" s="1">
        <v>45006</v>
      </c>
      <c r="D4822" s="1">
        <v>45007</v>
      </c>
      <c r="E4822">
        <v>1</v>
      </c>
      <c r="F4822" t="str">
        <f>"05-I14-04"</f>
        <v>05-I14-04</v>
      </c>
      <c r="G4822">
        <v>5.2220000000000004</v>
      </c>
      <c r="H4822" t="s">
        <v>12</v>
      </c>
      <c r="I4822" t="s">
        <v>10</v>
      </c>
    </row>
    <row r="4823" spans="1:9" x14ac:dyDescent="0.25">
      <c r="A4823" t="str">
        <f t="shared" si="115"/>
        <v>89301000</v>
      </c>
      <c r="B4823" t="str">
        <f>"470220151"</f>
        <v>470220151</v>
      </c>
      <c r="C4823" s="1">
        <v>45058</v>
      </c>
      <c r="D4823" s="1">
        <v>45075</v>
      </c>
      <c r="E4823">
        <v>1</v>
      </c>
      <c r="F4823" t="str">
        <f>"16-K02-02"</f>
        <v>16-K02-02</v>
      </c>
      <c r="G4823">
        <v>1.0165</v>
      </c>
      <c r="H4823" t="s">
        <v>11</v>
      </c>
      <c r="I4823" t="s">
        <v>10</v>
      </c>
    </row>
    <row r="4824" spans="1:9" x14ac:dyDescent="0.25">
      <c r="A4824" t="str">
        <f t="shared" si="115"/>
        <v>89301000</v>
      </c>
      <c r="B4824" t="str">
        <f>"470220151"</f>
        <v>470220151</v>
      </c>
      <c r="C4824" s="1">
        <v>45152</v>
      </c>
      <c r="D4824" s="1">
        <v>45183</v>
      </c>
      <c r="E4824">
        <v>4</v>
      </c>
      <c r="F4824" t="str">
        <f>"08-I05-05"</f>
        <v>08-I05-05</v>
      </c>
      <c r="G4824">
        <v>3.8449</v>
      </c>
      <c r="H4824" t="s">
        <v>12</v>
      </c>
      <c r="I4824" t="s">
        <v>10</v>
      </c>
    </row>
    <row r="4825" spans="1:9" x14ac:dyDescent="0.25">
      <c r="A4825" t="str">
        <f t="shared" si="115"/>
        <v>89301000</v>
      </c>
      <c r="B4825" t="str">
        <f>"470220151"</f>
        <v>470220151</v>
      </c>
      <c r="C4825" s="1">
        <v>45036</v>
      </c>
      <c r="D4825" s="1">
        <v>45055</v>
      </c>
      <c r="E4825">
        <v>1</v>
      </c>
      <c r="F4825" t="str">
        <f>"07-K11-03"</f>
        <v>07-K11-03</v>
      </c>
      <c r="G4825">
        <v>0.94789999999999996</v>
      </c>
      <c r="H4825" t="s">
        <v>11</v>
      </c>
      <c r="I4825" t="s">
        <v>10</v>
      </c>
    </row>
    <row r="4826" spans="1:9" x14ac:dyDescent="0.25">
      <c r="A4826" t="str">
        <f t="shared" si="115"/>
        <v>89301000</v>
      </c>
      <c r="B4826" t="str">
        <f>"470220151"</f>
        <v>470220151</v>
      </c>
      <c r="C4826" s="1">
        <v>44930</v>
      </c>
      <c r="D4826" s="1">
        <v>44935</v>
      </c>
      <c r="E4826">
        <v>1</v>
      </c>
      <c r="F4826" t="str">
        <f>"16-K02-01"</f>
        <v>16-K02-01</v>
      </c>
      <c r="G4826">
        <v>1.3922000000000001</v>
      </c>
      <c r="H4826" t="s">
        <v>11</v>
      </c>
      <c r="I4826" t="s">
        <v>10</v>
      </c>
    </row>
    <row r="4827" spans="1:9" x14ac:dyDescent="0.25">
      <c r="A4827" t="str">
        <f t="shared" ref="A4827:A4889" si="116">"89301000"</f>
        <v>89301000</v>
      </c>
      <c r="B4827" t="str">
        <f>"470221406"</f>
        <v>470221406</v>
      </c>
      <c r="C4827" s="1">
        <v>45048</v>
      </c>
      <c r="D4827" s="1">
        <v>45051</v>
      </c>
      <c r="E4827">
        <v>1</v>
      </c>
      <c r="F4827" t="str">
        <f>"11-M06-03"</f>
        <v>11-M06-03</v>
      </c>
      <c r="G4827">
        <v>0.62009999999999998</v>
      </c>
      <c r="H4827" t="s">
        <v>12</v>
      </c>
      <c r="I4827" t="s">
        <v>10</v>
      </c>
    </row>
    <row r="4828" spans="1:9" x14ac:dyDescent="0.25">
      <c r="A4828" t="str">
        <f t="shared" si="116"/>
        <v>89301000</v>
      </c>
      <c r="B4828" t="str">
        <f>"470221484"</f>
        <v>470221484</v>
      </c>
      <c r="C4828" s="1">
        <v>44983</v>
      </c>
      <c r="D4828" s="1">
        <v>44985</v>
      </c>
      <c r="E4828">
        <v>1</v>
      </c>
      <c r="F4828" t="str">
        <f>"05-I14-03"</f>
        <v>05-I14-03</v>
      </c>
      <c r="G4828">
        <v>6.0362</v>
      </c>
      <c r="H4828" t="s">
        <v>12</v>
      </c>
      <c r="I4828" t="s">
        <v>10</v>
      </c>
    </row>
    <row r="4829" spans="1:9" x14ac:dyDescent="0.25">
      <c r="A4829" t="str">
        <f t="shared" si="116"/>
        <v>89301000</v>
      </c>
      <c r="B4829" t="str">
        <f>"470225492"</f>
        <v>470225492</v>
      </c>
      <c r="C4829" s="1">
        <v>45075</v>
      </c>
      <c r="D4829" s="1">
        <v>45080</v>
      </c>
      <c r="E4829">
        <v>1</v>
      </c>
      <c r="F4829" t="str">
        <f>"11-M06-02"</f>
        <v>11-M06-02</v>
      </c>
      <c r="G4829">
        <v>0.86240000000000006</v>
      </c>
      <c r="H4829" t="s">
        <v>12</v>
      </c>
      <c r="I4829" t="s">
        <v>10</v>
      </c>
    </row>
    <row r="4830" spans="1:9" x14ac:dyDescent="0.25">
      <c r="A4830" t="str">
        <f t="shared" si="116"/>
        <v>89301000</v>
      </c>
      <c r="B4830" t="str">
        <f>"470225492"</f>
        <v>470225492</v>
      </c>
      <c r="C4830" s="1">
        <v>45273</v>
      </c>
      <c r="D4830" s="1">
        <v>45279</v>
      </c>
      <c r="E4830">
        <v>1</v>
      </c>
      <c r="F4830" t="str">
        <f>"11-K01-04"</f>
        <v>11-K01-04</v>
      </c>
      <c r="G4830">
        <v>0.57130000000000003</v>
      </c>
      <c r="H4830" t="s">
        <v>11</v>
      </c>
      <c r="I4830" t="s">
        <v>10</v>
      </c>
    </row>
    <row r="4831" spans="1:9" x14ac:dyDescent="0.25">
      <c r="A4831" t="str">
        <f t="shared" si="116"/>
        <v>89301000</v>
      </c>
      <c r="B4831" t="str">
        <f>"470306403"</f>
        <v>470306403</v>
      </c>
      <c r="C4831" s="1">
        <v>45211</v>
      </c>
      <c r="D4831" s="1">
        <v>45213</v>
      </c>
      <c r="E4831">
        <v>1</v>
      </c>
      <c r="F4831" t="str">
        <f>"05-I14-02"</f>
        <v>05-I14-02</v>
      </c>
      <c r="G4831">
        <v>6.4595000000000002</v>
      </c>
      <c r="H4831" t="s">
        <v>12</v>
      </c>
      <c r="I4831" t="s">
        <v>10</v>
      </c>
    </row>
    <row r="4832" spans="1:9" x14ac:dyDescent="0.25">
      <c r="A4832" t="str">
        <f t="shared" si="116"/>
        <v>89301000</v>
      </c>
      <c r="B4832" t="str">
        <f>"470306406"</f>
        <v>470306406</v>
      </c>
      <c r="C4832" s="1">
        <v>45158</v>
      </c>
      <c r="D4832" s="1">
        <v>45160</v>
      </c>
      <c r="E4832">
        <v>1</v>
      </c>
      <c r="F4832" t="str">
        <f>"05-I14-04"</f>
        <v>05-I14-04</v>
      </c>
      <c r="G4832">
        <v>5.2220000000000004</v>
      </c>
      <c r="H4832" t="s">
        <v>12</v>
      </c>
      <c r="I4832" t="s">
        <v>10</v>
      </c>
    </row>
    <row r="4833" spans="1:9" x14ac:dyDescent="0.25">
      <c r="A4833" t="str">
        <f t="shared" si="116"/>
        <v>89301000</v>
      </c>
      <c r="B4833" t="str">
        <f>"470306406"</f>
        <v>470306406</v>
      </c>
      <c r="C4833" s="1">
        <v>45142</v>
      </c>
      <c r="D4833" s="1">
        <v>45143</v>
      </c>
      <c r="E4833">
        <v>1</v>
      </c>
      <c r="F4833" t="str">
        <f>"05-D01-06"</f>
        <v>05-D01-06</v>
      </c>
      <c r="G4833">
        <v>0.7571</v>
      </c>
      <c r="H4833" t="s">
        <v>11</v>
      </c>
      <c r="I4833" t="s">
        <v>10</v>
      </c>
    </row>
    <row r="4834" spans="1:9" x14ac:dyDescent="0.25">
      <c r="A4834" t="str">
        <f t="shared" si="116"/>
        <v>89301000</v>
      </c>
      <c r="B4834" t="str">
        <f>"470306408"</f>
        <v>470306408</v>
      </c>
      <c r="C4834" s="1">
        <v>45220</v>
      </c>
      <c r="D4834" s="1">
        <v>45224</v>
      </c>
      <c r="E4834">
        <v>1</v>
      </c>
      <c r="F4834" t="str">
        <f>"08-M03-05"</f>
        <v>08-M03-05</v>
      </c>
      <c r="G4834">
        <v>0.46810000000000002</v>
      </c>
      <c r="H4834" t="s">
        <v>11</v>
      </c>
      <c r="I4834" t="s">
        <v>10</v>
      </c>
    </row>
    <row r="4835" spans="1:9" x14ac:dyDescent="0.25">
      <c r="A4835" t="str">
        <f t="shared" si="116"/>
        <v>89301000</v>
      </c>
      <c r="B4835" t="str">
        <f>"470308013"</f>
        <v>470308013</v>
      </c>
      <c r="C4835" s="1">
        <v>44914</v>
      </c>
      <c r="D4835" s="1">
        <v>44937</v>
      </c>
      <c r="E4835">
        <v>1</v>
      </c>
      <c r="F4835" t="str">
        <f>"04-R02-05"</f>
        <v>04-R02-05</v>
      </c>
      <c r="G4835">
        <v>2.2791000000000001</v>
      </c>
      <c r="H4835" t="s">
        <v>11</v>
      </c>
      <c r="I4835" t="s">
        <v>10</v>
      </c>
    </row>
    <row r="4836" spans="1:9" x14ac:dyDescent="0.25">
      <c r="A4836" t="str">
        <f t="shared" si="116"/>
        <v>89301000</v>
      </c>
      <c r="B4836" t="str">
        <f>"470308436"</f>
        <v>470308436</v>
      </c>
      <c r="C4836" s="1">
        <v>45167</v>
      </c>
      <c r="D4836" s="1">
        <v>45189</v>
      </c>
      <c r="E4836">
        <v>5</v>
      </c>
      <c r="F4836" t="str">
        <f>"04-K05-03"</f>
        <v>04-K05-03</v>
      </c>
      <c r="G4836">
        <v>1.5515000000000001</v>
      </c>
      <c r="H4836" t="s">
        <v>11</v>
      </c>
      <c r="I4836" t="s">
        <v>10</v>
      </c>
    </row>
    <row r="4837" spans="1:9" x14ac:dyDescent="0.25">
      <c r="A4837" t="str">
        <f t="shared" si="116"/>
        <v>89301000</v>
      </c>
      <c r="B4837" t="str">
        <f>"470308436"</f>
        <v>470308436</v>
      </c>
      <c r="C4837" s="1">
        <v>45156</v>
      </c>
      <c r="D4837" s="1">
        <v>45163</v>
      </c>
      <c r="E4837">
        <v>1</v>
      </c>
      <c r="F4837" t="str">
        <f>"11-K14-03"</f>
        <v>11-K14-03</v>
      </c>
      <c r="G4837">
        <v>0.35780000000000001</v>
      </c>
      <c r="H4837" t="s">
        <v>11</v>
      </c>
      <c r="I4837" t="s">
        <v>10</v>
      </c>
    </row>
    <row r="4838" spans="1:9" x14ac:dyDescent="0.25">
      <c r="A4838" t="str">
        <f t="shared" si="116"/>
        <v>89301000</v>
      </c>
      <c r="B4838" t="str">
        <f>"470308436"</f>
        <v>470308436</v>
      </c>
      <c r="C4838" s="1">
        <v>45147</v>
      </c>
      <c r="D4838" s="1">
        <v>45153</v>
      </c>
      <c r="E4838">
        <v>1</v>
      </c>
      <c r="F4838" t="str">
        <f>"12-M02-01"</f>
        <v>12-M02-01</v>
      </c>
      <c r="G4838">
        <v>1.2426999999999999</v>
      </c>
      <c r="H4838" t="s">
        <v>9</v>
      </c>
      <c r="I4838" t="s">
        <v>10</v>
      </c>
    </row>
    <row r="4839" spans="1:9" x14ac:dyDescent="0.25">
      <c r="A4839" t="str">
        <f t="shared" si="116"/>
        <v>89301000</v>
      </c>
      <c r="B4839" t="str">
        <f>"470311409"</f>
        <v>470311409</v>
      </c>
      <c r="C4839" s="1">
        <v>45272</v>
      </c>
      <c r="D4839" s="1">
        <v>45278</v>
      </c>
      <c r="E4839">
        <v>1</v>
      </c>
      <c r="F4839" t="str">
        <f>"05-I24-04"</f>
        <v>05-I24-04</v>
      </c>
      <c r="G4839">
        <v>2.1032000000000002</v>
      </c>
      <c r="H4839" t="s">
        <v>12</v>
      </c>
      <c r="I4839" t="s">
        <v>10</v>
      </c>
    </row>
    <row r="4840" spans="1:9" x14ac:dyDescent="0.25">
      <c r="A4840" t="str">
        <f t="shared" si="116"/>
        <v>89301000</v>
      </c>
      <c r="B4840" t="str">
        <f>"470314481"</f>
        <v>470314481</v>
      </c>
      <c r="C4840" s="1">
        <v>44958</v>
      </c>
      <c r="D4840" s="1">
        <v>44961</v>
      </c>
      <c r="E4840">
        <v>1</v>
      </c>
      <c r="F4840" t="str">
        <f>"05-M07-04"</f>
        <v>05-M07-04</v>
      </c>
      <c r="G4840">
        <v>1.7763</v>
      </c>
      <c r="H4840" t="s">
        <v>12</v>
      </c>
      <c r="I4840" t="s">
        <v>10</v>
      </c>
    </row>
    <row r="4841" spans="1:9" x14ac:dyDescent="0.25">
      <c r="A4841" t="str">
        <f t="shared" si="116"/>
        <v>89301000</v>
      </c>
      <c r="B4841" t="str">
        <f>"470315494"</f>
        <v>470315494</v>
      </c>
      <c r="C4841" s="1">
        <v>44934</v>
      </c>
      <c r="D4841" s="1">
        <v>44936</v>
      </c>
      <c r="E4841">
        <v>4</v>
      </c>
      <c r="F4841" t="str">
        <f>"08-K11-02"</f>
        <v>08-K11-02</v>
      </c>
      <c r="G4841">
        <v>0.57040000000000002</v>
      </c>
      <c r="H4841" t="s">
        <v>11</v>
      </c>
      <c r="I4841" t="s">
        <v>10</v>
      </c>
    </row>
    <row r="4842" spans="1:9" x14ac:dyDescent="0.25">
      <c r="A4842" t="str">
        <f t="shared" si="116"/>
        <v>89301000</v>
      </c>
      <c r="B4842" t="str">
        <f>"470317404"</f>
        <v>470317404</v>
      </c>
      <c r="C4842" s="1">
        <v>45201</v>
      </c>
      <c r="D4842" s="1">
        <v>45201</v>
      </c>
      <c r="E4842">
        <v>1</v>
      </c>
      <c r="F4842" t="str">
        <f>"05-M06-08"</f>
        <v>05-M06-08</v>
      </c>
      <c r="G4842">
        <v>1.1012</v>
      </c>
      <c r="H4842" t="s">
        <v>12</v>
      </c>
      <c r="I4842" t="s">
        <v>10</v>
      </c>
    </row>
    <row r="4843" spans="1:9" x14ac:dyDescent="0.25">
      <c r="A4843" t="str">
        <f t="shared" si="116"/>
        <v>89301000</v>
      </c>
      <c r="B4843" t="str">
        <f>"470318406"</f>
        <v>470318406</v>
      </c>
      <c r="C4843" s="1">
        <v>45054</v>
      </c>
      <c r="D4843" s="1">
        <v>45061</v>
      </c>
      <c r="E4843">
        <v>1</v>
      </c>
      <c r="F4843" t="str">
        <f>"05-I24-04"</f>
        <v>05-I24-04</v>
      </c>
      <c r="G4843">
        <v>2.1032000000000002</v>
      </c>
      <c r="H4843" t="s">
        <v>12</v>
      </c>
      <c r="I4843" t="s">
        <v>10</v>
      </c>
    </row>
    <row r="4844" spans="1:9" x14ac:dyDescent="0.25">
      <c r="A4844" t="str">
        <f t="shared" si="116"/>
        <v>89301000</v>
      </c>
      <c r="B4844" t="str">
        <f>"470318417"</f>
        <v>470318417</v>
      </c>
      <c r="C4844" s="1">
        <v>45028</v>
      </c>
      <c r="D4844" s="1">
        <v>45032</v>
      </c>
      <c r="E4844">
        <v>1</v>
      </c>
      <c r="F4844" t="str">
        <f>"11-M06-03"</f>
        <v>11-M06-03</v>
      </c>
      <c r="G4844">
        <v>0.62009999999999998</v>
      </c>
      <c r="H4844" t="s">
        <v>12</v>
      </c>
      <c r="I4844" t="s">
        <v>10</v>
      </c>
    </row>
    <row r="4845" spans="1:9" x14ac:dyDescent="0.25">
      <c r="A4845" t="str">
        <f t="shared" si="116"/>
        <v>89301000</v>
      </c>
      <c r="B4845" t="str">
        <f>"470322481"</f>
        <v>470322481</v>
      </c>
      <c r="C4845" s="1">
        <v>45020</v>
      </c>
      <c r="D4845" s="1">
        <v>45028</v>
      </c>
      <c r="E4845">
        <v>4</v>
      </c>
      <c r="F4845" t="str">
        <f>"08-I06-04"</f>
        <v>08-I06-04</v>
      </c>
      <c r="G4845">
        <v>2.4081000000000001</v>
      </c>
      <c r="H4845" t="s">
        <v>9</v>
      </c>
      <c r="I4845" t="s">
        <v>10</v>
      </c>
    </row>
    <row r="4846" spans="1:9" x14ac:dyDescent="0.25">
      <c r="A4846" t="str">
        <f t="shared" si="116"/>
        <v>89301000</v>
      </c>
      <c r="B4846" t="str">
        <f>"470325448"</f>
        <v>470325448</v>
      </c>
      <c r="C4846" s="1">
        <v>45236</v>
      </c>
      <c r="D4846" s="1">
        <v>45242</v>
      </c>
      <c r="E4846">
        <v>1</v>
      </c>
      <c r="F4846" t="str">
        <f>"08-I05-05"</f>
        <v>08-I05-05</v>
      </c>
      <c r="G4846">
        <v>2.2633000000000001</v>
      </c>
      <c r="H4846" t="s">
        <v>12</v>
      </c>
      <c r="I4846" t="s">
        <v>10</v>
      </c>
    </row>
    <row r="4847" spans="1:9" x14ac:dyDescent="0.25">
      <c r="A4847" t="str">
        <f t="shared" si="116"/>
        <v>89301000</v>
      </c>
      <c r="B4847" t="str">
        <f>"470328409"</f>
        <v>470328409</v>
      </c>
      <c r="C4847" s="1">
        <v>45151</v>
      </c>
      <c r="D4847" s="1">
        <v>45153</v>
      </c>
      <c r="E4847">
        <v>1</v>
      </c>
      <c r="F4847" t="str">
        <f>"11-I17-03"</f>
        <v>11-I17-03</v>
      </c>
      <c r="G4847">
        <v>0.50139999999999996</v>
      </c>
      <c r="H4847" t="s">
        <v>11</v>
      </c>
      <c r="I4847" t="s">
        <v>10</v>
      </c>
    </row>
    <row r="4848" spans="1:9" x14ac:dyDescent="0.25">
      <c r="A4848" t="str">
        <f t="shared" si="116"/>
        <v>89301000</v>
      </c>
      <c r="B4848" t="str">
        <f>"470328409"</f>
        <v>470328409</v>
      </c>
      <c r="C4848" s="1">
        <v>45035</v>
      </c>
      <c r="D4848" s="1">
        <v>45038</v>
      </c>
      <c r="E4848">
        <v>1</v>
      </c>
      <c r="F4848" t="str">
        <f>"11-M06-03"</f>
        <v>11-M06-03</v>
      </c>
      <c r="G4848">
        <v>0.62009999999999998</v>
      </c>
      <c r="H4848" t="s">
        <v>12</v>
      </c>
      <c r="I4848" t="s">
        <v>10</v>
      </c>
    </row>
    <row r="4849" spans="1:9" x14ac:dyDescent="0.25">
      <c r="A4849" t="str">
        <f t="shared" si="116"/>
        <v>89301000</v>
      </c>
      <c r="B4849" t="str">
        <f>"470328409"</f>
        <v>470328409</v>
      </c>
      <c r="C4849" s="1">
        <v>44999</v>
      </c>
      <c r="D4849" s="1">
        <v>45002</v>
      </c>
      <c r="E4849">
        <v>1</v>
      </c>
      <c r="F4849" t="str">
        <f>"11-M06-03"</f>
        <v>11-M06-03</v>
      </c>
      <c r="G4849">
        <v>0.62009999999999998</v>
      </c>
      <c r="H4849" t="s">
        <v>12</v>
      </c>
      <c r="I4849" t="s">
        <v>10</v>
      </c>
    </row>
    <row r="4850" spans="1:9" x14ac:dyDescent="0.25">
      <c r="A4850" t="str">
        <f t="shared" si="116"/>
        <v>89301000</v>
      </c>
      <c r="B4850" t="str">
        <f>"470403521"</f>
        <v>470403521</v>
      </c>
      <c r="C4850" s="1">
        <v>45175</v>
      </c>
      <c r="D4850" s="1">
        <v>45176</v>
      </c>
      <c r="E4850">
        <v>7</v>
      </c>
      <c r="F4850" t="str">
        <f>"04-K09-01"</f>
        <v>04-K09-01</v>
      </c>
      <c r="G4850">
        <v>0.1268</v>
      </c>
      <c r="H4850" t="s">
        <v>11</v>
      </c>
      <c r="I4850" t="s">
        <v>10</v>
      </c>
    </row>
    <row r="4851" spans="1:9" x14ac:dyDescent="0.25">
      <c r="A4851" t="str">
        <f t="shared" si="116"/>
        <v>89301000</v>
      </c>
      <c r="B4851" t="str">
        <f>"470404424"</f>
        <v>470404424</v>
      </c>
      <c r="C4851" s="1">
        <v>45051</v>
      </c>
      <c r="D4851" s="1">
        <v>45052</v>
      </c>
      <c r="E4851">
        <v>1</v>
      </c>
      <c r="F4851" t="str">
        <f>"05-D01-08"</f>
        <v>05-D01-08</v>
      </c>
      <c r="G4851">
        <v>0.43159999999999998</v>
      </c>
      <c r="H4851" t="s">
        <v>11</v>
      </c>
      <c r="I4851" t="s">
        <v>10</v>
      </c>
    </row>
    <row r="4852" spans="1:9" x14ac:dyDescent="0.25">
      <c r="A4852" t="str">
        <f t="shared" si="116"/>
        <v>89301000</v>
      </c>
      <c r="B4852" t="str">
        <f>"470406460"</f>
        <v>470406460</v>
      </c>
      <c r="C4852" s="1">
        <v>45009</v>
      </c>
      <c r="D4852" s="1">
        <v>45012</v>
      </c>
      <c r="E4852">
        <v>1</v>
      </c>
      <c r="F4852" t="str">
        <f>"05-M06-06"</f>
        <v>05-M06-06</v>
      </c>
      <c r="G4852">
        <v>1.8264</v>
      </c>
      <c r="H4852" t="s">
        <v>12</v>
      </c>
      <c r="I4852" t="s">
        <v>10</v>
      </c>
    </row>
    <row r="4853" spans="1:9" x14ac:dyDescent="0.25">
      <c r="A4853" t="str">
        <f t="shared" si="116"/>
        <v>89301000</v>
      </c>
      <c r="B4853" t="str">
        <f>"470411409"</f>
        <v>470411409</v>
      </c>
      <c r="C4853" s="1">
        <v>45227</v>
      </c>
      <c r="D4853" s="1">
        <v>45234</v>
      </c>
      <c r="E4853">
        <v>1</v>
      </c>
      <c r="F4853" t="str">
        <f>"18-K01-04"</f>
        <v>18-K01-04</v>
      </c>
      <c r="G4853">
        <v>2.9117000000000002</v>
      </c>
      <c r="H4853" t="s">
        <v>11</v>
      </c>
      <c r="I4853" t="s">
        <v>10</v>
      </c>
    </row>
    <row r="4854" spans="1:9" x14ac:dyDescent="0.25">
      <c r="A4854" t="str">
        <f t="shared" si="116"/>
        <v>89301000</v>
      </c>
      <c r="B4854" t="str">
        <f>"470414457"</f>
        <v>470414457</v>
      </c>
      <c r="C4854" s="1">
        <v>45194</v>
      </c>
      <c r="D4854" s="1">
        <v>45198</v>
      </c>
      <c r="E4854">
        <v>1</v>
      </c>
      <c r="F4854" t="str">
        <f>"05-M06-04"</f>
        <v>05-M06-04</v>
      </c>
      <c r="G4854">
        <v>2.0699999999999998</v>
      </c>
      <c r="H4854" t="s">
        <v>12</v>
      </c>
      <c r="I4854" t="s">
        <v>10</v>
      </c>
    </row>
    <row r="4855" spans="1:9" x14ac:dyDescent="0.25">
      <c r="A4855" t="str">
        <f t="shared" si="116"/>
        <v>89301000</v>
      </c>
      <c r="B4855" t="str">
        <f>"470420183"</f>
        <v>470420183</v>
      </c>
      <c r="C4855" s="1">
        <v>45091</v>
      </c>
      <c r="D4855" s="1">
        <v>45093</v>
      </c>
      <c r="E4855">
        <v>1</v>
      </c>
      <c r="F4855" t="str">
        <f>"04-K10-02"</f>
        <v>04-K10-02</v>
      </c>
      <c r="G4855">
        <v>0.42270000000000002</v>
      </c>
      <c r="H4855" t="s">
        <v>11</v>
      </c>
      <c r="I4855" t="s">
        <v>10</v>
      </c>
    </row>
    <row r="4856" spans="1:9" x14ac:dyDescent="0.25">
      <c r="A4856" t="str">
        <f t="shared" si="116"/>
        <v>89301000</v>
      </c>
      <c r="B4856" t="str">
        <f>"470421003"</f>
        <v>470421003</v>
      </c>
      <c r="C4856" s="1">
        <v>44985</v>
      </c>
      <c r="D4856" s="1">
        <v>44986</v>
      </c>
      <c r="E4856">
        <v>1</v>
      </c>
      <c r="F4856" t="str">
        <f>"08-I19-03"</f>
        <v>08-I19-03</v>
      </c>
      <c r="G4856">
        <v>0.59130000000000005</v>
      </c>
      <c r="H4856" t="s">
        <v>12</v>
      </c>
      <c r="I4856" t="s">
        <v>10</v>
      </c>
    </row>
    <row r="4857" spans="1:9" x14ac:dyDescent="0.25">
      <c r="A4857" t="str">
        <f t="shared" si="116"/>
        <v>89301000</v>
      </c>
      <c r="B4857" t="str">
        <f>"470423404"</f>
        <v>470423404</v>
      </c>
      <c r="C4857" s="1">
        <v>45020</v>
      </c>
      <c r="D4857" s="1">
        <v>45032</v>
      </c>
      <c r="E4857">
        <v>1</v>
      </c>
      <c r="F4857" t="str">
        <f>"05-I07-03"</f>
        <v>05-I07-03</v>
      </c>
      <c r="G4857">
        <v>8.3953000000000007</v>
      </c>
      <c r="H4857" t="s">
        <v>14</v>
      </c>
      <c r="I4857" t="s">
        <v>10</v>
      </c>
    </row>
    <row r="4858" spans="1:9" x14ac:dyDescent="0.25">
      <c r="A4858" t="str">
        <f t="shared" si="116"/>
        <v>89301000</v>
      </c>
      <c r="B4858" t="str">
        <f>"470424498"</f>
        <v>470424498</v>
      </c>
      <c r="C4858" s="1">
        <v>44956</v>
      </c>
      <c r="D4858" s="1">
        <v>44959</v>
      </c>
      <c r="E4858">
        <v>1</v>
      </c>
      <c r="F4858" t="str">
        <f>"05-M06-06"</f>
        <v>05-M06-06</v>
      </c>
      <c r="G4858">
        <v>1.8264</v>
      </c>
      <c r="H4858" t="s">
        <v>12</v>
      </c>
      <c r="I4858" t="s">
        <v>10</v>
      </c>
    </row>
    <row r="4859" spans="1:9" x14ac:dyDescent="0.25">
      <c r="A4859" t="str">
        <f t="shared" si="116"/>
        <v>89301000</v>
      </c>
      <c r="B4859" t="str">
        <f>"470507406"</f>
        <v>470507406</v>
      </c>
      <c r="C4859" s="1">
        <v>45190</v>
      </c>
      <c r="D4859" s="1">
        <v>45192</v>
      </c>
      <c r="E4859">
        <v>1</v>
      </c>
      <c r="F4859" t="str">
        <f>"05-M05-02"</f>
        <v>05-M05-02</v>
      </c>
      <c r="G4859">
        <v>3.4817999999999998</v>
      </c>
      <c r="H4859" t="s">
        <v>14</v>
      </c>
      <c r="I4859" t="s">
        <v>10</v>
      </c>
    </row>
    <row r="4860" spans="1:9" x14ac:dyDescent="0.25">
      <c r="A4860" t="str">
        <f t="shared" si="116"/>
        <v>89301000</v>
      </c>
      <c r="B4860" t="str">
        <f>"470509461"</f>
        <v>470509461</v>
      </c>
      <c r="C4860" s="1">
        <v>45009</v>
      </c>
      <c r="D4860" s="1">
        <v>45011</v>
      </c>
      <c r="E4860">
        <v>1</v>
      </c>
      <c r="F4860" t="str">
        <f>"03-I24-00"</f>
        <v>03-I24-00</v>
      </c>
      <c r="G4860">
        <v>0.40670000000000001</v>
      </c>
      <c r="H4860" t="s">
        <v>11</v>
      </c>
      <c r="I4860" t="s">
        <v>10</v>
      </c>
    </row>
    <row r="4861" spans="1:9" x14ac:dyDescent="0.25">
      <c r="A4861" t="str">
        <f t="shared" si="116"/>
        <v>89301000</v>
      </c>
      <c r="B4861" t="str">
        <f>"470509461"</f>
        <v>470509461</v>
      </c>
      <c r="C4861" s="1">
        <v>45272</v>
      </c>
      <c r="D4861" s="1">
        <v>45279</v>
      </c>
      <c r="E4861">
        <v>1</v>
      </c>
      <c r="F4861" t="str">
        <f>"05-I24-04"</f>
        <v>05-I24-04</v>
      </c>
      <c r="G4861">
        <v>2.2168000000000001</v>
      </c>
      <c r="H4861" t="s">
        <v>12</v>
      </c>
      <c r="I4861" t="s">
        <v>10</v>
      </c>
    </row>
    <row r="4862" spans="1:9" x14ac:dyDescent="0.25">
      <c r="A4862" t="str">
        <f t="shared" si="116"/>
        <v>89301000</v>
      </c>
      <c r="B4862" t="str">
        <f>"470509461"</f>
        <v>470509461</v>
      </c>
      <c r="C4862" s="1">
        <v>45020</v>
      </c>
      <c r="D4862" s="1">
        <v>45025</v>
      </c>
      <c r="E4862">
        <v>1</v>
      </c>
      <c r="F4862" t="str">
        <f>"05-I24-04"</f>
        <v>05-I24-04</v>
      </c>
      <c r="G4862">
        <v>2.1032000000000002</v>
      </c>
      <c r="H4862" t="s">
        <v>12</v>
      </c>
      <c r="I4862" t="s">
        <v>10</v>
      </c>
    </row>
    <row r="4863" spans="1:9" x14ac:dyDescent="0.25">
      <c r="A4863" t="str">
        <f t="shared" si="116"/>
        <v>89301000</v>
      </c>
      <c r="B4863" t="str">
        <f>"470512419"</f>
        <v>470512419</v>
      </c>
      <c r="C4863" s="1">
        <v>44990</v>
      </c>
      <c r="D4863" s="1">
        <v>44996</v>
      </c>
      <c r="E4863">
        <v>1</v>
      </c>
      <c r="F4863" t="str">
        <f>"12-I02-01"</f>
        <v>12-I02-01</v>
      </c>
      <c r="G4863">
        <v>3.3855</v>
      </c>
      <c r="H4863" t="s">
        <v>9</v>
      </c>
      <c r="I4863" t="s">
        <v>10</v>
      </c>
    </row>
    <row r="4864" spans="1:9" x14ac:dyDescent="0.25">
      <c r="A4864" t="str">
        <f t="shared" si="116"/>
        <v>89301000</v>
      </c>
      <c r="B4864" t="str">
        <f>"470513415"</f>
        <v>470513415</v>
      </c>
      <c r="C4864" s="1">
        <v>44999</v>
      </c>
      <c r="D4864" s="1">
        <v>45006</v>
      </c>
      <c r="E4864">
        <v>1</v>
      </c>
      <c r="F4864" t="str">
        <f>"01-K04-02"</f>
        <v>01-K04-02</v>
      </c>
      <c r="G4864">
        <v>0.79990000000000006</v>
      </c>
      <c r="H4864" t="s">
        <v>11</v>
      </c>
      <c r="I4864" t="s">
        <v>10</v>
      </c>
    </row>
    <row r="4865" spans="1:9" x14ac:dyDescent="0.25">
      <c r="A4865" t="str">
        <f t="shared" si="116"/>
        <v>89301000</v>
      </c>
      <c r="B4865" t="str">
        <f>"470517401"</f>
        <v>470517401</v>
      </c>
      <c r="C4865" s="1">
        <v>44994</v>
      </c>
      <c r="D4865" s="1">
        <v>45003</v>
      </c>
      <c r="E4865">
        <v>1</v>
      </c>
      <c r="F4865" t="str">
        <f>"05-I12-03"</f>
        <v>05-I12-03</v>
      </c>
      <c r="G4865">
        <v>6.7502000000000004</v>
      </c>
      <c r="H4865" t="s">
        <v>14</v>
      </c>
      <c r="I4865" t="s">
        <v>10</v>
      </c>
    </row>
    <row r="4866" spans="1:9" x14ac:dyDescent="0.25">
      <c r="A4866" t="str">
        <f t="shared" si="116"/>
        <v>89301000</v>
      </c>
      <c r="B4866" t="str">
        <f>"470517401"</f>
        <v>470517401</v>
      </c>
      <c r="C4866" s="1">
        <v>44985</v>
      </c>
      <c r="D4866" s="1">
        <v>44986</v>
      </c>
      <c r="E4866">
        <v>1</v>
      </c>
      <c r="F4866" t="str">
        <f>"05-D01-06"</f>
        <v>05-D01-06</v>
      </c>
      <c r="G4866">
        <v>0.7571</v>
      </c>
      <c r="H4866" t="s">
        <v>11</v>
      </c>
      <c r="I4866" t="s">
        <v>10</v>
      </c>
    </row>
    <row r="4867" spans="1:9" x14ac:dyDescent="0.25">
      <c r="A4867" t="str">
        <f t="shared" si="116"/>
        <v>89301000</v>
      </c>
      <c r="B4867" t="str">
        <f>"470517502"</f>
        <v>470517502</v>
      </c>
      <c r="C4867" s="1">
        <v>45198</v>
      </c>
      <c r="D4867" s="1">
        <v>45203</v>
      </c>
      <c r="E4867">
        <v>1</v>
      </c>
      <c r="F4867" t="str">
        <f>"05-M06-06"</f>
        <v>05-M06-06</v>
      </c>
      <c r="G4867">
        <v>1.8264</v>
      </c>
      <c r="H4867" t="s">
        <v>12</v>
      </c>
      <c r="I4867" t="s">
        <v>10</v>
      </c>
    </row>
    <row r="4868" spans="1:9" x14ac:dyDescent="0.25">
      <c r="A4868" t="str">
        <f t="shared" si="116"/>
        <v>89301000</v>
      </c>
      <c r="B4868" t="str">
        <f>"470517502"</f>
        <v>470517502</v>
      </c>
      <c r="C4868" s="1">
        <v>45165</v>
      </c>
      <c r="D4868" s="1">
        <v>45169</v>
      </c>
      <c r="E4868">
        <v>1</v>
      </c>
      <c r="F4868" t="str">
        <f>"05-M06-02"</f>
        <v>05-M06-02</v>
      </c>
      <c r="G4868">
        <v>3.8536000000000001</v>
      </c>
      <c r="H4868" t="s">
        <v>12</v>
      </c>
      <c r="I4868" t="s">
        <v>10</v>
      </c>
    </row>
    <row r="4869" spans="1:9" x14ac:dyDescent="0.25">
      <c r="A4869" t="str">
        <f t="shared" si="116"/>
        <v>89301000</v>
      </c>
      <c r="B4869" t="str">
        <f>"470525401"</f>
        <v>470525401</v>
      </c>
      <c r="C4869" s="1">
        <v>45015</v>
      </c>
      <c r="D4869" s="1">
        <v>45033</v>
      </c>
      <c r="E4869">
        <v>1</v>
      </c>
      <c r="F4869" t="str">
        <f>"05-I08-02"</f>
        <v>05-I08-02</v>
      </c>
      <c r="G4869">
        <v>7.6098999999999997</v>
      </c>
      <c r="H4869" t="s">
        <v>14</v>
      </c>
      <c r="I4869" t="s">
        <v>10</v>
      </c>
    </row>
    <row r="4870" spans="1:9" x14ac:dyDescent="0.25">
      <c r="A4870" t="str">
        <f t="shared" si="116"/>
        <v>89301000</v>
      </c>
      <c r="B4870" t="str">
        <f>"470525401"</f>
        <v>470525401</v>
      </c>
      <c r="C4870" s="1">
        <v>44935</v>
      </c>
      <c r="D4870" s="1">
        <v>44936</v>
      </c>
      <c r="E4870">
        <v>1</v>
      </c>
      <c r="F4870" t="str">
        <f>"05-D01-06"</f>
        <v>05-D01-06</v>
      </c>
      <c r="G4870">
        <v>0.7571</v>
      </c>
      <c r="H4870" t="s">
        <v>11</v>
      </c>
      <c r="I4870" t="s">
        <v>10</v>
      </c>
    </row>
    <row r="4871" spans="1:9" x14ac:dyDescent="0.25">
      <c r="A4871" t="str">
        <f t="shared" si="116"/>
        <v>89301000</v>
      </c>
      <c r="B4871" t="str">
        <f>"470527416"</f>
        <v>470527416</v>
      </c>
      <c r="C4871" s="1">
        <v>45073</v>
      </c>
      <c r="D4871" s="1">
        <v>45082</v>
      </c>
      <c r="E4871">
        <v>1</v>
      </c>
      <c r="F4871" t="str">
        <f>"19-K03-03"</f>
        <v>19-K03-03</v>
      </c>
      <c r="G4871">
        <v>0.90410000000000001</v>
      </c>
      <c r="H4871" t="s">
        <v>15</v>
      </c>
      <c r="I4871" t="s">
        <v>10</v>
      </c>
    </row>
    <row r="4872" spans="1:9" x14ac:dyDescent="0.25">
      <c r="A4872" t="str">
        <f t="shared" si="116"/>
        <v>89301000</v>
      </c>
      <c r="B4872" t="str">
        <f>"470604401"</f>
        <v>470604401</v>
      </c>
      <c r="C4872" s="1">
        <v>45071</v>
      </c>
      <c r="D4872" s="1">
        <v>45074</v>
      </c>
      <c r="E4872">
        <v>1</v>
      </c>
      <c r="F4872" t="str">
        <f>"06-I16-02"</f>
        <v>06-I16-02</v>
      </c>
      <c r="G4872">
        <v>1.1267</v>
      </c>
      <c r="H4872" t="s">
        <v>9</v>
      </c>
      <c r="I4872" t="s">
        <v>10</v>
      </c>
    </row>
    <row r="4873" spans="1:9" x14ac:dyDescent="0.25">
      <c r="A4873" t="str">
        <f t="shared" si="116"/>
        <v>89301000</v>
      </c>
      <c r="B4873" t="str">
        <f>"470615417"</f>
        <v>470615417</v>
      </c>
      <c r="C4873" s="1">
        <v>45052</v>
      </c>
      <c r="D4873" s="1">
        <v>45056</v>
      </c>
      <c r="E4873">
        <v>1</v>
      </c>
      <c r="F4873" t="str">
        <f>"23-K06-00"</f>
        <v>23-K06-00</v>
      </c>
      <c r="G4873">
        <v>0.4783</v>
      </c>
      <c r="H4873" t="s">
        <v>11</v>
      </c>
      <c r="I4873" t="s">
        <v>10</v>
      </c>
    </row>
    <row r="4874" spans="1:9" x14ac:dyDescent="0.25">
      <c r="A4874" t="str">
        <f t="shared" si="116"/>
        <v>89301000</v>
      </c>
      <c r="B4874" t="str">
        <f>"470615417"</f>
        <v>470615417</v>
      </c>
      <c r="C4874" s="1">
        <v>45125</v>
      </c>
      <c r="D4874" s="1">
        <v>45128</v>
      </c>
      <c r="E4874">
        <v>1</v>
      </c>
      <c r="F4874" t="str">
        <f>"11-K07-02"</f>
        <v>11-K07-02</v>
      </c>
      <c r="G4874">
        <v>0.55010000000000003</v>
      </c>
      <c r="H4874" t="s">
        <v>11</v>
      </c>
      <c r="I4874" t="s">
        <v>10</v>
      </c>
    </row>
    <row r="4875" spans="1:9" x14ac:dyDescent="0.25">
      <c r="A4875" t="str">
        <f t="shared" si="116"/>
        <v>89301000</v>
      </c>
      <c r="B4875" t="str">
        <f>"470615417"</f>
        <v>470615417</v>
      </c>
      <c r="C4875" s="1">
        <v>45153</v>
      </c>
      <c r="D4875" s="1">
        <v>45167</v>
      </c>
      <c r="E4875">
        <v>4</v>
      </c>
      <c r="F4875" t="str">
        <f>"11-K07-01"</f>
        <v>11-K07-01</v>
      </c>
      <c r="G4875">
        <v>1.1374</v>
      </c>
      <c r="H4875" t="s">
        <v>11</v>
      </c>
      <c r="I4875" t="s">
        <v>10</v>
      </c>
    </row>
    <row r="4876" spans="1:9" x14ac:dyDescent="0.25">
      <c r="A4876" t="str">
        <f t="shared" si="116"/>
        <v>89301000</v>
      </c>
      <c r="B4876" t="str">
        <f>"470618194"</f>
        <v>470618194</v>
      </c>
      <c r="C4876" s="1">
        <v>44918</v>
      </c>
      <c r="D4876" s="1">
        <v>44928</v>
      </c>
      <c r="E4876">
        <v>2</v>
      </c>
      <c r="F4876" t="str">
        <f>"06-I12-01"</f>
        <v>06-I12-01</v>
      </c>
      <c r="G4876">
        <v>4.9291</v>
      </c>
      <c r="H4876" t="s">
        <v>11</v>
      </c>
      <c r="I4876" t="s">
        <v>10</v>
      </c>
    </row>
    <row r="4877" spans="1:9" x14ac:dyDescent="0.25">
      <c r="A4877" t="str">
        <f t="shared" si="116"/>
        <v>89301000</v>
      </c>
      <c r="B4877" t="str">
        <f>"470705141"</f>
        <v>470705141</v>
      </c>
      <c r="C4877" s="1">
        <v>44959</v>
      </c>
      <c r="D4877" s="1">
        <v>44963</v>
      </c>
      <c r="E4877">
        <v>1</v>
      </c>
      <c r="F4877" t="str">
        <f>"02-I06-04"</f>
        <v>02-I06-04</v>
      </c>
      <c r="G4877">
        <v>0.79630000000000001</v>
      </c>
      <c r="H4877" t="s">
        <v>12</v>
      </c>
      <c r="I4877" t="s">
        <v>10</v>
      </c>
    </row>
    <row r="4878" spans="1:9" x14ac:dyDescent="0.25">
      <c r="A4878" t="str">
        <f t="shared" si="116"/>
        <v>89301000</v>
      </c>
      <c r="B4878" t="str">
        <f>"470709401"</f>
        <v>470709401</v>
      </c>
      <c r="C4878" s="1">
        <v>44938</v>
      </c>
      <c r="D4878" s="1">
        <v>44939</v>
      </c>
      <c r="E4878">
        <v>1</v>
      </c>
      <c r="F4878" t="str">
        <f>"11-K07-02"</f>
        <v>11-K07-02</v>
      </c>
      <c r="G4878">
        <v>0.57999999999999996</v>
      </c>
      <c r="H4878" t="s">
        <v>11</v>
      </c>
      <c r="I4878" t="s">
        <v>10</v>
      </c>
    </row>
    <row r="4879" spans="1:9" x14ac:dyDescent="0.25">
      <c r="A4879" t="str">
        <f t="shared" si="116"/>
        <v>89301000</v>
      </c>
      <c r="B4879" t="str">
        <f>"470709401"</f>
        <v>470709401</v>
      </c>
      <c r="C4879" s="1">
        <v>45121</v>
      </c>
      <c r="D4879" s="1">
        <v>45128</v>
      </c>
      <c r="E4879">
        <v>1</v>
      </c>
      <c r="F4879" t="str">
        <f>"11-K07-02"</f>
        <v>11-K07-02</v>
      </c>
      <c r="G4879">
        <v>0.55010000000000003</v>
      </c>
      <c r="H4879" t="s">
        <v>11</v>
      </c>
      <c r="I4879" t="s">
        <v>10</v>
      </c>
    </row>
    <row r="4880" spans="1:9" x14ac:dyDescent="0.25">
      <c r="A4880" t="str">
        <f t="shared" si="116"/>
        <v>89301000</v>
      </c>
      <c r="B4880" t="str">
        <f>"470709401"</f>
        <v>470709401</v>
      </c>
      <c r="C4880" s="1">
        <v>45047</v>
      </c>
      <c r="D4880" s="1">
        <v>45064</v>
      </c>
      <c r="E4880">
        <v>1</v>
      </c>
      <c r="F4880" t="str">
        <f>"11-C01-02"</f>
        <v>11-C01-02</v>
      </c>
      <c r="G4880">
        <v>0.79920000000000002</v>
      </c>
      <c r="H4880" t="s">
        <v>11</v>
      </c>
      <c r="I4880" t="s">
        <v>10</v>
      </c>
    </row>
    <row r="4881" spans="1:9" x14ac:dyDescent="0.25">
      <c r="A4881" t="str">
        <f t="shared" si="116"/>
        <v>89301000</v>
      </c>
      <c r="B4881" t="str">
        <f>"470715407"</f>
        <v>470715407</v>
      </c>
      <c r="C4881" s="1">
        <v>44981</v>
      </c>
      <c r="D4881" s="1">
        <v>44993</v>
      </c>
      <c r="E4881">
        <v>1</v>
      </c>
      <c r="F4881" t="str">
        <f>"06-I07-05"</f>
        <v>06-I07-05</v>
      </c>
      <c r="G4881">
        <v>2.7919999999999998</v>
      </c>
      <c r="H4881" t="s">
        <v>12</v>
      </c>
      <c r="I4881" t="s">
        <v>10</v>
      </c>
    </row>
    <row r="4882" spans="1:9" x14ac:dyDescent="0.25">
      <c r="A4882" t="str">
        <f t="shared" si="116"/>
        <v>89301000</v>
      </c>
      <c r="B4882" t="str">
        <f>"470722182"</f>
        <v>470722182</v>
      </c>
      <c r="C4882" s="1">
        <v>45163</v>
      </c>
      <c r="D4882" s="1">
        <v>45174</v>
      </c>
      <c r="E4882">
        <v>5</v>
      </c>
      <c r="F4882" t="str">
        <f>"00-M02-03"</f>
        <v>00-M02-03</v>
      </c>
      <c r="G4882">
        <v>15.1503</v>
      </c>
      <c r="H4882" t="s">
        <v>11</v>
      </c>
      <c r="I4882" t="s">
        <v>10</v>
      </c>
    </row>
    <row r="4883" spans="1:9" x14ac:dyDescent="0.25">
      <c r="A4883" t="str">
        <f t="shared" si="116"/>
        <v>89301000</v>
      </c>
      <c r="B4883" t="str">
        <f>"470723420"</f>
        <v>470723420</v>
      </c>
      <c r="C4883" s="1">
        <v>44936</v>
      </c>
      <c r="D4883" s="1">
        <v>44944</v>
      </c>
      <c r="E4883">
        <v>1</v>
      </c>
      <c r="F4883" t="str">
        <f>"17-C05-04"</f>
        <v>17-C05-04</v>
      </c>
      <c r="G4883">
        <v>1.2394000000000001</v>
      </c>
      <c r="H4883" t="s">
        <v>11</v>
      </c>
      <c r="I4883" t="s">
        <v>10</v>
      </c>
    </row>
    <row r="4884" spans="1:9" x14ac:dyDescent="0.25">
      <c r="A4884" t="str">
        <f t="shared" si="116"/>
        <v>89301000</v>
      </c>
      <c r="B4884" t="str">
        <f>"470810411"</f>
        <v>470810411</v>
      </c>
      <c r="C4884" s="1">
        <v>44983</v>
      </c>
      <c r="D4884" s="1">
        <v>44985</v>
      </c>
      <c r="E4884">
        <v>1</v>
      </c>
      <c r="F4884" t="str">
        <f>"05-I14-03"</f>
        <v>05-I14-03</v>
      </c>
      <c r="G4884">
        <v>6.0362</v>
      </c>
      <c r="H4884" t="s">
        <v>12</v>
      </c>
      <c r="I4884" t="s">
        <v>10</v>
      </c>
    </row>
    <row r="4885" spans="1:9" x14ac:dyDescent="0.25">
      <c r="A4885" t="str">
        <f t="shared" si="116"/>
        <v>89301000</v>
      </c>
      <c r="B4885" t="str">
        <f>"470810446"</f>
        <v>470810446</v>
      </c>
      <c r="C4885" s="1">
        <v>45076</v>
      </c>
      <c r="D4885" s="1">
        <v>45078</v>
      </c>
      <c r="E4885">
        <v>1</v>
      </c>
      <c r="F4885" t="str">
        <f>"02-I06-03"</f>
        <v>02-I06-03</v>
      </c>
      <c r="G4885">
        <v>0.99260000000000004</v>
      </c>
      <c r="H4885" t="s">
        <v>12</v>
      </c>
      <c r="I4885" t="s">
        <v>10</v>
      </c>
    </row>
    <row r="4886" spans="1:9" x14ac:dyDescent="0.25">
      <c r="A4886" t="str">
        <f t="shared" si="116"/>
        <v>89301000</v>
      </c>
      <c r="B4886" t="str">
        <f>"470813468"</f>
        <v>470813468</v>
      </c>
      <c r="C4886" s="1">
        <v>45021</v>
      </c>
      <c r="D4886" s="1">
        <v>45035</v>
      </c>
      <c r="E4886">
        <v>1</v>
      </c>
      <c r="F4886" t="str">
        <f>"05-I16-04"</f>
        <v>05-I16-04</v>
      </c>
      <c r="G4886">
        <v>6.2375999999999996</v>
      </c>
      <c r="H4886" t="s">
        <v>14</v>
      </c>
      <c r="I4886" t="s">
        <v>10</v>
      </c>
    </row>
    <row r="4887" spans="1:9" x14ac:dyDescent="0.25">
      <c r="A4887" t="str">
        <f t="shared" si="116"/>
        <v>89301000</v>
      </c>
      <c r="B4887" t="str">
        <f>"470816100"</f>
        <v>470816100</v>
      </c>
      <c r="C4887" s="1">
        <v>45174</v>
      </c>
      <c r="D4887" s="1">
        <v>45179</v>
      </c>
      <c r="E4887">
        <v>1</v>
      </c>
      <c r="F4887" t="str">
        <f>"08-I03-04"</f>
        <v>08-I03-04</v>
      </c>
      <c r="G4887">
        <v>4.7615999999999996</v>
      </c>
      <c r="H4887" t="s">
        <v>9</v>
      </c>
      <c r="I4887" t="s">
        <v>10</v>
      </c>
    </row>
    <row r="4888" spans="1:9" x14ac:dyDescent="0.25">
      <c r="A4888" t="str">
        <f t="shared" si="116"/>
        <v>89301000</v>
      </c>
      <c r="B4888" t="str">
        <f>"470817097"</f>
        <v>470817097</v>
      </c>
      <c r="C4888" s="1">
        <v>45195</v>
      </c>
      <c r="D4888" s="1">
        <v>45196</v>
      </c>
      <c r="E4888">
        <v>1</v>
      </c>
      <c r="F4888" t="str">
        <f>"05-D01-08"</f>
        <v>05-D01-08</v>
      </c>
      <c r="G4888">
        <v>0.93910000000000005</v>
      </c>
      <c r="H4888" t="s">
        <v>11</v>
      </c>
      <c r="I4888" t="s">
        <v>10</v>
      </c>
    </row>
    <row r="4889" spans="1:9" x14ac:dyDescent="0.25">
      <c r="A4889" t="str">
        <f t="shared" si="116"/>
        <v>89301000</v>
      </c>
      <c r="B4889" t="str">
        <f>"470817097"</f>
        <v>470817097</v>
      </c>
      <c r="C4889" s="1">
        <v>45151</v>
      </c>
      <c r="D4889" s="1">
        <v>45153</v>
      </c>
      <c r="E4889">
        <v>1</v>
      </c>
      <c r="F4889" t="str">
        <f>"05-M06-06"</f>
        <v>05-M06-06</v>
      </c>
      <c r="G4889">
        <v>1.8264</v>
      </c>
      <c r="H4889" t="s">
        <v>12</v>
      </c>
      <c r="I4889" t="s">
        <v>10</v>
      </c>
    </row>
    <row r="4890" spans="1:9" x14ac:dyDescent="0.25">
      <c r="A4890" t="str">
        <f t="shared" ref="A4890:A4950" si="117">"89301000"</f>
        <v>89301000</v>
      </c>
      <c r="B4890" t="str">
        <f>"470819432"</f>
        <v>470819432</v>
      </c>
      <c r="C4890" s="1">
        <v>45177</v>
      </c>
      <c r="D4890" s="1">
        <v>45191</v>
      </c>
      <c r="E4890">
        <v>1</v>
      </c>
      <c r="F4890" t="str">
        <f>"08-K08-00"</f>
        <v>08-K08-00</v>
      </c>
      <c r="G4890">
        <v>0.68540000000000001</v>
      </c>
      <c r="H4890" t="s">
        <v>11</v>
      </c>
      <c r="I4890" t="s">
        <v>10</v>
      </c>
    </row>
    <row r="4891" spans="1:9" x14ac:dyDescent="0.25">
      <c r="A4891" t="str">
        <f t="shared" si="117"/>
        <v>89301000</v>
      </c>
      <c r="B4891" t="str">
        <f>"470829402"</f>
        <v>470829402</v>
      </c>
      <c r="C4891" s="1">
        <v>45271</v>
      </c>
      <c r="D4891" s="1">
        <v>45278</v>
      </c>
      <c r="E4891">
        <v>1</v>
      </c>
      <c r="F4891" t="str">
        <f>"04-K03-02"</f>
        <v>04-K03-02</v>
      </c>
      <c r="G4891">
        <v>0.80810000000000004</v>
      </c>
      <c r="H4891" t="s">
        <v>11</v>
      </c>
      <c r="I4891" t="s">
        <v>10</v>
      </c>
    </row>
    <row r="4892" spans="1:9" x14ac:dyDescent="0.25">
      <c r="A4892" t="str">
        <f t="shared" si="117"/>
        <v>89301000</v>
      </c>
      <c r="B4892" t="str">
        <f>"470829402"</f>
        <v>470829402</v>
      </c>
      <c r="C4892" s="1">
        <v>45161</v>
      </c>
      <c r="D4892" s="1">
        <v>45163</v>
      </c>
      <c r="E4892">
        <v>1</v>
      </c>
      <c r="F4892" t="str">
        <f>"09-I13-03"</f>
        <v>09-I13-03</v>
      </c>
      <c r="G4892">
        <v>0.7762</v>
      </c>
      <c r="H4892" t="s">
        <v>11</v>
      </c>
      <c r="I4892" t="s">
        <v>10</v>
      </c>
    </row>
    <row r="4893" spans="1:9" x14ac:dyDescent="0.25">
      <c r="A4893" t="str">
        <f t="shared" si="117"/>
        <v>89301000</v>
      </c>
      <c r="B4893" t="str">
        <f>"470829450"</f>
        <v>470829450</v>
      </c>
      <c r="C4893" s="1">
        <v>45238</v>
      </c>
      <c r="D4893" s="1">
        <v>45239</v>
      </c>
      <c r="E4893">
        <v>1</v>
      </c>
      <c r="F4893" t="str">
        <f>"05-M06-07"</f>
        <v>05-M06-07</v>
      </c>
      <c r="G4893">
        <v>1.9440999999999999</v>
      </c>
      <c r="H4893" t="s">
        <v>12</v>
      </c>
      <c r="I4893" t="s">
        <v>10</v>
      </c>
    </row>
    <row r="4894" spans="1:9" x14ac:dyDescent="0.25">
      <c r="A4894" t="str">
        <f t="shared" si="117"/>
        <v>89301000</v>
      </c>
      <c r="B4894" t="str">
        <f>"470829450"</f>
        <v>470829450</v>
      </c>
      <c r="C4894" s="1">
        <v>45224</v>
      </c>
      <c r="D4894" s="1">
        <v>45225</v>
      </c>
      <c r="E4894">
        <v>1</v>
      </c>
      <c r="F4894" t="str">
        <f>"05-D01-08"</f>
        <v>05-D01-08</v>
      </c>
      <c r="G4894">
        <v>0.43159999999999998</v>
      </c>
      <c r="H4894" t="s">
        <v>11</v>
      </c>
      <c r="I4894" t="s">
        <v>10</v>
      </c>
    </row>
    <row r="4895" spans="1:9" x14ac:dyDescent="0.25">
      <c r="A4895" t="str">
        <f t="shared" si="117"/>
        <v>89301000</v>
      </c>
      <c r="B4895" t="str">
        <f>"470829450"</f>
        <v>470829450</v>
      </c>
      <c r="C4895" s="1">
        <v>45245</v>
      </c>
      <c r="D4895" s="1">
        <v>45250</v>
      </c>
      <c r="E4895">
        <v>1</v>
      </c>
      <c r="F4895" t="str">
        <f>"05-M01-03"</f>
        <v>05-M01-03</v>
      </c>
      <c r="G4895">
        <v>11.4411</v>
      </c>
      <c r="H4895" t="s">
        <v>12</v>
      </c>
      <c r="I4895" t="s">
        <v>10</v>
      </c>
    </row>
    <row r="4896" spans="1:9" x14ac:dyDescent="0.25">
      <c r="A4896" t="str">
        <f t="shared" si="117"/>
        <v>89301000</v>
      </c>
      <c r="B4896" t="str">
        <f>"470830457"</f>
        <v>470830457</v>
      </c>
      <c r="C4896" s="1">
        <v>45244</v>
      </c>
      <c r="D4896" s="1">
        <v>45250</v>
      </c>
      <c r="E4896">
        <v>1</v>
      </c>
      <c r="F4896" t="str">
        <f>"04-K09-03"</f>
        <v>04-K09-03</v>
      </c>
      <c r="G4896">
        <v>0.79849999999999999</v>
      </c>
      <c r="H4896" t="s">
        <v>11</v>
      </c>
      <c r="I4896" t="s">
        <v>10</v>
      </c>
    </row>
    <row r="4897" spans="1:9" x14ac:dyDescent="0.25">
      <c r="A4897" t="str">
        <f t="shared" si="117"/>
        <v>89301000</v>
      </c>
      <c r="B4897" t="str">
        <f>"470905786"</f>
        <v>470905786</v>
      </c>
      <c r="C4897" s="1">
        <v>44928</v>
      </c>
      <c r="D4897" s="1">
        <v>44930</v>
      </c>
      <c r="E4897">
        <v>1</v>
      </c>
      <c r="F4897" t="str">
        <f>"01-D01-03"</f>
        <v>01-D01-03</v>
      </c>
      <c r="G4897">
        <v>0.16200000000000001</v>
      </c>
      <c r="H4897" t="s">
        <v>11</v>
      </c>
      <c r="I4897" t="s">
        <v>10</v>
      </c>
    </row>
    <row r="4898" spans="1:9" x14ac:dyDescent="0.25">
      <c r="A4898" t="str">
        <f t="shared" si="117"/>
        <v>89301000</v>
      </c>
      <c r="B4898" t="str">
        <f>"470909438"</f>
        <v>470909438</v>
      </c>
      <c r="C4898" s="1">
        <v>45092</v>
      </c>
      <c r="D4898" s="1">
        <v>45096</v>
      </c>
      <c r="E4898">
        <v>5</v>
      </c>
      <c r="F4898" t="str">
        <f>"08-I03-03"</f>
        <v>08-I03-03</v>
      </c>
      <c r="G4898">
        <v>4.3914</v>
      </c>
      <c r="H4898" t="s">
        <v>9</v>
      </c>
      <c r="I4898" t="s">
        <v>10</v>
      </c>
    </row>
    <row r="4899" spans="1:9" x14ac:dyDescent="0.25">
      <c r="A4899" t="str">
        <f t="shared" si="117"/>
        <v>89301000</v>
      </c>
      <c r="B4899" t="str">
        <f>"470912472"</f>
        <v>470912472</v>
      </c>
      <c r="C4899" s="1">
        <v>44958</v>
      </c>
      <c r="D4899" s="1">
        <v>44966</v>
      </c>
      <c r="E4899">
        <v>1</v>
      </c>
      <c r="F4899" t="str">
        <f>"08-K08-00"</f>
        <v>08-K08-00</v>
      </c>
      <c r="G4899">
        <v>0.5272</v>
      </c>
      <c r="H4899" t="s">
        <v>11</v>
      </c>
      <c r="I4899" t="s">
        <v>10</v>
      </c>
    </row>
    <row r="4900" spans="1:9" x14ac:dyDescent="0.25">
      <c r="A4900" t="str">
        <f t="shared" si="117"/>
        <v>89301000</v>
      </c>
      <c r="B4900" t="str">
        <f>"470915463"</f>
        <v>470915463</v>
      </c>
      <c r="C4900" s="1">
        <v>44978</v>
      </c>
      <c r="D4900" s="1">
        <v>45000</v>
      </c>
      <c r="E4900">
        <v>5</v>
      </c>
      <c r="F4900" t="str">
        <f>"00-M01-01"</f>
        <v>00-M01-01</v>
      </c>
      <c r="G4900">
        <v>16.065100000000001</v>
      </c>
      <c r="H4900" t="s">
        <v>11</v>
      </c>
      <c r="I4900" t="s">
        <v>10</v>
      </c>
    </row>
    <row r="4901" spans="1:9" x14ac:dyDescent="0.25">
      <c r="A4901" t="str">
        <f t="shared" si="117"/>
        <v>89301000</v>
      </c>
      <c r="B4901" t="str">
        <f>"471003448"</f>
        <v>471003448</v>
      </c>
      <c r="C4901" s="1">
        <v>45123</v>
      </c>
      <c r="D4901" s="1">
        <v>45135</v>
      </c>
      <c r="E4901">
        <v>1</v>
      </c>
      <c r="F4901" t="str">
        <f>"04-I02-02"</f>
        <v>04-I02-02</v>
      </c>
      <c r="G4901">
        <v>4.6359000000000004</v>
      </c>
      <c r="H4901" t="s">
        <v>14</v>
      </c>
      <c r="I4901" t="s">
        <v>10</v>
      </c>
    </row>
    <row r="4902" spans="1:9" x14ac:dyDescent="0.25">
      <c r="A4902" t="str">
        <f t="shared" si="117"/>
        <v>89301000</v>
      </c>
      <c r="B4902" t="str">
        <f>"471003448"</f>
        <v>471003448</v>
      </c>
      <c r="C4902" s="1">
        <v>45062</v>
      </c>
      <c r="D4902" s="1">
        <v>45063</v>
      </c>
      <c r="E4902">
        <v>1</v>
      </c>
      <c r="F4902" t="str">
        <f>"04-C02-02"</f>
        <v>04-C02-02</v>
      </c>
      <c r="G4902">
        <v>0.36070000000000002</v>
      </c>
      <c r="H4902" t="s">
        <v>11</v>
      </c>
      <c r="I4902" t="s">
        <v>10</v>
      </c>
    </row>
    <row r="4903" spans="1:9" x14ac:dyDescent="0.25">
      <c r="A4903" t="str">
        <f t="shared" si="117"/>
        <v>89301000</v>
      </c>
      <c r="B4903" t="str">
        <f>"471003448"</f>
        <v>471003448</v>
      </c>
      <c r="C4903" s="1">
        <v>45040</v>
      </c>
      <c r="D4903" s="1">
        <v>45043</v>
      </c>
      <c r="E4903">
        <v>1</v>
      </c>
      <c r="F4903" t="str">
        <f>"04-C02-02"</f>
        <v>04-C02-02</v>
      </c>
      <c r="G4903">
        <v>0.36070000000000002</v>
      </c>
      <c r="H4903" t="s">
        <v>11</v>
      </c>
      <c r="I4903" t="s">
        <v>10</v>
      </c>
    </row>
    <row r="4904" spans="1:9" x14ac:dyDescent="0.25">
      <c r="A4904" t="str">
        <f t="shared" si="117"/>
        <v>89301000</v>
      </c>
      <c r="B4904" t="str">
        <f>"471003448"</f>
        <v>471003448</v>
      </c>
      <c r="C4904" s="1">
        <v>45021</v>
      </c>
      <c r="D4904" s="1">
        <v>45023</v>
      </c>
      <c r="E4904">
        <v>1</v>
      </c>
      <c r="F4904" t="str">
        <f>"04-K09-03"</f>
        <v>04-K09-03</v>
      </c>
      <c r="G4904">
        <v>0.629</v>
      </c>
      <c r="H4904" t="s">
        <v>11</v>
      </c>
      <c r="I4904" t="s">
        <v>10</v>
      </c>
    </row>
    <row r="4905" spans="1:9" x14ac:dyDescent="0.25">
      <c r="A4905" t="str">
        <f t="shared" si="117"/>
        <v>89301000</v>
      </c>
      <c r="B4905" t="str">
        <f>"471003448"</f>
        <v>471003448</v>
      </c>
      <c r="C4905" s="1">
        <v>45083</v>
      </c>
      <c r="D4905" s="1">
        <v>45084</v>
      </c>
      <c r="E4905">
        <v>1</v>
      </c>
      <c r="F4905" t="str">
        <f>"04-C02-02"</f>
        <v>04-C02-02</v>
      </c>
      <c r="G4905">
        <v>0.36070000000000002</v>
      </c>
      <c r="H4905" t="s">
        <v>11</v>
      </c>
      <c r="I4905" t="s">
        <v>10</v>
      </c>
    </row>
    <row r="4906" spans="1:9" x14ac:dyDescent="0.25">
      <c r="A4906" t="str">
        <f t="shared" si="117"/>
        <v>89301000</v>
      </c>
      <c r="B4906" t="str">
        <f>"471006403"</f>
        <v>471006403</v>
      </c>
      <c r="C4906" s="1">
        <v>45126</v>
      </c>
      <c r="D4906" s="1">
        <v>45131</v>
      </c>
      <c r="E4906">
        <v>5</v>
      </c>
      <c r="F4906" t="str">
        <f>"24-M05-02"</f>
        <v>24-M05-02</v>
      </c>
      <c r="G4906">
        <v>0.58660000000000001</v>
      </c>
      <c r="H4906" t="s">
        <v>11</v>
      </c>
      <c r="I4906" t="s">
        <v>10</v>
      </c>
    </row>
    <row r="4907" spans="1:9" x14ac:dyDescent="0.25">
      <c r="A4907" t="str">
        <f t="shared" si="117"/>
        <v>89301000</v>
      </c>
      <c r="B4907" t="str">
        <f>"471008404"</f>
        <v>471008404</v>
      </c>
      <c r="C4907" s="1">
        <v>45223</v>
      </c>
      <c r="D4907" s="1">
        <v>45229</v>
      </c>
      <c r="E4907">
        <v>1</v>
      </c>
      <c r="F4907" t="str">
        <f>"02-K05-01"</f>
        <v>02-K05-01</v>
      </c>
      <c r="G4907">
        <v>0.68920000000000003</v>
      </c>
      <c r="H4907" t="s">
        <v>11</v>
      </c>
      <c r="I4907" t="s">
        <v>10</v>
      </c>
    </row>
    <row r="4908" spans="1:9" x14ac:dyDescent="0.25">
      <c r="A4908" t="str">
        <f t="shared" si="117"/>
        <v>89301000</v>
      </c>
      <c r="B4908" t="str">
        <f>"471009438"</f>
        <v>471009438</v>
      </c>
      <c r="C4908" s="1">
        <v>45167</v>
      </c>
      <c r="D4908" s="1">
        <v>45170</v>
      </c>
      <c r="E4908">
        <v>1</v>
      </c>
      <c r="F4908" t="str">
        <f>"12-M02-02"</f>
        <v>12-M02-02</v>
      </c>
      <c r="G4908">
        <v>0.95020000000000004</v>
      </c>
      <c r="H4908" t="s">
        <v>9</v>
      </c>
      <c r="I4908" t="s">
        <v>10</v>
      </c>
    </row>
    <row r="4909" spans="1:9" x14ac:dyDescent="0.25">
      <c r="A4909" t="str">
        <f t="shared" si="117"/>
        <v>89301000</v>
      </c>
      <c r="B4909" t="str">
        <f>"471014453"</f>
        <v>471014453</v>
      </c>
      <c r="C4909" s="1">
        <v>45223</v>
      </c>
      <c r="D4909" s="1">
        <v>45227</v>
      </c>
      <c r="E4909">
        <v>1</v>
      </c>
      <c r="F4909" t="str">
        <f>"06-I16-04"</f>
        <v>06-I16-04</v>
      </c>
      <c r="G4909">
        <v>0.68920000000000003</v>
      </c>
      <c r="H4909" t="s">
        <v>9</v>
      </c>
      <c r="I4909" t="s">
        <v>10</v>
      </c>
    </row>
    <row r="4910" spans="1:9" x14ac:dyDescent="0.25">
      <c r="A4910" t="str">
        <f t="shared" si="117"/>
        <v>89301000</v>
      </c>
      <c r="B4910" t="str">
        <f>"471017452"</f>
        <v>471017452</v>
      </c>
      <c r="C4910" s="1">
        <v>45287</v>
      </c>
      <c r="D4910" s="1">
        <v>45287</v>
      </c>
      <c r="E4910">
        <v>1</v>
      </c>
      <c r="F4910" t="str">
        <f>"05-D01-08"</f>
        <v>05-D01-08</v>
      </c>
      <c r="G4910">
        <v>0.46439999999999998</v>
      </c>
      <c r="H4910" t="s">
        <v>11</v>
      </c>
      <c r="I4910" t="s">
        <v>10</v>
      </c>
    </row>
    <row r="4911" spans="1:9" x14ac:dyDescent="0.25">
      <c r="A4911" t="str">
        <f t="shared" si="117"/>
        <v>89301000</v>
      </c>
      <c r="B4911" t="str">
        <f>"471019469"</f>
        <v>471019469</v>
      </c>
      <c r="C4911" s="1">
        <v>45190</v>
      </c>
      <c r="D4911" s="1">
        <v>45198</v>
      </c>
      <c r="E4911">
        <v>1</v>
      </c>
      <c r="F4911" t="str">
        <f>"04-K09-02"</f>
        <v>04-K09-02</v>
      </c>
      <c r="G4911">
        <v>1.1033999999999999</v>
      </c>
      <c r="H4911" t="s">
        <v>11</v>
      </c>
      <c r="I4911" t="s">
        <v>10</v>
      </c>
    </row>
    <row r="4912" spans="1:9" x14ac:dyDescent="0.25">
      <c r="A4912" t="str">
        <f t="shared" si="117"/>
        <v>89301000</v>
      </c>
      <c r="B4912" t="str">
        <f t="shared" ref="B4912:B4919" si="118">"471020143"</f>
        <v>471020143</v>
      </c>
      <c r="C4912" s="1">
        <v>45237</v>
      </c>
      <c r="D4912" s="1">
        <v>45242</v>
      </c>
      <c r="E4912">
        <v>1</v>
      </c>
      <c r="F4912" t="str">
        <f t="shared" ref="F4912:F4917" si="119">"06-C02-01"</f>
        <v>06-C02-01</v>
      </c>
      <c r="G4912">
        <v>0.37359999999999999</v>
      </c>
      <c r="H4912" t="s">
        <v>11</v>
      </c>
      <c r="I4912" t="s">
        <v>10</v>
      </c>
    </row>
    <row r="4913" spans="1:9" x14ac:dyDescent="0.25">
      <c r="A4913" t="str">
        <f t="shared" si="117"/>
        <v>89301000</v>
      </c>
      <c r="B4913" t="str">
        <f t="shared" si="118"/>
        <v>471020143</v>
      </c>
      <c r="C4913" s="1">
        <v>45188</v>
      </c>
      <c r="D4913" s="1">
        <v>45191</v>
      </c>
      <c r="E4913">
        <v>1</v>
      </c>
      <c r="F4913" t="str">
        <f t="shared" si="119"/>
        <v>06-C02-01</v>
      </c>
      <c r="G4913">
        <v>0.31909999999999999</v>
      </c>
      <c r="H4913" t="s">
        <v>11</v>
      </c>
      <c r="I4913" t="s">
        <v>10</v>
      </c>
    </row>
    <row r="4914" spans="1:9" x14ac:dyDescent="0.25">
      <c r="A4914" t="str">
        <f t="shared" si="117"/>
        <v>89301000</v>
      </c>
      <c r="B4914" t="str">
        <f t="shared" si="118"/>
        <v>471020143</v>
      </c>
      <c r="C4914" s="1">
        <v>45169</v>
      </c>
      <c r="D4914" s="1">
        <v>45176</v>
      </c>
      <c r="E4914">
        <v>1</v>
      </c>
      <c r="F4914" t="str">
        <f t="shared" si="119"/>
        <v>06-C02-01</v>
      </c>
      <c r="G4914">
        <v>0.48249999999999998</v>
      </c>
      <c r="H4914" t="s">
        <v>11</v>
      </c>
      <c r="I4914" t="s">
        <v>10</v>
      </c>
    </row>
    <row r="4915" spans="1:9" x14ac:dyDescent="0.25">
      <c r="A4915" t="str">
        <f t="shared" si="117"/>
        <v>89301000</v>
      </c>
      <c r="B4915" t="str">
        <f t="shared" si="118"/>
        <v>471020143</v>
      </c>
      <c r="C4915" s="1">
        <v>45124</v>
      </c>
      <c r="D4915" s="1">
        <v>45141</v>
      </c>
      <c r="E4915">
        <v>1</v>
      </c>
      <c r="F4915" t="str">
        <f t="shared" si="119"/>
        <v>06-C02-01</v>
      </c>
      <c r="G4915">
        <v>1.0270999999999999</v>
      </c>
      <c r="H4915" t="s">
        <v>11</v>
      </c>
      <c r="I4915" t="s">
        <v>10</v>
      </c>
    </row>
    <row r="4916" spans="1:9" x14ac:dyDescent="0.25">
      <c r="A4916" t="str">
        <f t="shared" si="117"/>
        <v>89301000</v>
      </c>
      <c r="B4916" t="str">
        <f t="shared" si="118"/>
        <v>471020143</v>
      </c>
      <c r="C4916" s="1">
        <v>45219</v>
      </c>
      <c r="D4916" s="1">
        <v>45224</v>
      </c>
      <c r="E4916">
        <v>1</v>
      </c>
      <c r="F4916" t="str">
        <f t="shared" si="119"/>
        <v>06-C02-01</v>
      </c>
      <c r="G4916">
        <v>0.37359999999999999</v>
      </c>
      <c r="H4916" t="s">
        <v>11</v>
      </c>
      <c r="I4916" t="s">
        <v>10</v>
      </c>
    </row>
    <row r="4917" spans="1:9" x14ac:dyDescent="0.25">
      <c r="A4917" t="str">
        <f t="shared" si="117"/>
        <v>89301000</v>
      </c>
      <c r="B4917" t="str">
        <f t="shared" si="118"/>
        <v>471020143</v>
      </c>
      <c r="C4917" s="1">
        <v>45253</v>
      </c>
      <c r="D4917" s="1">
        <v>45261</v>
      </c>
      <c r="E4917">
        <v>1</v>
      </c>
      <c r="F4917" t="str">
        <f t="shared" si="119"/>
        <v>06-C02-01</v>
      </c>
      <c r="G4917">
        <v>0.53690000000000004</v>
      </c>
      <c r="H4917" t="s">
        <v>11</v>
      </c>
      <c r="I4917" t="s">
        <v>10</v>
      </c>
    </row>
    <row r="4918" spans="1:9" x14ac:dyDescent="0.25">
      <c r="A4918" t="str">
        <f t="shared" si="117"/>
        <v>89301000</v>
      </c>
      <c r="B4918" t="str">
        <f t="shared" si="118"/>
        <v>471020143</v>
      </c>
      <c r="C4918" s="1">
        <v>45078</v>
      </c>
      <c r="D4918" s="1">
        <v>45082</v>
      </c>
      <c r="E4918">
        <v>1</v>
      </c>
      <c r="F4918" t="str">
        <f>"11-K02-03"</f>
        <v>11-K02-03</v>
      </c>
      <c r="G4918">
        <v>0.86360000000000003</v>
      </c>
      <c r="H4918" t="s">
        <v>11</v>
      </c>
      <c r="I4918" t="s">
        <v>10</v>
      </c>
    </row>
    <row r="4919" spans="1:9" x14ac:dyDescent="0.25">
      <c r="A4919" t="str">
        <f t="shared" si="117"/>
        <v>89301000</v>
      </c>
      <c r="B4919" t="str">
        <f t="shared" si="118"/>
        <v>471020143</v>
      </c>
      <c r="C4919" s="1">
        <v>45203</v>
      </c>
      <c r="D4919" s="1">
        <v>45211</v>
      </c>
      <c r="E4919">
        <v>1</v>
      </c>
      <c r="F4919" t="str">
        <f>"06-C02-01"</f>
        <v>06-C02-01</v>
      </c>
      <c r="G4919">
        <v>0.53690000000000004</v>
      </c>
      <c r="H4919" t="s">
        <v>11</v>
      </c>
      <c r="I4919" t="s">
        <v>10</v>
      </c>
    </row>
    <row r="4920" spans="1:9" x14ac:dyDescent="0.25">
      <c r="A4920" t="str">
        <f t="shared" si="117"/>
        <v>89301000</v>
      </c>
      <c r="B4920" t="str">
        <f>"471020430"</f>
        <v>471020430</v>
      </c>
      <c r="C4920" s="1">
        <v>45274</v>
      </c>
      <c r="D4920" s="1">
        <v>45274</v>
      </c>
      <c r="E4920">
        <v>1</v>
      </c>
      <c r="F4920" t="str">
        <f>"05-D01-08"</f>
        <v>05-D01-08</v>
      </c>
      <c r="G4920">
        <v>0.2303</v>
      </c>
      <c r="H4920" t="s">
        <v>11</v>
      </c>
      <c r="I4920" t="s">
        <v>10</v>
      </c>
    </row>
    <row r="4921" spans="1:9" x14ac:dyDescent="0.25">
      <c r="A4921" t="str">
        <f t="shared" si="117"/>
        <v>89301000</v>
      </c>
      <c r="B4921" t="str">
        <f>"471022401"</f>
        <v>471022401</v>
      </c>
      <c r="C4921" s="1">
        <v>45068</v>
      </c>
      <c r="D4921" s="1">
        <v>45072</v>
      </c>
      <c r="E4921">
        <v>1</v>
      </c>
      <c r="F4921" t="str">
        <f>"01-K12-01"</f>
        <v>01-K12-01</v>
      </c>
      <c r="G4921">
        <v>0.73780000000000001</v>
      </c>
      <c r="H4921" t="s">
        <v>11</v>
      </c>
      <c r="I4921" t="s">
        <v>10</v>
      </c>
    </row>
    <row r="4922" spans="1:9" x14ac:dyDescent="0.25">
      <c r="A4922" t="str">
        <f t="shared" si="117"/>
        <v>89301000</v>
      </c>
      <c r="B4922" t="str">
        <f>"471105120"</f>
        <v>471105120</v>
      </c>
      <c r="C4922" s="1">
        <v>45166</v>
      </c>
      <c r="D4922" s="1">
        <v>45168</v>
      </c>
      <c r="E4922">
        <v>1</v>
      </c>
      <c r="F4922" t="str">
        <f>"01-K03-06"</f>
        <v>01-K03-06</v>
      </c>
      <c r="G4922">
        <v>0.84740000000000004</v>
      </c>
      <c r="H4922" t="s">
        <v>11</v>
      </c>
      <c r="I4922" t="s">
        <v>10</v>
      </c>
    </row>
    <row r="4923" spans="1:9" x14ac:dyDescent="0.25">
      <c r="A4923" t="str">
        <f t="shared" si="117"/>
        <v>89301000</v>
      </c>
      <c r="B4923" t="str">
        <f>"471105120"</f>
        <v>471105120</v>
      </c>
      <c r="C4923" s="1">
        <v>45153</v>
      </c>
      <c r="D4923" s="1">
        <v>45160</v>
      </c>
      <c r="E4923">
        <v>1</v>
      </c>
      <c r="F4923" t="str">
        <f>"06-I07-05"</f>
        <v>06-I07-05</v>
      </c>
      <c r="G4923">
        <v>2.7919999999999998</v>
      </c>
      <c r="H4923" t="s">
        <v>12</v>
      </c>
      <c r="I4923" t="s">
        <v>10</v>
      </c>
    </row>
    <row r="4924" spans="1:9" x14ac:dyDescent="0.25">
      <c r="A4924" t="str">
        <f t="shared" si="117"/>
        <v>89301000</v>
      </c>
      <c r="B4924" t="str">
        <f>"471109466"</f>
        <v>471109466</v>
      </c>
      <c r="C4924" s="1">
        <v>45040</v>
      </c>
      <c r="D4924" s="1">
        <v>45042</v>
      </c>
      <c r="E4924">
        <v>1</v>
      </c>
      <c r="F4924" t="str">
        <f>"16-I04-01"</f>
        <v>16-I04-01</v>
      </c>
      <c r="G4924">
        <v>0.93820000000000003</v>
      </c>
      <c r="H4924" t="s">
        <v>12</v>
      </c>
      <c r="I4924" t="s">
        <v>10</v>
      </c>
    </row>
    <row r="4925" spans="1:9" x14ac:dyDescent="0.25">
      <c r="A4925" t="str">
        <f t="shared" si="117"/>
        <v>89301000</v>
      </c>
      <c r="B4925" t="str">
        <f>"471114451"</f>
        <v>471114451</v>
      </c>
      <c r="C4925" s="1">
        <v>45003</v>
      </c>
      <c r="D4925" s="1">
        <v>45008</v>
      </c>
      <c r="E4925">
        <v>1</v>
      </c>
      <c r="F4925" t="str">
        <f>"03-K02-02"</f>
        <v>03-K02-02</v>
      </c>
      <c r="G4925">
        <v>0.58540000000000003</v>
      </c>
      <c r="H4925" t="s">
        <v>11</v>
      </c>
      <c r="I4925" t="s">
        <v>10</v>
      </c>
    </row>
    <row r="4926" spans="1:9" x14ac:dyDescent="0.25">
      <c r="A4926" t="str">
        <f t="shared" si="117"/>
        <v>89301000</v>
      </c>
      <c r="B4926" t="str">
        <f>"471118951"</f>
        <v>471118951</v>
      </c>
      <c r="C4926" s="1">
        <v>44934</v>
      </c>
      <c r="D4926" s="1">
        <v>44942</v>
      </c>
      <c r="E4926">
        <v>1</v>
      </c>
      <c r="F4926" t="str">
        <f>"08-I03-04"</f>
        <v>08-I03-04</v>
      </c>
      <c r="G4926">
        <v>4.7615999999999996</v>
      </c>
      <c r="H4926" t="s">
        <v>9</v>
      </c>
      <c r="I4926" t="s">
        <v>10</v>
      </c>
    </row>
    <row r="4927" spans="1:9" x14ac:dyDescent="0.25">
      <c r="A4927" t="str">
        <f t="shared" si="117"/>
        <v>89301000</v>
      </c>
      <c r="B4927" t="str">
        <f>"471119461"</f>
        <v>471119461</v>
      </c>
      <c r="C4927" s="1">
        <v>45004</v>
      </c>
      <c r="D4927" s="1">
        <v>45007</v>
      </c>
      <c r="E4927">
        <v>1</v>
      </c>
      <c r="F4927" t="str">
        <f>"05-K12-02"</f>
        <v>05-K12-02</v>
      </c>
      <c r="G4927">
        <v>0.48820000000000002</v>
      </c>
      <c r="H4927" t="s">
        <v>11</v>
      </c>
      <c r="I4927" t="s">
        <v>10</v>
      </c>
    </row>
    <row r="4928" spans="1:9" x14ac:dyDescent="0.25">
      <c r="A4928" t="str">
        <f t="shared" si="117"/>
        <v>89301000</v>
      </c>
      <c r="B4928" t="str">
        <f>"471128433"</f>
        <v>471128433</v>
      </c>
      <c r="C4928" s="1">
        <v>45042</v>
      </c>
      <c r="D4928" s="1">
        <v>45045</v>
      </c>
      <c r="E4928">
        <v>1</v>
      </c>
      <c r="F4928" t="str">
        <f>"05-M07-06"</f>
        <v>05-M07-06</v>
      </c>
      <c r="G4928">
        <v>1.2264999999999999</v>
      </c>
      <c r="H4928" t="s">
        <v>12</v>
      </c>
      <c r="I4928" t="s">
        <v>10</v>
      </c>
    </row>
    <row r="4929" spans="1:9" x14ac:dyDescent="0.25">
      <c r="A4929" t="str">
        <f t="shared" si="117"/>
        <v>89301000</v>
      </c>
      <c r="B4929" t="str">
        <f>"471201485"</f>
        <v>471201485</v>
      </c>
      <c r="C4929" s="1">
        <v>45039</v>
      </c>
      <c r="D4929" s="1">
        <v>45040</v>
      </c>
      <c r="E4929">
        <v>7</v>
      </c>
      <c r="F4929" t="str">
        <f>"25-I02-01"</f>
        <v>25-I02-01</v>
      </c>
      <c r="G4929">
        <v>2.4784999999999999</v>
      </c>
      <c r="H4929" t="s">
        <v>14</v>
      </c>
      <c r="I4929" t="s">
        <v>10</v>
      </c>
    </row>
    <row r="4930" spans="1:9" x14ac:dyDescent="0.25">
      <c r="A4930" t="str">
        <f t="shared" si="117"/>
        <v>89301000</v>
      </c>
      <c r="B4930" t="str">
        <f>"471207447"</f>
        <v>471207447</v>
      </c>
      <c r="C4930" s="1">
        <v>45131</v>
      </c>
      <c r="D4930" s="1">
        <v>45138</v>
      </c>
      <c r="E4930">
        <v>4</v>
      </c>
      <c r="F4930" t="str">
        <f>"08-I05-05"</f>
        <v>08-I05-05</v>
      </c>
      <c r="G4930">
        <v>2.2633000000000001</v>
      </c>
      <c r="H4930" t="s">
        <v>12</v>
      </c>
      <c r="I4930" t="s">
        <v>10</v>
      </c>
    </row>
    <row r="4931" spans="1:9" x14ac:dyDescent="0.25">
      <c r="A4931" t="str">
        <f t="shared" si="117"/>
        <v>89301000</v>
      </c>
      <c r="B4931" t="str">
        <f>"471211439"</f>
        <v>471211439</v>
      </c>
      <c r="C4931" s="1">
        <v>45111</v>
      </c>
      <c r="D4931" s="1">
        <v>45118</v>
      </c>
      <c r="E4931">
        <v>1</v>
      </c>
      <c r="F4931" t="str">
        <f>"01-K10-03"</f>
        <v>01-K10-03</v>
      </c>
      <c r="G4931">
        <v>1.0443</v>
      </c>
      <c r="H4931" t="s">
        <v>11</v>
      </c>
      <c r="I4931" t="s">
        <v>10</v>
      </c>
    </row>
    <row r="4932" spans="1:9" x14ac:dyDescent="0.25">
      <c r="A4932" t="str">
        <f t="shared" si="117"/>
        <v>89301000</v>
      </c>
      <c r="B4932" t="str">
        <f>"471216401"</f>
        <v>471216401</v>
      </c>
      <c r="C4932" s="1">
        <v>44944</v>
      </c>
      <c r="D4932" s="1">
        <v>44955</v>
      </c>
      <c r="E4932">
        <v>1</v>
      </c>
      <c r="F4932" t="str">
        <f>"05-I16-07"</f>
        <v>05-I16-07</v>
      </c>
      <c r="G4932">
        <v>4.2047999999999996</v>
      </c>
      <c r="H4932" t="s">
        <v>14</v>
      </c>
      <c r="I4932" t="s">
        <v>10</v>
      </c>
    </row>
    <row r="4933" spans="1:9" x14ac:dyDescent="0.25">
      <c r="A4933" t="str">
        <f t="shared" si="117"/>
        <v>89301000</v>
      </c>
      <c r="B4933" t="str">
        <f>"471216401"</f>
        <v>471216401</v>
      </c>
      <c r="C4933" s="1">
        <v>45035</v>
      </c>
      <c r="D4933" s="1">
        <v>45057</v>
      </c>
      <c r="E4933">
        <v>1</v>
      </c>
      <c r="F4933" t="str">
        <f>"01-K04-02"</f>
        <v>01-K04-02</v>
      </c>
      <c r="G4933">
        <v>1.2198</v>
      </c>
      <c r="H4933" t="s">
        <v>11</v>
      </c>
      <c r="I4933" t="s">
        <v>10</v>
      </c>
    </row>
    <row r="4934" spans="1:9" x14ac:dyDescent="0.25">
      <c r="A4934" t="str">
        <f t="shared" si="117"/>
        <v>89301000</v>
      </c>
      <c r="B4934" t="str">
        <f>"471219453"</f>
        <v>471219453</v>
      </c>
      <c r="C4934" s="1">
        <v>45106</v>
      </c>
      <c r="D4934" s="1">
        <v>45112</v>
      </c>
      <c r="E4934">
        <v>1</v>
      </c>
      <c r="F4934" t="str">
        <f>"12-I03-01"</f>
        <v>12-I03-01</v>
      </c>
      <c r="G4934">
        <v>2.6934999999999998</v>
      </c>
      <c r="H4934" t="s">
        <v>9</v>
      </c>
      <c r="I4934" t="s">
        <v>10</v>
      </c>
    </row>
    <row r="4935" spans="1:9" x14ac:dyDescent="0.25">
      <c r="A4935" t="str">
        <f t="shared" si="117"/>
        <v>89301000</v>
      </c>
      <c r="B4935" t="str">
        <f>"475101509"</f>
        <v>475101509</v>
      </c>
      <c r="C4935" s="1">
        <v>45245</v>
      </c>
      <c r="D4935" s="1">
        <v>45249</v>
      </c>
      <c r="E4935">
        <v>1</v>
      </c>
      <c r="F4935" t="str">
        <f>"10-I13-02"</f>
        <v>10-I13-02</v>
      </c>
      <c r="G4935">
        <v>1.1124000000000001</v>
      </c>
      <c r="H4935" t="s">
        <v>9</v>
      </c>
      <c r="I4935" t="s">
        <v>10</v>
      </c>
    </row>
    <row r="4936" spans="1:9" x14ac:dyDescent="0.25">
      <c r="A4936" t="str">
        <f t="shared" si="117"/>
        <v>89301000</v>
      </c>
      <c r="B4936" t="str">
        <f>"475104406"</f>
        <v>475104406</v>
      </c>
      <c r="C4936" s="1">
        <v>44978</v>
      </c>
      <c r="D4936" s="1">
        <v>44985</v>
      </c>
      <c r="E4936">
        <v>1</v>
      </c>
      <c r="F4936" t="str">
        <f>"05-I15-00"</f>
        <v>05-I15-00</v>
      </c>
      <c r="G4936">
        <v>7.5282</v>
      </c>
      <c r="H4936" t="s">
        <v>12</v>
      </c>
      <c r="I4936" t="s">
        <v>10</v>
      </c>
    </row>
    <row r="4937" spans="1:9" x14ac:dyDescent="0.25">
      <c r="A4937" t="str">
        <f t="shared" si="117"/>
        <v>89301000</v>
      </c>
      <c r="B4937" t="str">
        <f>"475104473"</f>
        <v>475104473</v>
      </c>
      <c r="C4937" s="1">
        <v>45181</v>
      </c>
      <c r="D4937" s="1">
        <v>45250</v>
      </c>
      <c r="E4937">
        <v>4</v>
      </c>
      <c r="F4937" t="str">
        <f>"08-K02-03"</f>
        <v>08-K02-03</v>
      </c>
      <c r="G4937">
        <v>4.3052000000000001</v>
      </c>
      <c r="H4937" t="s">
        <v>11</v>
      </c>
      <c r="I4937" t="s">
        <v>10</v>
      </c>
    </row>
    <row r="4938" spans="1:9" x14ac:dyDescent="0.25">
      <c r="A4938" t="str">
        <f t="shared" si="117"/>
        <v>89301000</v>
      </c>
      <c r="B4938" t="str">
        <f>"475106438"</f>
        <v>475106438</v>
      </c>
      <c r="C4938" s="1">
        <v>45207</v>
      </c>
      <c r="D4938" s="1">
        <v>45223</v>
      </c>
      <c r="E4938">
        <v>1</v>
      </c>
      <c r="F4938" t="str">
        <f>"05-I24-02"</f>
        <v>05-I24-02</v>
      </c>
      <c r="G4938">
        <v>4.5396000000000001</v>
      </c>
      <c r="H4938" t="s">
        <v>12</v>
      </c>
      <c r="I4938" t="s">
        <v>10</v>
      </c>
    </row>
    <row r="4939" spans="1:9" x14ac:dyDescent="0.25">
      <c r="A4939" t="str">
        <f t="shared" si="117"/>
        <v>89301000</v>
      </c>
      <c r="B4939" t="str">
        <f>"475109421"</f>
        <v>475109421</v>
      </c>
      <c r="C4939" s="1">
        <v>45063</v>
      </c>
      <c r="D4939" s="1">
        <v>45068</v>
      </c>
      <c r="E4939">
        <v>1</v>
      </c>
      <c r="F4939" t="str">
        <f>"08-I03-08"</f>
        <v>08-I03-08</v>
      </c>
      <c r="G4939">
        <v>1.9455</v>
      </c>
      <c r="H4939" t="s">
        <v>9</v>
      </c>
      <c r="I4939" t="s">
        <v>10</v>
      </c>
    </row>
    <row r="4940" spans="1:9" x14ac:dyDescent="0.25">
      <c r="A4940" t="str">
        <f t="shared" si="117"/>
        <v>89301000</v>
      </c>
      <c r="B4940" t="str">
        <f>"475123402"</f>
        <v>475123402</v>
      </c>
      <c r="C4940" s="1">
        <v>45002</v>
      </c>
      <c r="D4940" s="1">
        <v>45007</v>
      </c>
      <c r="E4940">
        <v>2</v>
      </c>
      <c r="F4940" t="str">
        <f>"11-K01-02"</f>
        <v>11-K01-02</v>
      </c>
      <c r="G4940">
        <v>0.86480000000000001</v>
      </c>
      <c r="H4940" t="s">
        <v>11</v>
      </c>
      <c r="I4940" t="s">
        <v>10</v>
      </c>
    </row>
    <row r="4941" spans="1:9" x14ac:dyDescent="0.25">
      <c r="A4941" t="str">
        <f t="shared" si="117"/>
        <v>89301000</v>
      </c>
      <c r="B4941" t="str">
        <f>"475123402"</f>
        <v>475123402</v>
      </c>
      <c r="C4941" s="1">
        <v>45173</v>
      </c>
      <c r="D4941" s="1">
        <v>45182</v>
      </c>
      <c r="E4941">
        <v>1</v>
      </c>
      <c r="F4941" t="str">
        <f>"09-K01-03"</f>
        <v>09-K01-03</v>
      </c>
      <c r="G4941">
        <v>0.85919999999999996</v>
      </c>
      <c r="H4941" t="s">
        <v>11</v>
      </c>
      <c r="I4941" t="s">
        <v>10</v>
      </c>
    </row>
    <row r="4942" spans="1:9" x14ac:dyDescent="0.25">
      <c r="A4942" t="str">
        <f t="shared" si="117"/>
        <v>89301000</v>
      </c>
      <c r="B4942" t="str">
        <f>"475123420"</f>
        <v>475123420</v>
      </c>
      <c r="C4942" s="1">
        <v>45089</v>
      </c>
      <c r="D4942" s="1">
        <v>45090</v>
      </c>
      <c r="E4942">
        <v>1</v>
      </c>
      <c r="F4942" t="str">
        <f>"02-I13-02"</f>
        <v>02-I13-02</v>
      </c>
      <c r="G4942">
        <v>0.4259</v>
      </c>
      <c r="H4942" t="s">
        <v>11</v>
      </c>
      <c r="I4942" t="s">
        <v>10</v>
      </c>
    </row>
    <row r="4943" spans="1:9" x14ac:dyDescent="0.25">
      <c r="A4943" t="str">
        <f t="shared" si="117"/>
        <v>89301000</v>
      </c>
      <c r="B4943" t="str">
        <f>"475201425"</f>
        <v>475201425</v>
      </c>
      <c r="C4943" s="1">
        <v>45020</v>
      </c>
      <c r="D4943" s="1">
        <v>45029</v>
      </c>
      <c r="E4943">
        <v>1</v>
      </c>
      <c r="F4943" t="str">
        <f>"05-K13-01"</f>
        <v>05-K13-01</v>
      </c>
      <c r="G4943">
        <v>1.1911</v>
      </c>
      <c r="H4943" t="s">
        <v>11</v>
      </c>
      <c r="I4943" t="s">
        <v>10</v>
      </c>
    </row>
    <row r="4944" spans="1:9" x14ac:dyDescent="0.25">
      <c r="A4944" t="str">
        <f t="shared" si="117"/>
        <v>89301000</v>
      </c>
      <c r="B4944" t="str">
        <f>"475201425"</f>
        <v>475201425</v>
      </c>
      <c r="C4944" s="1">
        <v>44980</v>
      </c>
      <c r="D4944" s="1">
        <v>44986</v>
      </c>
      <c r="E4944">
        <v>1</v>
      </c>
      <c r="F4944" t="str">
        <f>"08-K08-00"</f>
        <v>08-K08-00</v>
      </c>
      <c r="G4944">
        <v>0.5272</v>
      </c>
      <c r="H4944" t="s">
        <v>11</v>
      </c>
      <c r="I4944" t="s">
        <v>10</v>
      </c>
    </row>
    <row r="4945" spans="1:9" x14ac:dyDescent="0.25">
      <c r="A4945" t="str">
        <f t="shared" si="117"/>
        <v>89301000</v>
      </c>
      <c r="B4945" t="str">
        <f>"475202456"</f>
        <v>475202456</v>
      </c>
      <c r="C4945" s="1">
        <v>45085</v>
      </c>
      <c r="D4945" s="1">
        <v>45086</v>
      </c>
      <c r="E4945">
        <v>1</v>
      </c>
      <c r="F4945" t="str">
        <f>"08-K04-03"</f>
        <v>08-K04-03</v>
      </c>
      <c r="G4945">
        <v>0.41799999999999998</v>
      </c>
      <c r="H4945" t="s">
        <v>11</v>
      </c>
      <c r="I4945" t="s">
        <v>10</v>
      </c>
    </row>
    <row r="4946" spans="1:9" x14ac:dyDescent="0.25">
      <c r="A4946" t="str">
        <f t="shared" si="117"/>
        <v>89301000</v>
      </c>
      <c r="B4946" t="str">
        <f>"475205436"</f>
        <v>475205436</v>
      </c>
      <c r="C4946" s="1">
        <v>45105</v>
      </c>
      <c r="D4946" s="1">
        <v>45106</v>
      </c>
      <c r="E4946">
        <v>1</v>
      </c>
      <c r="F4946" t="str">
        <f>"04-K15-03"</f>
        <v>04-K15-03</v>
      </c>
      <c r="G4946">
        <v>0.49790000000000001</v>
      </c>
      <c r="H4946" t="s">
        <v>11</v>
      </c>
      <c r="I4946" t="s">
        <v>10</v>
      </c>
    </row>
    <row r="4947" spans="1:9" x14ac:dyDescent="0.25">
      <c r="A4947" t="str">
        <f t="shared" si="117"/>
        <v>89301000</v>
      </c>
      <c r="B4947" t="str">
        <f>"475207048"</f>
        <v>475207048</v>
      </c>
      <c r="C4947" s="1">
        <v>45075</v>
      </c>
      <c r="D4947" s="1">
        <v>45086</v>
      </c>
      <c r="E4947">
        <v>1</v>
      </c>
      <c r="F4947" t="str">
        <f>"09-K01-02"</f>
        <v>09-K01-02</v>
      </c>
      <c r="G4947">
        <v>1.0348999999999999</v>
      </c>
      <c r="H4947" t="s">
        <v>11</v>
      </c>
      <c r="I4947" t="s">
        <v>10</v>
      </c>
    </row>
    <row r="4948" spans="1:9" x14ac:dyDescent="0.25">
      <c r="A4948" t="str">
        <f t="shared" si="117"/>
        <v>89301000</v>
      </c>
      <c r="B4948" t="str">
        <f>"475214401"</f>
        <v>475214401</v>
      </c>
      <c r="C4948" s="1">
        <v>45154</v>
      </c>
      <c r="D4948" s="1">
        <v>45155</v>
      </c>
      <c r="E4948">
        <v>1</v>
      </c>
      <c r="F4948" t="str">
        <f>"05-D01-08"</f>
        <v>05-D01-08</v>
      </c>
      <c r="G4948">
        <v>0.43159999999999998</v>
      </c>
      <c r="H4948" t="s">
        <v>11</v>
      </c>
      <c r="I4948" t="s">
        <v>10</v>
      </c>
    </row>
    <row r="4949" spans="1:9" x14ac:dyDescent="0.25">
      <c r="A4949" t="str">
        <f t="shared" si="117"/>
        <v>89301000</v>
      </c>
      <c r="B4949" t="str">
        <f>"475217407"</f>
        <v>475217407</v>
      </c>
      <c r="C4949" s="1">
        <v>45129</v>
      </c>
      <c r="D4949" s="1">
        <v>45132</v>
      </c>
      <c r="E4949">
        <v>1</v>
      </c>
      <c r="F4949" t="str">
        <f>"03-K04-01"</f>
        <v>03-K04-01</v>
      </c>
      <c r="G4949">
        <v>0.46479999999999999</v>
      </c>
      <c r="H4949" t="s">
        <v>11</v>
      </c>
      <c r="I4949" t="s">
        <v>10</v>
      </c>
    </row>
    <row r="4950" spans="1:9" x14ac:dyDescent="0.25">
      <c r="A4950" t="str">
        <f t="shared" si="117"/>
        <v>89301000</v>
      </c>
      <c r="B4950" t="str">
        <f>"475217407"</f>
        <v>475217407</v>
      </c>
      <c r="C4950" s="1">
        <v>45138</v>
      </c>
      <c r="D4950" s="1">
        <v>45141</v>
      </c>
      <c r="E4950">
        <v>1</v>
      </c>
      <c r="F4950" t="str">
        <f>"03-K04-01"</f>
        <v>03-K04-01</v>
      </c>
      <c r="G4950">
        <v>0.46479999999999999</v>
      </c>
      <c r="H4950" t="s">
        <v>11</v>
      </c>
      <c r="I4950" t="s">
        <v>10</v>
      </c>
    </row>
    <row r="4951" spans="1:9" x14ac:dyDescent="0.25">
      <c r="A4951" t="str">
        <f t="shared" ref="A4951:A5013" si="120">"89301000"</f>
        <v>89301000</v>
      </c>
      <c r="B4951" t="str">
        <f>"475217407"</f>
        <v>475217407</v>
      </c>
      <c r="C4951" s="1">
        <v>45216</v>
      </c>
      <c r="D4951" s="1">
        <v>45217</v>
      </c>
      <c r="E4951">
        <v>1</v>
      </c>
      <c r="F4951" t="str">
        <f>"03-K04-01"</f>
        <v>03-K04-01</v>
      </c>
      <c r="G4951">
        <v>0.46479999999999999</v>
      </c>
      <c r="H4951" t="s">
        <v>11</v>
      </c>
      <c r="I4951" t="s">
        <v>10</v>
      </c>
    </row>
    <row r="4952" spans="1:9" x14ac:dyDescent="0.25">
      <c r="A4952" t="str">
        <f t="shared" si="120"/>
        <v>89301000</v>
      </c>
      <c r="B4952" t="str">
        <f>"475217414"</f>
        <v>475217414</v>
      </c>
      <c r="C4952" s="1">
        <v>44946</v>
      </c>
      <c r="D4952" s="1">
        <v>44946</v>
      </c>
      <c r="E4952">
        <v>1</v>
      </c>
      <c r="F4952" t="str">
        <f>"01-K06-00"</f>
        <v>01-K06-00</v>
      </c>
      <c r="G4952">
        <v>7.6799999999999993E-2</v>
      </c>
      <c r="H4952" t="s">
        <v>11</v>
      </c>
      <c r="I4952" t="s">
        <v>10</v>
      </c>
    </row>
    <row r="4953" spans="1:9" x14ac:dyDescent="0.25">
      <c r="A4953" t="str">
        <f t="shared" si="120"/>
        <v>89301000</v>
      </c>
      <c r="B4953" t="str">
        <f>"475217414"</f>
        <v>475217414</v>
      </c>
      <c r="C4953" s="1">
        <v>44988</v>
      </c>
      <c r="D4953" s="1">
        <v>44991</v>
      </c>
      <c r="E4953">
        <v>1</v>
      </c>
      <c r="F4953" t="str">
        <f>"10-K15-02"</f>
        <v>10-K15-02</v>
      </c>
      <c r="G4953">
        <v>0.66379999999999995</v>
      </c>
      <c r="H4953" t="s">
        <v>11</v>
      </c>
      <c r="I4953" t="s">
        <v>10</v>
      </c>
    </row>
    <row r="4954" spans="1:9" x14ac:dyDescent="0.25">
      <c r="A4954" t="str">
        <f t="shared" si="120"/>
        <v>89301000</v>
      </c>
      <c r="B4954" t="str">
        <f>"475218096"</f>
        <v>475218096</v>
      </c>
      <c r="C4954" s="1">
        <v>45068</v>
      </c>
      <c r="D4954" s="1">
        <v>45075</v>
      </c>
      <c r="E4954">
        <v>1</v>
      </c>
      <c r="F4954" t="str">
        <f>"08-K08-00"</f>
        <v>08-K08-00</v>
      </c>
      <c r="G4954">
        <v>0.5272</v>
      </c>
      <c r="H4954" t="s">
        <v>11</v>
      </c>
      <c r="I4954" t="s">
        <v>10</v>
      </c>
    </row>
    <row r="4955" spans="1:9" x14ac:dyDescent="0.25">
      <c r="A4955" t="str">
        <f t="shared" si="120"/>
        <v>89301000</v>
      </c>
      <c r="B4955" t="str">
        <f>"475218096"</f>
        <v>475218096</v>
      </c>
      <c r="C4955" s="1">
        <v>45253</v>
      </c>
      <c r="D4955" s="1">
        <v>45259</v>
      </c>
      <c r="E4955">
        <v>1</v>
      </c>
      <c r="F4955" t="str">
        <f>"08-K08-00"</f>
        <v>08-K08-00</v>
      </c>
      <c r="G4955">
        <v>0.5272</v>
      </c>
      <c r="H4955" t="s">
        <v>11</v>
      </c>
      <c r="I4955" t="s">
        <v>10</v>
      </c>
    </row>
    <row r="4956" spans="1:9" x14ac:dyDescent="0.25">
      <c r="A4956" t="str">
        <f t="shared" si="120"/>
        <v>89301000</v>
      </c>
      <c r="B4956" t="str">
        <f>"475221403"</f>
        <v>475221403</v>
      </c>
      <c r="C4956" s="1">
        <v>45070</v>
      </c>
      <c r="D4956" s="1">
        <v>45071</v>
      </c>
      <c r="E4956">
        <v>1</v>
      </c>
      <c r="F4956" t="str">
        <f>"03-I19-03"</f>
        <v>03-I19-03</v>
      </c>
      <c r="G4956">
        <v>0.53249999999999997</v>
      </c>
      <c r="H4956" t="s">
        <v>11</v>
      </c>
      <c r="I4956" t="s">
        <v>10</v>
      </c>
    </row>
    <row r="4957" spans="1:9" x14ac:dyDescent="0.25">
      <c r="A4957" t="str">
        <f t="shared" si="120"/>
        <v>89301000</v>
      </c>
      <c r="B4957" t="str">
        <f>"475305409"</f>
        <v>475305409</v>
      </c>
      <c r="C4957" s="1">
        <v>45278</v>
      </c>
      <c r="D4957" s="1">
        <v>45282</v>
      </c>
      <c r="E4957">
        <v>1</v>
      </c>
      <c r="F4957" t="str">
        <f>"08-I06-04"</f>
        <v>08-I06-04</v>
      </c>
      <c r="G4957">
        <v>2.3448000000000002</v>
      </c>
      <c r="H4957" t="s">
        <v>9</v>
      </c>
      <c r="I4957" t="s">
        <v>10</v>
      </c>
    </row>
    <row r="4958" spans="1:9" x14ac:dyDescent="0.25">
      <c r="A4958" t="str">
        <f t="shared" si="120"/>
        <v>89301000</v>
      </c>
      <c r="B4958" t="str">
        <f>"475306456"</f>
        <v>475306456</v>
      </c>
      <c r="C4958" s="1">
        <v>45124</v>
      </c>
      <c r="D4958" s="1">
        <v>45140</v>
      </c>
      <c r="E4958">
        <v>4</v>
      </c>
      <c r="F4958" t="str">
        <f>"24-M07-02"</f>
        <v>24-M07-02</v>
      </c>
      <c r="G4958">
        <v>1.5729</v>
      </c>
      <c r="H4958" t="s">
        <v>11</v>
      </c>
      <c r="I4958" t="s">
        <v>10</v>
      </c>
    </row>
    <row r="4959" spans="1:9" x14ac:dyDescent="0.25">
      <c r="A4959" t="str">
        <f t="shared" si="120"/>
        <v>89301000</v>
      </c>
      <c r="B4959" t="str">
        <f>"475306456"</f>
        <v>475306456</v>
      </c>
      <c r="C4959" s="1">
        <v>45119</v>
      </c>
      <c r="D4959" s="1">
        <v>45124</v>
      </c>
      <c r="E4959">
        <v>3</v>
      </c>
      <c r="F4959" t="str">
        <f>"08-I05-05"</f>
        <v>08-I05-05</v>
      </c>
      <c r="G4959">
        <v>2.2633000000000001</v>
      </c>
      <c r="H4959" t="s">
        <v>12</v>
      </c>
      <c r="I4959" t="s">
        <v>10</v>
      </c>
    </row>
    <row r="4960" spans="1:9" x14ac:dyDescent="0.25">
      <c r="A4960" t="str">
        <f t="shared" si="120"/>
        <v>89301000</v>
      </c>
      <c r="B4960" t="str">
        <f>"475308490"</f>
        <v>475308490</v>
      </c>
      <c r="C4960" s="1">
        <v>45230</v>
      </c>
      <c r="D4960" s="1">
        <v>45231</v>
      </c>
      <c r="E4960">
        <v>1</v>
      </c>
      <c r="F4960" t="str">
        <f>"05-D01-08"</f>
        <v>05-D01-08</v>
      </c>
      <c r="G4960">
        <v>0.43159999999999998</v>
      </c>
      <c r="H4960" t="s">
        <v>11</v>
      </c>
      <c r="I4960" t="s">
        <v>10</v>
      </c>
    </row>
    <row r="4961" spans="1:9" x14ac:dyDescent="0.25">
      <c r="A4961" t="str">
        <f t="shared" si="120"/>
        <v>89301000</v>
      </c>
      <c r="B4961" t="str">
        <f>"475308490"</f>
        <v>475308490</v>
      </c>
      <c r="C4961" s="1">
        <v>45259</v>
      </c>
      <c r="D4961" s="1">
        <v>45261</v>
      </c>
      <c r="E4961">
        <v>1</v>
      </c>
      <c r="F4961" t="str">
        <f>"05-I14-03"</f>
        <v>05-I14-03</v>
      </c>
      <c r="G4961">
        <v>6.0362</v>
      </c>
      <c r="H4961" t="s">
        <v>12</v>
      </c>
      <c r="I4961" t="s">
        <v>10</v>
      </c>
    </row>
    <row r="4962" spans="1:9" x14ac:dyDescent="0.25">
      <c r="A4962" t="str">
        <f t="shared" si="120"/>
        <v>89301000</v>
      </c>
      <c r="B4962" t="str">
        <f>"475308490"</f>
        <v>475308490</v>
      </c>
      <c r="C4962" s="1">
        <v>45194</v>
      </c>
      <c r="D4962" s="1">
        <v>45198</v>
      </c>
      <c r="E4962">
        <v>1</v>
      </c>
      <c r="F4962" t="str">
        <f>"05-K07-05"</f>
        <v>05-K07-05</v>
      </c>
      <c r="G4962">
        <v>0.74719999999999998</v>
      </c>
      <c r="H4962" t="s">
        <v>11</v>
      </c>
      <c r="I4962" t="s">
        <v>10</v>
      </c>
    </row>
    <row r="4963" spans="1:9" x14ac:dyDescent="0.25">
      <c r="A4963" t="str">
        <f t="shared" si="120"/>
        <v>89301000</v>
      </c>
      <c r="B4963" t="str">
        <f>"475309401"</f>
        <v>475309401</v>
      </c>
      <c r="C4963" s="1">
        <v>44952</v>
      </c>
      <c r="D4963" s="1">
        <v>44956</v>
      </c>
      <c r="E4963">
        <v>1</v>
      </c>
      <c r="F4963" t="str">
        <f>"01-I06-04"</f>
        <v>01-I06-04</v>
      </c>
      <c r="G4963">
        <v>3.6478999999999999</v>
      </c>
      <c r="H4963" t="s">
        <v>12</v>
      </c>
      <c r="I4963" t="s">
        <v>10</v>
      </c>
    </row>
    <row r="4964" spans="1:9" x14ac:dyDescent="0.25">
      <c r="A4964" t="str">
        <f t="shared" si="120"/>
        <v>89301000</v>
      </c>
      <c r="B4964" t="str">
        <f>"475310111"</f>
        <v>475310111</v>
      </c>
      <c r="C4964" s="1">
        <v>45222</v>
      </c>
      <c r="D4964" s="1">
        <v>45231</v>
      </c>
      <c r="E4964">
        <v>4</v>
      </c>
      <c r="F4964" t="str">
        <f>"13-I19-00"</f>
        <v>13-I19-00</v>
      </c>
      <c r="G4964">
        <v>0.79220000000000002</v>
      </c>
      <c r="H4964" t="s">
        <v>11</v>
      </c>
      <c r="I4964" t="s">
        <v>10</v>
      </c>
    </row>
    <row r="4965" spans="1:9" x14ac:dyDescent="0.25">
      <c r="A4965" t="str">
        <f t="shared" si="120"/>
        <v>89301000</v>
      </c>
      <c r="B4965" t="str">
        <f>"475315208"</f>
        <v>475315208</v>
      </c>
      <c r="C4965" s="1">
        <v>45180</v>
      </c>
      <c r="D4965" s="1">
        <v>45184</v>
      </c>
      <c r="E4965">
        <v>1</v>
      </c>
      <c r="F4965" t="str">
        <f>"01-K07-02"</f>
        <v>01-K07-02</v>
      </c>
      <c r="G4965">
        <v>0.6341</v>
      </c>
      <c r="H4965" t="s">
        <v>11</v>
      </c>
      <c r="I4965" t="s">
        <v>10</v>
      </c>
    </row>
    <row r="4966" spans="1:9" x14ac:dyDescent="0.25">
      <c r="A4966" t="str">
        <f t="shared" si="120"/>
        <v>89301000</v>
      </c>
      <c r="B4966" t="str">
        <f>"475320464"</f>
        <v>475320464</v>
      </c>
      <c r="C4966" s="1">
        <v>44994</v>
      </c>
      <c r="D4966" s="1">
        <v>44994</v>
      </c>
      <c r="E4966">
        <v>1</v>
      </c>
      <c r="F4966" t="str">
        <f>"05-D01-08"</f>
        <v>05-D01-08</v>
      </c>
      <c r="G4966">
        <v>0.2303</v>
      </c>
      <c r="H4966" t="s">
        <v>11</v>
      </c>
      <c r="I4966" t="s">
        <v>10</v>
      </c>
    </row>
    <row r="4967" spans="1:9" x14ac:dyDescent="0.25">
      <c r="A4967" t="str">
        <f t="shared" si="120"/>
        <v>89301000</v>
      </c>
      <c r="B4967" t="str">
        <f>"475321180"</f>
        <v>475321180</v>
      </c>
      <c r="C4967" s="1">
        <v>45193</v>
      </c>
      <c r="D4967" s="1">
        <v>45195</v>
      </c>
      <c r="E4967">
        <v>1</v>
      </c>
      <c r="F4967" t="str">
        <f>"08-I17-01"</f>
        <v>08-I17-01</v>
      </c>
      <c r="G4967">
        <v>1.6462000000000001</v>
      </c>
      <c r="H4967" t="s">
        <v>11</v>
      </c>
      <c r="I4967" t="s">
        <v>10</v>
      </c>
    </row>
    <row r="4968" spans="1:9" x14ac:dyDescent="0.25">
      <c r="A4968" t="str">
        <f t="shared" si="120"/>
        <v>89301000</v>
      </c>
      <c r="B4968" t="str">
        <f>"475324422"</f>
        <v>475324422</v>
      </c>
      <c r="C4968" s="1">
        <v>44922</v>
      </c>
      <c r="D4968" s="1">
        <v>44930</v>
      </c>
      <c r="E4968">
        <v>1</v>
      </c>
      <c r="F4968" t="str">
        <f>"07-K07-01"</f>
        <v>07-K07-01</v>
      </c>
      <c r="G4968">
        <v>1.0079</v>
      </c>
      <c r="H4968" t="s">
        <v>11</v>
      </c>
      <c r="I4968" t="s">
        <v>10</v>
      </c>
    </row>
    <row r="4969" spans="1:9" x14ac:dyDescent="0.25">
      <c r="A4969" t="str">
        <f t="shared" si="120"/>
        <v>89301000</v>
      </c>
      <c r="B4969" t="str">
        <f>"475324422"</f>
        <v>475324422</v>
      </c>
      <c r="C4969" s="1">
        <v>44942</v>
      </c>
      <c r="D4969" s="1">
        <v>44950</v>
      </c>
      <c r="E4969">
        <v>1</v>
      </c>
      <c r="F4969" t="str">
        <f>"07-K07-02"</f>
        <v>07-K07-02</v>
      </c>
      <c r="G4969">
        <v>0.53069999999999995</v>
      </c>
      <c r="H4969" t="s">
        <v>11</v>
      </c>
      <c r="I4969" t="s">
        <v>10</v>
      </c>
    </row>
    <row r="4970" spans="1:9" x14ac:dyDescent="0.25">
      <c r="A4970" t="str">
        <f t="shared" si="120"/>
        <v>89301000</v>
      </c>
      <c r="B4970" t="str">
        <f>"475325481"</f>
        <v>475325481</v>
      </c>
      <c r="C4970" s="1">
        <v>45082</v>
      </c>
      <c r="D4970" s="1">
        <v>45085</v>
      </c>
      <c r="E4970">
        <v>1</v>
      </c>
      <c r="F4970" t="str">
        <f>"13-I11-03"</f>
        <v>13-I11-03</v>
      </c>
      <c r="G4970">
        <v>1.4332</v>
      </c>
      <c r="H4970" t="s">
        <v>9</v>
      </c>
      <c r="I4970" t="s">
        <v>10</v>
      </c>
    </row>
    <row r="4971" spans="1:9" x14ac:dyDescent="0.25">
      <c r="A4971" t="str">
        <f t="shared" si="120"/>
        <v>89301000</v>
      </c>
      <c r="B4971" t="str">
        <f>"475327407"</f>
        <v>475327407</v>
      </c>
      <c r="C4971" s="1">
        <v>45127</v>
      </c>
      <c r="D4971" s="1">
        <v>45140</v>
      </c>
      <c r="E4971">
        <v>8</v>
      </c>
      <c r="F4971" t="str">
        <f>"17-K05-01"</f>
        <v>17-K05-01</v>
      </c>
      <c r="G4971">
        <v>1.9595</v>
      </c>
      <c r="H4971" t="s">
        <v>11</v>
      </c>
      <c r="I4971" t="s">
        <v>10</v>
      </c>
    </row>
    <row r="4972" spans="1:9" x14ac:dyDescent="0.25">
      <c r="A4972" t="str">
        <f t="shared" si="120"/>
        <v>89301000</v>
      </c>
      <c r="B4972" t="str">
        <f>"475328465"</f>
        <v>475328465</v>
      </c>
      <c r="C4972" s="1">
        <v>45215</v>
      </c>
      <c r="D4972" s="1">
        <v>45217</v>
      </c>
      <c r="E4972">
        <v>5</v>
      </c>
      <c r="F4972" t="str">
        <f>"07-K01-02"</f>
        <v>07-K01-02</v>
      </c>
      <c r="G4972">
        <v>1.0002</v>
      </c>
      <c r="H4972" t="s">
        <v>11</v>
      </c>
      <c r="I4972" t="s">
        <v>10</v>
      </c>
    </row>
    <row r="4973" spans="1:9" x14ac:dyDescent="0.25">
      <c r="A4973" t="str">
        <f t="shared" si="120"/>
        <v>89301000</v>
      </c>
      <c r="B4973" t="str">
        <f>"475329466"</f>
        <v>475329466</v>
      </c>
      <c r="C4973" s="1">
        <v>45142</v>
      </c>
      <c r="D4973" s="1">
        <v>45142</v>
      </c>
      <c r="E4973">
        <v>1</v>
      </c>
      <c r="F4973" t="str">
        <f>"05-I25-04"</f>
        <v>05-I25-04</v>
      </c>
      <c r="G4973">
        <v>0.89500000000000002</v>
      </c>
      <c r="H4973" t="s">
        <v>12</v>
      </c>
      <c r="I4973" t="s">
        <v>10</v>
      </c>
    </row>
    <row r="4974" spans="1:9" x14ac:dyDescent="0.25">
      <c r="A4974" t="str">
        <f t="shared" si="120"/>
        <v>89301000</v>
      </c>
      <c r="B4974" t="str">
        <f>"475415422"</f>
        <v>475415422</v>
      </c>
      <c r="C4974" s="1">
        <v>44949</v>
      </c>
      <c r="D4974" s="1">
        <v>44951</v>
      </c>
      <c r="E4974">
        <v>1</v>
      </c>
      <c r="F4974" t="str">
        <f>"09-I13-03"</f>
        <v>09-I13-03</v>
      </c>
      <c r="G4974">
        <v>0.7762</v>
      </c>
      <c r="H4974" t="s">
        <v>11</v>
      </c>
      <c r="I4974" t="s">
        <v>10</v>
      </c>
    </row>
    <row r="4975" spans="1:9" x14ac:dyDescent="0.25">
      <c r="A4975" t="str">
        <f t="shared" si="120"/>
        <v>89301000</v>
      </c>
      <c r="B4975" t="str">
        <f>"475417408"</f>
        <v>475417408</v>
      </c>
      <c r="C4975" s="1">
        <v>45079</v>
      </c>
      <c r="D4975" s="1">
        <v>45093</v>
      </c>
      <c r="E4975">
        <v>1</v>
      </c>
      <c r="F4975" t="str">
        <f>"24-M07-02"</f>
        <v>24-M07-02</v>
      </c>
      <c r="G4975">
        <v>1.5729</v>
      </c>
      <c r="H4975" t="s">
        <v>11</v>
      </c>
      <c r="I4975" t="s">
        <v>10</v>
      </c>
    </row>
    <row r="4976" spans="1:9" x14ac:dyDescent="0.25">
      <c r="A4976" t="str">
        <f t="shared" si="120"/>
        <v>89301000</v>
      </c>
      <c r="B4976" t="str">
        <f>"475417408"</f>
        <v>475417408</v>
      </c>
      <c r="C4976" s="1">
        <v>45074</v>
      </c>
      <c r="D4976" s="1">
        <v>45079</v>
      </c>
      <c r="E4976">
        <v>3</v>
      </c>
      <c r="F4976" t="str">
        <f>"08-I06-04"</f>
        <v>08-I06-04</v>
      </c>
      <c r="G4976">
        <v>2.4180000000000001</v>
      </c>
      <c r="H4976" t="s">
        <v>9</v>
      </c>
      <c r="I4976" t="s">
        <v>10</v>
      </c>
    </row>
    <row r="4977" spans="1:9" x14ac:dyDescent="0.25">
      <c r="A4977" t="str">
        <f t="shared" si="120"/>
        <v>89301000</v>
      </c>
      <c r="B4977" t="str">
        <f>"475420494"</f>
        <v>475420494</v>
      </c>
      <c r="C4977" s="1">
        <v>45021</v>
      </c>
      <c r="D4977" s="1">
        <v>45029</v>
      </c>
      <c r="E4977">
        <v>1</v>
      </c>
      <c r="F4977" t="str">
        <f>"06-I07-05"</f>
        <v>06-I07-05</v>
      </c>
      <c r="G4977">
        <v>2.7919999999999998</v>
      </c>
      <c r="H4977" t="s">
        <v>12</v>
      </c>
      <c r="I4977" t="s">
        <v>10</v>
      </c>
    </row>
    <row r="4978" spans="1:9" x14ac:dyDescent="0.25">
      <c r="A4978" t="str">
        <f t="shared" si="120"/>
        <v>89301000</v>
      </c>
      <c r="B4978" t="str">
        <f>"475422420"</f>
        <v>475422420</v>
      </c>
      <c r="C4978" s="1">
        <v>44956</v>
      </c>
      <c r="D4978" s="1">
        <v>44959</v>
      </c>
      <c r="E4978">
        <v>7</v>
      </c>
      <c r="F4978" t="str">
        <f>"01-K10-03"</f>
        <v>01-K10-03</v>
      </c>
      <c r="G4978">
        <v>1.0691999999999999</v>
      </c>
      <c r="H4978" t="s">
        <v>11</v>
      </c>
      <c r="I4978" t="s">
        <v>10</v>
      </c>
    </row>
    <row r="4979" spans="1:9" x14ac:dyDescent="0.25">
      <c r="A4979" t="str">
        <f t="shared" si="120"/>
        <v>89301000</v>
      </c>
      <c r="B4979" t="str">
        <f>"475502404"</f>
        <v>475502404</v>
      </c>
      <c r="C4979" s="1">
        <v>45098</v>
      </c>
      <c r="D4979" s="1">
        <v>45101</v>
      </c>
      <c r="E4979">
        <v>1</v>
      </c>
      <c r="F4979" t="str">
        <f>"07-I10-06"</f>
        <v>07-I10-06</v>
      </c>
      <c r="G4979">
        <v>0.98419999999999996</v>
      </c>
      <c r="H4979" t="s">
        <v>12</v>
      </c>
      <c r="I4979" t="s">
        <v>10</v>
      </c>
    </row>
    <row r="4980" spans="1:9" x14ac:dyDescent="0.25">
      <c r="A4980" t="str">
        <f t="shared" si="120"/>
        <v>89301000</v>
      </c>
      <c r="B4980" t="str">
        <f>"475506195"</f>
        <v>475506195</v>
      </c>
      <c r="C4980" s="1">
        <v>45201</v>
      </c>
      <c r="D4980" s="1">
        <v>45231</v>
      </c>
      <c r="E4980">
        <v>4</v>
      </c>
      <c r="F4980" t="str">
        <f>"17-K05-01"</f>
        <v>17-K05-01</v>
      </c>
      <c r="G4980">
        <v>3.04</v>
      </c>
      <c r="H4980" t="s">
        <v>11</v>
      </c>
      <c r="I4980" t="s">
        <v>10</v>
      </c>
    </row>
    <row r="4981" spans="1:9" x14ac:dyDescent="0.25">
      <c r="A4981" t="str">
        <f t="shared" si="120"/>
        <v>89301000</v>
      </c>
      <c r="B4981" t="str">
        <f>"475506195"</f>
        <v>475506195</v>
      </c>
      <c r="C4981" s="1">
        <v>45243</v>
      </c>
      <c r="D4981" s="1">
        <v>45254</v>
      </c>
      <c r="E4981">
        <v>1</v>
      </c>
      <c r="F4981" t="str">
        <f>"17-K05-01"</f>
        <v>17-K05-01</v>
      </c>
      <c r="G4981">
        <v>1.9595</v>
      </c>
      <c r="H4981" t="s">
        <v>11</v>
      </c>
      <c r="I4981" t="s">
        <v>10</v>
      </c>
    </row>
    <row r="4982" spans="1:9" x14ac:dyDescent="0.25">
      <c r="A4982" t="str">
        <f t="shared" si="120"/>
        <v>89301000</v>
      </c>
      <c r="B4982" t="str">
        <f>"475506195"</f>
        <v>475506195</v>
      </c>
      <c r="C4982" s="1">
        <v>45027</v>
      </c>
      <c r="D4982" s="1">
        <v>45033</v>
      </c>
      <c r="E4982">
        <v>1</v>
      </c>
      <c r="F4982" t="str">
        <f>"17-C05-05"</f>
        <v>17-C05-05</v>
      </c>
      <c r="G4982">
        <v>0.66069999999999995</v>
      </c>
      <c r="H4982" t="s">
        <v>11</v>
      </c>
      <c r="I4982" t="s">
        <v>10</v>
      </c>
    </row>
    <row r="4983" spans="1:9" x14ac:dyDescent="0.25">
      <c r="A4983" t="str">
        <f t="shared" si="120"/>
        <v>89301000</v>
      </c>
      <c r="B4983" t="str">
        <f>"475506709"</f>
        <v>475506709</v>
      </c>
      <c r="C4983" s="1">
        <v>45142</v>
      </c>
      <c r="D4983" s="1">
        <v>45146</v>
      </c>
      <c r="E4983">
        <v>4</v>
      </c>
      <c r="F4983" t="str">
        <f>"01-K04-02"</f>
        <v>01-K04-02</v>
      </c>
      <c r="G4983">
        <v>0.79990000000000006</v>
      </c>
      <c r="H4983" t="s">
        <v>11</v>
      </c>
      <c r="I4983" t="s">
        <v>10</v>
      </c>
    </row>
    <row r="4984" spans="1:9" x14ac:dyDescent="0.25">
      <c r="A4984" t="str">
        <f t="shared" si="120"/>
        <v>89301000</v>
      </c>
      <c r="B4984" t="str">
        <f>"475509439"</f>
        <v>475509439</v>
      </c>
      <c r="C4984" s="1">
        <v>44938</v>
      </c>
      <c r="D4984" s="1">
        <v>44939</v>
      </c>
      <c r="E4984">
        <v>1</v>
      </c>
      <c r="F4984" t="str">
        <f>"05-K04-01"</f>
        <v>05-K04-01</v>
      </c>
      <c r="G4984">
        <v>0.93830000000000002</v>
      </c>
      <c r="H4984" t="s">
        <v>11</v>
      </c>
      <c r="I4984" t="s">
        <v>10</v>
      </c>
    </row>
    <row r="4985" spans="1:9" x14ac:dyDescent="0.25">
      <c r="A4985" t="str">
        <f t="shared" si="120"/>
        <v>89301000</v>
      </c>
      <c r="B4985" t="str">
        <f>"475509439"</f>
        <v>475509439</v>
      </c>
      <c r="C4985" s="1">
        <v>44972</v>
      </c>
      <c r="D4985" s="1">
        <v>44978</v>
      </c>
      <c r="E4985">
        <v>1</v>
      </c>
      <c r="F4985" t="str">
        <f>"11-M02-06"</f>
        <v>11-M02-06</v>
      </c>
      <c r="G4985">
        <v>1.1301000000000001</v>
      </c>
      <c r="H4985" t="s">
        <v>11</v>
      </c>
      <c r="I4985" t="s">
        <v>10</v>
      </c>
    </row>
    <row r="4986" spans="1:9" x14ac:dyDescent="0.25">
      <c r="A4986" t="str">
        <f t="shared" si="120"/>
        <v>89301000</v>
      </c>
      <c r="B4986" t="str">
        <f>"475511484"</f>
        <v>475511484</v>
      </c>
      <c r="C4986" s="1">
        <v>45223</v>
      </c>
      <c r="D4986" s="1">
        <v>45227</v>
      </c>
      <c r="E4986">
        <v>1</v>
      </c>
      <c r="F4986" t="str">
        <f>"05-M07-06"</f>
        <v>05-M07-06</v>
      </c>
      <c r="G4986">
        <v>1.2264999999999999</v>
      </c>
      <c r="H4986" t="s">
        <v>12</v>
      </c>
      <c r="I4986" t="s">
        <v>10</v>
      </c>
    </row>
    <row r="4987" spans="1:9" x14ac:dyDescent="0.25">
      <c r="A4987" t="str">
        <f t="shared" si="120"/>
        <v>89301000</v>
      </c>
      <c r="B4987" t="str">
        <f>"475514411"</f>
        <v>475514411</v>
      </c>
      <c r="C4987" s="1">
        <v>44932</v>
      </c>
      <c r="D4987" s="1">
        <v>44943</v>
      </c>
      <c r="E4987">
        <v>1</v>
      </c>
      <c r="F4987" t="str">
        <f>"04-K08-02"</f>
        <v>04-K08-02</v>
      </c>
      <c r="G4987">
        <v>2.8220000000000001</v>
      </c>
      <c r="H4987" t="s">
        <v>11</v>
      </c>
      <c r="I4987" t="s">
        <v>10</v>
      </c>
    </row>
    <row r="4988" spans="1:9" x14ac:dyDescent="0.25">
      <c r="A4988" t="str">
        <f t="shared" si="120"/>
        <v>89301000</v>
      </c>
      <c r="B4988" t="str">
        <f>"475522441"</f>
        <v>475522441</v>
      </c>
      <c r="C4988" s="1">
        <v>45013</v>
      </c>
      <c r="D4988" s="1">
        <v>45022</v>
      </c>
      <c r="E4988">
        <v>1</v>
      </c>
      <c r="F4988" t="str">
        <f>"05-I08-02"</f>
        <v>05-I08-02</v>
      </c>
      <c r="G4988">
        <v>7.6067999999999998</v>
      </c>
      <c r="H4988" t="s">
        <v>14</v>
      </c>
      <c r="I4988" t="s">
        <v>10</v>
      </c>
    </row>
    <row r="4989" spans="1:9" x14ac:dyDescent="0.25">
      <c r="A4989" t="str">
        <f t="shared" si="120"/>
        <v>89301000</v>
      </c>
      <c r="B4989" t="str">
        <f>"475522441"</f>
        <v>475522441</v>
      </c>
      <c r="C4989" s="1">
        <v>44945</v>
      </c>
      <c r="D4989" s="1">
        <v>44945</v>
      </c>
      <c r="E4989">
        <v>1</v>
      </c>
      <c r="F4989" t="str">
        <f>"05-D01-08"</f>
        <v>05-D01-08</v>
      </c>
      <c r="G4989">
        <v>0.2303</v>
      </c>
      <c r="H4989" t="s">
        <v>11</v>
      </c>
      <c r="I4989" t="s">
        <v>10</v>
      </c>
    </row>
    <row r="4990" spans="1:9" x14ac:dyDescent="0.25">
      <c r="A4990" t="str">
        <f t="shared" si="120"/>
        <v>89301000</v>
      </c>
      <c r="B4990" t="str">
        <f>"475527446"</f>
        <v>475527446</v>
      </c>
      <c r="C4990" s="1">
        <v>45228</v>
      </c>
      <c r="D4990" s="1">
        <v>45230</v>
      </c>
      <c r="E4990">
        <v>4</v>
      </c>
      <c r="F4990" t="str">
        <f>"08-K13-02"</f>
        <v>08-K13-02</v>
      </c>
      <c r="G4990">
        <v>0.43059999999999998</v>
      </c>
      <c r="H4990" t="s">
        <v>11</v>
      </c>
      <c r="I4990" t="s">
        <v>10</v>
      </c>
    </row>
    <row r="4991" spans="1:9" x14ac:dyDescent="0.25">
      <c r="A4991" t="str">
        <f t="shared" si="120"/>
        <v>89301000</v>
      </c>
      <c r="B4991" t="str">
        <f>"475529480"</f>
        <v>475529480</v>
      </c>
      <c r="C4991" s="1">
        <v>45014</v>
      </c>
      <c r="D4991" s="1">
        <v>45021</v>
      </c>
      <c r="E4991">
        <v>5</v>
      </c>
      <c r="F4991" t="str">
        <f>"08-I03-03"</f>
        <v>08-I03-03</v>
      </c>
      <c r="G4991">
        <v>4.9530000000000003</v>
      </c>
      <c r="H4991" t="s">
        <v>9</v>
      </c>
      <c r="I4991" t="s">
        <v>10</v>
      </c>
    </row>
    <row r="4992" spans="1:9" x14ac:dyDescent="0.25">
      <c r="A4992" t="str">
        <f t="shared" si="120"/>
        <v>89301000</v>
      </c>
      <c r="B4992" t="str">
        <f>"475529480"</f>
        <v>475529480</v>
      </c>
      <c r="C4992" s="1">
        <v>45074</v>
      </c>
      <c r="D4992" s="1">
        <v>45107</v>
      </c>
      <c r="E4992">
        <v>7</v>
      </c>
      <c r="F4992" t="str">
        <f>"07-I08-01"</f>
        <v>07-I08-01</v>
      </c>
      <c r="G4992">
        <v>4.9134000000000002</v>
      </c>
      <c r="H4992" t="s">
        <v>12</v>
      </c>
      <c r="I4992" t="s">
        <v>10</v>
      </c>
    </row>
    <row r="4993" spans="1:9" x14ac:dyDescent="0.25">
      <c r="A4993" t="str">
        <f t="shared" si="120"/>
        <v>89301000</v>
      </c>
      <c r="B4993" t="str">
        <f>"475601411"</f>
        <v>475601411</v>
      </c>
      <c r="C4993" s="1">
        <v>45280</v>
      </c>
      <c r="D4993" s="1">
        <v>45282</v>
      </c>
      <c r="E4993">
        <v>1</v>
      </c>
      <c r="F4993" t="str">
        <f>"06-K07-01"</f>
        <v>06-K07-01</v>
      </c>
      <c r="G4993">
        <v>0.79790000000000005</v>
      </c>
      <c r="H4993" t="s">
        <v>11</v>
      </c>
      <c r="I4993" t="s">
        <v>10</v>
      </c>
    </row>
    <row r="4994" spans="1:9" x14ac:dyDescent="0.25">
      <c r="A4994" t="str">
        <f t="shared" si="120"/>
        <v>89301000</v>
      </c>
      <c r="B4994" t="str">
        <f>"475601417"</f>
        <v>475601417</v>
      </c>
      <c r="C4994" s="1">
        <v>45123</v>
      </c>
      <c r="D4994" s="1">
        <v>45125</v>
      </c>
      <c r="E4994">
        <v>1</v>
      </c>
      <c r="F4994" t="str">
        <f>"02-I08-02"</f>
        <v>02-I08-02</v>
      </c>
      <c r="G4994">
        <v>0.60729999999999995</v>
      </c>
      <c r="H4994" t="s">
        <v>12</v>
      </c>
      <c r="I4994" t="s">
        <v>10</v>
      </c>
    </row>
    <row r="4995" spans="1:9" x14ac:dyDescent="0.25">
      <c r="A4995" t="str">
        <f t="shared" si="120"/>
        <v>89301000</v>
      </c>
      <c r="B4995" t="str">
        <f>"475611407"</f>
        <v>475611407</v>
      </c>
      <c r="C4995" s="1">
        <v>44984</v>
      </c>
      <c r="D4995" s="1">
        <v>44985</v>
      </c>
      <c r="E4995">
        <v>1</v>
      </c>
      <c r="F4995" t="str">
        <f>"05-D01-08"</f>
        <v>05-D01-08</v>
      </c>
      <c r="G4995">
        <v>0.43159999999999998</v>
      </c>
      <c r="H4995" t="s">
        <v>11</v>
      </c>
      <c r="I4995" t="s">
        <v>10</v>
      </c>
    </row>
    <row r="4996" spans="1:9" x14ac:dyDescent="0.25">
      <c r="A4996" t="str">
        <f t="shared" si="120"/>
        <v>89301000</v>
      </c>
      <c r="B4996" t="str">
        <f>"475611436"</f>
        <v>475611436</v>
      </c>
      <c r="C4996" s="1">
        <v>45016</v>
      </c>
      <c r="D4996" s="1">
        <v>45022</v>
      </c>
      <c r="E4996">
        <v>1</v>
      </c>
      <c r="F4996" t="str">
        <f>"05-K12-02"</f>
        <v>05-K12-02</v>
      </c>
      <c r="G4996">
        <v>0.48820000000000002</v>
      </c>
      <c r="H4996" t="s">
        <v>11</v>
      </c>
      <c r="I4996" t="s">
        <v>10</v>
      </c>
    </row>
    <row r="4997" spans="1:9" x14ac:dyDescent="0.25">
      <c r="A4997" t="str">
        <f t="shared" si="120"/>
        <v>89301000</v>
      </c>
      <c r="B4997" t="str">
        <f>"475611436"</f>
        <v>475611436</v>
      </c>
      <c r="C4997" s="1">
        <v>45219</v>
      </c>
      <c r="D4997" s="1">
        <v>45225</v>
      </c>
      <c r="E4997">
        <v>1</v>
      </c>
      <c r="F4997" t="str">
        <f>"05-K12-02"</f>
        <v>05-K12-02</v>
      </c>
      <c r="G4997">
        <v>0.48820000000000002</v>
      </c>
      <c r="H4997" t="s">
        <v>11</v>
      </c>
      <c r="I4997" t="s">
        <v>10</v>
      </c>
    </row>
    <row r="4998" spans="1:9" x14ac:dyDescent="0.25">
      <c r="A4998" t="str">
        <f t="shared" si="120"/>
        <v>89301000</v>
      </c>
      <c r="B4998" t="str">
        <f>"475619403"</f>
        <v>475619403</v>
      </c>
      <c r="C4998" s="1">
        <v>45001</v>
      </c>
      <c r="D4998" s="1">
        <v>45002</v>
      </c>
      <c r="E4998">
        <v>1</v>
      </c>
      <c r="F4998" t="str">
        <f>"13-I19-00"</f>
        <v>13-I19-00</v>
      </c>
      <c r="G4998">
        <v>0.28249999999999997</v>
      </c>
      <c r="H4998" t="s">
        <v>11</v>
      </c>
      <c r="I4998" t="s">
        <v>10</v>
      </c>
    </row>
    <row r="4999" spans="1:9" x14ac:dyDescent="0.25">
      <c r="A4999" t="str">
        <f t="shared" si="120"/>
        <v>89301000</v>
      </c>
      <c r="B4999" t="str">
        <f>"475622414"</f>
        <v>475622414</v>
      </c>
      <c r="C4999" s="1">
        <v>45077</v>
      </c>
      <c r="D4999" s="1">
        <v>45079</v>
      </c>
      <c r="E4999">
        <v>1</v>
      </c>
      <c r="F4999" t="str">
        <f>"02-I08-02"</f>
        <v>02-I08-02</v>
      </c>
      <c r="G4999">
        <v>0.60729999999999995</v>
      </c>
      <c r="H4999" t="s">
        <v>12</v>
      </c>
      <c r="I4999" t="s">
        <v>10</v>
      </c>
    </row>
    <row r="5000" spans="1:9" x14ac:dyDescent="0.25">
      <c r="A5000" t="str">
        <f t="shared" si="120"/>
        <v>89301000</v>
      </c>
      <c r="B5000" t="str">
        <f>"475627445"</f>
        <v>475627445</v>
      </c>
      <c r="C5000" s="1">
        <v>45146</v>
      </c>
      <c r="D5000" s="1">
        <v>45153</v>
      </c>
      <c r="E5000">
        <v>1</v>
      </c>
      <c r="F5000" t="str">
        <f>"06-K13-01"</f>
        <v>06-K13-01</v>
      </c>
      <c r="G5000">
        <v>1.1842999999999999</v>
      </c>
      <c r="H5000" t="s">
        <v>11</v>
      </c>
      <c r="I5000" t="s">
        <v>10</v>
      </c>
    </row>
    <row r="5001" spans="1:9" x14ac:dyDescent="0.25">
      <c r="A5001" t="str">
        <f t="shared" si="120"/>
        <v>89301000</v>
      </c>
      <c r="B5001" t="str">
        <f>"475627445"</f>
        <v>475627445</v>
      </c>
      <c r="C5001" s="1">
        <v>44992</v>
      </c>
      <c r="D5001" s="1">
        <v>44995</v>
      </c>
      <c r="E5001">
        <v>1</v>
      </c>
      <c r="F5001" t="str">
        <f>"11-M06-03"</f>
        <v>11-M06-03</v>
      </c>
      <c r="G5001">
        <v>0.65529999999999999</v>
      </c>
      <c r="H5001" t="s">
        <v>12</v>
      </c>
      <c r="I5001" t="s">
        <v>10</v>
      </c>
    </row>
    <row r="5002" spans="1:9" x14ac:dyDescent="0.25">
      <c r="A5002" t="str">
        <f t="shared" si="120"/>
        <v>89301000</v>
      </c>
      <c r="B5002" t="str">
        <f>"475628412"</f>
        <v>475628412</v>
      </c>
      <c r="C5002" s="1">
        <v>45079</v>
      </c>
      <c r="D5002" s="1">
        <v>45082</v>
      </c>
      <c r="E5002">
        <v>4</v>
      </c>
      <c r="F5002" t="str">
        <f>"08-I13-05"</f>
        <v>08-I13-05</v>
      </c>
      <c r="G5002">
        <v>2.343</v>
      </c>
      <c r="H5002" t="s">
        <v>12</v>
      </c>
      <c r="I5002" t="s">
        <v>10</v>
      </c>
    </row>
    <row r="5003" spans="1:9" x14ac:dyDescent="0.25">
      <c r="A5003" t="str">
        <f t="shared" si="120"/>
        <v>89301000</v>
      </c>
      <c r="B5003" t="str">
        <f>"4756630516"</f>
        <v>4756630516</v>
      </c>
      <c r="C5003" s="1">
        <v>45029</v>
      </c>
      <c r="D5003" s="1">
        <v>45029</v>
      </c>
      <c r="E5003">
        <v>1</v>
      </c>
      <c r="F5003" t="str">
        <f>"05-D01-08"</f>
        <v>05-D01-08</v>
      </c>
      <c r="G5003">
        <v>0.2303</v>
      </c>
      <c r="H5003" t="s">
        <v>11</v>
      </c>
      <c r="I5003" t="s">
        <v>10</v>
      </c>
    </row>
    <row r="5004" spans="1:9" x14ac:dyDescent="0.25">
      <c r="A5004" t="str">
        <f t="shared" si="120"/>
        <v>89301000</v>
      </c>
      <c r="B5004" t="str">
        <f>"475701432"</f>
        <v>475701432</v>
      </c>
      <c r="C5004" s="1">
        <v>45062</v>
      </c>
      <c r="D5004" s="1">
        <v>45068</v>
      </c>
      <c r="E5004">
        <v>1</v>
      </c>
      <c r="F5004" t="str">
        <f>"09-I12-02"</f>
        <v>09-I12-02</v>
      </c>
      <c r="G5004">
        <v>0.66720000000000002</v>
      </c>
      <c r="H5004" t="s">
        <v>11</v>
      </c>
      <c r="I5004" t="s">
        <v>10</v>
      </c>
    </row>
    <row r="5005" spans="1:9" x14ac:dyDescent="0.25">
      <c r="A5005" t="str">
        <f t="shared" si="120"/>
        <v>89301000</v>
      </c>
      <c r="B5005" t="str">
        <f>"475707470"</f>
        <v>475707470</v>
      </c>
      <c r="C5005" s="1">
        <v>44965</v>
      </c>
      <c r="D5005" s="1">
        <v>44973</v>
      </c>
      <c r="E5005">
        <v>4</v>
      </c>
      <c r="F5005" t="str">
        <f>"05-I12-03"</f>
        <v>05-I12-03</v>
      </c>
      <c r="G5005">
        <v>6.7502000000000004</v>
      </c>
      <c r="H5005" t="s">
        <v>14</v>
      </c>
      <c r="I5005" t="s">
        <v>10</v>
      </c>
    </row>
    <row r="5006" spans="1:9" x14ac:dyDescent="0.25">
      <c r="A5006" t="str">
        <f t="shared" si="120"/>
        <v>89301000</v>
      </c>
      <c r="B5006" t="str">
        <f>"475721404"</f>
        <v>475721404</v>
      </c>
      <c r="C5006" s="1">
        <v>44959</v>
      </c>
      <c r="D5006" s="1">
        <v>44973</v>
      </c>
      <c r="E5006">
        <v>1</v>
      </c>
      <c r="F5006" t="str">
        <f>"09-K07-01"</f>
        <v>09-K07-01</v>
      </c>
      <c r="G5006">
        <v>1.3172999999999999</v>
      </c>
      <c r="H5006" t="s">
        <v>11</v>
      </c>
      <c r="I5006" t="s">
        <v>10</v>
      </c>
    </row>
    <row r="5007" spans="1:9" x14ac:dyDescent="0.25">
      <c r="A5007" t="str">
        <f t="shared" si="120"/>
        <v>89301000</v>
      </c>
      <c r="B5007" t="str">
        <f>"4757570510"</f>
        <v>4757570510</v>
      </c>
      <c r="C5007" s="1">
        <v>45204</v>
      </c>
      <c r="D5007" s="1">
        <v>45207</v>
      </c>
      <c r="E5007">
        <v>1</v>
      </c>
      <c r="F5007" t="str">
        <f>"05-M07-06"</f>
        <v>05-M07-06</v>
      </c>
      <c r="G5007">
        <v>1.2264999999999999</v>
      </c>
      <c r="H5007" t="s">
        <v>12</v>
      </c>
      <c r="I5007" t="s">
        <v>10</v>
      </c>
    </row>
    <row r="5008" spans="1:9" x14ac:dyDescent="0.25">
      <c r="A5008" t="str">
        <f t="shared" si="120"/>
        <v>89301000</v>
      </c>
      <c r="B5008" t="str">
        <f>"475801404"</f>
        <v>475801404</v>
      </c>
      <c r="C5008" s="1">
        <v>45015</v>
      </c>
      <c r="D5008" s="1">
        <v>45017</v>
      </c>
      <c r="E5008">
        <v>1</v>
      </c>
      <c r="F5008" t="str">
        <f>"11-I17-03"</f>
        <v>11-I17-03</v>
      </c>
      <c r="G5008">
        <v>0.50139999999999996</v>
      </c>
      <c r="H5008" t="s">
        <v>11</v>
      </c>
      <c r="I5008" t="s">
        <v>10</v>
      </c>
    </row>
    <row r="5009" spans="1:9" x14ac:dyDescent="0.25">
      <c r="A5009" t="str">
        <f t="shared" si="120"/>
        <v>89301000</v>
      </c>
      <c r="B5009" t="str">
        <f>"475811488"</f>
        <v>475811488</v>
      </c>
      <c r="C5009" s="1">
        <v>45152</v>
      </c>
      <c r="D5009" s="1">
        <v>45154</v>
      </c>
      <c r="E5009">
        <v>1</v>
      </c>
      <c r="F5009" t="str">
        <f>"08-I31-04"</f>
        <v>08-I31-04</v>
      </c>
      <c r="G5009">
        <v>0.49170000000000003</v>
      </c>
      <c r="H5009" t="s">
        <v>11</v>
      </c>
      <c r="I5009" t="s">
        <v>10</v>
      </c>
    </row>
    <row r="5010" spans="1:9" x14ac:dyDescent="0.25">
      <c r="A5010" t="str">
        <f t="shared" si="120"/>
        <v>89301000</v>
      </c>
      <c r="B5010" t="str">
        <f>"475813457"</f>
        <v>475813457</v>
      </c>
      <c r="C5010" s="1">
        <v>45230</v>
      </c>
      <c r="D5010" s="1">
        <v>45232</v>
      </c>
      <c r="E5010">
        <v>1</v>
      </c>
      <c r="F5010" t="str">
        <f>"11-M06-03"</f>
        <v>11-M06-03</v>
      </c>
      <c r="G5010">
        <v>0.61150000000000004</v>
      </c>
      <c r="H5010" t="s">
        <v>12</v>
      </c>
      <c r="I5010" t="s">
        <v>10</v>
      </c>
    </row>
    <row r="5011" spans="1:9" x14ac:dyDescent="0.25">
      <c r="A5011" t="str">
        <f t="shared" si="120"/>
        <v>89301000</v>
      </c>
      <c r="B5011" t="str">
        <f>"475814452"</f>
        <v>475814452</v>
      </c>
      <c r="C5011" s="1">
        <v>45253</v>
      </c>
      <c r="D5011" s="1">
        <v>45279</v>
      </c>
      <c r="E5011">
        <v>1</v>
      </c>
      <c r="F5011" t="str">
        <f>"06-I07-04"</f>
        <v>06-I07-04</v>
      </c>
      <c r="G5011">
        <v>4.5235000000000003</v>
      </c>
      <c r="H5011" t="s">
        <v>12</v>
      </c>
      <c r="I5011" t="s">
        <v>10</v>
      </c>
    </row>
    <row r="5012" spans="1:9" x14ac:dyDescent="0.25">
      <c r="A5012" t="str">
        <f t="shared" si="120"/>
        <v>89301000</v>
      </c>
      <c r="B5012" t="str">
        <f>"475819437"</f>
        <v>475819437</v>
      </c>
      <c r="C5012" s="1">
        <v>45279</v>
      </c>
      <c r="D5012" s="1">
        <v>45282</v>
      </c>
      <c r="E5012">
        <v>4</v>
      </c>
      <c r="F5012" t="str">
        <f>"08-I06-04"</f>
        <v>08-I06-04</v>
      </c>
      <c r="G5012">
        <v>2.3408000000000002</v>
      </c>
      <c r="H5012" t="s">
        <v>9</v>
      </c>
      <c r="I5012" t="s">
        <v>10</v>
      </c>
    </row>
    <row r="5013" spans="1:9" x14ac:dyDescent="0.25">
      <c r="A5013" t="str">
        <f t="shared" si="120"/>
        <v>89301000</v>
      </c>
      <c r="B5013" t="str">
        <f>"475823159"</f>
        <v>475823159</v>
      </c>
      <c r="C5013" s="1">
        <v>45280</v>
      </c>
      <c r="D5013" s="1">
        <v>45283</v>
      </c>
      <c r="E5013">
        <v>1</v>
      </c>
      <c r="F5013" t="str">
        <f>"11-K01-02"</f>
        <v>11-K01-02</v>
      </c>
      <c r="G5013">
        <v>0.86480000000000001</v>
      </c>
      <c r="H5013" t="s">
        <v>11</v>
      </c>
      <c r="I5013" t="s">
        <v>10</v>
      </c>
    </row>
    <row r="5014" spans="1:9" x14ac:dyDescent="0.25">
      <c r="A5014" t="str">
        <f t="shared" ref="A5014:A5075" si="121">"89301000"</f>
        <v>89301000</v>
      </c>
      <c r="B5014" t="str">
        <f>"475825478"</f>
        <v>475825478</v>
      </c>
      <c r="C5014" s="1">
        <v>45127</v>
      </c>
      <c r="D5014" s="1">
        <v>45130</v>
      </c>
      <c r="E5014">
        <v>5</v>
      </c>
      <c r="F5014" t="str">
        <f>"08-I04-02"</f>
        <v>08-I04-02</v>
      </c>
      <c r="G5014">
        <v>1.6229</v>
      </c>
      <c r="H5014" t="s">
        <v>14</v>
      </c>
      <c r="I5014" t="s">
        <v>10</v>
      </c>
    </row>
    <row r="5015" spans="1:9" x14ac:dyDescent="0.25">
      <c r="A5015" t="str">
        <f t="shared" si="121"/>
        <v>89301000</v>
      </c>
      <c r="B5015" t="str">
        <f>"475830402"</f>
        <v>475830402</v>
      </c>
      <c r="C5015" s="1">
        <v>45152</v>
      </c>
      <c r="D5015" s="1">
        <v>45156</v>
      </c>
      <c r="E5015">
        <v>1</v>
      </c>
      <c r="F5015" t="str">
        <f>"10-K12-03"</f>
        <v>10-K12-03</v>
      </c>
      <c r="G5015">
        <v>0.5091</v>
      </c>
      <c r="H5015" t="s">
        <v>11</v>
      </c>
      <c r="I5015" t="s">
        <v>10</v>
      </c>
    </row>
    <row r="5016" spans="1:9" x14ac:dyDescent="0.25">
      <c r="A5016" t="str">
        <f t="shared" si="121"/>
        <v>89301000</v>
      </c>
      <c r="B5016" t="str">
        <f>"475903176"</f>
        <v>475903176</v>
      </c>
      <c r="C5016" s="1">
        <v>44932</v>
      </c>
      <c r="D5016" s="1">
        <v>44939</v>
      </c>
      <c r="E5016">
        <v>4</v>
      </c>
      <c r="F5016" t="str">
        <f>"09-K13-02"</f>
        <v>09-K13-02</v>
      </c>
      <c r="G5016">
        <v>0.3765</v>
      </c>
      <c r="H5016" t="s">
        <v>11</v>
      </c>
      <c r="I5016" t="s">
        <v>10</v>
      </c>
    </row>
    <row r="5017" spans="1:9" x14ac:dyDescent="0.25">
      <c r="A5017" t="str">
        <f t="shared" si="121"/>
        <v>89301000</v>
      </c>
      <c r="B5017" t="str">
        <f>"475905021"</f>
        <v>475905021</v>
      </c>
      <c r="C5017" s="1">
        <v>44970</v>
      </c>
      <c r="D5017" s="1">
        <v>44977</v>
      </c>
      <c r="E5017">
        <v>3</v>
      </c>
      <c r="F5017" t="str">
        <f>"08-I05-04"</f>
        <v>08-I05-04</v>
      </c>
      <c r="G5017">
        <v>2.4445000000000001</v>
      </c>
      <c r="H5017" t="s">
        <v>12</v>
      </c>
      <c r="I5017" t="s">
        <v>10</v>
      </c>
    </row>
    <row r="5018" spans="1:9" x14ac:dyDescent="0.25">
      <c r="A5018" t="str">
        <f t="shared" si="121"/>
        <v>89301000</v>
      </c>
      <c r="B5018" t="str">
        <f>"475905021"</f>
        <v>475905021</v>
      </c>
      <c r="C5018" s="1">
        <v>44977</v>
      </c>
      <c r="D5018" s="1">
        <v>44988</v>
      </c>
      <c r="E5018">
        <v>1</v>
      </c>
      <c r="F5018" t="str">
        <f>"24-M06-02"</f>
        <v>24-M06-02</v>
      </c>
      <c r="G5018">
        <v>1.0699000000000001</v>
      </c>
      <c r="H5018" t="s">
        <v>11</v>
      </c>
      <c r="I5018" t="s">
        <v>10</v>
      </c>
    </row>
    <row r="5019" spans="1:9" x14ac:dyDescent="0.25">
      <c r="A5019" t="str">
        <f t="shared" si="121"/>
        <v>89301000</v>
      </c>
      <c r="B5019" t="str">
        <f>"475906437"</f>
        <v>475906437</v>
      </c>
      <c r="C5019" s="1">
        <v>45177</v>
      </c>
      <c r="D5019" s="1">
        <v>45184</v>
      </c>
      <c r="E5019">
        <v>4</v>
      </c>
      <c r="F5019" t="str">
        <f>"08-I05-05"</f>
        <v>08-I05-05</v>
      </c>
      <c r="G5019">
        <v>2.2633000000000001</v>
      </c>
      <c r="H5019" t="s">
        <v>12</v>
      </c>
      <c r="I5019" t="s">
        <v>10</v>
      </c>
    </row>
    <row r="5020" spans="1:9" x14ac:dyDescent="0.25">
      <c r="A5020" t="str">
        <f t="shared" si="121"/>
        <v>89301000</v>
      </c>
      <c r="B5020" t="str">
        <f>"475906456"</f>
        <v>475906456</v>
      </c>
      <c r="C5020" s="1">
        <v>45225</v>
      </c>
      <c r="D5020" s="1">
        <v>45227</v>
      </c>
      <c r="E5020">
        <v>1</v>
      </c>
      <c r="F5020" t="str">
        <f>"13-I13-02"</f>
        <v>13-I13-02</v>
      </c>
      <c r="G5020">
        <v>0.94840000000000002</v>
      </c>
      <c r="H5020" t="s">
        <v>12</v>
      </c>
      <c r="I5020" t="s">
        <v>10</v>
      </c>
    </row>
    <row r="5021" spans="1:9" x14ac:dyDescent="0.25">
      <c r="A5021" t="str">
        <f t="shared" si="121"/>
        <v>89301000</v>
      </c>
      <c r="B5021" t="str">
        <f>"475909446"</f>
        <v>475909446</v>
      </c>
      <c r="C5021" s="1">
        <v>45127</v>
      </c>
      <c r="D5021" s="1">
        <v>45129</v>
      </c>
      <c r="E5021">
        <v>1</v>
      </c>
      <c r="F5021" t="str">
        <f>"03-I24-00"</f>
        <v>03-I24-00</v>
      </c>
      <c r="G5021">
        <v>0.40670000000000001</v>
      </c>
      <c r="H5021" t="s">
        <v>11</v>
      </c>
      <c r="I5021" t="s">
        <v>10</v>
      </c>
    </row>
    <row r="5022" spans="1:9" x14ac:dyDescent="0.25">
      <c r="A5022" t="str">
        <f t="shared" si="121"/>
        <v>89301000</v>
      </c>
      <c r="B5022" t="str">
        <f>"475913471"</f>
        <v>475913471</v>
      </c>
      <c r="C5022" s="1">
        <v>45179</v>
      </c>
      <c r="D5022" s="1">
        <v>45185</v>
      </c>
      <c r="E5022">
        <v>1</v>
      </c>
      <c r="F5022" t="str">
        <f>"03-I07-01"</f>
        <v>03-I07-01</v>
      </c>
      <c r="G5022">
        <v>4.0044000000000004</v>
      </c>
      <c r="H5022" t="s">
        <v>12</v>
      </c>
      <c r="I5022" t="s">
        <v>10</v>
      </c>
    </row>
    <row r="5023" spans="1:9" x14ac:dyDescent="0.25">
      <c r="A5023" t="str">
        <f t="shared" si="121"/>
        <v>89301000</v>
      </c>
      <c r="B5023" t="str">
        <f>"475914403"</f>
        <v>475914403</v>
      </c>
      <c r="C5023" s="1">
        <v>45014</v>
      </c>
      <c r="D5023" s="1">
        <v>45021</v>
      </c>
      <c r="E5023">
        <v>1</v>
      </c>
      <c r="F5023" t="str">
        <f>"04-K02-04"</f>
        <v>04-K02-04</v>
      </c>
      <c r="G5023">
        <v>0.82099999999999995</v>
      </c>
      <c r="H5023" t="s">
        <v>11</v>
      </c>
      <c r="I5023" t="s">
        <v>10</v>
      </c>
    </row>
    <row r="5024" spans="1:9" x14ac:dyDescent="0.25">
      <c r="A5024" t="str">
        <f t="shared" si="121"/>
        <v>89301000</v>
      </c>
      <c r="B5024" t="str">
        <f>"475914414"</f>
        <v>475914414</v>
      </c>
      <c r="C5024" s="1">
        <v>45182</v>
      </c>
      <c r="D5024" s="1">
        <v>45191</v>
      </c>
      <c r="E5024">
        <v>1</v>
      </c>
      <c r="F5024" t="str">
        <f>"05-K12-02"</f>
        <v>05-K12-02</v>
      </c>
      <c r="G5024">
        <v>0.48820000000000002</v>
      </c>
      <c r="H5024" t="s">
        <v>11</v>
      </c>
      <c r="I5024" t="s">
        <v>10</v>
      </c>
    </row>
    <row r="5025" spans="1:9" x14ac:dyDescent="0.25">
      <c r="A5025" t="str">
        <f t="shared" si="121"/>
        <v>89301000</v>
      </c>
      <c r="B5025" t="str">
        <f>"475915416"</f>
        <v>475915416</v>
      </c>
      <c r="C5025" s="1">
        <v>44958</v>
      </c>
      <c r="D5025" s="1">
        <v>44961</v>
      </c>
      <c r="E5025">
        <v>1</v>
      </c>
      <c r="F5025" t="str">
        <f>"08-I15-02"</f>
        <v>08-I15-02</v>
      </c>
      <c r="G5025">
        <v>1.5535000000000001</v>
      </c>
      <c r="H5025" t="s">
        <v>12</v>
      </c>
      <c r="I5025" t="s">
        <v>10</v>
      </c>
    </row>
    <row r="5026" spans="1:9" x14ac:dyDescent="0.25">
      <c r="A5026" t="str">
        <f t="shared" si="121"/>
        <v>89301000</v>
      </c>
      <c r="B5026" t="str">
        <f>"475925404"</f>
        <v>475925404</v>
      </c>
      <c r="C5026" s="1">
        <v>45202</v>
      </c>
      <c r="D5026" s="1">
        <v>45204</v>
      </c>
      <c r="E5026">
        <v>1</v>
      </c>
      <c r="F5026" t="str">
        <f>"05-D01-06"</f>
        <v>05-D01-06</v>
      </c>
      <c r="G5026">
        <v>0.7571</v>
      </c>
      <c r="H5026" t="s">
        <v>11</v>
      </c>
      <c r="I5026" t="s">
        <v>10</v>
      </c>
    </row>
    <row r="5027" spans="1:9" x14ac:dyDescent="0.25">
      <c r="A5027" t="str">
        <f t="shared" si="121"/>
        <v>89301000</v>
      </c>
      <c r="B5027" t="str">
        <f>"476004409"</f>
        <v>476004409</v>
      </c>
      <c r="C5027" s="1">
        <v>45204</v>
      </c>
      <c r="D5027" s="1">
        <v>45207</v>
      </c>
      <c r="E5027">
        <v>1</v>
      </c>
      <c r="F5027" t="str">
        <f>"13-I14-03"</f>
        <v>13-I14-03</v>
      </c>
      <c r="G5027">
        <v>0.87760000000000005</v>
      </c>
      <c r="H5027" t="s">
        <v>9</v>
      </c>
      <c r="I5027" t="s">
        <v>10</v>
      </c>
    </row>
    <row r="5028" spans="1:9" x14ac:dyDescent="0.25">
      <c r="A5028" t="str">
        <f t="shared" si="121"/>
        <v>89301000</v>
      </c>
      <c r="B5028" t="str">
        <f>"476012468"</f>
        <v>476012468</v>
      </c>
      <c r="C5028" s="1">
        <v>44970</v>
      </c>
      <c r="D5028" s="1">
        <v>44974</v>
      </c>
      <c r="E5028">
        <v>1</v>
      </c>
      <c r="F5028" t="str">
        <f>"08-I03-06"</f>
        <v>08-I03-06</v>
      </c>
      <c r="G5028">
        <v>2.9358</v>
      </c>
      <c r="H5028" t="s">
        <v>9</v>
      </c>
      <c r="I5028" t="s">
        <v>10</v>
      </c>
    </row>
    <row r="5029" spans="1:9" x14ac:dyDescent="0.25">
      <c r="A5029" t="str">
        <f t="shared" si="121"/>
        <v>89301000</v>
      </c>
      <c r="B5029" t="str">
        <f>"476012475"</f>
        <v>476012475</v>
      </c>
      <c r="C5029" s="1">
        <v>45113</v>
      </c>
      <c r="D5029" s="1">
        <v>45120</v>
      </c>
      <c r="E5029">
        <v>1</v>
      </c>
      <c r="F5029" t="str">
        <f>"08-I14-01"</f>
        <v>08-I14-01</v>
      </c>
      <c r="G5029">
        <v>3.5514999999999999</v>
      </c>
      <c r="H5029" t="s">
        <v>12</v>
      </c>
      <c r="I5029" t="s">
        <v>10</v>
      </c>
    </row>
    <row r="5030" spans="1:9" x14ac:dyDescent="0.25">
      <c r="A5030" t="str">
        <f t="shared" si="121"/>
        <v>89301000</v>
      </c>
      <c r="B5030" t="str">
        <f>"476013410"</f>
        <v>476013410</v>
      </c>
      <c r="C5030" s="1">
        <v>44998</v>
      </c>
      <c r="D5030" s="1">
        <v>45002</v>
      </c>
      <c r="E5030">
        <v>1</v>
      </c>
      <c r="F5030" t="str">
        <f>"24-M05-02"</f>
        <v>24-M05-02</v>
      </c>
      <c r="G5030">
        <v>0.58660000000000001</v>
      </c>
      <c r="H5030" t="s">
        <v>11</v>
      </c>
      <c r="I5030" t="s">
        <v>10</v>
      </c>
    </row>
    <row r="5031" spans="1:9" x14ac:dyDescent="0.25">
      <c r="A5031" t="str">
        <f t="shared" si="121"/>
        <v>89301000</v>
      </c>
      <c r="B5031" t="str">
        <f>"476015417"</f>
        <v>476015417</v>
      </c>
      <c r="C5031" s="1">
        <v>45128</v>
      </c>
      <c r="D5031" s="1">
        <v>45134</v>
      </c>
      <c r="E5031">
        <v>1</v>
      </c>
      <c r="F5031" t="str">
        <f>"07-K06-01"</f>
        <v>07-K06-01</v>
      </c>
      <c r="G5031">
        <v>1.0208999999999999</v>
      </c>
      <c r="H5031" t="s">
        <v>11</v>
      </c>
      <c r="I5031" t="s">
        <v>10</v>
      </c>
    </row>
    <row r="5032" spans="1:9" x14ac:dyDescent="0.25">
      <c r="A5032" t="str">
        <f t="shared" si="121"/>
        <v>89301000</v>
      </c>
      <c r="B5032" t="str">
        <f>"476015417"</f>
        <v>476015417</v>
      </c>
      <c r="C5032" s="1">
        <v>45105</v>
      </c>
      <c r="D5032" s="1">
        <v>45125</v>
      </c>
      <c r="E5032">
        <v>1</v>
      </c>
      <c r="F5032" t="str">
        <f>"07-M02-02"</f>
        <v>07-M02-02</v>
      </c>
      <c r="G5032">
        <v>2.0857000000000001</v>
      </c>
      <c r="H5032" t="s">
        <v>12</v>
      </c>
      <c r="I5032" t="s">
        <v>10</v>
      </c>
    </row>
    <row r="5033" spans="1:9" x14ac:dyDescent="0.25">
      <c r="A5033" t="str">
        <f t="shared" si="121"/>
        <v>89301000</v>
      </c>
      <c r="B5033" t="str">
        <f>"476017171"</f>
        <v>476017171</v>
      </c>
      <c r="C5033" s="1">
        <v>44942</v>
      </c>
      <c r="D5033" s="1">
        <v>44966</v>
      </c>
      <c r="E5033">
        <v>1</v>
      </c>
      <c r="F5033" t="str">
        <f>"09-K07-02"</f>
        <v>09-K07-02</v>
      </c>
      <c r="G5033">
        <v>1.2527999999999999</v>
      </c>
      <c r="H5033" t="s">
        <v>11</v>
      </c>
      <c r="I5033" t="s">
        <v>10</v>
      </c>
    </row>
    <row r="5034" spans="1:9" x14ac:dyDescent="0.25">
      <c r="A5034" t="str">
        <f t="shared" si="121"/>
        <v>89301000</v>
      </c>
      <c r="B5034" t="str">
        <f>"476021435"</f>
        <v>476021435</v>
      </c>
      <c r="C5034" s="1">
        <v>45134</v>
      </c>
      <c r="D5034" s="1">
        <v>45135</v>
      </c>
      <c r="E5034">
        <v>5</v>
      </c>
      <c r="F5034" t="str">
        <f>"06-I06-02"</f>
        <v>06-I06-02</v>
      </c>
      <c r="G5034">
        <v>2.9537</v>
      </c>
      <c r="H5034" t="s">
        <v>12</v>
      </c>
      <c r="I5034" t="s">
        <v>10</v>
      </c>
    </row>
    <row r="5035" spans="1:9" x14ac:dyDescent="0.25">
      <c r="A5035" t="str">
        <f t="shared" si="121"/>
        <v>89301000</v>
      </c>
      <c r="B5035" t="str">
        <f>"476024742"</f>
        <v>476024742</v>
      </c>
      <c r="C5035" s="1">
        <v>45250</v>
      </c>
      <c r="D5035" s="1">
        <v>45260</v>
      </c>
      <c r="E5035">
        <v>4</v>
      </c>
      <c r="F5035" t="str">
        <f>"00-M01-02"</f>
        <v>00-M01-02</v>
      </c>
      <c r="G5035">
        <v>13.5434</v>
      </c>
      <c r="H5035" t="s">
        <v>11</v>
      </c>
      <c r="I5035" t="s">
        <v>10</v>
      </c>
    </row>
    <row r="5036" spans="1:9" x14ac:dyDescent="0.25">
      <c r="A5036" t="str">
        <f t="shared" si="121"/>
        <v>89301000</v>
      </c>
      <c r="B5036" t="str">
        <f>"476024742"</f>
        <v>476024742</v>
      </c>
      <c r="C5036" s="1">
        <v>45033</v>
      </c>
      <c r="D5036" s="1">
        <v>45035</v>
      </c>
      <c r="E5036">
        <v>5</v>
      </c>
      <c r="F5036" t="str">
        <f>"05-K07-04"</f>
        <v>05-K07-04</v>
      </c>
      <c r="G5036">
        <v>1.0598000000000001</v>
      </c>
      <c r="H5036" t="s">
        <v>11</v>
      </c>
      <c r="I5036" t="s">
        <v>10</v>
      </c>
    </row>
    <row r="5037" spans="1:9" x14ac:dyDescent="0.25">
      <c r="A5037" t="str">
        <f t="shared" si="121"/>
        <v>89301000</v>
      </c>
      <c r="B5037" t="str">
        <f>"476026464"</f>
        <v>476026464</v>
      </c>
      <c r="C5037" s="1">
        <v>45119</v>
      </c>
      <c r="D5037" s="1">
        <v>45124</v>
      </c>
      <c r="E5037">
        <v>1</v>
      </c>
      <c r="F5037" t="str">
        <f>"08-I05-05"</f>
        <v>08-I05-05</v>
      </c>
      <c r="G5037">
        <v>2.2633000000000001</v>
      </c>
      <c r="H5037" t="s">
        <v>12</v>
      </c>
      <c r="I5037" t="s">
        <v>10</v>
      </c>
    </row>
    <row r="5038" spans="1:9" x14ac:dyDescent="0.25">
      <c r="A5038" t="str">
        <f t="shared" si="121"/>
        <v>89301000</v>
      </c>
      <c r="B5038" t="str">
        <f t="shared" ref="B5038:B5048" si="122">"476101468"</f>
        <v>476101468</v>
      </c>
      <c r="C5038" s="1">
        <v>44987</v>
      </c>
      <c r="D5038" s="1">
        <v>44989</v>
      </c>
      <c r="E5038">
        <v>1</v>
      </c>
      <c r="F5038" t="str">
        <f>"06-C02-02"</f>
        <v>06-C02-02</v>
      </c>
      <c r="G5038">
        <v>0.374</v>
      </c>
      <c r="H5038" t="s">
        <v>11</v>
      </c>
      <c r="I5038" t="s">
        <v>10</v>
      </c>
    </row>
    <row r="5039" spans="1:9" x14ac:dyDescent="0.25">
      <c r="A5039" t="str">
        <f t="shared" si="121"/>
        <v>89301000</v>
      </c>
      <c r="B5039" t="str">
        <f t="shared" si="122"/>
        <v>476101468</v>
      </c>
      <c r="C5039" s="1">
        <v>45058</v>
      </c>
      <c r="D5039" s="1">
        <v>45060</v>
      </c>
      <c r="E5039">
        <v>1</v>
      </c>
      <c r="F5039" t="str">
        <f>"17-C06-03"</f>
        <v>17-C06-03</v>
      </c>
      <c r="G5039">
        <v>0.37809999999999999</v>
      </c>
      <c r="H5039" t="s">
        <v>11</v>
      </c>
      <c r="I5039" t="s">
        <v>10</v>
      </c>
    </row>
    <row r="5040" spans="1:9" x14ac:dyDescent="0.25">
      <c r="A5040" t="str">
        <f t="shared" si="121"/>
        <v>89301000</v>
      </c>
      <c r="B5040" t="str">
        <f t="shared" si="122"/>
        <v>476101468</v>
      </c>
      <c r="C5040" s="1">
        <v>45044</v>
      </c>
      <c r="D5040" s="1">
        <v>45046</v>
      </c>
      <c r="E5040">
        <v>1</v>
      </c>
      <c r="F5040" t="str">
        <f>"17-C06-03"</f>
        <v>17-C06-03</v>
      </c>
      <c r="G5040">
        <v>0.37809999999999999</v>
      </c>
      <c r="H5040" t="s">
        <v>11</v>
      </c>
      <c r="I5040" t="s">
        <v>10</v>
      </c>
    </row>
    <row r="5041" spans="1:9" x14ac:dyDescent="0.25">
      <c r="A5041" t="str">
        <f t="shared" si="121"/>
        <v>89301000</v>
      </c>
      <c r="B5041" t="str">
        <f t="shared" si="122"/>
        <v>476101468</v>
      </c>
      <c r="C5041" s="1">
        <v>45086</v>
      </c>
      <c r="D5041" s="1">
        <v>45088</v>
      </c>
      <c r="E5041">
        <v>1</v>
      </c>
      <c r="F5041" t="str">
        <f>"17-C06-03"</f>
        <v>17-C06-03</v>
      </c>
      <c r="G5041">
        <v>0.37809999999999999</v>
      </c>
      <c r="H5041" t="s">
        <v>11</v>
      </c>
      <c r="I5041" t="s">
        <v>10</v>
      </c>
    </row>
    <row r="5042" spans="1:9" x14ac:dyDescent="0.25">
      <c r="A5042" t="str">
        <f t="shared" si="121"/>
        <v>89301000</v>
      </c>
      <c r="B5042" t="str">
        <f t="shared" si="122"/>
        <v>476101468</v>
      </c>
      <c r="C5042" s="1">
        <v>44936</v>
      </c>
      <c r="D5042" s="1">
        <v>44950</v>
      </c>
      <c r="E5042">
        <v>1</v>
      </c>
      <c r="F5042" t="str">
        <f>"06-C02-02"</f>
        <v>06-C02-02</v>
      </c>
      <c r="G5042">
        <v>0.76790000000000003</v>
      </c>
      <c r="H5042" t="s">
        <v>11</v>
      </c>
      <c r="I5042" t="s">
        <v>10</v>
      </c>
    </row>
    <row r="5043" spans="1:9" x14ac:dyDescent="0.25">
      <c r="A5043" t="str">
        <f t="shared" si="121"/>
        <v>89301000</v>
      </c>
      <c r="B5043" t="str">
        <f t="shared" si="122"/>
        <v>476101468</v>
      </c>
      <c r="C5043" s="1">
        <v>44958</v>
      </c>
      <c r="D5043" s="1">
        <v>44960</v>
      </c>
      <c r="E5043">
        <v>1</v>
      </c>
      <c r="F5043" t="str">
        <f>"06-C02-02"</f>
        <v>06-C02-02</v>
      </c>
      <c r="G5043">
        <v>0.374</v>
      </c>
      <c r="H5043" t="s">
        <v>11</v>
      </c>
      <c r="I5043" t="s">
        <v>10</v>
      </c>
    </row>
    <row r="5044" spans="1:9" x14ac:dyDescent="0.25">
      <c r="A5044" t="str">
        <f t="shared" si="121"/>
        <v>89301000</v>
      </c>
      <c r="B5044" t="str">
        <f t="shared" si="122"/>
        <v>476101468</v>
      </c>
      <c r="C5044" s="1">
        <v>44972</v>
      </c>
      <c r="D5044" s="1">
        <v>44974</v>
      </c>
      <c r="E5044">
        <v>1</v>
      </c>
      <c r="F5044" t="str">
        <f>"06-C02-02"</f>
        <v>06-C02-02</v>
      </c>
      <c r="G5044">
        <v>0.374</v>
      </c>
      <c r="H5044" t="s">
        <v>11</v>
      </c>
      <c r="I5044" t="s">
        <v>10</v>
      </c>
    </row>
    <row r="5045" spans="1:9" x14ac:dyDescent="0.25">
      <c r="A5045" t="str">
        <f t="shared" si="121"/>
        <v>89301000</v>
      </c>
      <c r="B5045" t="str">
        <f t="shared" si="122"/>
        <v>476101468</v>
      </c>
      <c r="C5045" s="1">
        <v>45072</v>
      </c>
      <c r="D5045" s="1">
        <v>45074</v>
      </c>
      <c r="E5045">
        <v>1</v>
      </c>
      <c r="F5045" t="str">
        <f>"17-C06-03"</f>
        <v>17-C06-03</v>
      </c>
      <c r="G5045">
        <v>0.37809999999999999</v>
      </c>
      <c r="H5045" t="s">
        <v>11</v>
      </c>
      <c r="I5045" t="s">
        <v>10</v>
      </c>
    </row>
    <row r="5046" spans="1:9" x14ac:dyDescent="0.25">
      <c r="A5046" t="str">
        <f t="shared" si="121"/>
        <v>89301000</v>
      </c>
      <c r="B5046" t="str">
        <f t="shared" si="122"/>
        <v>476101468</v>
      </c>
      <c r="C5046" s="1">
        <v>45002</v>
      </c>
      <c r="D5046" s="1">
        <v>45004</v>
      </c>
      <c r="E5046">
        <v>1</v>
      </c>
      <c r="F5046" t="str">
        <f>"06-C02-02"</f>
        <v>06-C02-02</v>
      </c>
      <c r="G5046">
        <v>0.374</v>
      </c>
      <c r="H5046" t="s">
        <v>11</v>
      </c>
      <c r="I5046" t="s">
        <v>10</v>
      </c>
    </row>
    <row r="5047" spans="1:9" x14ac:dyDescent="0.25">
      <c r="A5047" t="str">
        <f t="shared" si="121"/>
        <v>89301000</v>
      </c>
      <c r="B5047" t="str">
        <f t="shared" si="122"/>
        <v>476101468</v>
      </c>
      <c r="C5047" s="1">
        <v>45016</v>
      </c>
      <c r="D5047" s="1">
        <v>45018</v>
      </c>
      <c r="E5047">
        <v>1</v>
      </c>
      <c r="F5047" t="str">
        <f>"06-C02-02"</f>
        <v>06-C02-02</v>
      </c>
      <c r="G5047">
        <v>0.374</v>
      </c>
      <c r="H5047" t="s">
        <v>11</v>
      </c>
      <c r="I5047" t="s">
        <v>10</v>
      </c>
    </row>
    <row r="5048" spans="1:9" x14ac:dyDescent="0.25">
      <c r="A5048" t="str">
        <f t="shared" si="121"/>
        <v>89301000</v>
      </c>
      <c r="B5048" t="str">
        <f t="shared" si="122"/>
        <v>476101468</v>
      </c>
      <c r="C5048" s="1">
        <v>45030</v>
      </c>
      <c r="D5048" s="1">
        <v>45032</v>
      </c>
      <c r="E5048">
        <v>1</v>
      </c>
      <c r="F5048" t="str">
        <f>"06-C02-02"</f>
        <v>06-C02-02</v>
      </c>
      <c r="G5048">
        <v>0.374</v>
      </c>
      <c r="H5048" t="s">
        <v>11</v>
      </c>
      <c r="I5048" t="s">
        <v>10</v>
      </c>
    </row>
    <row r="5049" spans="1:9" x14ac:dyDescent="0.25">
      <c r="A5049" t="str">
        <f t="shared" si="121"/>
        <v>89301000</v>
      </c>
      <c r="B5049" t="str">
        <f>"476102198"</f>
        <v>476102198</v>
      </c>
      <c r="C5049" s="1">
        <v>45245</v>
      </c>
      <c r="D5049" s="1">
        <v>45250</v>
      </c>
      <c r="E5049">
        <v>1</v>
      </c>
      <c r="F5049" t="str">
        <f>"08-I06-04"</f>
        <v>08-I06-04</v>
      </c>
      <c r="G5049">
        <v>2.4180000000000001</v>
      </c>
      <c r="H5049" t="s">
        <v>9</v>
      </c>
      <c r="I5049" t="s">
        <v>10</v>
      </c>
    </row>
    <row r="5050" spans="1:9" x14ac:dyDescent="0.25">
      <c r="A5050" t="str">
        <f t="shared" si="121"/>
        <v>89301000</v>
      </c>
      <c r="B5050" t="str">
        <f>"476104481"</f>
        <v>476104481</v>
      </c>
      <c r="C5050" s="1">
        <v>44995</v>
      </c>
      <c r="D5050" s="1">
        <v>45006</v>
      </c>
      <c r="E5050">
        <v>1</v>
      </c>
      <c r="F5050" t="str">
        <f>"04-K02-04"</f>
        <v>04-K02-04</v>
      </c>
      <c r="G5050">
        <v>0.82099999999999995</v>
      </c>
      <c r="H5050" t="s">
        <v>11</v>
      </c>
      <c r="I5050" t="s">
        <v>10</v>
      </c>
    </row>
    <row r="5051" spans="1:9" x14ac:dyDescent="0.25">
      <c r="A5051" t="str">
        <f t="shared" si="121"/>
        <v>89301000</v>
      </c>
      <c r="B5051" t="str">
        <f>"476104481"</f>
        <v>476104481</v>
      </c>
      <c r="C5051" s="1">
        <v>45084</v>
      </c>
      <c r="D5051" s="1">
        <v>45093</v>
      </c>
      <c r="E5051">
        <v>1</v>
      </c>
      <c r="F5051" t="str">
        <f>"04-K02-04"</f>
        <v>04-K02-04</v>
      </c>
      <c r="G5051">
        <v>0.82099999999999995</v>
      </c>
      <c r="H5051" t="s">
        <v>11</v>
      </c>
      <c r="I5051" t="s">
        <v>10</v>
      </c>
    </row>
    <row r="5052" spans="1:9" x14ac:dyDescent="0.25">
      <c r="A5052" t="str">
        <f t="shared" si="121"/>
        <v>89301000</v>
      </c>
      <c r="B5052" t="str">
        <f>"476109401"</f>
        <v>476109401</v>
      </c>
      <c r="C5052" s="1">
        <v>45280</v>
      </c>
      <c r="D5052" s="1">
        <v>45289</v>
      </c>
      <c r="E5052">
        <v>1</v>
      </c>
      <c r="F5052" t="str">
        <f>"06-M01-02"</f>
        <v>06-M01-02</v>
      </c>
      <c r="G5052">
        <v>1.778</v>
      </c>
      <c r="H5052" t="s">
        <v>11</v>
      </c>
      <c r="I5052" t="s">
        <v>10</v>
      </c>
    </row>
    <row r="5053" spans="1:9" x14ac:dyDescent="0.25">
      <c r="A5053" t="str">
        <f t="shared" si="121"/>
        <v>89301000</v>
      </c>
      <c r="B5053" t="str">
        <f>"476109459"</f>
        <v>476109459</v>
      </c>
      <c r="C5053" s="1">
        <v>45160</v>
      </c>
      <c r="D5053" s="1">
        <v>45177</v>
      </c>
      <c r="E5053">
        <v>1</v>
      </c>
      <c r="F5053" t="str">
        <f>"24-M07-02"</f>
        <v>24-M07-02</v>
      </c>
      <c r="G5053">
        <v>1.5729</v>
      </c>
      <c r="H5053" t="s">
        <v>11</v>
      </c>
      <c r="I5053" t="s">
        <v>10</v>
      </c>
    </row>
    <row r="5054" spans="1:9" x14ac:dyDescent="0.25">
      <c r="A5054" t="str">
        <f t="shared" si="121"/>
        <v>89301000</v>
      </c>
      <c r="B5054" t="str">
        <f>"476109459"</f>
        <v>476109459</v>
      </c>
      <c r="C5054" s="1">
        <v>45154</v>
      </c>
      <c r="D5054" s="1">
        <v>45160</v>
      </c>
      <c r="E5054">
        <v>3</v>
      </c>
      <c r="F5054" t="str">
        <f>"08-I05-05"</f>
        <v>08-I05-05</v>
      </c>
      <c r="G5054">
        <v>2.2633000000000001</v>
      </c>
      <c r="H5054" t="s">
        <v>12</v>
      </c>
      <c r="I5054" t="s">
        <v>10</v>
      </c>
    </row>
    <row r="5055" spans="1:9" x14ac:dyDescent="0.25">
      <c r="A5055" t="str">
        <f t="shared" si="121"/>
        <v>89301000</v>
      </c>
      <c r="B5055" t="str">
        <f>"476116401"</f>
        <v>476116401</v>
      </c>
      <c r="C5055" s="1">
        <v>45215</v>
      </c>
      <c r="D5055" s="1">
        <v>45217</v>
      </c>
      <c r="E5055">
        <v>1</v>
      </c>
      <c r="F5055" t="str">
        <f>"04-K09-03"</f>
        <v>04-K09-03</v>
      </c>
      <c r="G5055">
        <v>0.629</v>
      </c>
      <c r="H5055" t="s">
        <v>11</v>
      </c>
      <c r="I5055" t="s">
        <v>10</v>
      </c>
    </row>
    <row r="5056" spans="1:9" x14ac:dyDescent="0.25">
      <c r="A5056" t="str">
        <f t="shared" si="121"/>
        <v>89301000</v>
      </c>
      <c r="B5056" t="str">
        <f>"476116401"</f>
        <v>476116401</v>
      </c>
      <c r="C5056" s="1">
        <v>45259</v>
      </c>
      <c r="D5056" s="1">
        <v>45260</v>
      </c>
      <c r="E5056">
        <v>1</v>
      </c>
      <c r="F5056" t="str">
        <f>"04-K09-03"</f>
        <v>04-K09-03</v>
      </c>
      <c r="G5056">
        <v>0.65600000000000003</v>
      </c>
      <c r="H5056" t="s">
        <v>11</v>
      </c>
      <c r="I5056" t="s">
        <v>10</v>
      </c>
    </row>
    <row r="5057" spans="1:9" x14ac:dyDescent="0.25">
      <c r="A5057" t="str">
        <f t="shared" si="121"/>
        <v>89301000</v>
      </c>
      <c r="B5057" t="str">
        <f>"476116449"</f>
        <v>476116449</v>
      </c>
      <c r="C5057" s="1">
        <v>45050</v>
      </c>
      <c r="D5057" s="1">
        <v>45057</v>
      </c>
      <c r="E5057">
        <v>1</v>
      </c>
      <c r="F5057" t="str">
        <f>"04-K06-03"</f>
        <v>04-K06-03</v>
      </c>
      <c r="G5057">
        <v>0.62519999999999998</v>
      </c>
      <c r="H5057" t="s">
        <v>11</v>
      </c>
      <c r="I5057" t="s">
        <v>10</v>
      </c>
    </row>
    <row r="5058" spans="1:9" x14ac:dyDescent="0.25">
      <c r="A5058" t="str">
        <f t="shared" si="121"/>
        <v>89301000</v>
      </c>
      <c r="B5058" t="str">
        <f>"476120043"</f>
        <v>476120043</v>
      </c>
      <c r="C5058" s="1">
        <v>45021</v>
      </c>
      <c r="D5058" s="1">
        <v>45028</v>
      </c>
      <c r="E5058">
        <v>1</v>
      </c>
      <c r="F5058" t="str">
        <f>"05-M01-03"</f>
        <v>05-M01-03</v>
      </c>
      <c r="G5058">
        <v>11.4411</v>
      </c>
      <c r="H5058" t="s">
        <v>12</v>
      </c>
      <c r="I5058" t="s">
        <v>10</v>
      </c>
    </row>
    <row r="5059" spans="1:9" x14ac:dyDescent="0.25">
      <c r="A5059" t="str">
        <f t="shared" si="121"/>
        <v>89301000</v>
      </c>
      <c r="B5059" t="str">
        <f>"476120043"</f>
        <v>476120043</v>
      </c>
      <c r="C5059" s="1">
        <v>44986</v>
      </c>
      <c r="D5059" s="1">
        <v>44988</v>
      </c>
      <c r="E5059">
        <v>1</v>
      </c>
      <c r="F5059" t="str">
        <f>"05-M06-08"</f>
        <v>05-M06-08</v>
      </c>
      <c r="G5059">
        <v>1.4228000000000001</v>
      </c>
      <c r="H5059" t="s">
        <v>12</v>
      </c>
      <c r="I5059" t="s">
        <v>10</v>
      </c>
    </row>
    <row r="5060" spans="1:9" x14ac:dyDescent="0.25">
      <c r="A5060" t="str">
        <f t="shared" si="121"/>
        <v>89301000</v>
      </c>
      <c r="B5060" t="str">
        <f>"476205422"</f>
        <v>476205422</v>
      </c>
      <c r="C5060" s="1">
        <v>45215</v>
      </c>
      <c r="D5060" s="1">
        <v>45217</v>
      </c>
      <c r="E5060">
        <v>1</v>
      </c>
      <c r="F5060" t="str">
        <f>"09-I09-02"</f>
        <v>09-I09-02</v>
      </c>
      <c r="G5060">
        <v>0.76900000000000002</v>
      </c>
      <c r="H5060" t="s">
        <v>12</v>
      </c>
      <c r="I5060" t="s">
        <v>10</v>
      </c>
    </row>
    <row r="5061" spans="1:9" x14ac:dyDescent="0.25">
      <c r="A5061" t="str">
        <f t="shared" si="121"/>
        <v>89301000</v>
      </c>
      <c r="B5061" t="str">
        <f>"476205428"</f>
        <v>476205428</v>
      </c>
      <c r="C5061" s="1">
        <v>45183</v>
      </c>
      <c r="D5061" s="1">
        <v>45188</v>
      </c>
      <c r="E5061">
        <v>1</v>
      </c>
      <c r="F5061" t="str">
        <f>"09-K01-02"</f>
        <v>09-K01-02</v>
      </c>
      <c r="G5061">
        <v>1.0014000000000001</v>
      </c>
      <c r="H5061" t="s">
        <v>11</v>
      </c>
      <c r="I5061" t="s">
        <v>10</v>
      </c>
    </row>
    <row r="5062" spans="1:9" x14ac:dyDescent="0.25">
      <c r="A5062" t="str">
        <f t="shared" si="121"/>
        <v>89301000</v>
      </c>
      <c r="B5062" t="str">
        <f>"476205450"</f>
        <v>476205450</v>
      </c>
      <c r="C5062" s="1">
        <v>44929</v>
      </c>
      <c r="D5062" s="1">
        <v>44935</v>
      </c>
      <c r="E5062">
        <v>1</v>
      </c>
      <c r="F5062" t="str">
        <f>"13-I04-04"</f>
        <v>13-I04-04</v>
      </c>
      <c r="G5062">
        <v>2.0345</v>
      </c>
      <c r="H5062" t="s">
        <v>14</v>
      </c>
      <c r="I5062" t="s">
        <v>10</v>
      </c>
    </row>
    <row r="5063" spans="1:9" x14ac:dyDescent="0.25">
      <c r="A5063" t="str">
        <f t="shared" si="121"/>
        <v>89301000</v>
      </c>
      <c r="B5063" t="str">
        <f>"476209405"</f>
        <v>476209405</v>
      </c>
      <c r="C5063" s="1">
        <v>44974</v>
      </c>
      <c r="D5063" s="1">
        <v>44975</v>
      </c>
      <c r="E5063">
        <v>1</v>
      </c>
      <c r="F5063" t="str">
        <f>"05-I25-03"</f>
        <v>05-I25-03</v>
      </c>
      <c r="G5063">
        <v>1.633</v>
      </c>
      <c r="H5063" t="s">
        <v>12</v>
      </c>
      <c r="I5063" t="s">
        <v>10</v>
      </c>
    </row>
    <row r="5064" spans="1:9" x14ac:dyDescent="0.25">
      <c r="A5064" t="str">
        <f t="shared" si="121"/>
        <v>89301000</v>
      </c>
      <c r="B5064" t="str">
        <f>"476213402"</f>
        <v>476213402</v>
      </c>
      <c r="C5064" s="1">
        <v>45224</v>
      </c>
      <c r="D5064" s="1">
        <v>45229</v>
      </c>
      <c r="E5064">
        <v>1</v>
      </c>
      <c r="F5064" t="str">
        <f>"08-K08-00"</f>
        <v>08-K08-00</v>
      </c>
      <c r="G5064">
        <v>0.5272</v>
      </c>
      <c r="H5064" t="s">
        <v>11</v>
      </c>
      <c r="I5064" t="s">
        <v>10</v>
      </c>
    </row>
    <row r="5065" spans="1:9" x14ac:dyDescent="0.25">
      <c r="A5065" t="str">
        <f t="shared" si="121"/>
        <v>89301000</v>
      </c>
      <c r="B5065" t="str">
        <f>"476213473"</f>
        <v>476213473</v>
      </c>
      <c r="C5065" s="1">
        <v>45131</v>
      </c>
      <c r="D5065" s="1">
        <v>45138</v>
      </c>
      <c r="E5065">
        <v>4</v>
      </c>
      <c r="F5065" t="str">
        <f>"08-I05-05"</f>
        <v>08-I05-05</v>
      </c>
      <c r="G5065">
        <v>2.2633000000000001</v>
      </c>
      <c r="H5065" t="s">
        <v>12</v>
      </c>
      <c r="I5065" t="s">
        <v>10</v>
      </c>
    </row>
    <row r="5066" spans="1:9" x14ac:dyDescent="0.25">
      <c r="A5066" t="str">
        <f t="shared" si="121"/>
        <v>89301000</v>
      </c>
      <c r="B5066" t="str">
        <f>"476214406"</f>
        <v>476214406</v>
      </c>
      <c r="C5066" s="1">
        <v>44987</v>
      </c>
      <c r="D5066" s="1">
        <v>44994</v>
      </c>
      <c r="E5066">
        <v>4</v>
      </c>
      <c r="F5066" t="str">
        <f>"08-I05-05"</f>
        <v>08-I05-05</v>
      </c>
      <c r="G5066">
        <v>2.2633000000000001</v>
      </c>
      <c r="H5066" t="s">
        <v>12</v>
      </c>
      <c r="I5066" t="s">
        <v>10</v>
      </c>
    </row>
    <row r="5067" spans="1:9" x14ac:dyDescent="0.25">
      <c r="A5067" t="str">
        <f t="shared" si="121"/>
        <v>89301000</v>
      </c>
      <c r="B5067" t="str">
        <f>"476220179"</f>
        <v>476220179</v>
      </c>
      <c r="C5067" s="1">
        <v>44977</v>
      </c>
      <c r="D5067" s="1">
        <v>45006</v>
      </c>
      <c r="E5067">
        <v>4</v>
      </c>
      <c r="F5067" t="str">
        <f>"04-K05-03"</f>
        <v>04-K05-03</v>
      </c>
      <c r="G5067">
        <v>1.8797999999999999</v>
      </c>
      <c r="H5067" t="s">
        <v>11</v>
      </c>
      <c r="I5067" t="s">
        <v>10</v>
      </c>
    </row>
    <row r="5068" spans="1:9" x14ac:dyDescent="0.25">
      <c r="A5068" t="str">
        <f t="shared" si="121"/>
        <v>89301000</v>
      </c>
      <c r="B5068" t="str">
        <f>"476220179"</f>
        <v>476220179</v>
      </c>
      <c r="C5068" s="1">
        <v>45084</v>
      </c>
      <c r="D5068" s="1">
        <v>45092</v>
      </c>
      <c r="E5068">
        <v>1</v>
      </c>
      <c r="F5068" t="str">
        <f>"11-I04-02"</f>
        <v>11-I04-02</v>
      </c>
      <c r="G5068">
        <v>2.6577999999999999</v>
      </c>
      <c r="H5068" t="s">
        <v>9</v>
      </c>
      <c r="I5068" t="s">
        <v>10</v>
      </c>
    </row>
    <row r="5069" spans="1:9" x14ac:dyDescent="0.25">
      <c r="A5069" t="str">
        <f t="shared" si="121"/>
        <v>89301000</v>
      </c>
      <c r="B5069" t="str">
        <f>"476220179"</f>
        <v>476220179</v>
      </c>
      <c r="C5069" s="1">
        <v>45041</v>
      </c>
      <c r="D5069" s="1">
        <v>45058</v>
      </c>
      <c r="E5069">
        <v>1</v>
      </c>
      <c r="F5069" t="str">
        <f>"10-K12-02"</f>
        <v>10-K12-02</v>
      </c>
      <c r="G5069">
        <v>0.88600000000000001</v>
      </c>
      <c r="H5069" t="s">
        <v>11</v>
      </c>
      <c r="I5069" t="s">
        <v>10</v>
      </c>
    </row>
    <row r="5070" spans="1:9" x14ac:dyDescent="0.25">
      <c r="A5070" t="str">
        <f t="shared" si="121"/>
        <v>89301000</v>
      </c>
      <c r="B5070" t="str">
        <f>"476220179"</f>
        <v>476220179</v>
      </c>
      <c r="C5070" s="1">
        <v>45114</v>
      </c>
      <c r="D5070" s="1">
        <v>45135</v>
      </c>
      <c r="E5070">
        <v>5</v>
      </c>
      <c r="F5070" t="str">
        <f>"06-I12-03"</f>
        <v>06-I12-03</v>
      </c>
      <c r="G5070">
        <v>2.4091999999999998</v>
      </c>
      <c r="H5070" t="s">
        <v>11</v>
      </c>
      <c r="I5070" t="s">
        <v>10</v>
      </c>
    </row>
    <row r="5071" spans="1:9" x14ac:dyDescent="0.25">
      <c r="A5071" t="str">
        <f t="shared" si="121"/>
        <v>89301000</v>
      </c>
      <c r="B5071" t="str">
        <f>"476221069"</f>
        <v>476221069</v>
      </c>
      <c r="C5071" s="1">
        <v>44970</v>
      </c>
      <c r="D5071" s="1">
        <v>44972</v>
      </c>
      <c r="E5071">
        <v>1</v>
      </c>
      <c r="F5071" t="str">
        <f>"04-K10-02"</f>
        <v>04-K10-02</v>
      </c>
      <c r="G5071">
        <v>0.40129999999999999</v>
      </c>
      <c r="H5071" t="s">
        <v>11</v>
      </c>
      <c r="I5071" t="s">
        <v>10</v>
      </c>
    </row>
    <row r="5072" spans="1:9" x14ac:dyDescent="0.25">
      <c r="A5072" t="str">
        <f t="shared" si="121"/>
        <v>89301000</v>
      </c>
      <c r="B5072" t="str">
        <f>"476221069"</f>
        <v>476221069</v>
      </c>
      <c r="C5072" s="1">
        <v>44994</v>
      </c>
      <c r="D5072" s="1">
        <v>44999</v>
      </c>
      <c r="E5072">
        <v>1</v>
      </c>
      <c r="F5072" t="str">
        <f>"04-K10-02"</f>
        <v>04-K10-02</v>
      </c>
      <c r="G5072">
        <v>0.42270000000000002</v>
      </c>
      <c r="H5072" t="s">
        <v>11</v>
      </c>
      <c r="I5072" t="s">
        <v>10</v>
      </c>
    </row>
    <row r="5073" spans="1:9" x14ac:dyDescent="0.25">
      <c r="A5073" t="str">
        <f t="shared" si="121"/>
        <v>89301000</v>
      </c>
      <c r="B5073" t="str">
        <f>"476221069"</f>
        <v>476221069</v>
      </c>
      <c r="C5073" s="1">
        <v>45019</v>
      </c>
      <c r="D5073" s="1">
        <v>45020</v>
      </c>
      <c r="E5073">
        <v>1</v>
      </c>
      <c r="F5073" t="str">
        <f>"04-K07-03"</f>
        <v>04-K07-03</v>
      </c>
      <c r="G5073">
        <v>0.61119999999999997</v>
      </c>
      <c r="H5073" t="s">
        <v>11</v>
      </c>
      <c r="I5073" t="s">
        <v>10</v>
      </c>
    </row>
    <row r="5074" spans="1:9" x14ac:dyDescent="0.25">
      <c r="A5074" t="str">
        <f t="shared" si="121"/>
        <v>89301000</v>
      </c>
      <c r="B5074" t="str">
        <f>"476222456"</f>
        <v>476222456</v>
      </c>
      <c r="C5074" s="1">
        <v>45036</v>
      </c>
      <c r="D5074" s="1">
        <v>45042</v>
      </c>
      <c r="E5074">
        <v>4</v>
      </c>
      <c r="F5074" t="str">
        <f>"08-I06-04"</f>
        <v>08-I06-04</v>
      </c>
      <c r="G5074">
        <v>2.3702000000000001</v>
      </c>
      <c r="H5074" t="s">
        <v>9</v>
      </c>
      <c r="I5074" t="s">
        <v>10</v>
      </c>
    </row>
    <row r="5075" spans="1:9" x14ac:dyDescent="0.25">
      <c r="A5075" t="str">
        <f t="shared" si="121"/>
        <v>89301000</v>
      </c>
      <c r="B5075" t="str">
        <f>"476225428"</f>
        <v>476225428</v>
      </c>
      <c r="C5075" s="1">
        <v>45196</v>
      </c>
      <c r="D5075" s="1">
        <v>45198</v>
      </c>
      <c r="E5075">
        <v>1</v>
      </c>
      <c r="F5075" t="str">
        <f>"06-M01-01"</f>
        <v>06-M01-01</v>
      </c>
      <c r="G5075">
        <v>1.6922999999999999</v>
      </c>
      <c r="H5075" t="s">
        <v>11</v>
      </c>
      <c r="I5075" t="s">
        <v>10</v>
      </c>
    </row>
    <row r="5076" spans="1:9" x14ac:dyDescent="0.25">
      <c r="A5076" t="str">
        <f t="shared" ref="A5076:A5137" si="123">"89301000"</f>
        <v>89301000</v>
      </c>
      <c r="B5076" t="str">
        <f>"480110403"</f>
        <v>480110403</v>
      </c>
      <c r="C5076" s="1">
        <v>45027</v>
      </c>
      <c r="D5076" s="1">
        <v>45028</v>
      </c>
      <c r="E5076">
        <v>1</v>
      </c>
      <c r="F5076" t="str">
        <f>"05-D01-06"</f>
        <v>05-D01-06</v>
      </c>
      <c r="G5076">
        <v>0.94889999999999997</v>
      </c>
      <c r="H5076" t="s">
        <v>11</v>
      </c>
      <c r="I5076" t="s">
        <v>10</v>
      </c>
    </row>
    <row r="5077" spans="1:9" x14ac:dyDescent="0.25">
      <c r="A5077" t="str">
        <f t="shared" si="123"/>
        <v>89301000</v>
      </c>
      <c r="B5077" t="str">
        <f>"480110403"</f>
        <v>480110403</v>
      </c>
      <c r="C5077" s="1">
        <v>45070</v>
      </c>
      <c r="D5077" s="1">
        <v>45079</v>
      </c>
      <c r="E5077">
        <v>1</v>
      </c>
      <c r="F5077" t="str">
        <f>"05-M01-01"</f>
        <v>05-M01-01</v>
      </c>
      <c r="G5077">
        <v>14.674200000000001</v>
      </c>
      <c r="H5077" t="s">
        <v>12</v>
      </c>
      <c r="I5077" t="s">
        <v>10</v>
      </c>
    </row>
    <row r="5078" spans="1:9" x14ac:dyDescent="0.25">
      <c r="A5078" t="str">
        <f t="shared" si="123"/>
        <v>89301000</v>
      </c>
      <c r="B5078" t="str">
        <f>"480116448"</f>
        <v>480116448</v>
      </c>
      <c r="C5078" s="1">
        <v>45169</v>
      </c>
      <c r="D5078" s="1">
        <v>45170</v>
      </c>
      <c r="E5078">
        <v>1</v>
      </c>
      <c r="F5078" t="str">
        <f>"05-D01-08"</f>
        <v>05-D01-08</v>
      </c>
      <c r="G5078">
        <v>0.43159999999999998</v>
      </c>
      <c r="H5078" t="s">
        <v>11</v>
      </c>
      <c r="I5078" t="s">
        <v>10</v>
      </c>
    </row>
    <row r="5079" spans="1:9" x14ac:dyDescent="0.25">
      <c r="A5079" t="str">
        <f t="shared" si="123"/>
        <v>89301000</v>
      </c>
      <c r="B5079" t="str">
        <f>"480119127"</f>
        <v>480119127</v>
      </c>
      <c r="C5079" s="1">
        <v>45280</v>
      </c>
      <c r="D5079" s="1">
        <v>45282</v>
      </c>
      <c r="E5079">
        <v>1</v>
      </c>
      <c r="F5079" t="str">
        <f>"05-M05-02"</f>
        <v>05-M05-02</v>
      </c>
      <c r="G5079">
        <v>3.4817999999999998</v>
      </c>
      <c r="H5079" t="s">
        <v>14</v>
      </c>
      <c r="I5079" t="s">
        <v>10</v>
      </c>
    </row>
    <row r="5080" spans="1:9" x14ac:dyDescent="0.25">
      <c r="A5080" t="str">
        <f t="shared" si="123"/>
        <v>89301000</v>
      </c>
      <c r="B5080" t="str">
        <f>"480119127"</f>
        <v>480119127</v>
      </c>
      <c r="C5080" s="1">
        <v>45177</v>
      </c>
      <c r="D5080" s="1">
        <v>45178</v>
      </c>
      <c r="E5080">
        <v>1</v>
      </c>
      <c r="F5080" t="str">
        <f>"05-D01-08"</f>
        <v>05-D01-08</v>
      </c>
      <c r="G5080">
        <v>0.43159999999999998</v>
      </c>
      <c r="H5080" t="s">
        <v>11</v>
      </c>
      <c r="I5080" t="s">
        <v>10</v>
      </c>
    </row>
    <row r="5081" spans="1:9" x14ac:dyDescent="0.25">
      <c r="A5081" t="str">
        <f t="shared" si="123"/>
        <v>89301000</v>
      </c>
      <c r="B5081" t="str">
        <f>"480119127"</f>
        <v>480119127</v>
      </c>
      <c r="C5081" s="1">
        <v>45027</v>
      </c>
      <c r="D5081" s="1">
        <v>45028</v>
      </c>
      <c r="E5081">
        <v>1</v>
      </c>
      <c r="F5081" t="str">
        <f>"02-I13-02"</f>
        <v>02-I13-02</v>
      </c>
      <c r="G5081">
        <v>0.4259</v>
      </c>
      <c r="H5081" t="s">
        <v>11</v>
      </c>
      <c r="I5081" t="s">
        <v>10</v>
      </c>
    </row>
    <row r="5082" spans="1:9" x14ac:dyDescent="0.25">
      <c r="A5082" t="str">
        <f t="shared" si="123"/>
        <v>89301000</v>
      </c>
      <c r="B5082" t="str">
        <f>"480210412"</f>
        <v>480210412</v>
      </c>
      <c r="C5082" s="1">
        <v>45022</v>
      </c>
      <c r="D5082" s="1">
        <v>45023</v>
      </c>
      <c r="E5082">
        <v>1</v>
      </c>
      <c r="F5082" t="str">
        <f>"06-M01-02"</f>
        <v>06-M01-02</v>
      </c>
      <c r="G5082">
        <v>1.2206999999999999</v>
      </c>
      <c r="H5082" t="s">
        <v>11</v>
      </c>
      <c r="I5082" t="s">
        <v>10</v>
      </c>
    </row>
    <row r="5083" spans="1:9" x14ac:dyDescent="0.25">
      <c r="A5083" t="str">
        <f t="shared" si="123"/>
        <v>89301000</v>
      </c>
      <c r="B5083" t="str">
        <f>"480223425"</f>
        <v>480223425</v>
      </c>
      <c r="C5083" s="1">
        <v>44929</v>
      </c>
      <c r="D5083" s="1">
        <v>44931</v>
      </c>
      <c r="E5083">
        <v>1</v>
      </c>
      <c r="F5083" t="str">
        <f>"09-K04-02"</f>
        <v>09-K04-02</v>
      </c>
      <c r="G5083">
        <v>0.64849999999999997</v>
      </c>
      <c r="H5083" t="s">
        <v>11</v>
      </c>
      <c r="I5083" t="s">
        <v>10</v>
      </c>
    </row>
    <row r="5084" spans="1:9" x14ac:dyDescent="0.25">
      <c r="A5084" t="str">
        <f t="shared" si="123"/>
        <v>89301000</v>
      </c>
      <c r="B5084" t="str">
        <f>"480225131"</f>
        <v>480225131</v>
      </c>
      <c r="C5084" s="1">
        <v>44961</v>
      </c>
      <c r="D5084" s="1">
        <v>44962</v>
      </c>
      <c r="E5084">
        <v>1</v>
      </c>
      <c r="F5084" t="str">
        <f>"08-I18-02"</f>
        <v>08-I18-02</v>
      </c>
      <c r="G5084">
        <v>0.62509999999999999</v>
      </c>
      <c r="H5084" t="s">
        <v>12</v>
      </c>
      <c r="I5084" t="s">
        <v>10</v>
      </c>
    </row>
    <row r="5085" spans="1:9" x14ac:dyDescent="0.25">
      <c r="A5085" t="str">
        <f t="shared" si="123"/>
        <v>89301000</v>
      </c>
      <c r="B5085" t="str">
        <f>"480226206"</f>
        <v>480226206</v>
      </c>
      <c r="C5085" s="1">
        <v>45001</v>
      </c>
      <c r="D5085" s="1">
        <v>45007</v>
      </c>
      <c r="E5085">
        <v>1</v>
      </c>
      <c r="F5085" t="str">
        <f>"11-K07-02"</f>
        <v>11-K07-02</v>
      </c>
      <c r="G5085">
        <v>0.57999999999999996</v>
      </c>
      <c r="H5085" t="s">
        <v>11</v>
      </c>
      <c r="I5085" t="s">
        <v>10</v>
      </c>
    </row>
    <row r="5086" spans="1:9" x14ac:dyDescent="0.25">
      <c r="A5086" t="str">
        <f t="shared" si="123"/>
        <v>89301000</v>
      </c>
      <c r="B5086" t="str">
        <f>"480226206"</f>
        <v>480226206</v>
      </c>
      <c r="C5086" s="1">
        <v>44978</v>
      </c>
      <c r="D5086" s="1">
        <v>44984</v>
      </c>
      <c r="E5086">
        <v>1</v>
      </c>
      <c r="F5086" t="str">
        <f>"11-I07-01"</f>
        <v>11-I07-01</v>
      </c>
      <c r="G5086">
        <v>2.7482000000000002</v>
      </c>
      <c r="H5086" t="s">
        <v>9</v>
      </c>
      <c r="I5086" t="s">
        <v>10</v>
      </c>
    </row>
    <row r="5087" spans="1:9" x14ac:dyDescent="0.25">
      <c r="A5087" t="str">
        <f t="shared" si="123"/>
        <v>89301000</v>
      </c>
      <c r="B5087" t="str">
        <f>"480308410"</f>
        <v>480308410</v>
      </c>
      <c r="C5087" s="1">
        <v>45271</v>
      </c>
      <c r="D5087" s="1">
        <v>45274</v>
      </c>
      <c r="E5087">
        <v>1</v>
      </c>
      <c r="F5087" t="str">
        <f>"06-I16-04"</f>
        <v>06-I16-04</v>
      </c>
      <c r="G5087">
        <v>0.68920000000000003</v>
      </c>
      <c r="H5087" t="s">
        <v>9</v>
      </c>
      <c r="I5087" t="s">
        <v>10</v>
      </c>
    </row>
    <row r="5088" spans="1:9" x14ac:dyDescent="0.25">
      <c r="A5088" t="str">
        <f t="shared" si="123"/>
        <v>89301000</v>
      </c>
      <c r="B5088" t="str">
        <f>"480308410"</f>
        <v>480308410</v>
      </c>
      <c r="C5088" s="1">
        <v>45090</v>
      </c>
      <c r="D5088" s="1">
        <v>45098</v>
      </c>
      <c r="E5088">
        <v>1</v>
      </c>
      <c r="F5088" t="str">
        <f>"04-K06-01"</f>
        <v>04-K06-01</v>
      </c>
      <c r="G5088">
        <v>2.1379000000000001</v>
      </c>
      <c r="H5088" t="s">
        <v>11</v>
      </c>
      <c r="I5088" t="s">
        <v>10</v>
      </c>
    </row>
    <row r="5089" spans="1:9" x14ac:dyDescent="0.25">
      <c r="A5089" t="str">
        <f t="shared" si="123"/>
        <v>89301000</v>
      </c>
      <c r="B5089" t="str">
        <f>"480308410"</f>
        <v>480308410</v>
      </c>
      <c r="C5089" s="1">
        <v>45040</v>
      </c>
      <c r="D5089" s="1">
        <v>45044</v>
      </c>
      <c r="E5089">
        <v>1</v>
      </c>
      <c r="F5089" t="str">
        <f>"04-K02-04"</f>
        <v>04-K02-04</v>
      </c>
      <c r="G5089">
        <v>0.82099999999999995</v>
      </c>
      <c r="H5089" t="s">
        <v>11</v>
      </c>
      <c r="I5089" t="s">
        <v>10</v>
      </c>
    </row>
    <row r="5090" spans="1:9" x14ac:dyDescent="0.25">
      <c r="A5090" t="str">
        <f t="shared" si="123"/>
        <v>89301000</v>
      </c>
      <c r="B5090" t="str">
        <f>"480310471"</f>
        <v>480310471</v>
      </c>
      <c r="C5090" s="1">
        <v>45049</v>
      </c>
      <c r="D5090" s="1">
        <v>45049</v>
      </c>
      <c r="E5090">
        <v>1</v>
      </c>
      <c r="F5090" t="str">
        <f>"05-D01-08"</f>
        <v>05-D01-08</v>
      </c>
      <c r="G5090">
        <v>0.2303</v>
      </c>
      <c r="H5090" t="s">
        <v>11</v>
      </c>
      <c r="I5090" t="s">
        <v>10</v>
      </c>
    </row>
    <row r="5091" spans="1:9" x14ac:dyDescent="0.25">
      <c r="A5091" t="str">
        <f t="shared" si="123"/>
        <v>89301000</v>
      </c>
      <c r="B5091" t="str">
        <f>"480313155"</f>
        <v>480313155</v>
      </c>
      <c r="C5091" s="1">
        <v>45014</v>
      </c>
      <c r="D5091" s="1">
        <v>45020</v>
      </c>
      <c r="E5091">
        <v>1</v>
      </c>
      <c r="F5091" t="str">
        <f>"01-K04-01"</f>
        <v>01-K04-01</v>
      </c>
      <c r="G5091">
        <v>1.0985</v>
      </c>
      <c r="H5091" t="s">
        <v>11</v>
      </c>
      <c r="I5091" t="s">
        <v>10</v>
      </c>
    </row>
    <row r="5092" spans="1:9" x14ac:dyDescent="0.25">
      <c r="A5092" t="str">
        <f t="shared" si="123"/>
        <v>89301000</v>
      </c>
      <c r="B5092" t="str">
        <f>"480317413"</f>
        <v>480317413</v>
      </c>
      <c r="C5092" s="1">
        <v>45208</v>
      </c>
      <c r="D5092" s="1">
        <v>45211</v>
      </c>
      <c r="E5092">
        <v>1</v>
      </c>
      <c r="F5092" t="str">
        <f>"07-M02-04"</f>
        <v>07-M02-04</v>
      </c>
      <c r="G5092">
        <v>0.77339999999999998</v>
      </c>
      <c r="H5092" t="s">
        <v>12</v>
      </c>
      <c r="I5092" t="s">
        <v>10</v>
      </c>
    </row>
    <row r="5093" spans="1:9" x14ac:dyDescent="0.25">
      <c r="A5093" t="str">
        <f t="shared" si="123"/>
        <v>89301000</v>
      </c>
      <c r="B5093" t="str">
        <f>"480318192"</f>
        <v>480318192</v>
      </c>
      <c r="C5093" s="1">
        <v>45192</v>
      </c>
      <c r="D5093" s="1">
        <v>45231</v>
      </c>
      <c r="E5093">
        <v>4</v>
      </c>
      <c r="F5093" t="str">
        <f>"06-I12-01"</f>
        <v>06-I12-01</v>
      </c>
      <c r="G5093">
        <v>5.8724999999999996</v>
      </c>
      <c r="H5093" t="s">
        <v>11</v>
      </c>
      <c r="I5093" t="s">
        <v>10</v>
      </c>
    </row>
    <row r="5094" spans="1:9" x14ac:dyDescent="0.25">
      <c r="A5094" t="str">
        <f t="shared" si="123"/>
        <v>89301000</v>
      </c>
      <c r="B5094" t="str">
        <f>"480318441"</f>
        <v>480318441</v>
      </c>
      <c r="C5094" s="1">
        <v>45150</v>
      </c>
      <c r="D5094" s="1">
        <v>45168</v>
      </c>
      <c r="E5094">
        <v>1</v>
      </c>
      <c r="F5094" t="str">
        <f>"05-I16-04"</f>
        <v>05-I16-04</v>
      </c>
      <c r="G5094">
        <v>6.2375999999999996</v>
      </c>
      <c r="H5094" t="s">
        <v>14</v>
      </c>
      <c r="I5094" t="s">
        <v>10</v>
      </c>
    </row>
    <row r="5095" spans="1:9" x14ac:dyDescent="0.25">
      <c r="A5095" t="str">
        <f t="shared" si="123"/>
        <v>89301000</v>
      </c>
      <c r="B5095" t="str">
        <f>"480327149"</f>
        <v>480327149</v>
      </c>
      <c r="C5095" s="1">
        <v>45264</v>
      </c>
      <c r="D5095" s="1">
        <v>45271</v>
      </c>
      <c r="E5095">
        <v>2</v>
      </c>
      <c r="F5095" t="str">
        <f>"08-I03-06"</f>
        <v>08-I03-06</v>
      </c>
      <c r="G5095">
        <v>2.9211999999999998</v>
      </c>
      <c r="H5095" t="s">
        <v>9</v>
      </c>
      <c r="I5095" t="s">
        <v>10</v>
      </c>
    </row>
    <row r="5096" spans="1:9" x14ac:dyDescent="0.25">
      <c r="A5096" t="str">
        <f t="shared" si="123"/>
        <v>89301000</v>
      </c>
      <c r="B5096" t="str">
        <f>"480328719"</f>
        <v>480328719</v>
      </c>
      <c r="C5096" s="1">
        <v>45153</v>
      </c>
      <c r="D5096" s="1">
        <v>45161</v>
      </c>
      <c r="E5096">
        <v>1</v>
      </c>
      <c r="F5096" t="str">
        <f>"09-K04-01"</f>
        <v>09-K04-01</v>
      </c>
      <c r="G5096">
        <v>0.80930000000000002</v>
      </c>
      <c r="H5096" t="s">
        <v>11</v>
      </c>
      <c r="I5096" t="s">
        <v>10</v>
      </c>
    </row>
    <row r="5097" spans="1:9" x14ac:dyDescent="0.25">
      <c r="A5097" t="str">
        <f t="shared" si="123"/>
        <v>89301000</v>
      </c>
      <c r="B5097" t="str">
        <f>"480331403"</f>
        <v>480331403</v>
      </c>
      <c r="C5097" s="1">
        <v>45184</v>
      </c>
      <c r="D5097" s="1">
        <v>45195</v>
      </c>
      <c r="E5097">
        <v>1</v>
      </c>
      <c r="F5097" t="str">
        <f>"04-I02-04"</f>
        <v>04-I02-04</v>
      </c>
      <c r="G5097">
        <v>3.4283999999999999</v>
      </c>
      <c r="H5097" t="s">
        <v>14</v>
      </c>
      <c r="I5097" t="s">
        <v>10</v>
      </c>
    </row>
    <row r="5098" spans="1:9" x14ac:dyDescent="0.25">
      <c r="A5098" t="str">
        <f t="shared" si="123"/>
        <v>89301000</v>
      </c>
      <c r="B5098" t="str">
        <f>"480331403"</f>
        <v>480331403</v>
      </c>
      <c r="C5098" s="1">
        <v>45068</v>
      </c>
      <c r="D5098" s="1">
        <v>45075</v>
      </c>
      <c r="E5098">
        <v>1</v>
      </c>
      <c r="F5098" t="str">
        <f>"11-K08-02"</f>
        <v>11-K08-02</v>
      </c>
      <c r="G5098">
        <v>0.50570000000000004</v>
      </c>
      <c r="H5098" t="s">
        <v>11</v>
      </c>
      <c r="I5098" t="s">
        <v>10</v>
      </c>
    </row>
    <row r="5099" spans="1:9" x14ac:dyDescent="0.25">
      <c r="A5099" t="str">
        <f t="shared" si="123"/>
        <v>89301000</v>
      </c>
      <c r="B5099" t="str">
        <f>"480331403"</f>
        <v>480331403</v>
      </c>
      <c r="C5099" s="1">
        <v>45027</v>
      </c>
      <c r="D5099" s="1">
        <v>45034</v>
      </c>
      <c r="E5099">
        <v>1</v>
      </c>
      <c r="F5099" t="str">
        <f>"11-K01-04"</f>
        <v>11-K01-04</v>
      </c>
      <c r="G5099">
        <v>0.57569999999999999</v>
      </c>
      <c r="H5099" t="s">
        <v>11</v>
      </c>
      <c r="I5099" t="s">
        <v>10</v>
      </c>
    </row>
    <row r="5100" spans="1:9" x14ac:dyDescent="0.25">
      <c r="A5100" t="str">
        <f t="shared" si="123"/>
        <v>89301000</v>
      </c>
      <c r="B5100" t="str">
        <f>"480413405"</f>
        <v>480413405</v>
      </c>
      <c r="C5100" s="1">
        <v>45201</v>
      </c>
      <c r="D5100" s="1">
        <v>45203</v>
      </c>
      <c r="E5100">
        <v>1</v>
      </c>
      <c r="F5100" t="str">
        <f>"11-M05-02"</f>
        <v>11-M05-02</v>
      </c>
      <c r="G5100">
        <v>0.6694</v>
      </c>
      <c r="H5100" t="s">
        <v>12</v>
      </c>
      <c r="I5100" t="s">
        <v>10</v>
      </c>
    </row>
    <row r="5101" spans="1:9" x14ac:dyDescent="0.25">
      <c r="A5101" t="str">
        <f t="shared" si="123"/>
        <v>89301000</v>
      </c>
      <c r="B5101" t="str">
        <f>"480413405"</f>
        <v>480413405</v>
      </c>
      <c r="C5101" s="1">
        <v>45257</v>
      </c>
      <c r="D5101" s="1">
        <v>45264</v>
      </c>
      <c r="E5101">
        <v>4</v>
      </c>
      <c r="F5101" t="str">
        <f>"08-I05-05"</f>
        <v>08-I05-05</v>
      </c>
      <c r="G5101">
        <v>2.2633000000000001</v>
      </c>
      <c r="H5101" t="s">
        <v>12</v>
      </c>
      <c r="I5101" t="s">
        <v>10</v>
      </c>
    </row>
    <row r="5102" spans="1:9" x14ac:dyDescent="0.25">
      <c r="A5102" t="str">
        <f t="shared" si="123"/>
        <v>89301000</v>
      </c>
      <c r="B5102" t="str">
        <f>"480416403"</f>
        <v>480416403</v>
      </c>
      <c r="C5102" s="1">
        <v>44979</v>
      </c>
      <c r="D5102" s="1">
        <v>44991</v>
      </c>
      <c r="E5102">
        <v>1</v>
      </c>
      <c r="F5102" t="str">
        <f>"04-K06-02"</f>
        <v>04-K06-02</v>
      </c>
      <c r="G5102">
        <v>1.0244</v>
      </c>
      <c r="H5102" t="s">
        <v>11</v>
      </c>
      <c r="I5102" t="s">
        <v>10</v>
      </c>
    </row>
    <row r="5103" spans="1:9" x14ac:dyDescent="0.25">
      <c r="A5103" t="str">
        <f t="shared" si="123"/>
        <v>89301000</v>
      </c>
      <c r="B5103" t="str">
        <f>"480416403"</f>
        <v>480416403</v>
      </c>
      <c r="C5103" s="1">
        <v>45088</v>
      </c>
      <c r="D5103" s="1">
        <v>45110</v>
      </c>
      <c r="E5103">
        <v>4</v>
      </c>
      <c r="F5103" t="str">
        <f>"04-K08-03"</f>
        <v>04-K08-03</v>
      </c>
      <c r="G5103">
        <v>1.946</v>
      </c>
      <c r="H5103" t="s">
        <v>11</v>
      </c>
      <c r="I5103" t="s">
        <v>10</v>
      </c>
    </row>
    <row r="5104" spans="1:9" x14ac:dyDescent="0.25">
      <c r="A5104" t="str">
        <f t="shared" si="123"/>
        <v>89301000</v>
      </c>
      <c r="B5104" t="str">
        <f>"480416403"</f>
        <v>480416403</v>
      </c>
      <c r="C5104" s="1">
        <v>45011</v>
      </c>
      <c r="D5104" s="1">
        <v>45020</v>
      </c>
      <c r="E5104">
        <v>1</v>
      </c>
      <c r="F5104" t="str">
        <f>"04-K06-03"</f>
        <v>04-K06-03</v>
      </c>
      <c r="G5104">
        <v>0.63190000000000002</v>
      </c>
      <c r="H5104" t="s">
        <v>11</v>
      </c>
      <c r="I5104" t="s">
        <v>10</v>
      </c>
    </row>
    <row r="5105" spans="1:9" x14ac:dyDescent="0.25">
      <c r="A5105" t="str">
        <f t="shared" si="123"/>
        <v>89301000</v>
      </c>
      <c r="B5105" t="str">
        <f>"480416403"</f>
        <v>480416403</v>
      </c>
      <c r="C5105" s="1">
        <v>45194</v>
      </c>
      <c r="D5105" s="1">
        <v>45195</v>
      </c>
      <c r="E5105">
        <v>1</v>
      </c>
      <c r="F5105" t="str">
        <f>"05-D01-08"</f>
        <v>05-D01-08</v>
      </c>
      <c r="G5105">
        <v>0.43159999999999998</v>
      </c>
      <c r="H5105" t="s">
        <v>11</v>
      </c>
      <c r="I5105" t="s">
        <v>10</v>
      </c>
    </row>
    <row r="5106" spans="1:9" x14ac:dyDescent="0.25">
      <c r="A5106" t="str">
        <f t="shared" si="123"/>
        <v>89301000</v>
      </c>
      <c r="B5106" t="str">
        <f>"480418201"</f>
        <v>480418201</v>
      </c>
      <c r="C5106" s="1">
        <v>45216</v>
      </c>
      <c r="D5106" s="1">
        <v>45219</v>
      </c>
      <c r="E5106">
        <v>1</v>
      </c>
      <c r="F5106" t="str">
        <f>"10-K02-01"</f>
        <v>10-K02-01</v>
      </c>
      <c r="G5106">
        <v>0.98089999999999999</v>
      </c>
      <c r="H5106" t="s">
        <v>11</v>
      </c>
      <c r="I5106" t="s">
        <v>10</v>
      </c>
    </row>
    <row r="5107" spans="1:9" x14ac:dyDescent="0.25">
      <c r="A5107" t="str">
        <f t="shared" si="123"/>
        <v>89301000</v>
      </c>
      <c r="B5107" t="str">
        <f>"480418201"</f>
        <v>480418201</v>
      </c>
      <c r="C5107" s="1">
        <v>45196</v>
      </c>
      <c r="D5107" s="1">
        <v>45205</v>
      </c>
      <c r="E5107">
        <v>1</v>
      </c>
      <c r="F5107" t="str">
        <f>"10-K02-01"</f>
        <v>10-K02-01</v>
      </c>
      <c r="G5107">
        <v>0.98089999999999999</v>
      </c>
      <c r="H5107" t="s">
        <v>11</v>
      </c>
      <c r="I5107" t="s">
        <v>10</v>
      </c>
    </row>
    <row r="5108" spans="1:9" x14ac:dyDescent="0.25">
      <c r="A5108" t="str">
        <f t="shared" si="123"/>
        <v>89301000</v>
      </c>
      <c r="B5108" t="str">
        <f>"480420408"</f>
        <v>480420408</v>
      </c>
      <c r="C5108" s="1">
        <v>45071</v>
      </c>
      <c r="D5108" s="1">
        <v>45079</v>
      </c>
      <c r="E5108">
        <v>1</v>
      </c>
      <c r="F5108" t="str">
        <f>"04-K06-03"</f>
        <v>04-K06-03</v>
      </c>
      <c r="G5108">
        <v>0.63190000000000002</v>
      </c>
      <c r="H5108" t="s">
        <v>11</v>
      </c>
      <c r="I5108" t="s">
        <v>10</v>
      </c>
    </row>
    <row r="5109" spans="1:9" x14ac:dyDescent="0.25">
      <c r="A5109" t="str">
        <f t="shared" si="123"/>
        <v>89301000</v>
      </c>
      <c r="B5109" t="str">
        <f>"480429448"</f>
        <v>480429448</v>
      </c>
      <c r="C5109" s="1">
        <v>44970</v>
      </c>
      <c r="D5109" s="1">
        <v>44978</v>
      </c>
      <c r="E5109">
        <v>1</v>
      </c>
      <c r="F5109" t="str">
        <f>"12-I03-01"</f>
        <v>12-I03-01</v>
      </c>
      <c r="G5109">
        <v>2.6934999999999998</v>
      </c>
      <c r="H5109" t="s">
        <v>9</v>
      </c>
      <c r="I5109" t="s">
        <v>10</v>
      </c>
    </row>
    <row r="5110" spans="1:9" x14ac:dyDescent="0.25">
      <c r="A5110" t="str">
        <f t="shared" si="123"/>
        <v>89301000</v>
      </c>
      <c r="B5110" t="str">
        <f>"480501417"</f>
        <v>480501417</v>
      </c>
      <c r="C5110" s="1">
        <v>45031</v>
      </c>
      <c r="D5110" s="1">
        <v>45035</v>
      </c>
      <c r="E5110">
        <v>1</v>
      </c>
      <c r="F5110" t="str">
        <f>"05-K07-05"</f>
        <v>05-K07-05</v>
      </c>
      <c r="G5110">
        <v>0.74719999999999998</v>
      </c>
      <c r="H5110" t="s">
        <v>11</v>
      </c>
      <c r="I5110" t="s">
        <v>10</v>
      </c>
    </row>
    <row r="5111" spans="1:9" x14ac:dyDescent="0.25">
      <c r="A5111" t="str">
        <f t="shared" si="123"/>
        <v>89301000</v>
      </c>
      <c r="B5111" t="str">
        <f>"480507478"</f>
        <v>480507478</v>
      </c>
      <c r="C5111" s="1">
        <v>44935</v>
      </c>
      <c r="D5111" s="1">
        <v>44937</v>
      </c>
      <c r="E5111">
        <v>1</v>
      </c>
      <c r="F5111" t="str">
        <f>"05-I14-03"</f>
        <v>05-I14-03</v>
      </c>
      <c r="G5111">
        <v>6.0362</v>
      </c>
      <c r="H5111" t="s">
        <v>12</v>
      </c>
      <c r="I5111" t="s">
        <v>10</v>
      </c>
    </row>
    <row r="5112" spans="1:9" x14ac:dyDescent="0.25">
      <c r="A5112" t="str">
        <f t="shared" si="123"/>
        <v>89301000</v>
      </c>
      <c r="B5112" t="str">
        <f>"480523403"</f>
        <v>480523403</v>
      </c>
      <c r="C5112" s="1">
        <v>45223</v>
      </c>
      <c r="D5112" s="1">
        <v>45236</v>
      </c>
      <c r="E5112">
        <v>4</v>
      </c>
      <c r="F5112" t="str">
        <f>"04-K06-03"</f>
        <v>04-K06-03</v>
      </c>
      <c r="G5112">
        <v>0.62519999999999998</v>
      </c>
      <c r="H5112" t="s">
        <v>11</v>
      </c>
      <c r="I5112" t="s">
        <v>10</v>
      </c>
    </row>
    <row r="5113" spans="1:9" x14ac:dyDescent="0.25">
      <c r="A5113" t="str">
        <f t="shared" si="123"/>
        <v>89301000</v>
      </c>
      <c r="B5113" t="str">
        <f>"480524431"</f>
        <v>480524431</v>
      </c>
      <c r="C5113" s="1">
        <v>45071</v>
      </c>
      <c r="D5113" s="1">
        <v>45073</v>
      </c>
      <c r="E5113">
        <v>1</v>
      </c>
      <c r="F5113" t="str">
        <f>"05-I14-03"</f>
        <v>05-I14-03</v>
      </c>
      <c r="G5113">
        <v>6.0362</v>
      </c>
      <c r="H5113" t="s">
        <v>12</v>
      </c>
      <c r="I5113" t="s">
        <v>10</v>
      </c>
    </row>
    <row r="5114" spans="1:9" x14ac:dyDescent="0.25">
      <c r="A5114" t="str">
        <f t="shared" si="123"/>
        <v>89301000</v>
      </c>
      <c r="B5114" t="str">
        <f>"480528401"</f>
        <v>480528401</v>
      </c>
      <c r="C5114" s="1">
        <v>45055</v>
      </c>
      <c r="D5114" s="1">
        <v>45084</v>
      </c>
      <c r="E5114">
        <v>5</v>
      </c>
      <c r="F5114" t="str">
        <f>"00-M02-01"</f>
        <v>00-M02-01</v>
      </c>
      <c r="G5114">
        <v>22.650099999999998</v>
      </c>
      <c r="H5114" t="s">
        <v>11</v>
      </c>
      <c r="I5114" t="s">
        <v>10</v>
      </c>
    </row>
    <row r="5115" spans="1:9" x14ac:dyDescent="0.25">
      <c r="A5115" t="str">
        <f t="shared" si="123"/>
        <v>89301000</v>
      </c>
      <c r="B5115" t="str">
        <f>"480528401"</f>
        <v>480528401</v>
      </c>
      <c r="C5115" s="1">
        <v>44978</v>
      </c>
      <c r="D5115" s="1">
        <v>44985</v>
      </c>
      <c r="E5115">
        <v>5</v>
      </c>
      <c r="F5115" t="str">
        <f>"05-K18-01"</f>
        <v>05-K18-01</v>
      </c>
      <c r="G5115">
        <v>1.6745000000000001</v>
      </c>
      <c r="H5115" t="s">
        <v>11</v>
      </c>
      <c r="I5115" t="s">
        <v>10</v>
      </c>
    </row>
    <row r="5116" spans="1:9" x14ac:dyDescent="0.25">
      <c r="A5116" t="str">
        <f t="shared" si="123"/>
        <v>89301000</v>
      </c>
      <c r="B5116" t="str">
        <f>"480528401"</f>
        <v>480528401</v>
      </c>
      <c r="C5116" s="1">
        <v>44936</v>
      </c>
      <c r="D5116" s="1">
        <v>44951</v>
      </c>
      <c r="E5116">
        <v>5</v>
      </c>
      <c r="F5116" t="str">
        <f>"05-I21-02"</f>
        <v>05-I21-02</v>
      </c>
      <c r="G5116">
        <v>3.6781000000000001</v>
      </c>
      <c r="H5116" t="s">
        <v>12</v>
      </c>
      <c r="I5116" t="s">
        <v>10</v>
      </c>
    </row>
    <row r="5117" spans="1:9" x14ac:dyDescent="0.25">
      <c r="A5117" t="str">
        <f t="shared" si="123"/>
        <v>89301000</v>
      </c>
      <c r="B5117" t="str">
        <f>"480601491"</f>
        <v>480601491</v>
      </c>
      <c r="C5117" s="1">
        <v>45043</v>
      </c>
      <c r="D5117" s="1">
        <v>45044</v>
      </c>
      <c r="E5117">
        <v>1</v>
      </c>
      <c r="F5117" t="str">
        <f>"07-M02-04"</f>
        <v>07-M02-04</v>
      </c>
      <c r="G5117">
        <v>0.60660000000000003</v>
      </c>
      <c r="H5117" t="s">
        <v>12</v>
      </c>
      <c r="I5117" t="s">
        <v>10</v>
      </c>
    </row>
    <row r="5118" spans="1:9" x14ac:dyDescent="0.25">
      <c r="A5118" t="str">
        <f t="shared" si="123"/>
        <v>89301000</v>
      </c>
      <c r="B5118" t="str">
        <f>"480601491"</f>
        <v>480601491</v>
      </c>
      <c r="C5118" s="1">
        <v>45145</v>
      </c>
      <c r="D5118" s="1">
        <v>45147</v>
      </c>
      <c r="E5118">
        <v>1</v>
      </c>
      <c r="F5118" t="str">
        <f>"10-K04-02"</f>
        <v>10-K04-02</v>
      </c>
      <c r="G5118">
        <v>1.6794</v>
      </c>
      <c r="H5118" t="s">
        <v>11</v>
      </c>
      <c r="I5118" t="s">
        <v>10</v>
      </c>
    </row>
    <row r="5119" spans="1:9" x14ac:dyDescent="0.25">
      <c r="A5119" t="str">
        <f t="shared" si="123"/>
        <v>89301000</v>
      </c>
      <c r="B5119" t="str">
        <f>"480603405"</f>
        <v>480603405</v>
      </c>
      <c r="C5119" s="1">
        <v>45047</v>
      </c>
      <c r="D5119" s="1">
        <v>45050</v>
      </c>
      <c r="E5119">
        <v>1</v>
      </c>
      <c r="F5119" t="str">
        <f>"07-I10-06"</f>
        <v>07-I10-06</v>
      </c>
      <c r="G5119">
        <v>0.98419999999999996</v>
      </c>
      <c r="H5119" t="s">
        <v>12</v>
      </c>
      <c r="I5119" t="s">
        <v>10</v>
      </c>
    </row>
    <row r="5120" spans="1:9" x14ac:dyDescent="0.25">
      <c r="A5120" t="str">
        <f t="shared" si="123"/>
        <v>89301000</v>
      </c>
      <c r="B5120" t="str">
        <f>"480607408"</f>
        <v>480607408</v>
      </c>
      <c r="C5120" s="1">
        <v>45132</v>
      </c>
      <c r="D5120" s="1">
        <v>45139</v>
      </c>
      <c r="E5120">
        <v>1</v>
      </c>
      <c r="F5120" t="str">
        <f>"11-K07-02"</f>
        <v>11-K07-02</v>
      </c>
      <c r="G5120">
        <v>0.57999999999999996</v>
      </c>
      <c r="H5120" t="s">
        <v>11</v>
      </c>
      <c r="I5120" t="s">
        <v>10</v>
      </c>
    </row>
    <row r="5121" spans="1:9" x14ac:dyDescent="0.25">
      <c r="A5121" t="str">
        <f t="shared" si="123"/>
        <v>89301000</v>
      </c>
      <c r="B5121" t="str">
        <f>"480607408"</f>
        <v>480607408</v>
      </c>
      <c r="C5121" s="1">
        <v>45077</v>
      </c>
      <c r="D5121" s="1">
        <v>45084</v>
      </c>
      <c r="E5121">
        <v>1</v>
      </c>
      <c r="F5121" t="str">
        <f>"11-K07-02"</f>
        <v>11-K07-02</v>
      </c>
      <c r="G5121">
        <v>0.57999999999999996</v>
      </c>
      <c r="H5121" t="s">
        <v>11</v>
      </c>
      <c r="I5121" t="s">
        <v>10</v>
      </c>
    </row>
    <row r="5122" spans="1:9" x14ac:dyDescent="0.25">
      <c r="A5122" t="str">
        <f t="shared" si="123"/>
        <v>89301000</v>
      </c>
      <c r="B5122" t="str">
        <f>"480607408"</f>
        <v>480607408</v>
      </c>
      <c r="C5122" s="1">
        <v>45114</v>
      </c>
      <c r="D5122" s="1">
        <v>45118</v>
      </c>
      <c r="E5122">
        <v>1</v>
      </c>
      <c r="F5122" t="str">
        <f>"11-K07-02"</f>
        <v>11-K07-02</v>
      </c>
      <c r="G5122">
        <v>0.57999999999999996</v>
      </c>
      <c r="H5122" t="s">
        <v>11</v>
      </c>
      <c r="I5122" t="s">
        <v>10</v>
      </c>
    </row>
    <row r="5123" spans="1:9" x14ac:dyDescent="0.25">
      <c r="A5123" t="str">
        <f t="shared" si="123"/>
        <v>89301000</v>
      </c>
      <c r="B5123" t="str">
        <f>"480610412"</f>
        <v>480610412</v>
      </c>
      <c r="C5123" s="1">
        <v>45026</v>
      </c>
      <c r="D5123" s="1">
        <v>45034</v>
      </c>
      <c r="E5123">
        <v>1</v>
      </c>
      <c r="F5123" t="str">
        <f>"08-K08-00"</f>
        <v>08-K08-00</v>
      </c>
      <c r="G5123">
        <v>0.5272</v>
      </c>
      <c r="H5123" t="s">
        <v>11</v>
      </c>
      <c r="I5123" t="s">
        <v>10</v>
      </c>
    </row>
    <row r="5124" spans="1:9" x14ac:dyDescent="0.25">
      <c r="A5124" t="str">
        <f t="shared" si="123"/>
        <v>89301000</v>
      </c>
      <c r="B5124" t="str">
        <f>"480613179"</f>
        <v>480613179</v>
      </c>
      <c r="C5124" s="1">
        <v>45172</v>
      </c>
      <c r="D5124" s="1">
        <v>45177</v>
      </c>
      <c r="E5124">
        <v>4</v>
      </c>
      <c r="F5124" t="str">
        <f>"08-I06-04"</f>
        <v>08-I06-04</v>
      </c>
      <c r="G5124">
        <v>2.3982000000000001</v>
      </c>
      <c r="H5124" t="s">
        <v>9</v>
      </c>
      <c r="I5124" t="s">
        <v>10</v>
      </c>
    </row>
    <row r="5125" spans="1:9" x14ac:dyDescent="0.25">
      <c r="A5125" t="str">
        <f t="shared" si="123"/>
        <v>89301000</v>
      </c>
      <c r="B5125" t="str">
        <f>"480614437"</f>
        <v>480614437</v>
      </c>
      <c r="C5125" s="1">
        <v>44966</v>
      </c>
      <c r="D5125" s="1">
        <v>44978</v>
      </c>
      <c r="E5125">
        <v>1</v>
      </c>
      <c r="F5125" t="str">
        <f>"01-I09-01"</f>
        <v>01-I09-01</v>
      </c>
      <c r="G5125">
        <v>2.3763999999999998</v>
      </c>
      <c r="H5125" t="s">
        <v>12</v>
      </c>
      <c r="I5125" t="s">
        <v>10</v>
      </c>
    </row>
    <row r="5126" spans="1:9" x14ac:dyDescent="0.25">
      <c r="A5126" t="str">
        <f t="shared" si="123"/>
        <v>89301000</v>
      </c>
      <c r="B5126" t="str">
        <f>"480616115"</f>
        <v>480616115</v>
      </c>
      <c r="C5126" s="1">
        <v>45180</v>
      </c>
      <c r="D5126" s="1">
        <v>45190</v>
      </c>
      <c r="E5126">
        <v>8</v>
      </c>
      <c r="F5126" t="str">
        <f>"05-K08-01"</f>
        <v>05-K08-01</v>
      </c>
      <c r="G5126">
        <v>4.9109999999999996</v>
      </c>
      <c r="H5126" t="s">
        <v>11</v>
      </c>
      <c r="I5126" t="s">
        <v>10</v>
      </c>
    </row>
    <row r="5127" spans="1:9" x14ac:dyDescent="0.25">
      <c r="A5127" t="str">
        <f t="shared" si="123"/>
        <v>89301000</v>
      </c>
      <c r="B5127" t="str">
        <f>"480623401"</f>
        <v>480623401</v>
      </c>
      <c r="C5127" s="1">
        <v>45079</v>
      </c>
      <c r="D5127" s="1">
        <v>45083</v>
      </c>
      <c r="E5127">
        <v>1</v>
      </c>
      <c r="F5127" t="str">
        <f>"01-K16-02"</f>
        <v>01-K16-02</v>
      </c>
      <c r="G5127">
        <v>1.0049999999999999</v>
      </c>
      <c r="H5127" t="s">
        <v>11</v>
      </c>
      <c r="I5127" t="s">
        <v>10</v>
      </c>
    </row>
    <row r="5128" spans="1:9" x14ac:dyDescent="0.25">
      <c r="A5128" t="str">
        <f t="shared" si="123"/>
        <v>89301000</v>
      </c>
      <c r="B5128" t="str">
        <f>"480624134"</f>
        <v>480624134</v>
      </c>
      <c r="C5128" s="1">
        <v>45238</v>
      </c>
      <c r="D5128" s="1">
        <v>45245</v>
      </c>
      <c r="E5128">
        <v>1</v>
      </c>
      <c r="F5128" t="str">
        <f>"08-K08-00"</f>
        <v>08-K08-00</v>
      </c>
      <c r="G5128">
        <v>0.5272</v>
      </c>
      <c r="H5128" t="s">
        <v>11</v>
      </c>
      <c r="I5128" t="s">
        <v>10</v>
      </c>
    </row>
    <row r="5129" spans="1:9" x14ac:dyDescent="0.25">
      <c r="A5129" t="str">
        <f t="shared" si="123"/>
        <v>89301000</v>
      </c>
      <c r="B5129" t="str">
        <f>"480624432"</f>
        <v>480624432</v>
      </c>
      <c r="C5129" s="1">
        <v>45188</v>
      </c>
      <c r="D5129" s="1">
        <v>45191</v>
      </c>
      <c r="E5129">
        <v>1</v>
      </c>
      <c r="F5129" t="str">
        <f>"05-M05-02"</f>
        <v>05-M05-02</v>
      </c>
      <c r="G5129">
        <v>3.5567000000000002</v>
      </c>
      <c r="H5129" t="s">
        <v>14</v>
      </c>
      <c r="I5129" t="s">
        <v>10</v>
      </c>
    </row>
    <row r="5130" spans="1:9" x14ac:dyDescent="0.25">
      <c r="A5130" t="str">
        <f t="shared" si="123"/>
        <v>89301000</v>
      </c>
      <c r="B5130" t="str">
        <f>"480626409"</f>
        <v>480626409</v>
      </c>
      <c r="C5130" s="1">
        <v>44980</v>
      </c>
      <c r="D5130" s="1">
        <v>44986</v>
      </c>
      <c r="E5130">
        <v>1</v>
      </c>
      <c r="F5130" t="str">
        <f>"01-C02-02"</f>
        <v>01-C02-02</v>
      </c>
      <c r="G5130">
        <v>1.6685000000000001</v>
      </c>
      <c r="H5130" t="s">
        <v>11</v>
      </c>
      <c r="I5130" t="s">
        <v>10</v>
      </c>
    </row>
    <row r="5131" spans="1:9" x14ac:dyDescent="0.25">
      <c r="A5131" t="str">
        <f t="shared" si="123"/>
        <v>89301000</v>
      </c>
      <c r="B5131" t="str">
        <f>"480705167"</f>
        <v>480705167</v>
      </c>
      <c r="C5131" s="1">
        <v>45070</v>
      </c>
      <c r="D5131" s="1">
        <v>45075</v>
      </c>
      <c r="E5131">
        <v>1</v>
      </c>
      <c r="F5131" t="str">
        <f>"05-M01-01"</f>
        <v>05-M01-01</v>
      </c>
      <c r="G5131">
        <v>14.674200000000001</v>
      </c>
      <c r="H5131" t="s">
        <v>12</v>
      </c>
      <c r="I5131" t="s">
        <v>10</v>
      </c>
    </row>
    <row r="5132" spans="1:9" x14ac:dyDescent="0.25">
      <c r="A5132" t="str">
        <f t="shared" si="123"/>
        <v>89301000</v>
      </c>
      <c r="B5132" t="str">
        <f>"480707412"</f>
        <v>480707412</v>
      </c>
      <c r="C5132" s="1">
        <v>45209</v>
      </c>
      <c r="D5132" s="1">
        <v>45217</v>
      </c>
      <c r="E5132">
        <v>6</v>
      </c>
      <c r="F5132" t="str">
        <f>"05-I18-04"</f>
        <v>05-I18-04</v>
      </c>
      <c r="G5132">
        <v>3.3858000000000001</v>
      </c>
      <c r="H5132" t="s">
        <v>12</v>
      </c>
      <c r="I5132" t="s">
        <v>10</v>
      </c>
    </row>
    <row r="5133" spans="1:9" x14ac:dyDescent="0.25">
      <c r="A5133" t="str">
        <f t="shared" si="123"/>
        <v>89301000</v>
      </c>
      <c r="B5133" t="str">
        <f>"480712403"</f>
        <v>480712403</v>
      </c>
      <c r="C5133" s="1">
        <v>45048</v>
      </c>
      <c r="D5133" s="1">
        <v>45050</v>
      </c>
      <c r="E5133">
        <v>1</v>
      </c>
      <c r="F5133" t="str">
        <f>"05-M05-02"</f>
        <v>05-M05-02</v>
      </c>
      <c r="G5133">
        <v>3.4817999999999998</v>
      </c>
      <c r="H5133" t="s">
        <v>14</v>
      </c>
      <c r="I5133" t="s">
        <v>10</v>
      </c>
    </row>
    <row r="5134" spans="1:9" x14ac:dyDescent="0.25">
      <c r="A5134" t="str">
        <f t="shared" si="123"/>
        <v>89301000</v>
      </c>
      <c r="B5134" t="str">
        <f>"480712403"</f>
        <v>480712403</v>
      </c>
      <c r="C5134" s="1">
        <v>45258</v>
      </c>
      <c r="D5134" s="1">
        <v>45260</v>
      </c>
      <c r="E5134">
        <v>1</v>
      </c>
      <c r="F5134" t="str">
        <f>"11-M06-03"</f>
        <v>11-M06-03</v>
      </c>
      <c r="G5134">
        <v>0.62009999999999998</v>
      </c>
      <c r="H5134" t="s">
        <v>12</v>
      </c>
      <c r="I5134" t="s">
        <v>10</v>
      </c>
    </row>
    <row r="5135" spans="1:9" x14ac:dyDescent="0.25">
      <c r="A5135" t="str">
        <f t="shared" si="123"/>
        <v>89301000</v>
      </c>
      <c r="B5135" t="str">
        <f>"480721403"</f>
        <v>480721403</v>
      </c>
      <c r="C5135" s="1">
        <v>45019</v>
      </c>
      <c r="D5135" s="1">
        <v>45036</v>
      </c>
      <c r="E5135">
        <v>1</v>
      </c>
      <c r="F5135" t="str">
        <f>"07-K02-02"</f>
        <v>07-K02-02</v>
      </c>
      <c r="G5135">
        <v>1.4499</v>
      </c>
      <c r="H5135" t="s">
        <v>11</v>
      </c>
      <c r="I5135" t="s">
        <v>10</v>
      </c>
    </row>
    <row r="5136" spans="1:9" x14ac:dyDescent="0.25">
      <c r="A5136" t="str">
        <f t="shared" si="123"/>
        <v>89301000</v>
      </c>
      <c r="B5136" t="str">
        <f>"480801415"</f>
        <v>480801415</v>
      </c>
      <c r="C5136" s="1">
        <v>45032</v>
      </c>
      <c r="D5136" s="1">
        <v>45042</v>
      </c>
      <c r="E5136">
        <v>1</v>
      </c>
      <c r="F5136" t="str">
        <f>"05-K07-04"</f>
        <v>05-K07-04</v>
      </c>
      <c r="G5136">
        <v>1.0598000000000001</v>
      </c>
      <c r="H5136" t="s">
        <v>11</v>
      </c>
      <c r="I5136" t="s">
        <v>10</v>
      </c>
    </row>
    <row r="5137" spans="1:9" x14ac:dyDescent="0.25">
      <c r="A5137" t="str">
        <f t="shared" si="123"/>
        <v>89301000</v>
      </c>
      <c r="B5137" t="str">
        <f>"480801415"</f>
        <v>480801415</v>
      </c>
      <c r="C5137" s="1">
        <v>45204</v>
      </c>
      <c r="D5137" s="1">
        <v>45210</v>
      </c>
      <c r="E5137">
        <v>1</v>
      </c>
      <c r="F5137" t="str">
        <f>"05-K07-04"</f>
        <v>05-K07-04</v>
      </c>
      <c r="G5137">
        <v>1.0598000000000001</v>
      </c>
      <c r="H5137" t="s">
        <v>11</v>
      </c>
      <c r="I5137" t="s">
        <v>10</v>
      </c>
    </row>
    <row r="5138" spans="1:9" x14ac:dyDescent="0.25">
      <c r="A5138" t="str">
        <f t="shared" ref="A5138:A5201" si="124">"89301000"</f>
        <v>89301000</v>
      </c>
      <c r="B5138" t="str">
        <f>"480801415"</f>
        <v>480801415</v>
      </c>
      <c r="C5138" s="1">
        <v>45071</v>
      </c>
      <c r="D5138" s="1">
        <v>45099</v>
      </c>
      <c r="E5138">
        <v>4</v>
      </c>
      <c r="F5138" t="str">
        <f>"05-K07-04"</f>
        <v>05-K07-04</v>
      </c>
      <c r="G5138">
        <v>1.6957</v>
      </c>
      <c r="H5138" t="s">
        <v>11</v>
      </c>
      <c r="I5138" t="s">
        <v>10</v>
      </c>
    </row>
    <row r="5139" spans="1:9" x14ac:dyDescent="0.25">
      <c r="A5139" t="str">
        <f t="shared" si="124"/>
        <v>89301000</v>
      </c>
      <c r="B5139" t="str">
        <f>"480804115"</f>
        <v>480804115</v>
      </c>
      <c r="C5139" s="1">
        <v>45034</v>
      </c>
      <c r="D5139" s="1">
        <v>45043</v>
      </c>
      <c r="E5139">
        <v>5</v>
      </c>
      <c r="F5139" t="str">
        <f>"11-I04-02"</f>
        <v>11-I04-02</v>
      </c>
      <c r="G5139">
        <v>2.6577999999999999</v>
      </c>
      <c r="H5139" t="s">
        <v>9</v>
      </c>
      <c r="I5139" t="s">
        <v>10</v>
      </c>
    </row>
    <row r="5140" spans="1:9" x14ac:dyDescent="0.25">
      <c r="A5140" t="str">
        <f t="shared" si="124"/>
        <v>89301000</v>
      </c>
      <c r="B5140" t="str">
        <f>"480810408"</f>
        <v>480810408</v>
      </c>
      <c r="C5140" s="1">
        <v>45016</v>
      </c>
      <c r="D5140" s="1">
        <v>45026</v>
      </c>
      <c r="E5140">
        <v>1</v>
      </c>
      <c r="F5140" t="str">
        <f>"12-I03-01"</f>
        <v>12-I03-01</v>
      </c>
      <c r="G5140">
        <v>3.1211000000000002</v>
      </c>
      <c r="H5140" t="s">
        <v>9</v>
      </c>
      <c r="I5140" t="s">
        <v>10</v>
      </c>
    </row>
    <row r="5141" spans="1:9" x14ac:dyDescent="0.25">
      <c r="A5141" t="str">
        <f t="shared" si="124"/>
        <v>89301000</v>
      </c>
      <c r="B5141" t="str">
        <f>"480810409"</f>
        <v>480810409</v>
      </c>
      <c r="C5141" s="1">
        <v>45161</v>
      </c>
      <c r="D5141" s="1">
        <v>45162</v>
      </c>
      <c r="E5141">
        <v>1</v>
      </c>
      <c r="F5141" t="str">
        <f>"02-I13-02"</f>
        <v>02-I13-02</v>
      </c>
      <c r="G5141">
        <v>0.4259</v>
      </c>
      <c r="H5141" t="s">
        <v>11</v>
      </c>
      <c r="I5141" t="s">
        <v>10</v>
      </c>
    </row>
    <row r="5142" spans="1:9" x14ac:dyDescent="0.25">
      <c r="A5142" t="str">
        <f t="shared" si="124"/>
        <v>89301000</v>
      </c>
      <c r="B5142" t="str">
        <f>"480819418"</f>
        <v>480819418</v>
      </c>
      <c r="C5142" s="1">
        <v>44994</v>
      </c>
      <c r="D5142" s="1">
        <v>44997</v>
      </c>
      <c r="E5142">
        <v>5</v>
      </c>
      <c r="F5142" t="str">
        <f>"05-M07-06"</f>
        <v>05-M07-06</v>
      </c>
      <c r="G5142">
        <v>1.2264999999999999</v>
      </c>
      <c r="H5142" t="s">
        <v>12</v>
      </c>
      <c r="I5142" t="s">
        <v>10</v>
      </c>
    </row>
    <row r="5143" spans="1:9" x14ac:dyDescent="0.25">
      <c r="A5143" t="str">
        <f t="shared" si="124"/>
        <v>89301000</v>
      </c>
      <c r="B5143" t="str">
        <f>"480831422"</f>
        <v>480831422</v>
      </c>
      <c r="C5143" s="1">
        <v>45183</v>
      </c>
      <c r="D5143" s="1">
        <v>45188</v>
      </c>
      <c r="E5143">
        <v>1</v>
      </c>
      <c r="F5143" t="str">
        <f>"17-K08-00"</f>
        <v>17-K08-00</v>
      </c>
      <c r="G5143">
        <v>0.67849999999999999</v>
      </c>
      <c r="H5143" t="s">
        <v>11</v>
      </c>
      <c r="I5143" t="s">
        <v>10</v>
      </c>
    </row>
    <row r="5144" spans="1:9" x14ac:dyDescent="0.25">
      <c r="A5144" t="str">
        <f t="shared" si="124"/>
        <v>89301000</v>
      </c>
      <c r="B5144" t="str">
        <f>"4808740519"</f>
        <v>4808740519</v>
      </c>
      <c r="C5144" s="1">
        <v>45064</v>
      </c>
      <c r="D5144" s="1">
        <v>45067</v>
      </c>
      <c r="E5144">
        <v>1</v>
      </c>
      <c r="F5144" t="str">
        <f>"07-I10-06"</f>
        <v>07-I10-06</v>
      </c>
      <c r="G5144">
        <v>0.98419999999999996</v>
      </c>
      <c r="H5144" t="s">
        <v>12</v>
      </c>
      <c r="I5144" t="s">
        <v>10</v>
      </c>
    </row>
    <row r="5145" spans="1:9" x14ac:dyDescent="0.25">
      <c r="A5145" t="str">
        <f t="shared" si="124"/>
        <v>89301000</v>
      </c>
      <c r="B5145" t="str">
        <f>"4808740519"</f>
        <v>4808740519</v>
      </c>
      <c r="C5145" s="1">
        <v>45005</v>
      </c>
      <c r="D5145" s="1">
        <v>45012</v>
      </c>
      <c r="E5145">
        <v>1</v>
      </c>
      <c r="F5145" t="str">
        <f>"07-M02-04"</f>
        <v>07-M02-04</v>
      </c>
      <c r="G5145">
        <v>0.77339999999999998</v>
      </c>
      <c r="H5145" t="s">
        <v>12</v>
      </c>
      <c r="I5145" t="s">
        <v>10</v>
      </c>
    </row>
    <row r="5146" spans="1:9" x14ac:dyDescent="0.25">
      <c r="A5146" t="str">
        <f t="shared" si="124"/>
        <v>89301000</v>
      </c>
      <c r="B5146" t="str">
        <f>"480909153"</f>
        <v>480909153</v>
      </c>
      <c r="C5146" s="1">
        <v>45240</v>
      </c>
      <c r="D5146" s="1">
        <v>45241</v>
      </c>
      <c r="E5146">
        <v>1</v>
      </c>
      <c r="F5146" t="str">
        <f>"12-I14-00"</f>
        <v>12-I14-00</v>
      </c>
      <c r="G5146">
        <v>0.42920000000000003</v>
      </c>
      <c r="H5146" t="s">
        <v>11</v>
      </c>
      <c r="I5146" t="s">
        <v>10</v>
      </c>
    </row>
    <row r="5147" spans="1:9" x14ac:dyDescent="0.25">
      <c r="A5147" t="str">
        <f t="shared" si="124"/>
        <v>89301000</v>
      </c>
      <c r="B5147" t="str">
        <f>"480911094"</f>
        <v>480911094</v>
      </c>
      <c r="C5147" s="1">
        <v>45029</v>
      </c>
      <c r="D5147" s="1">
        <v>45037</v>
      </c>
      <c r="E5147">
        <v>1</v>
      </c>
      <c r="F5147" t="str">
        <f>"11-K07-01"</f>
        <v>11-K07-01</v>
      </c>
      <c r="G5147">
        <v>1.034</v>
      </c>
      <c r="H5147" t="s">
        <v>11</v>
      </c>
      <c r="I5147" t="s">
        <v>10</v>
      </c>
    </row>
    <row r="5148" spans="1:9" x14ac:dyDescent="0.25">
      <c r="A5148" t="str">
        <f t="shared" si="124"/>
        <v>89301000</v>
      </c>
      <c r="B5148" t="str">
        <f>"480911094"</f>
        <v>480911094</v>
      </c>
      <c r="C5148" s="1">
        <v>45065</v>
      </c>
      <c r="D5148" s="1">
        <v>45070</v>
      </c>
      <c r="E5148">
        <v>1</v>
      </c>
      <c r="F5148" t="str">
        <f>"11-K07-01"</f>
        <v>11-K07-01</v>
      </c>
      <c r="G5148">
        <v>1.1374</v>
      </c>
      <c r="H5148" t="s">
        <v>11</v>
      </c>
      <c r="I5148" t="s">
        <v>10</v>
      </c>
    </row>
    <row r="5149" spans="1:9" x14ac:dyDescent="0.25">
      <c r="A5149" t="str">
        <f t="shared" si="124"/>
        <v>89301000</v>
      </c>
      <c r="B5149" t="str">
        <f>"480911094"</f>
        <v>480911094</v>
      </c>
      <c r="C5149" s="1">
        <v>45170</v>
      </c>
      <c r="D5149" s="1">
        <v>45175</v>
      </c>
      <c r="E5149">
        <v>1</v>
      </c>
      <c r="F5149" t="str">
        <f>"11-K07-01"</f>
        <v>11-K07-01</v>
      </c>
      <c r="G5149">
        <v>1.034</v>
      </c>
      <c r="H5149" t="s">
        <v>11</v>
      </c>
      <c r="I5149" t="s">
        <v>10</v>
      </c>
    </row>
    <row r="5150" spans="1:9" x14ac:dyDescent="0.25">
      <c r="A5150" t="str">
        <f t="shared" si="124"/>
        <v>89301000</v>
      </c>
      <c r="B5150" t="str">
        <f>"480911193"</f>
        <v>480911193</v>
      </c>
      <c r="C5150" s="1">
        <v>45041</v>
      </c>
      <c r="D5150" s="1">
        <v>45043</v>
      </c>
      <c r="E5150">
        <v>1</v>
      </c>
      <c r="F5150" t="str">
        <f>"09-K07-02"</f>
        <v>09-K07-02</v>
      </c>
      <c r="G5150">
        <v>0.47970000000000002</v>
      </c>
      <c r="H5150" t="s">
        <v>11</v>
      </c>
      <c r="I5150" t="s">
        <v>10</v>
      </c>
    </row>
    <row r="5151" spans="1:9" x14ac:dyDescent="0.25">
      <c r="A5151" t="str">
        <f t="shared" si="124"/>
        <v>89301000</v>
      </c>
      <c r="B5151" t="str">
        <f>"480911193"</f>
        <v>480911193</v>
      </c>
      <c r="C5151" s="1">
        <v>45063</v>
      </c>
      <c r="D5151" s="1">
        <v>45065</v>
      </c>
      <c r="E5151">
        <v>1</v>
      </c>
      <c r="F5151" t="str">
        <f>"06-K15-01"</f>
        <v>06-K15-01</v>
      </c>
      <c r="G5151">
        <v>0.60450000000000004</v>
      </c>
      <c r="H5151" t="s">
        <v>11</v>
      </c>
      <c r="I5151" t="s">
        <v>10</v>
      </c>
    </row>
    <row r="5152" spans="1:9" x14ac:dyDescent="0.25">
      <c r="A5152" t="str">
        <f t="shared" si="124"/>
        <v>89301000</v>
      </c>
      <c r="B5152" t="str">
        <f>"480912196"</f>
        <v>480912196</v>
      </c>
      <c r="C5152" s="1">
        <v>44934</v>
      </c>
      <c r="D5152" s="1">
        <v>44935</v>
      </c>
      <c r="E5152">
        <v>1</v>
      </c>
      <c r="F5152" t="str">
        <f>"05-K01-03"</f>
        <v>05-K01-03</v>
      </c>
      <c r="G5152">
        <v>0.72089999999999999</v>
      </c>
      <c r="H5152" t="s">
        <v>11</v>
      </c>
      <c r="I5152" t="s">
        <v>10</v>
      </c>
    </row>
    <row r="5153" spans="1:9" x14ac:dyDescent="0.25">
      <c r="A5153" t="str">
        <f t="shared" si="124"/>
        <v>89301000</v>
      </c>
      <c r="B5153" t="str">
        <f>"480915181"</f>
        <v>480915181</v>
      </c>
      <c r="C5153" s="1">
        <v>45271</v>
      </c>
      <c r="D5153" s="1">
        <v>45275</v>
      </c>
      <c r="E5153">
        <v>1</v>
      </c>
      <c r="F5153" t="str">
        <f>"03-I11-03"</f>
        <v>03-I11-03</v>
      </c>
      <c r="G5153">
        <v>1.1267</v>
      </c>
      <c r="H5153" t="s">
        <v>12</v>
      </c>
      <c r="I5153" t="s">
        <v>10</v>
      </c>
    </row>
    <row r="5154" spans="1:9" x14ac:dyDescent="0.25">
      <c r="A5154" t="str">
        <f t="shared" si="124"/>
        <v>89301000</v>
      </c>
      <c r="B5154" t="str">
        <f>"480916412"</f>
        <v>480916412</v>
      </c>
      <c r="C5154" s="1">
        <v>45265</v>
      </c>
      <c r="D5154" s="1">
        <v>45282</v>
      </c>
      <c r="E5154">
        <v>1</v>
      </c>
      <c r="F5154" t="str">
        <f>"04-R02-03"</f>
        <v>04-R02-03</v>
      </c>
      <c r="G5154">
        <v>3.2854000000000001</v>
      </c>
      <c r="H5154" t="s">
        <v>11</v>
      </c>
      <c r="I5154" t="s">
        <v>10</v>
      </c>
    </row>
    <row r="5155" spans="1:9" x14ac:dyDescent="0.25">
      <c r="A5155" t="str">
        <f t="shared" si="124"/>
        <v>89301000</v>
      </c>
      <c r="B5155" t="str">
        <f>"480916412"</f>
        <v>480916412</v>
      </c>
      <c r="C5155" s="1">
        <v>45194</v>
      </c>
      <c r="D5155" s="1">
        <v>45198</v>
      </c>
      <c r="E5155">
        <v>1</v>
      </c>
      <c r="F5155" t="str">
        <f>"04-K09-02"</f>
        <v>04-K09-02</v>
      </c>
      <c r="G5155">
        <v>1.155</v>
      </c>
      <c r="H5155" t="s">
        <v>11</v>
      </c>
      <c r="I5155" t="s">
        <v>10</v>
      </c>
    </row>
    <row r="5156" spans="1:9" x14ac:dyDescent="0.25">
      <c r="A5156" t="str">
        <f t="shared" si="124"/>
        <v>89301000</v>
      </c>
      <c r="B5156" t="str">
        <f>"480916412"</f>
        <v>480916412</v>
      </c>
      <c r="C5156" s="1">
        <v>45287</v>
      </c>
      <c r="D5156" s="1">
        <v>45289</v>
      </c>
      <c r="E5156">
        <v>1</v>
      </c>
      <c r="F5156" t="str">
        <f>"04-R02-08"</f>
        <v>04-R02-08</v>
      </c>
      <c r="G5156">
        <v>1.054</v>
      </c>
      <c r="H5156" t="s">
        <v>11</v>
      </c>
      <c r="I5156" t="s">
        <v>10</v>
      </c>
    </row>
    <row r="5157" spans="1:9" x14ac:dyDescent="0.25">
      <c r="A5157" t="str">
        <f t="shared" si="124"/>
        <v>89301000</v>
      </c>
      <c r="B5157" t="str">
        <f>"481002095"</f>
        <v>481002095</v>
      </c>
      <c r="C5157" s="1">
        <v>44935</v>
      </c>
      <c r="D5157" s="1">
        <v>44948</v>
      </c>
      <c r="E5157">
        <v>1</v>
      </c>
      <c r="F5157" t="str">
        <f>"05-I16-06"</f>
        <v>05-I16-06</v>
      </c>
      <c r="G5157">
        <v>5.6303000000000001</v>
      </c>
      <c r="H5157" t="s">
        <v>14</v>
      </c>
      <c r="I5157" t="s">
        <v>10</v>
      </c>
    </row>
    <row r="5158" spans="1:9" x14ac:dyDescent="0.25">
      <c r="A5158" t="str">
        <f t="shared" si="124"/>
        <v>89301000</v>
      </c>
      <c r="B5158" t="str">
        <f>"481003183"</f>
        <v>481003183</v>
      </c>
      <c r="C5158" s="1">
        <v>45050</v>
      </c>
      <c r="D5158" s="1">
        <v>45054</v>
      </c>
      <c r="E5158">
        <v>1</v>
      </c>
      <c r="F5158" t="str">
        <f>"05-M06-08"</f>
        <v>05-M06-08</v>
      </c>
      <c r="G5158">
        <v>1.4228000000000001</v>
      </c>
      <c r="H5158" t="s">
        <v>12</v>
      </c>
      <c r="I5158" t="s">
        <v>10</v>
      </c>
    </row>
    <row r="5159" spans="1:9" x14ac:dyDescent="0.25">
      <c r="A5159" t="str">
        <f t="shared" si="124"/>
        <v>89301000</v>
      </c>
      <c r="B5159" t="str">
        <f>"481004425"</f>
        <v>481004425</v>
      </c>
      <c r="C5159" s="1">
        <v>45204</v>
      </c>
      <c r="D5159" s="1">
        <v>45205</v>
      </c>
      <c r="E5159">
        <v>1</v>
      </c>
      <c r="F5159" t="str">
        <f>"05-D01-08"</f>
        <v>05-D01-08</v>
      </c>
      <c r="G5159">
        <v>0.43159999999999998</v>
      </c>
      <c r="H5159" t="s">
        <v>11</v>
      </c>
      <c r="I5159" t="s">
        <v>10</v>
      </c>
    </row>
    <row r="5160" spans="1:9" x14ac:dyDescent="0.25">
      <c r="A5160" t="str">
        <f t="shared" si="124"/>
        <v>89301000</v>
      </c>
      <c r="B5160" t="str">
        <f>"481004425"</f>
        <v>481004425</v>
      </c>
      <c r="C5160" s="1">
        <v>45257</v>
      </c>
      <c r="D5160" s="1">
        <v>45265</v>
      </c>
      <c r="E5160">
        <v>4</v>
      </c>
      <c r="F5160" t="str">
        <f>"05-I12-03"</f>
        <v>05-I12-03</v>
      </c>
      <c r="G5160">
        <v>6.7502000000000004</v>
      </c>
      <c r="H5160" t="s">
        <v>14</v>
      </c>
      <c r="I5160" t="s">
        <v>10</v>
      </c>
    </row>
    <row r="5161" spans="1:9" x14ac:dyDescent="0.25">
      <c r="A5161" t="str">
        <f t="shared" si="124"/>
        <v>89301000</v>
      </c>
      <c r="B5161" t="str">
        <f>"481007231"</f>
        <v>481007231</v>
      </c>
      <c r="C5161" s="1">
        <v>45169</v>
      </c>
      <c r="D5161" s="1">
        <v>45203</v>
      </c>
      <c r="E5161">
        <v>1</v>
      </c>
      <c r="F5161" t="str">
        <f>"08-I12-02"</f>
        <v>08-I12-02</v>
      </c>
      <c r="G5161">
        <v>2.8765999999999998</v>
      </c>
      <c r="H5161" t="s">
        <v>11</v>
      </c>
      <c r="I5161" t="s">
        <v>10</v>
      </c>
    </row>
    <row r="5162" spans="1:9" x14ac:dyDescent="0.25">
      <c r="A5162" t="str">
        <f t="shared" si="124"/>
        <v>89301000</v>
      </c>
      <c r="B5162" t="str">
        <f>"481007231"</f>
        <v>481007231</v>
      </c>
      <c r="C5162" s="1">
        <v>44998</v>
      </c>
      <c r="D5162" s="1">
        <v>45062</v>
      </c>
      <c r="E5162">
        <v>1</v>
      </c>
      <c r="F5162" t="str">
        <f>"08-I23-01"</f>
        <v>08-I23-01</v>
      </c>
      <c r="G5162">
        <v>7.3861999999999997</v>
      </c>
      <c r="H5162" t="s">
        <v>12</v>
      </c>
      <c r="I5162" t="s">
        <v>10</v>
      </c>
    </row>
    <row r="5163" spans="1:9" x14ac:dyDescent="0.25">
      <c r="A5163" t="str">
        <f t="shared" si="124"/>
        <v>89301000</v>
      </c>
      <c r="B5163" t="str">
        <f>"481010457"</f>
        <v>481010457</v>
      </c>
      <c r="C5163" s="1">
        <v>45093</v>
      </c>
      <c r="D5163" s="1">
        <v>45096</v>
      </c>
      <c r="E5163">
        <v>1</v>
      </c>
      <c r="F5163" t="str">
        <f>"01-D01-03"</f>
        <v>01-D01-03</v>
      </c>
      <c r="G5163">
        <v>0.21060000000000001</v>
      </c>
      <c r="H5163" t="s">
        <v>11</v>
      </c>
      <c r="I5163" t="s">
        <v>10</v>
      </c>
    </row>
    <row r="5164" spans="1:9" x14ac:dyDescent="0.25">
      <c r="A5164" t="str">
        <f t="shared" si="124"/>
        <v>89301000</v>
      </c>
      <c r="B5164" t="str">
        <f>"481010457"</f>
        <v>481010457</v>
      </c>
      <c r="C5164" s="1">
        <v>45012</v>
      </c>
      <c r="D5164" s="1">
        <v>45013</v>
      </c>
      <c r="E5164">
        <v>1</v>
      </c>
      <c r="F5164" t="str">
        <f>"01-D01-03"</f>
        <v>01-D01-03</v>
      </c>
      <c r="G5164">
        <v>0.16200000000000001</v>
      </c>
      <c r="H5164" t="s">
        <v>11</v>
      </c>
      <c r="I5164" t="s">
        <v>10</v>
      </c>
    </row>
    <row r="5165" spans="1:9" x14ac:dyDescent="0.25">
      <c r="A5165" t="str">
        <f t="shared" si="124"/>
        <v>89301000</v>
      </c>
      <c r="B5165" t="str">
        <f>"481014954"</f>
        <v>481014954</v>
      </c>
      <c r="C5165" s="1">
        <v>44930</v>
      </c>
      <c r="D5165" s="1">
        <v>44932</v>
      </c>
      <c r="E5165">
        <v>1</v>
      </c>
      <c r="F5165" t="str">
        <f>"11-M07-01"</f>
        <v>11-M07-01</v>
      </c>
      <c r="G5165">
        <v>0.93930000000000002</v>
      </c>
      <c r="H5165" t="s">
        <v>12</v>
      </c>
      <c r="I5165" t="s">
        <v>10</v>
      </c>
    </row>
    <row r="5166" spans="1:9" x14ac:dyDescent="0.25">
      <c r="A5166" t="str">
        <f t="shared" si="124"/>
        <v>89301000</v>
      </c>
      <c r="B5166" t="str">
        <f>"481021191"</f>
        <v>481021191</v>
      </c>
      <c r="C5166" s="1">
        <v>45011</v>
      </c>
      <c r="D5166" s="1">
        <v>45024</v>
      </c>
      <c r="E5166">
        <v>5</v>
      </c>
      <c r="F5166" t="str">
        <f>"07-I01-02"</f>
        <v>07-I01-02</v>
      </c>
      <c r="G5166">
        <v>5.4336000000000002</v>
      </c>
      <c r="H5166" t="s">
        <v>14</v>
      </c>
      <c r="I5166" t="s">
        <v>10</v>
      </c>
    </row>
    <row r="5167" spans="1:9" x14ac:dyDescent="0.25">
      <c r="A5167" t="str">
        <f t="shared" si="124"/>
        <v>89301000</v>
      </c>
      <c r="B5167" t="str">
        <f>"481023434"</f>
        <v>481023434</v>
      </c>
      <c r="C5167" s="1">
        <v>45166</v>
      </c>
      <c r="D5167" s="1">
        <v>45172</v>
      </c>
      <c r="E5167">
        <v>1</v>
      </c>
      <c r="F5167" t="str">
        <f>"12-I02-01"</f>
        <v>12-I02-01</v>
      </c>
      <c r="G5167">
        <v>3.3855</v>
      </c>
      <c r="H5167" t="s">
        <v>9</v>
      </c>
      <c r="I5167" t="s">
        <v>10</v>
      </c>
    </row>
    <row r="5168" spans="1:9" x14ac:dyDescent="0.25">
      <c r="A5168" t="str">
        <f t="shared" si="124"/>
        <v>89301000</v>
      </c>
      <c r="B5168" t="str">
        <f>"481026403"</f>
        <v>481026403</v>
      </c>
      <c r="C5168" s="1">
        <v>45055</v>
      </c>
      <c r="D5168" s="1">
        <v>45062</v>
      </c>
      <c r="E5168">
        <v>5</v>
      </c>
      <c r="F5168" t="str">
        <f>"01-K10-01"</f>
        <v>01-K10-01</v>
      </c>
      <c r="G5168">
        <v>2.6547999999999998</v>
      </c>
      <c r="H5168" t="s">
        <v>11</v>
      </c>
      <c r="I5168" t="s">
        <v>10</v>
      </c>
    </row>
    <row r="5169" spans="1:9" x14ac:dyDescent="0.25">
      <c r="A5169" t="str">
        <f t="shared" si="124"/>
        <v>89301000</v>
      </c>
      <c r="B5169" t="str">
        <f>"481028446"</f>
        <v>481028446</v>
      </c>
      <c r="C5169" s="1">
        <v>45131</v>
      </c>
      <c r="D5169" s="1">
        <v>45135</v>
      </c>
      <c r="E5169">
        <v>1</v>
      </c>
      <c r="F5169" t="str">
        <f>"01-C01-02"</f>
        <v>01-C01-02</v>
      </c>
      <c r="G5169">
        <v>3.5868000000000002</v>
      </c>
      <c r="H5169" t="s">
        <v>11</v>
      </c>
      <c r="I5169" t="s">
        <v>10</v>
      </c>
    </row>
    <row r="5170" spans="1:9" x14ac:dyDescent="0.25">
      <c r="A5170" t="str">
        <f t="shared" si="124"/>
        <v>89301000</v>
      </c>
      <c r="B5170" t="str">
        <f>"481028446"</f>
        <v>481028446</v>
      </c>
      <c r="C5170" s="1">
        <v>45223</v>
      </c>
      <c r="D5170" s="1">
        <v>45224</v>
      </c>
      <c r="E5170">
        <v>8</v>
      </c>
      <c r="F5170" t="str">
        <f>"01-K08-01"</f>
        <v>01-K08-01</v>
      </c>
      <c r="G5170">
        <v>0.83109999999999995</v>
      </c>
      <c r="H5170" t="s">
        <v>11</v>
      </c>
      <c r="I5170" t="s">
        <v>10</v>
      </c>
    </row>
    <row r="5171" spans="1:9" x14ac:dyDescent="0.25">
      <c r="A5171" t="str">
        <f t="shared" si="124"/>
        <v>89301000</v>
      </c>
      <c r="B5171" t="str">
        <f>"481109062"</f>
        <v>481109062</v>
      </c>
      <c r="C5171" s="1">
        <v>45278</v>
      </c>
      <c r="D5171" s="1">
        <v>45279</v>
      </c>
      <c r="E5171">
        <v>1</v>
      </c>
      <c r="F5171" t="str">
        <f>"06-K14-02"</f>
        <v>06-K14-02</v>
      </c>
      <c r="G5171">
        <v>0.5766</v>
      </c>
      <c r="H5171" t="s">
        <v>11</v>
      </c>
      <c r="I5171" t="s">
        <v>10</v>
      </c>
    </row>
    <row r="5172" spans="1:9" x14ac:dyDescent="0.25">
      <c r="A5172" t="str">
        <f t="shared" si="124"/>
        <v>89301000</v>
      </c>
      <c r="B5172" t="str">
        <f t="shared" ref="B5172:B5177" si="125">"481117411"</f>
        <v>481117411</v>
      </c>
      <c r="C5172" s="1">
        <v>45242</v>
      </c>
      <c r="D5172" s="1">
        <v>45246</v>
      </c>
      <c r="E5172">
        <v>1</v>
      </c>
      <c r="F5172" t="str">
        <f>"07-M02-04"</f>
        <v>07-M02-04</v>
      </c>
      <c r="G5172">
        <v>0.77339999999999998</v>
      </c>
      <c r="H5172" t="s">
        <v>12</v>
      </c>
      <c r="I5172" t="s">
        <v>10</v>
      </c>
    </row>
    <row r="5173" spans="1:9" x14ac:dyDescent="0.25">
      <c r="A5173" t="str">
        <f t="shared" si="124"/>
        <v>89301000</v>
      </c>
      <c r="B5173" t="str">
        <f t="shared" si="125"/>
        <v>481117411</v>
      </c>
      <c r="C5173" s="1">
        <v>45188</v>
      </c>
      <c r="D5173" s="1">
        <v>45194</v>
      </c>
      <c r="E5173">
        <v>1</v>
      </c>
      <c r="F5173" t="str">
        <f>"05-K14-02"</f>
        <v>05-K14-02</v>
      </c>
      <c r="G5173">
        <v>0.92110000000000003</v>
      </c>
      <c r="H5173" t="s">
        <v>11</v>
      </c>
      <c r="I5173" t="s">
        <v>10</v>
      </c>
    </row>
    <row r="5174" spans="1:9" x14ac:dyDescent="0.25">
      <c r="A5174" t="str">
        <f t="shared" si="124"/>
        <v>89301000</v>
      </c>
      <c r="B5174" t="str">
        <f t="shared" si="125"/>
        <v>481117411</v>
      </c>
      <c r="C5174" s="1">
        <v>45237</v>
      </c>
      <c r="D5174" s="1">
        <v>45239</v>
      </c>
      <c r="E5174">
        <v>1</v>
      </c>
      <c r="F5174" t="str">
        <f>"07-M02-04"</f>
        <v>07-M02-04</v>
      </c>
      <c r="G5174">
        <v>0.80559999999999998</v>
      </c>
      <c r="H5174" t="s">
        <v>12</v>
      </c>
      <c r="I5174" t="s">
        <v>10</v>
      </c>
    </row>
    <row r="5175" spans="1:9" x14ac:dyDescent="0.25">
      <c r="A5175" t="str">
        <f t="shared" si="124"/>
        <v>89301000</v>
      </c>
      <c r="B5175" t="str">
        <f t="shared" si="125"/>
        <v>481117411</v>
      </c>
      <c r="C5175" s="1">
        <v>45210</v>
      </c>
      <c r="D5175" s="1">
        <v>45219</v>
      </c>
      <c r="E5175">
        <v>1</v>
      </c>
      <c r="F5175" t="str">
        <f>"10-K12-02"</f>
        <v>10-K12-02</v>
      </c>
      <c r="G5175">
        <v>0.88600000000000001</v>
      </c>
      <c r="H5175" t="s">
        <v>11</v>
      </c>
      <c r="I5175" t="s">
        <v>10</v>
      </c>
    </row>
    <row r="5176" spans="1:9" x14ac:dyDescent="0.25">
      <c r="A5176" t="str">
        <f t="shared" si="124"/>
        <v>89301000</v>
      </c>
      <c r="B5176" t="str">
        <f t="shared" si="125"/>
        <v>481117411</v>
      </c>
      <c r="C5176" s="1">
        <v>45160</v>
      </c>
      <c r="D5176" s="1">
        <v>45165</v>
      </c>
      <c r="E5176">
        <v>1</v>
      </c>
      <c r="F5176" t="str">
        <f>"07-M02-04"</f>
        <v>07-M02-04</v>
      </c>
      <c r="G5176">
        <v>0.86580000000000001</v>
      </c>
      <c r="H5176" t="s">
        <v>12</v>
      </c>
      <c r="I5176" t="s">
        <v>10</v>
      </c>
    </row>
    <row r="5177" spans="1:9" x14ac:dyDescent="0.25">
      <c r="A5177" t="str">
        <f t="shared" si="124"/>
        <v>89301000</v>
      </c>
      <c r="B5177" t="str">
        <f t="shared" si="125"/>
        <v>481117411</v>
      </c>
      <c r="C5177" s="1">
        <v>45146</v>
      </c>
      <c r="D5177" s="1">
        <v>45151</v>
      </c>
      <c r="E5177">
        <v>1</v>
      </c>
      <c r="F5177" t="str">
        <f>"07-M02-03"</f>
        <v>07-M02-03</v>
      </c>
      <c r="G5177">
        <v>1.2942</v>
      </c>
      <c r="H5177" t="s">
        <v>12</v>
      </c>
      <c r="I5177" t="s">
        <v>10</v>
      </c>
    </row>
    <row r="5178" spans="1:9" x14ac:dyDescent="0.25">
      <c r="A5178" t="str">
        <f t="shared" si="124"/>
        <v>89301000</v>
      </c>
      <c r="B5178" t="str">
        <f>"481122109"</f>
        <v>481122109</v>
      </c>
      <c r="C5178" s="1">
        <v>45284</v>
      </c>
      <c r="D5178" s="1">
        <v>45289</v>
      </c>
      <c r="E5178">
        <v>1</v>
      </c>
      <c r="F5178" t="str">
        <f>"04-K02-04"</f>
        <v>04-K02-04</v>
      </c>
      <c r="G5178">
        <v>0.82099999999999995</v>
      </c>
      <c r="H5178" t="s">
        <v>11</v>
      </c>
      <c r="I5178" t="s">
        <v>10</v>
      </c>
    </row>
    <row r="5179" spans="1:9" x14ac:dyDescent="0.25">
      <c r="A5179" t="str">
        <f t="shared" si="124"/>
        <v>89301000</v>
      </c>
      <c r="B5179" t="str">
        <f>"481122135"</f>
        <v>481122135</v>
      </c>
      <c r="C5179" s="1">
        <v>45269</v>
      </c>
      <c r="D5179" s="1">
        <v>45281</v>
      </c>
      <c r="E5179">
        <v>5</v>
      </c>
      <c r="F5179" t="str">
        <f>"05-I18-03"</f>
        <v>05-I18-03</v>
      </c>
      <c r="G5179">
        <v>4.7869999999999999</v>
      </c>
      <c r="H5179" t="s">
        <v>12</v>
      </c>
      <c r="I5179" t="s">
        <v>10</v>
      </c>
    </row>
    <row r="5180" spans="1:9" x14ac:dyDescent="0.25">
      <c r="A5180" t="str">
        <f t="shared" si="124"/>
        <v>89301000</v>
      </c>
      <c r="B5180" t="str">
        <f>"481125237"</f>
        <v>481125237</v>
      </c>
      <c r="C5180" s="1">
        <v>45266</v>
      </c>
      <c r="D5180" s="1">
        <v>45268</v>
      </c>
      <c r="E5180">
        <v>1</v>
      </c>
      <c r="F5180" t="str">
        <f>"05-I30-01"</f>
        <v>05-I30-01</v>
      </c>
      <c r="G5180">
        <v>0.60309999999999997</v>
      </c>
      <c r="H5180" t="s">
        <v>12</v>
      </c>
      <c r="I5180" t="s">
        <v>10</v>
      </c>
    </row>
    <row r="5181" spans="1:9" x14ac:dyDescent="0.25">
      <c r="A5181" t="str">
        <f t="shared" si="124"/>
        <v>89301000</v>
      </c>
      <c r="B5181" t="str">
        <f>"481129072"</f>
        <v>481129072</v>
      </c>
      <c r="C5181" s="1">
        <v>44941</v>
      </c>
      <c r="D5181" s="1">
        <v>44963</v>
      </c>
      <c r="E5181">
        <v>1</v>
      </c>
      <c r="F5181" t="str">
        <f>"04-M01-06"</f>
        <v>04-M01-06</v>
      </c>
      <c r="G5181">
        <v>3.6739000000000002</v>
      </c>
      <c r="H5181" t="s">
        <v>11</v>
      </c>
      <c r="I5181" t="s">
        <v>10</v>
      </c>
    </row>
    <row r="5182" spans="1:9" x14ac:dyDescent="0.25">
      <c r="A5182" t="str">
        <f t="shared" si="124"/>
        <v>89301000</v>
      </c>
      <c r="B5182" t="str">
        <f>"481201438"</f>
        <v>481201438</v>
      </c>
      <c r="C5182" s="1">
        <v>45076</v>
      </c>
      <c r="D5182" s="1">
        <v>45079</v>
      </c>
      <c r="E5182">
        <v>1</v>
      </c>
      <c r="F5182" t="str">
        <f>"05-M07-04"</f>
        <v>05-M07-04</v>
      </c>
      <c r="G5182">
        <v>1.7763</v>
      </c>
      <c r="H5182" t="s">
        <v>12</v>
      </c>
      <c r="I5182" t="s">
        <v>10</v>
      </c>
    </row>
    <row r="5183" spans="1:9" x14ac:dyDescent="0.25">
      <c r="A5183" t="str">
        <f t="shared" si="124"/>
        <v>89301000</v>
      </c>
      <c r="B5183" t="str">
        <f>"481204422"</f>
        <v>481204422</v>
      </c>
      <c r="C5183" s="1">
        <v>44946</v>
      </c>
      <c r="D5183" s="1">
        <v>44967</v>
      </c>
      <c r="E5183">
        <v>1</v>
      </c>
      <c r="F5183" t="str">
        <f>"03-R01-06"</f>
        <v>03-R01-06</v>
      </c>
      <c r="G5183">
        <v>1.8582000000000001</v>
      </c>
      <c r="H5183" t="s">
        <v>11</v>
      </c>
      <c r="I5183" t="s">
        <v>10</v>
      </c>
    </row>
    <row r="5184" spans="1:9" x14ac:dyDescent="0.25">
      <c r="A5184" t="str">
        <f t="shared" si="124"/>
        <v>89301000</v>
      </c>
      <c r="B5184" t="str">
        <f>"481204422"</f>
        <v>481204422</v>
      </c>
      <c r="C5184" s="1">
        <v>45041</v>
      </c>
      <c r="D5184" s="1">
        <v>45048</v>
      </c>
      <c r="E5184">
        <v>1</v>
      </c>
      <c r="F5184" t="str">
        <f>"03-I19-02"</f>
        <v>03-I19-02</v>
      </c>
      <c r="G5184">
        <v>0.71340000000000003</v>
      </c>
      <c r="H5184" t="s">
        <v>11</v>
      </c>
      <c r="I5184" t="s">
        <v>10</v>
      </c>
    </row>
    <row r="5185" spans="1:9" x14ac:dyDescent="0.25">
      <c r="A5185" t="str">
        <f t="shared" si="124"/>
        <v>89301000</v>
      </c>
      <c r="B5185" t="str">
        <f>"481204422"</f>
        <v>481204422</v>
      </c>
      <c r="C5185" s="1">
        <v>45139</v>
      </c>
      <c r="D5185" s="1">
        <v>45142</v>
      </c>
      <c r="E5185">
        <v>1</v>
      </c>
      <c r="F5185" t="str">
        <f>"03-I24-00"</f>
        <v>03-I24-00</v>
      </c>
      <c r="G5185">
        <v>0.40670000000000001</v>
      </c>
      <c r="H5185" t="s">
        <v>11</v>
      </c>
      <c r="I5185" t="s">
        <v>10</v>
      </c>
    </row>
    <row r="5186" spans="1:9" x14ac:dyDescent="0.25">
      <c r="A5186" t="str">
        <f t="shared" si="124"/>
        <v>89301000</v>
      </c>
      <c r="B5186" t="str">
        <f>"481209148"</f>
        <v>481209148</v>
      </c>
      <c r="C5186" s="1">
        <v>45194</v>
      </c>
      <c r="D5186" s="1">
        <v>45196</v>
      </c>
      <c r="E5186">
        <v>1</v>
      </c>
      <c r="F5186" t="str">
        <f>"08-M03-05"</f>
        <v>08-M03-05</v>
      </c>
      <c r="G5186">
        <v>0.46810000000000002</v>
      </c>
      <c r="H5186" t="s">
        <v>11</v>
      </c>
      <c r="I5186" t="s">
        <v>10</v>
      </c>
    </row>
    <row r="5187" spans="1:9" x14ac:dyDescent="0.25">
      <c r="A5187" t="str">
        <f t="shared" si="124"/>
        <v>89301000</v>
      </c>
      <c r="B5187" t="str">
        <f>"481210223"</f>
        <v>481210223</v>
      </c>
      <c r="C5187" s="1">
        <v>45270</v>
      </c>
      <c r="D5187" s="1">
        <v>45274</v>
      </c>
      <c r="E5187">
        <v>1</v>
      </c>
      <c r="F5187" t="str">
        <f>"03-I19-02"</f>
        <v>03-I19-02</v>
      </c>
      <c r="G5187">
        <v>0.7016</v>
      </c>
      <c r="H5187" t="s">
        <v>11</v>
      </c>
      <c r="I5187" t="s">
        <v>10</v>
      </c>
    </row>
    <row r="5188" spans="1:9" x14ac:dyDescent="0.25">
      <c r="A5188" t="str">
        <f t="shared" si="124"/>
        <v>89301000</v>
      </c>
      <c r="B5188" t="str">
        <f>"481212401"</f>
        <v>481212401</v>
      </c>
      <c r="C5188" s="1">
        <v>45257</v>
      </c>
      <c r="D5188" s="1">
        <v>45264</v>
      </c>
      <c r="E5188">
        <v>1</v>
      </c>
      <c r="F5188" t="str">
        <f>"06-I17-01"</f>
        <v>06-I17-01</v>
      </c>
      <c r="G5188">
        <v>2.8429000000000002</v>
      </c>
      <c r="H5188" t="s">
        <v>12</v>
      </c>
      <c r="I5188" t="s">
        <v>10</v>
      </c>
    </row>
    <row r="5189" spans="1:9" x14ac:dyDescent="0.25">
      <c r="A5189" t="str">
        <f t="shared" si="124"/>
        <v>89301000</v>
      </c>
      <c r="B5189" t="str">
        <f>"481214407"</f>
        <v>481214407</v>
      </c>
      <c r="C5189" s="1">
        <v>45272</v>
      </c>
      <c r="D5189" s="1">
        <v>45273</v>
      </c>
      <c r="E5189">
        <v>1</v>
      </c>
      <c r="F5189" t="str">
        <f>"05-M06-08"</f>
        <v>05-M06-08</v>
      </c>
      <c r="G5189">
        <v>1.4228000000000001</v>
      </c>
      <c r="H5189" t="s">
        <v>12</v>
      </c>
      <c r="I5189" t="s">
        <v>10</v>
      </c>
    </row>
    <row r="5190" spans="1:9" x14ac:dyDescent="0.25">
      <c r="A5190" t="str">
        <f t="shared" si="124"/>
        <v>89301000</v>
      </c>
      <c r="B5190" t="str">
        <f>"481218426"</f>
        <v>481218426</v>
      </c>
      <c r="C5190" s="1">
        <v>45041</v>
      </c>
      <c r="D5190" s="1">
        <v>45049</v>
      </c>
      <c r="E5190">
        <v>5</v>
      </c>
      <c r="F5190" t="str">
        <f>"08-I03-02"</f>
        <v>08-I03-02</v>
      </c>
      <c r="G5190">
        <v>6.6345000000000001</v>
      </c>
      <c r="H5190" t="s">
        <v>9</v>
      </c>
      <c r="I5190" t="s">
        <v>10</v>
      </c>
    </row>
    <row r="5191" spans="1:9" x14ac:dyDescent="0.25">
      <c r="A5191" t="str">
        <f t="shared" si="124"/>
        <v>89301000</v>
      </c>
      <c r="B5191" t="str">
        <f>"481221094"</f>
        <v>481221094</v>
      </c>
      <c r="C5191" s="1">
        <v>45243</v>
      </c>
      <c r="D5191" s="1">
        <v>45252</v>
      </c>
      <c r="E5191">
        <v>5</v>
      </c>
      <c r="F5191" t="str">
        <f>"05-I21-01"</f>
        <v>05-I21-01</v>
      </c>
      <c r="G5191">
        <v>3.6871999999999998</v>
      </c>
      <c r="H5191" t="s">
        <v>12</v>
      </c>
      <c r="I5191" t="s">
        <v>10</v>
      </c>
    </row>
    <row r="5192" spans="1:9" x14ac:dyDescent="0.25">
      <c r="A5192" t="str">
        <f t="shared" si="124"/>
        <v>89301000</v>
      </c>
      <c r="B5192" t="str">
        <f>"481221094"</f>
        <v>481221094</v>
      </c>
      <c r="C5192" s="1">
        <v>45189</v>
      </c>
      <c r="D5192" s="1">
        <v>45191</v>
      </c>
      <c r="E5192">
        <v>1</v>
      </c>
      <c r="F5192" t="str">
        <f>"05-I14-03"</f>
        <v>05-I14-03</v>
      </c>
      <c r="G5192">
        <v>6.0362</v>
      </c>
      <c r="H5192" t="s">
        <v>12</v>
      </c>
      <c r="I5192" t="s">
        <v>10</v>
      </c>
    </row>
    <row r="5193" spans="1:9" x14ac:dyDescent="0.25">
      <c r="A5193" t="str">
        <f t="shared" si="124"/>
        <v>89301000</v>
      </c>
      <c r="B5193" t="str">
        <f>"481225446"</f>
        <v>481225446</v>
      </c>
      <c r="C5193" s="1">
        <v>45006</v>
      </c>
      <c r="D5193" s="1">
        <v>45013</v>
      </c>
      <c r="E5193">
        <v>1</v>
      </c>
      <c r="F5193" t="str">
        <f>"07-I04-02"</f>
        <v>07-I04-02</v>
      </c>
      <c r="G5193">
        <v>2.2502</v>
      </c>
      <c r="H5193" t="s">
        <v>14</v>
      </c>
      <c r="I5193" t="s">
        <v>10</v>
      </c>
    </row>
    <row r="5194" spans="1:9" x14ac:dyDescent="0.25">
      <c r="A5194" t="str">
        <f t="shared" si="124"/>
        <v>89301000</v>
      </c>
      <c r="B5194" t="str">
        <f>"481225446"</f>
        <v>481225446</v>
      </c>
      <c r="C5194" s="1">
        <v>45030</v>
      </c>
      <c r="D5194" s="1">
        <v>45044</v>
      </c>
      <c r="E5194">
        <v>1</v>
      </c>
      <c r="F5194" t="str">
        <f>"06-I02-01"</f>
        <v>06-I02-01</v>
      </c>
      <c r="G5194">
        <v>6.2469000000000001</v>
      </c>
      <c r="H5194" t="s">
        <v>12</v>
      </c>
      <c r="I5194" t="s">
        <v>10</v>
      </c>
    </row>
    <row r="5195" spans="1:9" x14ac:dyDescent="0.25">
      <c r="A5195" t="str">
        <f t="shared" si="124"/>
        <v>89301000</v>
      </c>
      <c r="B5195" t="str">
        <f>"485104401"</f>
        <v>485104401</v>
      </c>
      <c r="C5195" s="1">
        <v>45156</v>
      </c>
      <c r="D5195" s="1">
        <v>45163</v>
      </c>
      <c r="E5195">
        <v>1</v>
      </c>
      <c r="F5195" t="str">
        <f>"01-K16-02"</f>
        <v>01-K16-02</v>
      </c>
      <c r="G5195">
        <v>1.0049999999999999</v>
      </c>
      <c r="H5195" t="s">
        <v>11</v>
      </c>
      <c r="I5195" t="s">
        <v>10</v>
      </c>
    </row>
    <row r="5196" spans="1:9" x14ac:dyDescent="0.25">
      <c r="A5196" t="str">
        <f t="shared" si="124"/>
        <v>89301000</v>
      </c>
      <c r="B5196" t="str">
        <f>"485104441"</f>
        <v>485104441</v>
      </c>
      <c r="C5196" s="1">
        <v>45103</v>
      </c>
      <c r="D5196" s="1">
        <v>45106</v>
      </c>
      <c r="E5196">
        <v>1</v>
      </c>
      <c r="F5196" t="str">
        <f>"06-K10-03"</f>
        <v>06-K10-03</v>
      </c>
      <c r="G5196">
        <v>0.43519999999999998</v>
      </c>
      <c r="H5196" t="s">
        <v>11</v>
      </c>
      <c r="I5196" t="s">
        <v>10</v>
      </c>
    </row>
    <row r="5197" spans="1:9" x14ac:dyDescent="0.25">
      <c r="A5197" t="str">
        <f t="shared" si="124"/>
        <v>89301000</v>
      </c>
      <c r="B5197" t="str">
        <f>"485109011"</f>
        <v>485109011</v>
      </c>
      <c r="C5197" s="1">
        <v>45089</v>
      </c>
      <c r="D5197" s="1">
        <v>45091</v>
      </c>
      <c r="E5197">
        <v>1</v>
      </c>
      <c r="F5197" t="str">
        <f>"05-I30-02"</f>
        <v>05-I30-02</v>
      </c>
      <c r="G5197">
        <v>0.41699999999999998</v>
      </c>
      <c r="H5197" t="s">
        <v>12</v>
      </c>
      <c r="I5197" t="s">
        <v>10</v>
      </c>
    </row>
    <row r="5198" spans="1:9" x14ac:dyDescent="0.25">
      <c r="A5198" t="str">
        <f t="shared" si="124"/>
        <v>89301000</v>
      </c>
      <c r="B5198" t="str">
        <f>"485111125"</f>
        <v>485111125</v>
      </c>
      <c r="C5198" s="1">
        <v>45176</v>
      </c>
      <c r="D5198" s="1">
        <v>45177</v>
      </c>
      <c r="E5198">
        <v>1</v>
      </c>
      <c r="F5198" t="str">
        <f>"06-M01-02"</f>
        <v>06-M01-02</v>
      </c>
      <c r="G5198">
        <v>1.2206999999999999</v>
      </c>
      <c r="H5198" t="s">
        <v>11</v>
      </c>
      <c r="I5198" t="s">
        <v>10</v>
      </c>
    </row>
    <row r="5199" spans="1:9" x14ac:dyDescent="0.25">
      <c r="A5199" t="str">
        <f t="shared" si="124"/>
        <v>89301000</v>
      </c>
      <c r="B5199" t="str">
        <f>"485114402"</f>
        <v>485114402</v>
      </c>
      <c r="C5199" s="1">
        <v>45182</v>
      </c>
      <c r="D5199" s="1">
        <v>45189</v>
      </c>
      <c r="E5199">
        <v>1</v>
      </c>
      <c r="F5199" t="str">
        <f>"02-I06-01"</f>
        <v>02-I06-01</v>
      </c>
      <c r="G5199">
        <v>1.6951000000000001</v>
      </c>
      <c r="H5199" t="s">
        <v>12</v>
      </c>
      <c r="I5199" t="s">
        <v>10</v>
      </c>
    </row>
    <row r="5200" spans="1:9" x14ac:dyDescent="0.25">
      <c r="A5200" t="str">
        <f t="shared" si="124"/>
        <v>89301000</v>
      </c>
      <c r="B5200" t="str">
        <f>"485116468"</f>
        <v>485116468</v>
      </c>
      <c r="C5200" s="1">
        <v>45062</v>
      </c>
      <c r="D5200" s="1">
        <v>45066</v>
      </c>
      <c r="E5200">
        <v>1</v>
      </c>
      <c r="F5200" t="str">
        <f>"06-I21-03"</f>
        <v>06-I21-03</v>
      </c>
      <c r="G5200">
        <v>0.4572</v>
      </c>
      <c r="H5200" t="s">
        <v>12</v>
      </c>
      <c r="I5200" t="s">
        <v>10</v>
      </c>
    </row>
    <row r="5201" spans="1:9" x14ac:dyDescent="0.25">
      <c r="A5201" t="str">
        <f t="shared" si="124"/>
        <v>89301000</v>
      </c>
      <c r="B5201" t="str">
        <f>"485117165"</f>
        <v>485117165</v>
      </c>
      <c r="C5201" s="1">
        <v>45190</v>
      </c>
      <c r="D5201" s="1">
        <v>45190</v>
      </c>
      <c r="E5201">
        <v>8</v>
      </c>
      <c r="F5201" t="str">
        <f>"01-K10-01"</f>
        <v>01-K10-01</v>
      </c>
      <c r="G5201">
        <v>0.65480000000000005</v>
      </c>
      <c r="H5201" t="s">
        <v>11</v>
      </c>
      <c r="I5201" t="s">
        <v>10</v>
      </c>
    </row>
    <row r="5202" spans="1:9" x14ac:dyDescent="0.25">
      <c r="A5202" t="str">
        <f t="shared" ref="A5202:A5264" si="126">"89301000"</f>
        <v>89301000</v>
      </c>
      <c r="B5202" t="str">
        <f>"485119407"</f>
        <v>485119407</v>
      </c>
      <c r="C5202" s="1">
        <v>45081</v>
      </c>
      <c r="D5202" s="1">
        <v>45092</v>
      </c>
      <c r="E5202">
        <v>1</v>
      </c>
      <c r="F5202" t="str">
        <f>"13-I14-02"</f>
        <v>13-I14-02</v>
      </c>
      <c r="G5202">
        <v>1.4349000000000001</v>
      </c>
      <c r="H5202" t="s">
        <v>9</v>
      </c>
      <c r="I5202" t="s">
        <v>10</v>
      </c>
    </row>
    <row r="5203" spans="1:9" x14ac:dyDescent="0.25">
      <c r="A5203" t="str">
        <f t="shared" si="126"/>
        <v>89301000</v>
      </c>
      <c r="B5203" t="str">
        <f>"485119407"</f>
        <v>485119407</v>
      </c>
      <c r="C5203" s="1">
        <v>45067</v>
      </c>
      <c r="D5203" s="1">
        <v>45068</v>
      </c>
      <c r="E5203">
        <v>1</v>
      </c>
      <c r="F5203" t="str">
        <f>"13-K07-02"</f>
        <v>13-K07-02</v>
      </c>
      <c r="G5203">
        <v>0.43559999999999999</v>
      </c>
      <c r="H5203" t="s">
        <v>11</v>
      </c>
      <c r="I5203" t="s">
        <v>10</v>
      </c>
    </row>
    <row r="5204" spans="1:9" x14ac:dyDescent="0.25">
      <c r="A5204" t="str">
        <f t="shared" si="126"/>
        <v>89301000</v>
      </c>
      <c r="B5204" t="str">
        <f>"485120466"</f>
        <v>485120466</v>
      </c>
      <c r="C5204" s="1">
        <v>45033</v>
      </c>
      <c r="D5204" s="1">
        <v>45042</v>
      </c>
      <c r="E5204">
        <v>4</v>
      </c>
      <c r="F5204" t="str">
        <f>"08-I05-05"</f>
        <v>08-I05-05</v>
      </c>
      <c r="G5204">
        <v>2.2633000000000001</v>
      </c>
      <c r="H5204" t="s">
        <v>12</v>
      </c>
      <c r="I5204" t="s">
        <v>10</v>
      </c>
    </row>
    <row r="5205" spans="1:9" x14ac:dyDescent="0.25">
      <c r="A5205" t="str">
        <f t="shared" si="126"/>
        <v>89301000</v>
      </c>
      <c r="B5205" t="str">
        <f>"485126408"</f>
        <v>485126408</v>
      </c>
      <c r="C5205" s="1">
        <v>45097</v>
      </c>
      <c r="D5205" s="1">
        <v>45105</v>
      </c>
      <c r="E5205">
        <v>5</v>
      </c>
      <c r="F5205" t="str">
        <f>"01-I06-02"</f>
        <v>01-I06-02</v>
      </c>
      <c r="G5205">
        <v>5.1349</v>
      </c>
      <c r="H5205" t="s">
        <v>12</v>
      </c>
      <c r="I5205" t="s">
        <v>10</v>
      </c>
    </row>
    <row r="5206" spans="1:9" x14ac:dyDescent="0.25">
      <c r="A5206" t="str">
        <f t="shared" si="126"/>
        <v>89301000</v>
      </c>
      <c r="B5206" t="str">
        <f>"485201130"</f>
        <v>485201130</v>
      </c>
      <c r="C5206" s="1">
        <v>44995</v>
      </c>
      <c r="D5206" s="1">
        <v>45008</v>
      </c>
      <c r="E5206">
        <v>2</v>
      </c>
      <c r="F5206" t="str">
        <f>"08-I03-04"</f>
        <v>08-I03-04</v>
      </c>
      <c r="G5206">
        <v>4.6265999999999998</v>
      </c>
      <c r="H5206" t="s">
        <v>9</v>
      </c>
      <c r="I5206" t="s">
        <v>10</v>
      </c>
    </row>
    <row r="5207" spans="1:9" x14ac:dyDescent="0.25">
      <c r="A5207" t="str">
        <f t="shared" si="126"/>
        <v>89301000</v>
      </c>
      <c r="B5207" t="str">
        <f>"485206220"</f>
        <v>485206220</v>
      </c>
      <c r="C5207" s="1">
        <v>45134</v>
      </c>
      <c r="D5207" s="1">
        <v>45136</v>
      </c>
      <c r="E5207">
        <v>1</v>
      </c>
      <c r="F5207" t="str">
        <f>"03-K06-01"</f>
        <v>03-K06-01</v>
      </c>
      <c r="G5207">
        <v>0.4713</v>
      </c>
      <c r="H5207" t="s">
        <v>11</v>
      </c>
      <c r="I5207" t="s">
        <v>10</v>
      </c>
    </row>
    <row r="5208" spans="1:9" x14ac:dyDescent="0.25">
      <c r="A5208" t="str">
        <f t="shared" si="126"/>
        <v>89301000</v>
      </c>
      <c r="B5208" t="str">
        <f>"485212431"</f>
        <v>485212431</v>
      </c>
      <c r="C5208" s="1">
        <v>45006</v>
      </c>
      <c r="D5208" s="1">
        <v>45010</v>
      </c>
      <c r="E5208">
        <v>1</v>
      </c>
      <c r="F5208" t="str">
        <f>"07-I10-06"</f>
        <v>07-I10-06</v>
      </c>
      <c r="G5208">
        <v>0.98419999999999996</v>
      </c>
      <c r="H5208" t="s">
        <v>12</v>
      </c>
      <c r="I5208" t="s">
        <v>10</v>
      </c>
    </row>
    <row r="5209" spans="1:9" x14ac:dyDescent="0.25">
      <c r="A5209" t="str">
        <f t="shared" si="126"/>
        <v>89301000</v>
      </c>
      <c r="B5209" t="str">
        <f>"485214414"</f>
        <v>485214414</v>
      </c>
      <c r="C5209" s="1">
        <v>44958</v>
      </c>
      <c r="D5209" s="1">
        <v>44964</v>
      </c>
      <c r="E5209">
        <v>1</v>
      </c>
      <c r="F5209" t="str">
        <f>"01-K12-01"</f>
        <v>01-K12-01</v>
      </c>
      <c r="G5209">
        <v>0.72709999999999997</v>
      </c>
      <c r="H5209" t="s">
        <v>11</v>
      </c>
      <c r="I5209" t="s">
        <v>10</v>
      </c>
    </row>
    <row r="5210" spans="1:9" x14ac:dyDescent="0.25">
      <c r="A5210" t="str">
        <f t="shared" si="126"/>
        <v>89301000</v>
      </c>
      <c r="B5210" t="str">
        <f>"485215162"</f>
        <v>485215162</v>
      </c>
      <c r="C5210" s="1">
        <v>45002</v>
      </c>
      <c r="D5210" s="1">
        <v>45006</v>
      </c>
      <c r="E5210">
        <v>1</v>
      </c>
      <c r="F5210" t="str">
        <f>"05-K13-01"</f>
        <v>05-K13-01</v>
      </c>
      <c r="G5210">
        <v>1.2131000000000001</v>
      </c>
      <c r="H5210" t="s">
        <v>11</v>
      </c>
      <c r="I5210" t="s">
        <v>10</v>
      </c>
    </row>
    <row r="5211" spans="1:9" x14ac:dyDescent="0.25">
      <c r="A5211" t="str">
        <f t="shared" si="126"/>
        <v>89301000</v>
      </c>
      <c r="B5211" t="str">
        <f>"485218409"</f>
        <v>485218409</v>
      </c>
      <c r="C5211" s="1">
        <v>45056</v>
      </c>
      <c r="D5211" s="1">
        <v>45059</v>
      </c>
      <c r="E5211">
        <v>1</v>
      </c>
      <c r="F5211" t="str">
        <f>"11-M06-03"</f>
        <v>11-M06-03</v>
      </c>
      <c r="G5211">
        <v>0.62009999999999998</v>
      </c>
      <c r="H5211" t="s">
        <v>12</v>
      </c>
      <c r="I5211" t="s">
        <v>10</v>
      </c>
    </row>
    <row r="5212" spans="1:9" x14ac:dyDescent="0.25">
      <c r="A5212" t="str">
        <f t="shared" si="126"/>
        <v>89301000</v>
      </c>
      <c r="B5212" t="str">
        <f>"485220256"</f>
        <v>485220256</v>
      </c>
      <c r="C5212" s="1">
        <v>45049</v>
      </c>
      <c r="D5212" s="1">
        <v>45050</v>
      </c>
      <c r="E5212">
        <v>1</v>
      </c>
      <c r="F5212" t="str">
        <f>"02-I13-01"</f>
        <v>02-I13-01</v>
      </c>
      <c r="G5212">
        <v>0.63970000000000005</v>
      </c>
      <c r="H5212" t="s">
        <v>11</v>
      </c>
      <c r="I5212" t="s">
        <v>10</v>
      </c>
    </row>
    <row r="5213" spans="1:9" x14ac:dyDescent="0.25">
      <c r="A5213" t="str">
        <f t="shared" si="126"/>
        <v>89301000</v>
      </c>
      <c r="B5213" t="str">
        <f>"485222159"</f>
        <v>485222159</v>
      </c>
      <c r="C5213" s="1">
        <v>45147</v>
      </c>
      <c r="D5213" s="1">
        <v>45160</v>
      </c>
      <c r="E5213">
        <v>1</v>
      </c>
      <c r="F5213" t="str">
        <f>"04-K02-03"</f>
        <v>04-K02-03</v>
      </c>
      <c r="G5213">
        <v>1.298</v>
      </c>
      <c r="H5213" t="s">
        <v>11</v>
      </c>
      <c r="I5213" t="s">
        <v>10</v>
      </c>
    </row>
    <row r="5214" spans="1:9" x14ac:dyDescent="0.25">
      <c r="A5214" t="str">
        <f t="shared" si="126"/>
        <v>89301000</v>
      </c>
      <c r="B5214" t="str">
        <f>"485224425"</f>
        <v>485224425</v>
      </c>
      <c r="C5214" s="1">
        <v>45172</v>
      </c>
      <c r="D5214" s="1">
        <v>45175</v>
      </c>
      <c r="E5214">
        <v>1</v>
      </c>
      <c r="F5214" t="str">
        <f>"05-I14-01"</f>
        <v>05-I14-01</v>
      </c>
      <c r="G5214">
        <v>9.2554999999999996</v>
      </c>
      <c r="H5214" t="s">
        <v>12</v>
      </c>
      <c r="I5214" t="s">
        <v>10</v>
      </c>
    </row>
    <row r="5215" spans="1:9" x14ac:dyDescent="0.25">
      <c r="A5215" t="str">
        <f t="shared" si="126"/>
        <v>89301000</v>
      </c>
      <c r="B5215" t="str">
        <f>"485227444"</f>
        <v>485227444</v>
      </c>
      <c r="C5215" s="1">
        <v>45224</v>
      </c>
      <c r="D5215" s="1">
        <v>45231</v>
      </c>
      <c r="E5215">
        <v>8</v>
      </c>
      <c r="F5215" t="str">
        <f>"05-K06-01"</f>
        <v>05-K06-01</v>
      </c>
      <c r="G5215">
        <v>3.1059000000000001</v>
      </c>
      <c r="H5215" t="s">
        <v>11</v>
      </c>
      <c r="I5215" t="s">
        <v>10</v>
      </c>
    </row>
    <row r="5216" spans="1:9" x14ac:dyDescent="0.25">
      <c r="A5216" t="str">
        <f t="shared" si="126"/>
        <v>89301000</v>
      </c>
      <c r="B5216" t="str">
        <f>"485229405"</f>
        <v>485229405</v>
      </c>
      <c r="C5216" s="1">
        <v>45242</v>
      </c>
      <c r="D5216" s="1">
        <v>45250</v>
      </c>
      <c r="E5216">
        <v>1</v>
      </c>
      <c r="F5216" t="str">
        <f>"06-I17-02"</f>
        <v>06-I17-02</v>
      </c>
      <c r="G5216">
        <v>1.0106999999999999</v>
      </c>
      <c r="H5216" t="s">
        <v>12</v>
      </c>
      <c r="I5216" t="s">
        <v>10</v>
      </c>
    </row>
    <row r="5217" spans="1:9" x14ac:dyDescent="0.25">
      <c r="A5217" t="str">
        <f t="shared" si="126"/>
        <v>89301000</v>
      </c>
      <c r="B5217" t="str">
        <f>"485301123"</f>
        <v>485301123</v>
      </c>
      <c r="C5217" s="1">
        <v>45245</v>
      </c>
      <c r="D5217" s="1">
        <v>45251</v>
      </c>
      <c r="E5217">
        <v>1</v>
      </c>
      <c r="F5217" t="str">
        <f>"04-I08-03"</f>
        <v>04-I08-03</v>
      </c>
      <c r="G5217">
        <v>1.6777</v>
      </c>
      <c r="H5217" t="s">
        <v>11</v>
      </c>
      <c r="I5217" t="s">
        <v>10</v>
      </c>
    </row>
    <row r="5218" spans="1:9" x14ac:dyDescent="0.25">
      <c r="A5218" t="str">
        <f t="shared" si="126"/>
        <v>89301000</v>
      </c>
      <c r="B5218" t="str">
        <f>"485307163"</f>
        <v>485307163</v>
      </c>
      <c r="C5218" s="1">
        <v>44940</v>
      </c>
      <c r="D5218" s="1">
        <v>44949</v>
      </c>
      <c r="E5218">
        <v>4</v>
      </c>
      <c r="F5218" t="str">
        <f>"10-K12-01"</f>
        <v>10-K12-01</v>
      </c>
      <c r="G5218">
        <v>2.4</v>
      </c>
      <c r="H5218" t="s">
        <v>11</v>
      </c>
      <c r="I5218" t="s">
        <v>10</v>
      </c>
    </row>
    <row r="5219" spans="1:9" x14ac:dyDescent="0.25">
      <c r="A5219" t="str">
        <f t="shared" si="126"/>
        <v>89301000</v>
      </c>
      <c r="B5219" t="str">
        <f>"485309412"</f>
        <v>485309412</v>
      </c>
      <c r="C5219" s="1">
        <v>45189</v>
      </c>
      <c r="D5219" s="1">
        <v>45190</v>
      </c>
      <c r="E5219">
        <v>1</v>
      </c>
      <c r="F5219" t="str">
        <f>"05-M05-03"</f>
        <v>05-M05-03</v>
      </c>
      <c r="G5219">
        <v>2.0312999999999999</v>
      </c>
      <c r="H5219" t="s">
        <v>14</v>
      </c>
      <c r="I5219" t="s">
        <v>10</v>
      </c>
    </row>
    <row r="5220" spans="1:9" x14ac:dyDescent="0.25">
      <c r="A5220" t="str">
        <f t="shared" si="126"/>
        <v>89301000</v>
      </c>
      <c r="B5220" t="str">
        <f>"485315413"</f>
        <v>485315413</v>
      </c>
      <c r="C5220" s="1">
        <v>45209</v>
      </c>
      <c r="D5220" s="1">
        <v>45219</v>
      </c>
      <c r="E5220">
        <v>1</v>
      </c>
      <c r="F5220" t="str">
        <f>"08-K01-02"</f>
        <v>08-K01-02</v>
      </c>
      <c r="G5220">
        <v>0.91659999999999997</v>
      </c>
      <c r="H5220" t="s">
        <v>11</v>
      </c>
      <c r="I5220" t="s">
        <v>10</v>
      </c>
    </row>
    <row r="5221" spans="1:9" x14ac:dyDescent="0.25">
      <c r="A5221" t="str">
        <f t="shared" si="126"/>
        <v>89301000</v>
      </c>
      <c r="B5221" t="str">
        <f>"485315413"</f>
        <v>485315413</v>
      </c>
      <c r="C5221" s="1">
        <v>45224</v>
      </c>
      <c r="D5221" s="1">
        <v>45233</v>
      </c>
      <c r="E5221">
        <v>1</v>
      </c>
      <c r="F5221" t="str">
        <f>"06-I07-04"</f>
        <v>06-I07-04</v>
      </c>
      <c r="G5221">
        <v>4.5235000000000003</v>
      </c>
      <c r="H5221" t="s">
        <v>12</v>
      </c>
      <c r="I5221" t="s">
        <v>10</v>
      </c>
    </row>
    <row r="5222" spans="1:9" x14ac:dyDescent="0.25">
      <c r="A5222" t="str">
        <f t="shared" si="126"/>
        <v>89301000</v>
      </c>
      <c r="B5222" t="str">
        <f>"485318408"</f>
        <v>485318408</v>
      </c>
      <c r="C5222" s="1">
        <v>45065</v>
      </c>
      <c r="D5222" s="1">
        <v>45071</v>
      </c>
      <c r="E5222">
        <v>1</v>
      </c>
      <c r="F5222" t="str">
        <f>"05-K12-02"</f>
        <v>05-K12-02</v>
      </c>
      <c r="G5222">
        <v>0.48820000000000002</v>
      </c>
      <c r="H5222" t="s">
        <v>11</v>
      </c>
      <c r="I5222" t="s">
        <v>10</v>
      </c>
    </row>
    <row r="5223" spans="1:9" x14ac:dyDescent="0.25">
      <c r="A5223" t="str">
        <f t="shared" si="126"/>
        <v>89301000</v>
      </c>
      <c r="B5223" t="str">
        <f>"485320438"</f>
        <v>485320438</v>
      </c>
      <c r="C5223" s="1">
        <v>45262</v>
      </c>
      <c r="D5223" s="1">
        <v>45265</v>
      </c>
      <c r="E5223">
        <v>1</v>
      </c>
      <c r="F5223" t="str">
        <f>"03-K04-01"</f>
        <v>03-K04-01</v>
      </c>
      <c r="G5223">
        <v>0.46479999999999999</v>
      </c>
      <c r="H5223" t="s">
        <v>11</v>
      </c>
      <c r="I5223" t="s">
        <v>10</v>
      </c>
    </row>
    <row r="5224" spans="1:9" x14ac:dyDescent="0.25">
      <c r="A5224" t="str">
        <f t="shared" si="126"/>
        <v>89301000</v>
      </c>
      <c r="B5224" t="str">
        <f>"485330439"</f>
        <v>485330439</v>
      </c>
      <c r="C5224" s="1">
        <v>45058</v>
      </c>
      <c r="D5224" s="1">
        <v>45059</v>
      </c>
      <c r="E5224">
        <v>1</v>
      </c>
      <c r="F5224" t="str">
        <f>"01-I07-03"</f>
        <v>01-I07-03</v>
      </c>
      <c r="G5224">
        <v>1.2985</v>
      </c>
      <c r="H5224" t="s">
        <v>12</v>
      </c>
      <c r="I5224" t="s">
        <v>10</v>
      </c>
    </row>
    <row r="5225" spans="1:9" x14ac:dyDescent="0.25">
      <c r="A5225" t="str">
        <f t="shared" si="126"/>
        <v>89301000</v>
      </c>
      <c r="B5225" t="str">
        <f>"485330439"</f>
        <v>485330439</v>
      </c>
      <c r="C5225" s="1">
        <v>45077</v>
      </c>
      <c r="D5225" s="1">
        <v>45083</v>
      </c>
      <c r="E5225">
        <v>1</v>
      </c>
      <c r="F5225" t="str">
        <f>"01-I07-03"</f>
        <v>01-I07-03</v>
      </c>
      <c r="G5225">
        <v>3.0371000000000001</v>
      </c>
      <c r="H5225" t="s">
        <v>12</v>
      </c>
      <c r="I5225" t="s">
        <v>10</v>
      </c>
    </row>
    <row r="5226" spans="1:9" x14ac:dyDescent="0.25">
      <c r="A5226" t="str">
        <f t="shared" si="126"/>
        <v>89301000</v>
      </c>
      <c r="B5226" t="str">
        <f>"485403449"</f>
        <v>485403449</v>
      </c>
      <c r="C5226" s="1">
        <v>44957</v>
      </c>
      <c r="D5226" s="1">
        <v>44958</v>
      </c>
      <c r="E5226">
        <v>1</v>
      </c>
      <c r="F5226" t="str">
        <f>"13-K07-02"</f>
        <v>13-K07-02</v>
      </c>
      <c r="G5226">
        <v>0.43559999999999999</v>
      </c>
      <c r="H5226" t="s">
        <v>11</v>
      </c>
      <c r="I5226" t="s">
        <v>10</v>
      </c>
    </row>
    <row r="5227" spans="1:9" x14ac:dyDescent="0.25">
      <c r="A5227" t="str">
        <f t="shared" si="126"/>
        <v>89301000</v>
      </c>
      <c r="B5227" t="str">
        <f>"485404427"</f>
        <v>485404427</v>
      </c>
      <c r="C5227" s="1">
        <v>45023</v>
      </c>
      <c r="D5227" s="1">
        <v>45028</v>
      </c>
      <c r="E5227">
        <v>1</v>
      </c>
      <c r="F5227" t="str">
        <f>"05-M06-06"</f>
        <v>05-M06-06</v>
      </c>
      <c r="G5227">
        <v>1.8264</v>
      </c>
      <c r="H5227" t="s">
        <v>12</v>
      </c>
      <c r="I5227" t="s">
        <v>10</v>
      </c>
    </row>
    <row r="5228" spans="1:9" x14ac:dyDescent="0.25">
      <c r="A5228" t="str">
        <f t="shared" si="126"/>
        <v>89301000</v>
      </c>
      <c r="B5228" t="str">
        <f>"485414435"</f>
        <v>485414435</v>
      </c>
      <c r="C5228" s="1">
        <v>45023</v>
      </c>
      <c r="D5228" s="1">
        <v>45030</v>
      </c>
      <c r="E5228">
        <v>5</v>
      </c>
      <c r="F5228" t="str">
        <f>"01-M02-00"</f>
        <v>01-M02-00</v>
      </c>
      <c r="G5228">
        <v>5.0412999999999997</v>
      </c>
      <c r="H5228" t="s">
        <v>12</v>
      </c>
      <c r="I5228" t="s">
        <v>10</v>
      </c>
    </row>
    <row r="5229" spans="1:9" x14ac:dyDescent="0.25">
      <c r="A5229" t="str">
        <f t="shared" si="126"/>
        <v>89301000</v>
      </c>
      <c r="B5229" t="str">
        <f>"485421121"</f>
        <v>485421121</v>
      </c>
      <c r="C5229" s="1">
        <v>45069</v>
      </c>
      <c r="D5229" s="1">
        <v>45072</v>
      </c>
      <c r="E5229">
        <v>1</v>
      </c>
      <c r="F5229" t="str">
        <f>"08-K11-02"</f>
        <v>08-K11-02</v>
      </c>
      <c r="G5229">
        <v>0.57040000000000002</v>
      </c>
      <c r="H5229" t="s">
        <v>11</v>
      </c>
      <c r="I5229" t="s">
        <v>10</v>
      </c>
    </row>
    <row r="5230" spans="1:9" x14ac:dyDescent="0.25">
      <c r="A5230" t="str">
        <f t="shared" si="126"/>
        <v>89301000</v>
      </c>
      <c r="B5230" t="str">
        <f>"485424405"</f>
        <v>485424405</v>
      </c>
      <c r="C5230" s="1">
        <v>45007</v>
      </c>
      <c r="D5230" s="1">
        <v>45010</v>
      </c>
      <c r="E5230">
        <v>1</v>
      </c>
      <c r="F5230" t="str">
        <f>"11-K07-02"</f>
        <v>11-K07-02</v>
      </c>
      <c r="G5230">
        <v>0.57999999999999996</v>
      </c>
      <c r="H5230" t="s">
        <v>11</v>
      </c>
      <c r="I5230" t="s">
        <v>10</v>
      </c>
    </row>
    <row r="5231" spans="1:9" x14ac:dyDescent="0.25">
      <c r="A5231" t="str">
        <f t="shared" si="126"/>
        <v>89301000</v>
      </c>
      <c r="B5231" t="str">
        <f>"485424405"</f>
        <v>485424405</v>
      </c>
      <c r="C5231" s="1">
        <v>45074</v>
      </c>
      <c r="D5231" s="1">
        <v>45080</v>
      </c>
      <c r="E5231">
        <v>1</v>
      </c>
      <c r="F5231" t="str">
        <f>"07-I04-02"</f>
        <v>07-I04-02</v>
      </c>
      <c r="G5231">
        <v>2.2502</v>
      </c>
      <c r="H5231" t="s">
        <v>14</v>
      </c>
      <c r="I5231" t="s">
        <v>10</v>
      </c>
    </row>
    <row r="5232" spans="1:9" x14ac:dyDescent="0.25">
      <c r="A5232" t="str">
        <f t="shared" si="126"/>
        <v>89301000</v>
      </c>
      <c r="B5232" t="str">
        <f>"485424465"</f>
        <v>485424465</v>
      </c>
      <c r="C5232" s="1">
        <v>45121</v>
      </c>
      <c r="D5232" s="1">
        <v>45124</v>
      </c>
      <c r="E5232">
        <v>1</v>
      </c>
      <c r="F5232" t="str">
        <f>"07-M02-04"</f>
        <v>07-M02-04</v>
      </c>
      <c r="G5232">
        <v>0.77339999999999998</v>
      </c>
      <c r="H5232" t="s">
        <v>12</v>
      </c>
      <c r="I5232" t="s">
        <v>10</v>
      </c>
    </row>
    <row r="5233" spans="1:9" x14ac:dyDescent="0.25">
      <c r="A5233" t="str">
        <f t="shared" si="126"/>
        <v>89301000</v>
      </c>
      <c r="B5233" t="str">
        <f>"485424465"</f>
        <v>485424465</v>
      </c>
      <c r="C5233" s="1">
        <v>45238</v>
      </c>
      <c r="D5233" s="1">
        <v>45241</v>
      </c>
      <c r="E5233">
        <v>1</v>
      </c>
      <c r="F5233" t="str">
        <f>"07-I10-06"</f>
        <v>07-I10-06</v>
      </c>
      <c r="G5233">
        <v>0.98419999999999996</v>
      </c>
      <c r="H5233" t="s">
        <v>12</v>
      </c>
      <c r="I5233" t="s">
        <v>10</v>
      </c>
    </row>
    <row r="5234" spans="1:9" x14ac:dyDescent="0.25">
      <c r="A5234" t="str">
        <f t="shared" si="126"/>
        <v>89301000</v>
      </c>
      <c r="B5234" t="str">
        <f>"485426405"</f>
        <v>485426405</v>
      </c>
      <c r="C5234" s="1">
        <v>45267</v>
      </c>
      <c r="D5234" s="1">
        <v>45281</v>
      </c>
      <c r="E5234">
        <v>1</v>
      </c>
      <c r="F5234" t="str">
        <f>"24-M07-02"</f>
        <v>24-M07-02</v>
      </c>
      <c r="G5234">
        <v>1.5729</v>
      </c>
      <c r="H5234" t="s">
        <v>11</v>
      </c>
      <c r="I5234" t="s">
        <v>10</v>
      </c>
    </row>
    <row r="5235" spans="1:9" x14ac:dyDescent="0.25">
      <c r="A5235" t="str">
        <f t="shared" si="126"/>
        <v>89301000</v>
      </c>
      <c r="B5235" t="str">
        <f>"485428256"</f>
        <v>485428256</v>
      </c>
      <c r="C5235" s="1">
        <v>45144</v>
      </c>
      <c r="D5235" s="1">
        <v>45148</v>
      </c>
      <c r="E5235">
        <v>1</v>
      </c>
      <c r="F5235" t="str">
        <f>"10-I13-02"</f>
        <v>10-I13-02</v>
      </c>
      <c r="G5235">
        <v>1.1124000000000001</v>
      </c>
      <c r="H5235" t="s">
        <v>9</v>
      </c>
      <c r="I5235" t="s">
        <v>10</v>
      </c>
    </row>
    <row r="5236" spans="1:9" x14ac:dyDescent="0.25">
      <c r="A5236" t="str">
        <f t="shared" si="126"/>
        <v>89301000</v>
      </c>
      <c r="B5236" t="str">
        <f>"485428256"</f>
        <v>485428256</v>
      </c>
      <c r="C5236" s="1">
        <v>45208</v>
      </c>
      <c r="D5236" s="1">
        <v>45217</v>
      </c>
      <c r="E5236">
        <v>1</v>
      </c>
      <c r="F5236" t="str">
        <f>"10-R02-01"</f>
        <v>10-R02-01</v>
      </c>
      <c r="G5236">
        <v>0.92279999999999995</v>
      </c>
      <c r="H5236" t="s">
        <v>9</v>
      </c>
      <c r="I5236" t="s">
        <v>10</v>
      </c>
    </row>
    <row r="5237" spans="1:9" x14ac:dyDescent="0.25">
      <c r="A5237" t="str">
        <f t="shared" si="126"/>
        <v>89301000</v>
      </c>
      <c r="B5237" t="str">
        <f>"485507208"</f>
        <v>485507208</v>
      </c>
      <c r="C5237" s="1">
        <v>45067</v>
      </c>
      <c r="D5237" s="1">
        <v>45075</v>
      </c>
      <c r="E5237">
        <v>1</v>
      </c>
      <c r="F5237" t="str">
        <f>"04-K06-03"</f>
        <v>04-K06-03</v>
      </c>
      <c r="G5237">
        <v>0.63190000000000002</v>
      </c>
      <c r="H5237" t="s">
        <v>11</v>
      </c>
      <c r="I5237" t="s">
        <v>10</v>
      </c>
    </row>
    <row r="5238" spans="1:9" x14ac:dyDescent="0.25">
      <c r="A5238" t="str">
        <f t="shared" si="126"/>
        <v>89301000</v>
      </c>
      <c r="B5238" t="str">
        <f>"485511456"</f>
        <v>485511456</v>
      </c>
      <c r="C5238" s="1">
        <v>45004</v>
      </c>
      <c r="D5238" s="1">
        <v>45012</v>
      </c>
      <c r="E5238">
        <v>1</v>
      </c>
      <c r="F5238" t="str">
        <f>"08-I03-04"</f>
        <v>08-I03-04</v>
      </c>
      <c r="G5238">
        <v>4.1284999999999998</v>
      </c>
      <c r="H5238" t="s">
        <v>9</v>
      </c>
      <c r="I5238" t="s">
        <v>10</v>
      </c>
    </row>
    <row r="5239" spans="1:9" x14ac:dyDescent="0.25">
      <c r="A5239" t="str">
        <f t="shared" si="126"/>
        <v>89301000</v>
      </c>
      <c r="B5239" t="str">
        <f>"485512224"</f>
        <v>485512224</v>
      </c>
      <c r="C5239" s="1">
        <v>45217</v>
      </c>
      <c r="D5239" s="1">
        <v>45218</v>
      </c>
      <c r="E5239">
        <v>1</v>
      </c>
      <c r="F5239" t="str">
        <f>"03-K04-01"</f>
        <v>03-K04-01</v>
      </c>
      <c r="G5239">
        <v>0.46479999999999999</v>
      </c>
      <c r="H5239" t="s">
        <v>11</v>
      </c>
      <c r="I5239" t="s">
        <v>10</v>
      </c>
    </row>
    <row r="5240" spans="1:9" x14ac:dyDescent="0.25">
      <c r="A5240" t="str">
        <f t="shared" si="126"/>
        <v>89301000</v>
      </c>
      <c r="B5240" t="str">
        <f>"485512224"</f>
        <v>485512224</v>
      </c>
      <c r="C5240" s="1">
        <v>45162</v>
      </c>
      <c r="D5240" s="1">
        <v>45168</v>
      </c>
      <c r="E5240">
        <v>4</v>
      </c>
      <c r="F5240" t="str">
        <f>"08-I06-04"</f>
        <v>08-I06-04</v>
      </c>
      <c r="G5240">
        <v>2.3607</v>
      </c>
      <c r="H5240" t="s">
        <v>9</v>
      </c>
      <c r="I5240" t="s">
        <v>10</v>
      </c>
    </row>
    <row r="5241" spans="1:9" x14ac:dyDescent="0.25">
      <c r="A5241" t="str">
        <f t="shared" si="126"/>
        <v>89301000</v>
      </c>
      <c r="B5241" t="str">
        <f>"485512224"</f>
        <v>485512224</v>
      </c>
      <c r="C5241" s="1">
        <v>45200</v>
      </c>
      <c r="D5241" s="1">
        <v>45202</v>
      </c>
      <c r="E5241">
        <v>1</v>
      </c>
      <c r="F5241" t="str">
        <f>"03-K04-01"</f>
        <v>03-K04-01</v>
      </c>
      <c r="G5241">
        <v>0.46479999999999999</v>
      </c>
      <c r="H5241" t="s">
        <v>11</v>
      </c>
      <c r="I5241" t="s">
        <v>10</v>
      </c>
    </row>
    <row r="5242" spans="1:9" x14ac:dyDescent="0.25">
      <c r="A5242" t="str">
        <f t="shared" si="126"/>
        <v>89301000</v>
      </c>
      <c r="B5242" t="str">
        <f>"485525412"</f>
        <v>485525412</v>
      </c>
      <c r="C5242" s="1">
        <v>45146</v>
      </c>
      <c r="D5242" s="1">
        <v>45148</v>
      </c>
      <c r="E5242">
        <v>1</v>
      </c>
      <c r="F5242" t="str">
        <f>"05-M06-08"</f>
        <v>05-M06-08</v>
      </c>
      <c r="G5242">
        <v>1.4228000000000001</v>
      </c>
      <c r="H5242" t="s">
        <v>12</v>
      </c>
      <c r="I5242" t="s">
        <v>10</v>
      </c>
    </row>
    <row r="5243" spans="1:9" x14ac:dyDescent="0.25">
      <c r="A5243" t="str">
        <f t="shared" si="126"/>
        <v>89301000</v>
      </c>
      <c r="B5243" t="str">
        <f>"485525412"</f>
        <v>485525412</v>
      </c>
      <c r="C5243" s="1">
        <v>45161</v>
      </c>
      <c r="D5243" s="1">
        <v>45167</v>
      </c>
      <c r="E5243">
        <v>1</v>
      </c>
      <c r="F5243" t="str">
        <f>"05-M01-03"</f>
        <v>05-M01-03</v>
      </c>
      <c r="G5243">
        <v>11.4411</v>
      </c>
      <c r="H5243" t="s">
        <v>12</v>
      </c>
      <c r="I5243" t="s">
        <v>10</v>
      </c>
    </row>
    <row r="5244" spans="1:9" x14ac:dyDescent="0.25">
      <c r="A5244" t="str">
        <f t="shared" si="126"/>
        <v>89301000</v>
      </c>
      <c r="B5244" t="str">
        <f>"485527415"</f>
        <v>485527415</v>
      </c>
      <c r="C5244" s="1">
        <v>45184</v>
      </c>
      <c r="D5244" s="1">
        <v>45190</v>
      </c>
      <c r="E5244">
        <v>1</v>
      </c>
      <c r="F5244" t="str">
        <f>"05-K07-03"</f>
        <v>05-K07-03</v>
      </c>
      <c r="G5244">
        <v>1.7626999999999999</v>
      </c>
      <c r="H5244" t="s">
        <v>11</v>
      </c>
      <c r="I5244" t="s">
        <v>10</v>
      </c>
    </row>
    <row r="5245" spans="1:9" x14ac:dyDescent="0.25">
      <c r="A5245" t="str">
        <f t="shared" si="126"/>
        <v>89301000</v>
      </c>
      <c r="B5245" t="str">
        <f>"485529411"</f>
        <v>485529411</v>
      </c>
      <c r="C5245" s="1">
        <v>45001</v>
      </c>
      <c r="D5245" s="1">
        <v>45007</v>
      </c>
      <c r="E5245">
        <v>1</v>
      </c>
      <c r="F5245" t="str">
        <f>"01-K11-03"</f>
        <v>01-K11-03</v>
      </c>
      <c r="G5245">
        <v>1.6458999999999999</v>
      </c>
      <c r="H5245" t="s">
        <v>11</v>
      </c>
      <c r="I5245" t="s">
        <v>10</v>
      </c>
    </row>
    <row r="5246" spans="1:9" x14ac:dyDescent="0.25">
      <c r="A5246" t="str">
        <f t="shared" si="126"/>
        <v>89301000</v>
      </c>
      <c r="B5246" t="str">
        <f>"485606420"</f>
        <v>485606420</v>
      </c>
      <c r="C5246" s="1">
        <v>45095</v>
      </c>
      <c r="D5246" s="1">
        <v>45098</v>
      </c>
      <c r="E5246">
        <v>1</v>
      </c>
      <c r="F5246" t="str">
        <f>"08-M03-05"</f>
        <v>08-M03-05</v>
      </c>
      <c r="G5246">
        <v>0.46810000000000002</v>
      </c>
      <c r="H5246" t="s">
        <v>11</v>
      </c>
      <c r="I5246" t="s">
        <v>10</v>
      </c>
    </row>
    <row r="5247" spans="1:9" x14ac:dyDescent="0.25">
      <c r="A5247" t="str">
        <f t="shared" si="126"/>
        <v>89301000</v>
      </c>
      <c r="B5247" t="str">
        <f>"485607418"</f>
        <v>485607418</v>
      </c>
      <c r="C5247" s="1">
        <v>45204</v>
      </c>
      <c r="D5247" s="1">
        <v>45204</v>
      </c>
      <c r="E5247">
        <v>1</v>
      </c>
      <c r="F5247" t="str">
        <f>"05-D01-08"</f>
        <v>05-D01-08</v>
      </c>
      <c r="G5247">
        <v>0.2303</v>
      </c>
      <c r="H5247" t="s">
        <v>11</v>
      </c>
      <c r="I5247" t="s">
        <v>10</v>
      </c>
    </row>
    <row r="5248" spans="1:9" x14ac:dyDescent="0.25">
      <c r="A5248" t="str">
        <f t="shared" si="126"/>
        <v>89301000</v>
      </c>
      <c r="B5248" t="str">
        <f>"485616419"</f>
        <v>485616419</v>
      </c>
      <c r="C5248" s="1">
        <v>45027</v>
      </c>
      <c r="D5248" s="1">
        <v>45029</v>
      </c>
      <c r="E5248">
        <v>1</v>
      </c>
      <c r="F5248" t="str">
        <f>"13-I19-00"</f>
        <v>13-I19-00</v>
      </c>
      <c r="G5248">
        <v>0.28249999999999997</v>
      </c>
      <c r="H5248" t="s">
        <v>11</v>
      </c>
      <c r="I5248" t="s">
        <v>10</v>
      </c>
    </row>
    <row r="5249" spans="1:9" x14ac:dyDescent="0.25">
      <c r="A5249" t="str">
        <f t="shared" si="126"/>
        <v>89301000</v>
      </c>
      <c r="B5249" t="str">
        <f>"485616419"</f>
        <v>485616419</v>
      </c>
      <c r="C5249" s="1">
        <v>45077</v>
      </c>
      <c r="D5249" s="1">
        <v>45082</v>
      </c>
      <c r="E5249">
        <v>1</v>
      </c>
      <c r="F5249" t="str">
        <f>"13-I04-01"</f>
        <v>13-I04-01</v>
      </c>
      <c r="G5249">
        <v>2.8856000000000002</v>
      </c>
      <c r="H5249" t="s">
        <v>14</v>
      </c>
      <c r="I5249" t="s">
        <v>10</v>
      </c>
    </row>
    <row r="5250" spans="1:9" x14ac:dyDescent="0.25">
      <c r="A5250" t="str">
        <f t="shared" si="126"/>
        <v>89301000</v>
      </c>
      <c r="B5250" t="str">
        <f>"485618410"</f>
        <v>485618410</v>
      </c>
      <c r="C5250" s="1">
        <v>45103</v>
      </c>
      <c r="D5250" s="1">
        <v>45107</v>
      </c>
      <c r="E5250">
        <v>3</v>
      </c>
      <c r="F5250" t="str">
        <f>"08-I06-04"</f>
        <v>08-I06-04</v>
      </c>
      <c r="G5250">
        <v>2.363</v>
      </c>
      <c r="H5250" t="s">
        <v>9</v>
      </c>
      <c r="I5250" t="s">
        <v>10</v>
      </c>
    </row>
    <row r="5251" spans="1:9" x14ac:dyDescent="0.25">
      <c r="A5251" t="str">
        <f t="shared" si="126"/>
        <v>89301000</v>
      </c>
      <c r="B5251" t="str">
        <f>"485618410"</f>
        <v>485618410</v>
      </c>
      <c r="C5251" s="1">
        <v>45107</v>
      </c>
      <c r="D5251" s="1">
        <v>45121</v>
      </c>
      <c r="E5251">
        <v>1</v>
      </c>
      <c r="F5251" t="str">
        <f>"24-M07-02"</f>
        <v>24-M07-02</v>
      </c>
      <c r="G5251">
        <v>1.5729</v>
      </c>
      <c r="H5251" t="s">
        <v>11</v>
      </c>
      <c r="I5251" t="s">
        <v>10</v>
      </c>
    </row>
    <row r="5252" spans="1:9" x14ac:dyDescent="0.25">
      <c r="A5252" t="str">
        <f t="shared" si="126"/>
        <v>89301000</v>
      </c>
      <c r="B5252" t="str">
        <f>"485618410"</f>
        <v>485618410</v>
      </c>
      <c r="C5252" s="1">
        <v>45166</v>
      </c>
      <c r="D5252" s="1">
        <v>45167</v>
      </c>
      <c r="E5252">
        <v>1</v>
      </c>
      <c r="F5252" t="str">
        <f>"01-D01-03"</f>
        <v>01-D01-03</v>
      </c>
      <c r="G5252">
        <v>0.16200000000000001</v>
      </c>
      <c r="H5252" t="s">
        <v>11</v>
      </c>
      <c r="I5252" t="s">
        <v>10</v>
      </c>
    </row>
    <row r="5253" spans="1:9" x14ac:dyDescent="0.25">
      <c r="A5253" t="str">
        <f t="shared" si="126"/>
        <v>89301000</v>
      </c>
      <c r="B5253" t="str">
        <f>"485622205"</f>
        <v>485622205</v>
      </c>
      <c r="C5253" s="1">
        <v>45271</v>
      </c>
      <c r="D5253" s="1">
        <v>45284</v>
      </c>
      <c r="E5253">
        <v>1</v>
      </c>
      <c r="F5253" t="str">
        <f>"05-I12-03"</f>
        <v>05-I12-03</v>
      </c>
      <c r="G5253">
        <v>6.7502000000000004</v>
      </c>
      <c r="H5253" t="s">
        <v>14</v>
      </c>
      <c r="I5253" t="s">
        <v>10</v>
      </c>
    </row>
    <row r="5254" spans="1:9" x14ac:dyDescent="0.25">
      <c r="A5254" t="str">
        <f t="shared" si="126"/>
        <v>89301000</v>
      </c>
      <c r="B5254" t="str">
        <f>"485622205"</f>
        <v>485622205</v>
      </c>
      <c r="C5254" s="1">
        <v>45253</v>
      </c>
      <c r="D5254" s="1">
        <v>45253</v>
      </c>
      <c r="E5254">
        <v>1</v>
      </c>
      <c r="F5254" t="str">
        <f>"05-D01-08"</f>
        <v>05-D01-08</v>
      </c>
      <c r="G5254">
        <v>0.2303</v>
      </c>
      <c r="H5254" t="s">
        <v>11</v>
      </c>
      <c r="I5254" t="s">
        <v>10</v>
      </c>
    </row>
    <row r="5255" spans="1:9" x14ac:dyDescent="0.25">
      <c r="A5255" t="str">
        <f t="shared" si="126"/>
        <v>89301000</v>
      </c>
      <c r="B5255" t="str">
        <f>"485629404"</f>
        <v>485629404</v>
      </c>
      <c r="C5255" s="1">
        <v>45265</v>
      </c>
      <c r="D5255" s="1">
        <v>45274</v>
      </c>
      <c r="E5255">
        <v>1</v>
      </c>
      <c r="F5255" t="str">
        <f>"01-I09-02"</f>
        <v>01-I09-02</v>
      </c>
      <c r="G5255">
        <v>1.5277000000000001</v>
      </c>
      <c r="H5255" t="s">
        <v>12</v>
      </c>
      <c r="I5255" t="s">
        <v>10</v>
      </c>
    </row>
    <row r="5256" spans="1:9" x14ac:dyDescent="0.25">
      <c r="A5256" t="str">
        <f t="shared" si="126"/>
        <v>89301000</v>
      </c>
      <c r="B5256" t="str">
        <f>"485630404"</f>
        <v>485630404</v>
      </c>
      <c r="C5256" s="1">
        <v>44957</v>
      </c>
      <c r="D5256" s="1">
        <v>44958</v>
      </c>
      <c r="E5256">
        <v>1</v>
      </c>
      <c r="F5256" t="str">
        <f>"05-D01-08"</f>
        <v>05-D01-08</v>
      </c>
      <c r="G5256">
        <v>0.43159999999999998</v>
      </c>
      <c r="H5256" t="s">
        <v>11</v>
      </c>
      <c r="I5256" t="s">
        <v>10</v>
      </c>
    </row>
    <row r="5257" spans="1:9" x14ac:dyDescent="0.25">
      <c r="A5257" t="str">
        <f t="shared" si="126"/>
        <v>89301000</v>
      </c>
      <c r="B5257" t="str">
        <f>"485703063"</f>
        <v>485703063</v>
      </c>
      <c r="C5257" s="1">
        <v>44963</v>
      </c>
      <c r="D5257" s="1">
        <v>44965</v>
      </c>
      <c r="E5257">
        <v>1</v>
      </c>
      <c r="F5257" t="str">
        <f>"11-I14-02"</f>
        <v>11-I14-02</v>
      </c>
      <c r="G5257">
        <v>0.61839999999999995</v>
      </c>
      <c r="H5257" t="s">
        <v>9</v>
      </c>
      <c r="I5257" t="s">
        <v>10</v>
      </c>
    </row>
    <row r="5258" spans="1:9" x14ac:dyDescent="0.25">
      <c r="A5258" t="str">
        <f t="shared" si="126"/>
        <v>89301000</v>
      </c>
      <c r="B5258" t="str">
        <f>"485705124"</f>
        <v>485705124</v>
      </c>
      <c r="C5258" s="1">
        <v>45008</v>
      </c>
      <c r="D5258" s="1">
        <v>45009</v>
      </c>
      <c r="E5258">
        <v>1</v>
      </c>
      <c r="F5258" t="str">
        <f>"05-D01-08"</f>
        <v>05-D01-08</v>
      </c>
      <c r="G5258">
        <v>0.43159999999999998</v>
      </c>
      <c r="H5258" t="s">
        <v>11</v>
      </c>
      <c r="I5258" t="s">
        <v>10</v>
      </c>
    </row>
    <row r="5259" spans="1:9" x14ac:dyDescent="0.25">
      <c r="A5259" t="str">
        <f t="shared" si="126"/>
        <v>89301000</v>
      </c>
      <c r="B5259" t="str">
        <f>"485705124"</f>
        <v>485705124</v>
      </c>
      <c r="C5259" s="1">
        <v>44931</v>
      </c>
      <c r="D5259" s="1">
        <v>44944</v>
      </c>
      <c r="E5259">
        <v>1</v>
      </c>
      <c r="F5259" t="str">
        <f>"18-K02-03"</f>
        <v>18-K02-03</v>
      </c>
      <c r="G5259">
        <v>0.9234</v>
      </c>
      <c r="H5259" t="s">
        <v>11</v>
      </c>
      <c r="I5259" t="s">
        <v>10</v>
      </c>
    </row>
    <row r="5260" spans="1:9" x14ac:dyDescent="0.25">
      <c r="A5260" t="str">
        <f t="shared" si="126"/>
        <v>89301000</v>
      </c>
      <c r="B5260" t="str">
        <f>"485708414"</f>
        <v>485708414</v>
      </c>
      <c r="C5260" s="1">
        <v>44973</v>
      </c>
      <c r="D5260" s="1">
        <v>44979</v>
      </c>
      <c r="E5260">
        <v>1</v>
      </c>
      <c r="F5260" t="str">
        <f>"08-I06-04"</f>
        <v>08-I06-04</v>
      </c>
      <c r="G5260">
        <v>2.3483999999999998</v>
      </c>
      <c r="H5260" t="s">
        <v>9</v>
      </c>
      <c r="I5260" t="s">
        <v>10</v>
      </c>
    </row>
    <row r="5261" spans="1:9" x14ac:dyDescent="0.25">
      <c r="A5261" t="str">
        <f t="shared" si="126"/>
        <v>89301000</v>
      </c>
      <c r="B5261" t="str">
        <f>"485728409"</f>
        <v>485728409</v>
      </c>
      <c r="C5261" s="1">
        <v>44973</v>
      </c>
      <c r="D5261" s="1">
        <v>44974</v>
      </c>
      <c r="E5261">
        <v>1</v>
      </c>
      <c r="F5261" t="str">
        <f>"05-M06-08"</f>
        <v>05-M06-08</v>
      </c>
      <c r="G5261">
        <v>1.4228000000000001</v>
      </c>
      <c r="H5261" t="s">
        <v>12</v>
      </c>
      <c r="I5261" t="s">
        <v>10</v>
      </c>
    </row>
    <row r="5262" spans="1:9" x14ac:dyDescent="0.25">
      <c r="A5262" t="str">
        <f t="shared" si="126"/>
        <v>89301000</v>
      </c>
      <c r="B5262" t="str">
        <f>"485730034"</f>
        <v>485730034</v>
      </c>
      <c r="C5262" s="1">
        <v>45117</v>
      </c>
      <c r="D5262" s="1">
        <v>45124</v>
      </c>
      <c r="E5262">
        <v>1</v>
      </c>
      <c r="F5262" t="str">
        <f>"04-I02-03"</f>
        <v>04-I02-03</v>
      </c>
      <c r="G5262">
        <v>3.6791</v>
      </c>
      <c r="H5262" t="s">
        <v>14</v>
      </c>
      <c r="I5262" t="s">
        <v>10</v>
      </c>
    </row>
    <row r="5263" spans="1:9" x14ac:dyDescent="0.25">
      <c r="A5263" t="str">
        <f t="shared" si="126"/>
        <v>89301000</v>
      </c>
      <c r="B5263" t="str">
        <f>"485730034"</f>
        <v>485730034</v>
      </c>
      <c r="C5263" s="1">
        <v>45077</v>
      </c>
      <c r="D5263" s="1">
        <v>45083</v>
      </c>
      <c r="E5263">
        <v>1</v>
      </c>
      <c r="F5263" t="str">
        <f>"04-K10-02"</f>
        <v>04-K10-02</v>
      </c>
      <c r="G5263">
        <v>0.40129999999999999</v>
      </c>
      <c r="H5263" t="s">
        <v>11</v>
      </c>
      <c r="I5263" t="s">
        <v>10</v>
      </c>
    </row>
    <row r="5264" spans="1:9" x14ac:dyDescent="0.25">
      <c r="A5264" t="str">
        <f t="shared" si="126"/>
        <v>89301000</v>
      </c>
      <c r="B5264" t="str">
        <f>"485731417"</f>
        <v>485731417</v>
      </c>
      <c r="C5264" s="1">
        <v>45189</v>
      </c>
      <c r="D5264" s="1">
        <v>45198</v>
      </c>
      <c r="E5264">
        <v>1</v>
      </c>
      <c r="F5264" t="str">
        <f>"05-I24-04"</f>
        <v>05-I24-04</v>
      </c>
      <c r="G5264">
        <v>2.1410999999999998</v>
      </c>
      <c r="H5264" t="s">
        <v>12</v>
      </c>
      <c r="I5264" t="s">
        <v>10</v>
      </c>
    </row>
    <row r="5265" spans="1:9" x14ac:dyDescent="0.25">
      <c r="A5265" t="str">
        <f t="shared" ref="A5265:A5328" si="127">"89301000"</f>
        <v>89301000</v>
      </c>
      <c r="B5265" t="str">
        <f>"485731417"</f>
        <v>485731417</v>
      </c>
      <c r="C5265" s="1">
        <v>45218</v>
      </c>
      <c r="D5265" s="1">
        <v>45221</v>
      </c>
      <c r="E5265">
        <v>1</v>
      </c>
      <c r="F5265" t="str">
        <f>"05-I24-02"</f>
        <v>05-I24-02</v>
      </c>
      <c r="G5265">
        <v>3.9392</v>
      </c>
      <c r="H5265" t="s">
        <v>12</v>
      </c>
      <c r="I5265" t="s">
        <v>10</v>
      </c>
    </row>
    <row r="5266" spans="1:9" x14ac:dyDescent="0.25">
      <c r="A5266" t="str">
        <f t="shared" si="127"/>
        <v>89301000</v>
      </c>
      <c r="B5266" t="str">
        <f>"485804182"</f>
        <v>485804182</v>
      </c>
      <c r="C5266" s="1">
        <v>45217</v>
      </c>
      <c r="D5266" s="1">
        <v>45223</v>
      </c>
      <c r="E5266">
        <v>1</v>
      </c>
      <c r="F5266" t="str">
        <f>"09-K04-02"</f>
        <v>09-K04-02</v>
      </c>
      <c r="G5266">
        <v>0.64849999999999997</v>
      </c>
      <c r="H5266" t="s">
        <v>11</v>
      </c>
      <c r="I5266" t="s">
        <v>10</v>
      </c>
    </row>
    <row r="5267" spans="1:9" x14ac:dyDescent="0.25">
      <c r="A5267" t="str">
        <f t="shared" si="127"/>
        <v>89301000</v>
      </c>
      <c r="B5267" t="str">
        <f>"485804417"</f>
        <v>485804417</v>
      </c>
      <c r="C5267" s="1">
        <v>45172</v>
      </c>
      <c r="D5267" s="1">
        <v>45176</v>
      </c>
      <c r="E5267">
        <v>1</v>
      </c>
      <c r="F5267" t="str">
        <f>"11-I07-01"</f>
        <v>11-I07-01</v>
      </c>
      <c r="G5267">
        <v>2.7482000000000002</v>
      </c>
      <c r="H5267" t="s">
        <v>9</v>
      </c>
      <c r="I5267" t="s">
        <v>10</v>
      </c>
    </row>
    <row r="5268" spans="1:9" x14ac:dyDescent="0.25">
      <c r="A5268" t="str">
        <f t="shared" si="127"/>
        <v>89301000</v>
      </c>
      <c r="B5268" t="str">
        <f>"485806410"</f>
        <v>485806410</v>
      </c>
      <c r="C5268" s="1">
        <v>45127</v>
      </c>
      <c r="D5268" s="1">
        <v>45131</v>
      </c>
      <c r="E5268">
        <v>1</v>
      </c>
      <c r="F5268" t="str">
        <f>"13-I06-02"</f>
        <v>13-I06-02</v>
      </c>
      <c r="G5268">
        <v>1.8261000000000001</v>
      </c>
      <c r="H5268" t="s">
        <v>14</v>
      </c>
      <c r="I5268" t="s">
        <v>10</v>
      </c>
    </row>
    <row r="5269" spans="1:9" x14ac:dyDescent="0.25">
      <c r="A5269" t="str">
        <f t="shared" si="127"/>
        <v>89301000</v>
      </c>
      <c r="B5269" t="str">
        <f>"485821096"</f>
        <v>485821096</v>
      </c>
      <c r="C5269" s="1">
        <v>45034</v>
      </c>
      <c r="D5269" s="1">
        <v>45064</v>
      </c>
      <c r="E5269">
        <v>1</v>
      </c>
      <c r="F5269" t="str">
        <f>"19-K08-02"</f>
        <v>19-K08-02</v>
      </c>
      <c r="G5269">
        <v>4.4416000000000002</v>
      </c>
      <c r="H5269" t="s">
        <v>15</v>
      </c>
      <c r="I5269" t="s">
        <v>10</v>
      </c>
    </row>
    <row r="5270" spans="1:9" x14ac:dyDescent="0.25">
      <c r="A5270" t="str">
        <f t="shared" si="127"/>
        <v>89301000</v>
      </c>
      <c r="B5270" t="str">
        <f>"485829405"</f>
        <v>485829405</v>
      </c>
      <c r="C5270" s="1">
        <v>45211</v>
      </c>
      <c r="D5270" s="1">
        <v>45213</v>
      </c>
      <c r="E5270">
        <v>1</v>
      </c>
      <c r="F5270" t="str">
        <f>"09-I06-04"</f>
        <v>09-I06-04</v>
      </c>
      <c r="G5270">
        <v>0.98899999999999999</v>
      </c>
      <c r="H5270" t="s">
        <v>12</v>
      </c>
      <c r="I5270" t="s">
        <v>10</v>
      </c>
    </row>
    <row r="5271" spans="1:9" x14ac:dyDescent="0.25">
      <c r="A5271" t="str">
        <f t="shared" si="127"/>
        <v>89301000</v>
      </c>
      <c r="B5271" t="str">
        <f>"485905401"</f>
        <v>485905401</v>
      </c>
      <c r="C5271" s="1">
        <v>44936</v>
      </c>
      <c r="D5271" s="1">
        <v>44939</v>
      </c>
      <c r="E5271">
        <v>1</v>
      </c>
      <c r="F5271" t="str">
        <f>"17-C05-05"</f>
        <v>17-C05-05</v>
      </c>
      <c r="G5271">
        <v>0.66069999999999995</v>
      </c>
      <c r="H5271" t="s">
        <v>11</v>
      </c>
      <c r="I5271" t="s">
        <v>10</v>
      </c>
    </row>
    <row r="5272" spans="1:9" x14ac:dyDescent="0.25">
      <c r="A5272" t="str">
        <f t="shared" si="127"/>
        <v>89301000</v>
      </c>
      <c r="B5272" t="str">
        <f>"485906161"</f>
        <v>485906161</v>
      </c>
      <c r="C5272" s="1">
        <v>45020</v>
      </c>
      <c r="D5272" s="1">
        <v>45023</v>
      </c>
      <c r="E5272">
        <v>1</v>
      </c>
      <c r="F5272" t="str">
        <f>"13-I14-03"</f>
        <v>13-I14-03</v>
      </c>
      <c r="G5272">
        <v>0.87760000000000005</v>
      </c>
      <c r="H5272" t="s">
        <v>9</v>
      </c>
      <c r="I5272" t="s">
        <v>10</v>
      </c>
    </row>
    <row r="5273" spans="1:9" x14ac:dyDescent="0.25">
      <c r="A5273" t="str">
        <f t="shared" si="127"/>
        <v>89301000</v>
      </c>
      <c r="B5273" t="str">
        <f>"485906161"</f>
        <v>485906161</v>
      </c>
      <c r="C5273" s="1">
        <v>45057</v>
      </c>
      <c r="D5273" s="1">
        <v>45063</v>
      </c>
      <c r="E5273">
        <v>1</v>
      </c>
      <c r="F5273" t="str">
        <f>"13-I07-01"</f>
        <v>13-I07-01</v>
      </c>
      <c r="G5273">
        <v>2.2021000000000002</v>
      </c>
      <c r="H5273" t="s">
        <v>14</v>
      </c>
      <c r="I5273" t="s">
        <v>10</v>
      </c>
    </row>
    <row r="5274" spans="1:9" x14ac:dyDescent="0.25">
      <c r="A5274" t="str">
        <f t="shared" si="127"/>
        <v>89301000</v>
      </c>
      <c r="B5274" t="str">
        <f>"485911103"</f>
        <v>485911103</v>
      </c>
      <c r="C5274" s="1">
        <v>45075</v>
      </c>
      <c r="D5274" s="1">
        <v>45079</v>
      </c>
      <c r="E5274">
        <v>1</v>
      </c>
      <c r="F5274" t="str">
        <f>"07-K05-02"</f>
        <v>07-K05-02</v>
      </c>
      <c r="G5274">
        <v>0.64410000000000001</v>
      </c>
      <c r="H5274" t="s">
        <v>11</v>
      </c>
      <c r="I5274" t="s">
        <v>10</v>
      </c>
    </row>
    <row r="5275" spans="1:9" x14ac:dyDescent="0.25">
      <c r="A5275" t="str">
        <f t="shared" si="127"/>
        <v>89301000</v>
      </c>
      <c r="B5275" t="str">
        <f>"485911103"</f>
        <v>485911103</v>
      </c>
      <c r="C5275" s="1">
        <v>45209</v>
      </c>
      <c r="D5275" s="1">
        <v>45222</v>
      </c>
      <c r="E5275">
        <v>1</v>
      </c>
      <c r="F5275" t="str">
        <f>"07-I10-04"</f>
        <v>07-I10-04</v>
      </c>
      <c r="G5275">
        <v>1.5257000000000001</v>
      </c>
      <c r="H5275" t="s">
        <v>12</v>
      </c>
      <c r="I5275" t="s">
        <v>10</v>
      </c>
    </row>
    <row r="5276" spans="1:9" x14ac:dyDescent="0.25">
      <c r="A5276" t="str">
        <f t="shared" si="127"/>
        <v>89301000</v>
      </c>
      <c r="B5276" t="str">
        <f>"485913405"</f>
        <v>485913405</v>
      </c>
      <c r="C5276" s="1">
        <v>45034</v>
      </c>
      <c r="D5276" s="1">
        <v>45040</v>
      </c>
      <c r="E5276">
        <v>4</v>
      </c>
      <c r="F5276" t="str">
        <f>"08-I06-04"</f>
        <v>08-I06-04</v>
      </c>
      <c r="G5276">
        <v>2.3660999999999999</v>
      </c>
      <c r="H5276" t="s">
        <v>9</v>
      </c>
      <c r="I5276" t="s">
        <v>10</v>
      </c>
    </row>
    <row r="5277" spans="1:9" x14ac:dyDescent="0.25">
      <c r="A5277" t="str">
        <f t="shared" si="127"/>
        <v>89301000</v>
      </c>
      <c r="B5277" t="str">
        <f>"485916412"</f>
        <v>485916412</v>
      </c>
      <c r="C5277" s="1">
        <v>44938</v>
      </c>
      <c r="D5277" s="1">
        <v>44940</v>
      </c>
      <c r="E5277">
        <v>1</v>
      </c>
      <c r="F5277" t="str">
        <f>"09-I06-04"</f>
        <v>09-I06-04</v>
      </c>
      <c r="G5277">
        <v>0.98799999999999999</v>
      </c>
      <c r="H5277" t="s">
        <v>12</v>
      </c>
      <c r="I5277" t="s">
        <v>10</v>
      </c>
    </row>
    <row r="5278" spans="1:9" x14ac:dyDescent="0.25">
      <c r="A5278" t="str">
        <f t="shared" si="127"/>
        <v>89301000</v>
      </c>
      <c r="B5278" t="str">
        <f>"485916412"</f>
        <v>485916412</v>
      </c>
      <c r="C5278" s="1">
        <v>45153</v>
      </c>
      <c r="D5278" s="1">
        <v>45162</v>
      </c>
      <c r="E5278">
        <v>1</v>
      </c>
      <c r="F5278" t="str">
        <f>"06-I07-06"</f>
        <v>06-I07-06</v>
      </c>
      <c r="G5278">
        <v>2.3725000000000001</v>
      </c>
      <c r="H5278" t="s">
        <v>12</v>
      </c>
      <c r="I5278" t="s">
        <v>10</v>
      </c>
    </row>
    <row r="5279" spans="1:9" x14ac:dyDescent="0.25">
      <c r="A5279" t="str">
        <f t="shared" si="127"/>
        <v>89301000</v>
      </c>
      <c r="B5279" t="str">
        <f>"485918149"</f>
        <v>485918149</v>
      </c>
      <c r="C5279" s="1">
        <v>45281</v>
      </c>
      <c r="D5279" s="1">
        <v>45283</v>
      </c>
      <c r="E5279">
        <v>1</v>
      </c>
      <c r="F5279" t="str">
        <f>"04-K03-02"</f>
        <v>04-K03-02</v>
      </c>
      <c r="G5279">
        <v>0.80810000000000004</v>
      </c>
      <c r="H5279" t="s">
        <v>11</v>
      </c>
      <c r="I5279" t="s">
        <v>10</v>
      </c>
    </row>
    <row r="5280" spans="1:9" x14ac:dyDescent="0.25">
      <c r="A5280" t="str">
        <f t="shared" si="127"/>
        <v>89301000</v>
      </c>
      <c r="B5280" t="str">
        <f>"485919420"</f>
        <v>485919420</v>
      </c>
      <c r="C5280" s="1">
        <v>45211</v>
      </c>
      <c r="D5280" s="1">
        <v>45217</v>
      </c>
      <c r="E5280">
        <v>1</v>
      </c>
      <c r="F5280" t="str">
        <f>"08-I03-06"</f>
        <v>08-I03-06</v>
      </c>
      <c r="G5280">
        <v>3.2523</v>
      </c>
      <c r="H5280" t="s">
        <v>9</v>
      </c>
      <c r="I5280" t="s">
        <v>10</v>
      </c>
    </row>
    <row r="5281" spans="1:9" x14ac:dyDescent="0.25">
      <c r="A5281" t="str">
        <f t="shared" si="127"/>
        <v>89301000</v>
      </c>
      <c r="B5281" t="str">
        <f>"485922179"</f>
        <v>485922179</v>
      </c>
      <c r="C5281" s="1">
        <v>45187</v>
      </c>
      <c r="D5281" s="1">
        <v>45196</v>
      </c>
      <c r="E5281">
        <v>1</v>
      </c>
      <c r="F5281" t="str">
        <f>"24-M06-02"</f>
        <v>24-M06-02</v>
      </c>
      <c r="G5281">
        <v>1.0699000000000001</v>
      </c>
      <c r="H5281" t="s">
        <v>11</v>
      </c>
      <c r="I5281" t="s">
        <v>10</v>
      </c>
    </row>
    <row r="5282" spans="1:9" x14ac:dyDescent="0.25">
      <c r="A5282" t="str">
        <f t="shared" si="127"/>
        <v>89301000</v>
      </c>
      <c r="B5282" t="str">
        <f>"485922179"</f>
        <v>485922179</v>
      </c>
      <c r="C5282" s="1">
        <v>45000</v>
      </c>
      <c r="D5282" s="1">
        <v>45002</v>
      </c>
      <c r="E5282">
        <v>1</v>
      </c>
      <c r="F5282" t="str">
        <f>"01-K18-04"</f>
        <v>01-K18-04</v>
      </c>
      <c r="G5282">
        <v>0.54610000000000003</v>
      </c>
      <c r="H5282" t="s">
        <v>11</v>
      </c>
      <c r="I5282" t="s">
        <v>10</v>
      </c>
    </row>
    <row r="5283" spans="1:9" x14ac:dyDescent="0.25">
      <c r="A5283" t="str">
        <f t="shared" si="127"/>
        <v>89301000</v>
      </c>
      <c r="B5283" t="str">
        <f>"485924138"</f>
        <v>485924138</v>
      </c>
      <c r="C5283" s="1">
        <v>45228</v>
      </c>
      <c r="D5283" s="1">
        <v>45233</v>
      </c>
      <c r="E5283">
        <v>1</v>
      </c>
      <c r="F5283" t="str">
        <f>"07-M02-04"</f>
        <v>07-M02-04</v>
      </c>
      <c r="G5283">
        <v>0.82930000000000004</v>
      </c>
      <c r="H5283" t="s">
        <v>12</v>
      </c>
      <c r="I5283" t="s">
        <v>10</v>
      </c>
    </row>
    <row r="5284" spans="1:9" x14ac:dyDescent="0.25">
      <c r="A5284" t="str">
        <f t="shared" si="127"/>
        <v>89301000</v>
      </c>
      <c r="B5284" t="str">
        <f>"485924401"</f>
        <v>485924401</v>
      </c>
      <c r="C5284" s="1">
        <v>45196</v>
      </c>
      <c r="D5284" s="1">
        <v>45198</v>
      </c>
      <c r="E5284">
        <v>1</v>
      </c>
      <c r="F5284" t="str">
        <f>"05-D01-08"</f>
        <v>05-D01-08</v>
      </c>
      <c r="G5284">
        <v>0.43159999999999998</v>
      </c>
      <c r="H5284" t="s">
        <v>11</v>
      </c>
      <c r="I5284" t="s">
        <v>10</v>
      </c>
    </row>
    <row r="5285" spans="1:9" x14ac:dyDescent="0.25">
      <c r="A5285" t="str">
        <f t="shared" si="127"/>
        <v>89301000</v>
      </c>
      <c r="B5285" t="str">
        <f>"485925425"</f>
        <v>485925425</v>
      </c>
      <c r="C5285" s="1">
        <v>45032</v>
      </c>
      <c r="D5285" s="1">
        <v>45035</v>
      </c>
      <c r="E5285">
        <v>1</v>
      </c>
      <c r="F5285" t="str">
        <f>"13-I13-02"</f>
        <v>13-I13-02</v>
      </c>
      <c r="G5285">
        <v>0.94840000000000002</v>
      </c>
      <c r="H5285" t="s">
        <v>12</v>
      </c>
      <c r="I5285" t="s">
        <v>10</v>
      </c>
    </row>
    <row r="5286" spans="1:9" x14ac:dyDescent="0.25">
      <c r="A5286" t="str">
        <f t="shared" si="127"/>
        <v>89301000</v>
      </c>
      <c r="B5286" t="str">
        <f>"485925479"</f>
        <v>485925479</v>
      </c>
      <c r="C5286" s="1">
        <v>45086</v>
      </c>
      <c r="D5286" s="1">
        <v>45086</v>
      </c>
      <c r="E5286">
        <v>1</v>
      </c>
      <c r="F5286" t="str">
        <f>"05-D01-02"</f>
        <v>05-D01-02</v>
      </c>
      <c r="G5286">
        <v>0.1414</v>
      </c>
      <c r="H5286" t="s">
        <v>11</v>
      </c>
      <c r="I5286" t="s">
        <v>10</v>
      </c>
    </row>
    <row r="5287" spans="1:9" x14ac:dyDescent="0.25">
      <c r="A5287" t="str">
        <f t="shared" si="127"/>
        <v>89301000</v>
      </c>
      <c r="B5287" t="str">
        <f>"485926257"</f>
        <v>485926257</v>
      </c>
      <c r="C5287" s="1">
        <v>45132</v>
      </c>
      <c r="D5287" s="1">
        <v>45133</v>
      </c>
      <c r="E5287">
        <v>1</v>
      </c>
      <c r="F5287" t="str">
        <f>"01-I03-02"</f>
        <v>01-I03-02</v>
      </c>
      <c r="G5287">
        <v>0.63839999999999997</v>
      </c>
      <c r="H5287" t="s">
        <v>14</v>
      </c>
      <c r="I5287" t="s">
        <v>10</v>
      </c>
    </row>
    <row r="5288" spans="1:9" x14ac:dyDescent="0.25">
      <c r="A5288" t="str">
        <f t="shared" si="127"/>
        <v>89301000</v>
      </c>
      <c r="B5288" t="str">
        <f>"485929403"</f>
        <v>485929403</v>
      </c>
      <c r="C5288" s="1">
        <v>45000</v>
      </c>
      <c r="D5288" s="1">
        <v>45005</v>
      </c>
      <c r="E5288">
        <v>1</v>
      </c>
      <c r="F5288" t="str">
        <f>"05-D01-08"</f>
        <v>05-D01-08</v>
      </c>
      <c r="G5288">
        <v>0.5121</v>
      </c>
      <c r="H5288" t="s">
        <v>11</v>
      </c>
      <c r="I5288" t="s">
        <v>10</v>
      </c>
    </row>
    <row r="5289" spans="1:9" x14ac:dyDescent="0.25">
      <c r="A5289" t="str">
        <f t="shared" si="127"/>
        <v>89301000</v>
      </c>
      <c r="B5289" t="str">
        <f>"486005156"</f>
        <v>486005156</v>
      </c>
      <c r="C5289" s="1">
        <v>45173</v>
      </c>
      <c r="D5289" s="1">
        <v>45175</v>
      </c>
      <c r="E5289">
        <v>1</v>
      </c>
      <c r="F5289" t="str">
        <f>"09-I06-04"</f>
        <v>09-I06-04</v>
      </c>
      <c r="G5289">
        <v>0.95069999999999999</v>
      </c>
      <c r="H5289" t="s">
        <v>12</v>
      </c>
      <c r="I5289" t="s">
        <v>10</v>
      </c>
    </row>
    <row r="5290" spans="1:9" x14ac:dyDescent="0.25">
      <c r="A5290" t="str">
        <f t="shared" si="127"/>
        <v>89301000</v>
      </c>
      <c r="B5290" t="str">
        <f>"486005156"</f>
        <v>486005156</v>
      </c>
      <c r="C5290" s="1">
        <v>44936</v>
      </c>
      <c r="D5290" s="1">
        <v>44943</v>
      </c>
      <c r="E5290">
        <v>4</v>
      </c>
      <c r="F5290" t="str">
        <f>"08-I06-04"</f>
        <v>08-I06-04</v>
      </c>
      <c r="G5290">
        <v>2.3511000000000002</v>
      </c>
      <c r="H5290" t="s">
        <v>9</v>
      </c>
      <c r="I5290" t="s">
        <v>10</v>
      </c>
    </row>
    <row r="5291" spans="1:9" x14ac:dyDescent="0.25">
      <c r="A5291" t="str">
        <f t="shared" si="127"/>
        <v>89301000</v>
      </c>
      <c r="B5291" t="str">
        <f>"486009085"</f>
        <v>486009085</v>
      </c>
      <c r="C5291" s="1">
        <v>45174</v>
      </c>
      <c r="D5291" s="1">
        <v>45177</v>
      </c>
      <c r="E5291">
        <v>1</v>
      </c>
      <c r="F5291" t="str">
        <f>"08-K08-00"</f>
        <v>08-K08-00</v>
      </c>
      <c r="G5291">
        <v>0.5272</v>
      </c>
      <c r="H5291" t="s">
        <v>11</v>
      </c>
      <c r="I5291" t="s">
        <v>10</v>
      </c>
    </row>
    <row r="5292" spans="1:9" x14ac:dyDescent="0.25">
      <c r="A5292" t="str">
        <f t="shared" si="127"/>
        <v>89301000</v>
      </c>
      <c r="B5292" t="str">
        <f>"486010282"</f>
        <v>486010282</v>
      </c>
      <c r="C5292" s="1">
        <v>44942</v>
      </c>
      <c r="D5292" s="1">
        <v>44949</v>
      </c>
      <c r="E5292">
        <v>1</v>
      </c>
      <c r="F5292" t="str">
        <f>"11-I07-01"</f>
        <v>11-I07-01</v>
      </c>
      <c r="G5292">
        <v>2.7482000000000002</v>
      </c>
      <c r="H5292" t="s">
        <v>9</v>
      </c>
      <c r="I5292" t="s">
        <v>10</v>
      </c>
    </row>
    <row r="5293" spans="1:9" x14ac:dyDescent="0.25">
      <c r="A5293" t="str">
        <f t="shared" si="127"/>
        <v>89301000</v>
      </c>
      <c r="B5293" t="str">
        <f>"486012401"</f>
        <v>486012401</v>
      </c>
      <c r="C5293" s="1">
        <v>45147</v>
      </c>
      <c r="D5293" s="1">
        <v>45149</v>
      </c>
      <c r="E5293">
        <v>1</v>
      </c>
      <c r="F5293" t="str">
        <f>"16-K02-03"</f>
        <v>16-K02-03</v>
      </c>
      <c r="G5293">
        <v>0.46679999999999999</v>
      </c>
      <c r="H5293" t="s">
        <v>11</v>
      </c>
      <c r="I5293" t="s">
        <v>10</v>
      </c>
    </row>
    <row r="5294" spans="1:9" x14ac:dyDescent="0.25">
      <c r="A5294" t="str">
        <f t="shared" si="127"/>
        <v>89301000</v>
      </c>
      <c r="B5294" t="str">
        <f>"486012401"</f>
        <v>486012401</v>
      </c>
      <c r="C5294" s="1">
        <v>45160</v>
      </c>
      <c r="D5294" s="1">
        <v>45161</v>
      </c>
      <c r="E5294">
        <v>1</v>
      </c>
      <c r="F5294" t="str">
        <f>"04-K10-02"</f>
        <v>04-K10-02</v>
      </c>
      <c r="G5294">
        <v>0.40129999999999999</v>
      </c>
      <c r="H5294" t="s">
        <v>11</v>
      </c>
      <c r="I5294" t="s">
        <v>10</v>
      </c>
    </row>
    <row r="5295" spans="1:9" x14ac:dyDescent="0.25">
      <c r="A5295" t="str">
        <f t="shared" si="127"/>
        <v>89301000</v>
      </c>
      <c r="B5295" t="str">
        <f>"486012401"</f>
        <v>486012401</v>
      </c>
      <c r="C5295" s="1">
        <v>45082</v>
      </c>
      <c r="D5295" s="1">
        <v>45091</v>
      </c>
      <c r="E5295">
        <v>1</v>
      </c>
      <c r="F5295" t="str">
        <f>"08-K02-02"</f>
        <v>08-K02-02</v>
      </c>
      <c r="G5295">
        <v>0.83530000000000004</v>
      </c>
      <c r="H5295" t="s">
        <v>11</v>
      </c>
      <c r="I5295" t="s">
        <v>10</v>
      </c>
    </row>
    <row r="5296" spans="1:9" x14ac:dyDescent="0.25">
      <c r="A5296" t="str">
        <f t="shared" si="127"/>
        <v>89301000</v>
      </c>
      <c r="B5296" t="str">
        <f>"486012401"</f>
        <v>486012401</v>
      </c>
      <c r="C5296" s="1">
        <v>45215</v>
      </c>
      <c r="D5296" s="1">
        <v>45216</v>
      </c>
      <c r="E5296">
        <v>1</v>
      </c>
      <c r="F5296" t="str">
        <f>"04-K10-02"</f>
        <v>04-K10-02</v>
      </c>
      <c r="G5296">
        <v>0.41899999999999998</v>
      </c>
      <c r="H5296" t="s">
        <v>11</v>
      </c>
      <c r="I5296" t="s">
        <v>10</v>
      </c>
    </row>
    <row r="5297" spans="1:9" x14ac:dyDescent="0.25">
      <c r="A5297" t="str">
        <f t="shared" si="127"/>
        <v>89301000</v>
      </c>
      <c r="B5297" t="str">
        <f>"486024048"</f>
        <v>486024048</v>
      </c>
      <c r="C5297" s="1">
        <v>45072</v>
      </c>
      <c r="D5297" s="1">
        <v>45075</v>
      </c>
      <c r="E5297">
        <v>1</v>
      </c>
      <c r="F5297" t="str">
        <f>"08-K08-00"</f>
        <v>08-K08-00</v>
      </c>
      <c r="G5297">
        <v>0.5272</v>
      </c>
      <c r="H5297" t="s">
        <v>11</v>
      </c>
      <c r="I5297" t="s">
        <v>10</v>
      </c>
    </row>
    <row r="5298" spans="1:9" x14ac:dyDescent="0.25">
      <c r="A5298" t="str">
        <f t="shared" si="127"/>
        <v>89301000</v>
      </c>
      <c r="B5298" t="str">
        <f>"486025123"</f>
        <v>486025123</v>
      </c>
      <c r="C5298" s="1">
        <v>45179</v>
      </c>
      <c r="D5298" s="1">
        <v>45181</v>
      </c>
      <c r="E5298">
        <v>1</v>
      </c>
      <c r="F5298" t="str">
        <f>"05-I25-02"</f>
        <v>05-I25-02</v>
      </c>
      <c r="G5298">
        <v>2.9415</v>
      </c>
      <c r="H5298" t="s">
        <v>12</v>
      </c>
      <c r="I5298" t="s">
        <v>10</v>
      </c>
    </row>
    <row r="5299" spans="1:9" x14ac:dyDescent="0.25">
      <c r="A5299" t="str">
        <f t="shared" si="127"/>
        <v>89301000</v>
      </c>
      <c r="B5299" t="str">
        <f>"486025408"</f>
        <v>486025408</v>
      </c>
      <c r="C5299" s="1">
        <v>45091</v>
      </c>
      <c r="D5299" s="1">
        <v>45095</v>
      </c>
      <c r="E5299">
        <v>1</v>
      </c>
      <c r="F5299" t="str">
        <f>"05-M07-04"</f>
        <v>05-M07-04</v>
      </c>
      <c r="G5299">
        <v>1.7262999999999999</v>
      </c>
      <c r="H5299" t="s">
        <v>12</v>
      </c>
      <c r="I5299" t="s">
        <v>10</v>
      </c>
    </row>
    <row r="5300" spans="1:9" x14ac:dyDescent="0.25">
      <c r="A5300" t="str">
        <f t="shared" si="127"/>
        <v>89301000</v>
      </c>
      <c r="B5300" t="str">
        <f>"486025408"</f>
        <v>486025408</v>
      </c>
      <c r="C5300" s="1">
        <v>45148</v>
      </c>
      <c r="D5300" s="1">
        <v>45151</v>
      </c>
      <c r="E5300">
        <v>1</v>
      </c>
      <c r="F5300" t="str">
        <f>"05-M07-06"</f>
        <v>05-M07-06</v>
      </c>
      <c r="G5300">
        <v>1.2264999999999999</v>
      </c>
      <c r="H5300" t="s">
        <v>12</v>
      </c>
      <c r="I5300" t="s">
        <v>10</v>
      </c>
    </row>
    <row r="5301" spans="1:9" x14ac:dyDescent="0.25">
      <c r="A5301" t="str">
        <f t="shared" si="127"/>
        <v>89301000</v>
      </c>
      <c r="B5301" t="str">
        <f>"486026405"</f>
        <v>486026405</v>
      </c>
      <c r="C5301" s="1">
        <v>45030</v>
      </c>
      <c r="D5301" s="1">
        <v>45034</v>
      </c>
      <c r="E5301">
        <v>1</v>
      </c>
      <c r="F5301" t="str">
        <f>"05-K12-02"</f>
        <v>05-K12-02</v>
      </c>
      <c r="G5301">
        <v>0.48820000000000002</v>
      </c>
      <c r="H5301" t="s">
        <v>11</v>
      </c>
      <c r="I5301" t="s">
        <v>10</v>
      </c>
    </row>
    <row r="5302" spans="1:9" x14ac:dyDescent="0.25">
      <c r="A5302" t="str">
        <f t="shared" si="127"/>
        <v>89301000</v>
      </c>
      <c r="B5302" t="str">
        <f>"486026405"</f>
        <v>486026405</v>
      </c>
      <c r="C5302" s="1">
        <v>45254</v>
      </c>
      <c r="D5302" s="1">
        <v>45259</v>
      </c>
      <c r="E5302">
        <v>1</v>
      </c>
      <c r="F5302" t="str">
        <f>"05-K12-02"</f>
        <v>05-K12-02</v>
      </c>
      <c r="G5302">
        <v>0.48820000000000002</v>
      </c>
      <c r="H5302" t="s">
        <v>11</v>
      </c>
      <c r="I5302" t="s">
        <v>10</v>
      </c>
    </row>
    <row r="5303" spans="1:9" x14ac:dyDescent="0.25">
      <c r="A5303" t="str">
        <f t="shared" si="127"/>
        <v>89301000</v>
      </c>
      <c r="B5303" t="str">
        <f>"486103427"</f>
        <v>486103427</v>
      </c>
      <c r="C5303" s="1">
        <v>45272</v>
      </c>
      <c r="D5303" s="1">
        <v>45281</v>
      </c>
      <c r="E5303">
        <v>1</v>
      </c>
      <c r="F5303" t="str">
        <f>"24-M06-02"</f>
        <v>24-M06-02</v>
      </c>
      <c r="G5303">
        <v>1.0699000000000001</v>
      </c>
      <c r="H5303" t="s">
        <v>11</v>
      </c>
      <c r="I5303" t="s">
        <v>10</v>
      </c>
    </row>
    <row r="5304" spans="1:9" x14ac:dyDescent="0.25">
      <c r="A5304" t="str">
        <f t="shared" si="127"/>
        <v>89301000</v>
      </c>
      <c r="B5304" t="str">
        <f>"486107260"</f>
        <v>486107260</v>
      </c>
      <c r="C5304" s="1">
        <v>44985</v>
      </c>
      <c r="D5304" s="1">
        <v>44986</v>
      </c>
      <c r="E5304">
        <v>1</v>
      </c>
      <c r="F5304" t="str">
        <f>"05-D01-08"</f>
        <v>05-D01-08</v>
      </c>
      <c r="G5304">
        <v>0.43159999999999998</v>
      </c>
      <c r="H5304" t="s">
        <v>11</v>
      </c>
      <c r="I5304" t="s">
        <v>10</v>
      </c>
    </row>
    <row r="5305" spans="1:9" x14ac:dyDescent="0.25">
      <c r="A5305" t="str">
        <f t="shared" si="127"/>
        <v>89301000</v>
      </c>
      <c r="B5305" t="str">
        <f>"486107260"</f>
        <v>486107260</v>
      </c>
      <c r="C5305" s="1">
        <v>45026</v>
      </c>
      <c r="D5305" s="1">
        <v>45034</v>
      </c>
      <c r="E5305">
        <v>1</v>
      </c>
      <c r="F5305" t="str">
        <f>"05-I16-06"</f>
        <v>05-I16-06</v>
      </c>
      <c r="G5305">
        <v>5.6303000000000001</v>
      </c>
      <c r="H5305" t="s">
        <v>14</v>
      </c>
      <c r="I5305" t="s">
        <v>10</v>
      </c>
    </row>
    <row r="5306" spans="1:9" x14ac:dyDescent="0.25">
      <c r="A5306" t="str">
        <f t="shared" si="127"/>
        <v>89301000</v>
      </c>
      <c r="B5306" t="str">
        <f>"486112119"</f>
        <v>486112119</v>
      </c>
      <c r="C5306" s="1">
        <v>45093</v>
      </c>
      <c r="D5306" s="1">
        <v>45096</v>
      </c>
      <c r="E5306">
        <v>1</v>
      </c>
      <c r="F5306" t="str">
        <f>"06-K02-04"</f>
        <v>06-K02-04</v>
      </c>
      <c r="G5306">
        <v>0.37659999999999999</v>
      </c>
      <c r="H5306" t="s">
        <v>11</v>
      </c>
      <c r="I5306" t="s">
        <v>10</v>
      </c>
    </row>
    <row r="5307" spans="1:9" x14ac:dyDescent="0.25">
      <c r="A5307" t="str">
        <f t="shared" si="127"/>
        <v>89301000</v>
      </c>
      <c r="B5307" t="str">
        <f>"486112119"</f>
        <v>486112119</v>
      </c>
      <c r="C5307" s="1">
        <v>45076</v>
      </c>
      <c r="D5307" s="1">
        <v>45078</v>
      </c>
      <c r="E5307">
        <v>1</v>
      </c>
      <c r="F5307" t="str">
        <f>"07-I10-06"</f>
        <v>07-I10-06</v>
      </c>
      <c r="G5307">
        <v>0.98419999999999996</v>
      </c>
      <c r="H5307" t="s">
        <v>12</v>
      </c>
      <c r="I5307" t="s">
        <v>10</v>
      </c>
    </row>
    <row r="5308" spans="1:9" x14ac:dyDescent="0.25">
      <c r="A5308" t="str">
        <f t="shared" si="127"/>
        <v>89301000</v>
      </c>
      <c r="B5308" t="str">
        <f>"486125063"</f>
        <v>486125063</v>
      </c>
      <c r="C5308" s="1">
        <v>44929</v>
      </c>
      <c r="D5308" s="1">
        <v>44935</v>
      </c>
      <c r="E5308">
        <v>1</v>
      </c>
      <c r="F5308" t="str">
        <f>"03-I18-01"</f>
        <v>03-I18-01</v>
      </c>
      <c r="G5308">
        <v>1.1496999999999999</v>
      </c>
      <c r="H5308" t="s">
        <v>9</v>
      </c>
      <c r="I5308" t="s">
        <v>10</v>
      </c>
    </row>
    <row r="5309" spans="1:9" x14ac:dyDescent="0.25">
      <c r="A5309" t="str">
        <f t="shared" si="127"/>
        <v>89301000</v>
      </c>
      <c r="B5309" t="str">
        <f>"486125063"</f>
        <v>486125063</v>
      </c>
      <c r="C5309" s="1">
        <v>44969</v>
      </c>
      <c r="D5309" s="1">
        <v>44972</v>
      </c>
      <c r="E5309">
        <v>1</v>
      </c>
      <c r="F5309" t="str">
        <f>"03-I19-02"</f>
        <v>03-I19-02</v>
      </c>
      <c r="G5309">
        <v>0.7016</v>
      </c>
      <c r="H5309" t="s">
        <v>11</v>
      </c>
      <c r="I5309" t="s">
        <v>10</v>
      </c>
    </row>
    <row r="5310" spans="1:9" x14ac:dyDescent="0.25">
      <c r="A5310" t="str">
        <f t="shared" si="127"/>
        <v>89301000</v>
      </c>
      <c r="B5310" t="str">
        <f>"486125428"</f>
        <v>486125428</v>
      </c>
      <c r="C5310" s="1">
        <v>45082</v>
      </c>
      <c r="D5310" s="1">
        <v>45086</v>
      </c>
      <c r="E5310">
        <v>1</v>
      </c>
      <c r="F5310" t="str">
        <f>"13-I07-01"</f>
        <v>13-I07-01</v>
      </c>
      <c r="G5310">
        <v>2.2021000000000002</v>
      </c>
      <c r="H5310" t="s">
        <v>14</v>
      </c>
      <c r="I5310" t="s">
        <v>10</v>
      </c>
    </row>
    <row r="5311" spans="1:9" x14ac:dyDescent="0.25">
      <c r="A5311" t="str">
        <f t="shared" si="127"/>
        <v>89301000</v>
      </c>
      <c r="B5311" t="str">
        <f>"486130040"</f>
        <v>486130040</v>
      </c>
      <c r="C5311" s="1">
        <v>44930</v>
      </c>
      <c r="D5311" s="1">
        <v>44935</v>
      </c>
      <c r="E5311">
        <v>1</v>
      </c>
      <c r="F5311" t="str">
        <f>"08-I32-00"</f>
        <v>08-I32-00</v>
      </c>
      <c r="G5311">
        <v>0.4904</v>
      </c>
      <c r="H5311" t="s">
        <v>11</v>
      </c>
      <c r="I5311" t="s">
        <v>10</v>
      </c>
    </row>
    <row r="5312" spans="1:9" x14ac:dyDescent="0.25">
      <c r="A5312" t="str">
        <f t="shared" si="127"/>
        <v>89301000</v>
      </c>
      <c r="B5312" t="str">
        <f>"486130040"</f>
        <v>486130040</v>
      </c>
      <c r="C5312" s="1">
        <v>45014</v>
      </c>
      <c r="D5312" s="1">
        <v>45056</v>
      </c>
      <c r="E5312">
        <v>4</v>
      </c>
      <c r="F5312" t="str">
        <f>"08-I05-05"</f>
        <v>08-I05-05</v>
      </c>
      <c r="G5312">
        <v>4.8682999999999996</v>
      </c>
      <c r="H5312" t="s">
        <v>12</v>
      </c>
      <c r="I5312" t="s">
        <v>10</v>
      </c>
    </row>
    <row r="5313" spans="1:9" x14ac:dyDescent="0.25">
      <c r="A5313" t="str">
        <f t="shared" si="127"/>
        <v>89301000</v>
      </c>
      <c r="B5313" t="str">
        <f>"486205430"</f>
        <v>486205430</v>
      </c>
      <c r="C5313" s="1">
        <v>45010</v>
      </c>
      <c r="D5313" s="1">
        <v>45028</v>
      </c>
      <c r="E5313">
        <v>1</v>
      </c>
      <c r="F5313" t="str">
        <f>"06-I13-01"</f>
        <v>06-I13-01</v>
      </c>
      <c r="G5313">
        <v>3.7789999999999999</v>
      </c>
      <c r="H5313" t="s">
        <v>11</v>
      </c>
      <c r="I5313" t="s">
        <v>10</v>
      </c>
    </row>
    <row r="5314" spans="1:9" x14ac:dyDescent="0.25">
      <c r="A5314" t="str">
        <f t="shared" si="127"/>
        <v>89301000</v>
      </c>
      <c r="B5314" t="str">
        <f>"486205430"</f>
        <v>486205430</v>
      </c>
      <c r="C5314" s="1">
        <v>44997</v>
      </c>
      <c r="D5314" s="1">
        <v>45002</v>
      </c>
      <c r="E5314">
        <v>1</v>
      </c>
      <c r="F5314" t="str">
        <f>"10-K12-02"</f>
        <v>10-K12-02</v>
      </c>
      <c r="G5314">
        <v>0.873</v>
      </c>
      <c r="H5314" t="s">
        <v>11</v>
      </c>
      <c r="I5314" t="s">
        <v>10</v>
      </c>
    </row>
    <row r="5315" spans="1:9" x14ac:dyDescent="0.25">
      <c r="A5315" t="str">
        <f t="shared" si="127"/>
        <v>89301000</v>
      </c>
      <c r="B5315" t="str">
        <f>"486205430"</f>
        <v>486205430</v>
      </c>
      <c r="C5315" s="1">
        <v>44958</v>
      </c>
      <c r="D5315" s="1">
        <v>44974</v>
      </c>
      <c r="E5315">
        <v>1</v>
      </c>
      <c r="F5315" t="str">
        <f>"06-I07-05"</f>
        <v>06-I07-05</v>
      </c>
      <c r="G5315">
        <v>2.7919999999999998</v>
      </c>
      <c r="H5315" t="s">
        <v>12</v>
      </c>
      <c r="I5315" t="s">
        <v>10</v>
      </c>
    </row>
    <row r="5316" spans="1:9" x14ac:dyDescent="0.25">
      <c r="A5316" t="str">
        <f t="shared" si="127"/>
        <v>89301000</v>
      </c>
      <c r="B5316" t="str">
        <f>"486205430"</f>
        <v>486205430</v>
      </c>
      <c r="C5316" s="1">
        <v>44932</v>
      </c>
      <c r="D5316" s="1">
        <v>44939</v>
      </c>
      <c r="E5316">
        <v>1</v>
      </c>
      <c r="F5316" t="str">
        <f>"06-K07-02"</f>
        <v>06-K07-02</v>
      </c>
      <c r="G5316">
        <v>0.4385</v>
      </c>
      <c r="H5316" t="s">
        <v>11</v>
      </c>
      <c r="I5316" t="s">
        <v>10</v>
      </c>
    </row>
    <row r="5317" spans="1:9" x14ac:dyDescent="0.25">
      <c r="A5317" t="str">
        <f t="shared" si="127"/>
        <v>89301000</v>
      </c>
      <c r="B5317" t="str">
        <f>"486217078"</f>
        <v>486217078</v>
      </c>
      <c r="C5317" s="1">
        <v>44966</v>
      </c>
      <c r="D5317" s="1">
        <v>44972</v>
      </c>
      <c r="E5317">
        <v>1</v>
      </c>
      <c r="F5317" t="str">
        <f>"08-K02-03"</f>
        <v>08-K02-03</v>
      </c>
      <c r="G5317">
        <v>0.6361</v>
      </c>
      <c r="H5317" t="s">
        <v>11</v>
      </c>
      <c r="I5317" t="s">
        <v>10</v>
      </c>
    </row>
    <row r="5318" spans="1:9" x14ac:dyDescent="0.25">
      <c r="A5318" t="str">
        <f t="shared" si="127"/>
        <v>89301000</v>
      </c>
      <c r="B5318" t="str">
        <f>"486217078"</f>
        <v>486217078</v>
      </c>
      <c r="C5318" s="1">
        <v>45179</v>
      </c>
      <c r="D5318" s="1">
        <v>45196</v>
      </c>
      <c r="E5318">
        <v>5</v>
      </c>
      <c r="F5318" t="str">
        <f>"08-I03-03"</f>
        <v>08-I03-03</v>
      </c>
      <c r="G5318">
        <v>4.9530000000000003</v>
      </c>
      <c r="H5318" t="s">
        <v>9</v>
      </c>
      <c r="I5318" t="s">
        <v>10</v>
      </c>
    </row>
    <row r="5319" spans="1:9" x14ac:dyDescent="0.25">
      <c r="A5319" t="str">
        <f t="shared" si="127"/>
        <v>89301000</v>
      </c>
      <c r="B5319" t="str">
        <f>"486219080"</f>
        <v>486219080</v>
      </c>
      <c r="C5319" s="1">
        <v>45083</v>
      </c>
      <c r="D5319" s="1">
        <v>45084</v>
      </c>
      <c r="E5319">
        <v>1</v>
      </c>
      <c r="F5319" t="str">
        <f>"10-K04-04"</f>
        <v>10-K04-04</v>
      </c>
      <c r="G5319">
        <v>0.53949999999999998</v>
      </c>
      <c r="H5319" t="s">
        <v>11</v>
      </c>
      <c r="I5319" t="s">
        <v>10</v>
      </c>
    </row>
    <row r="5320" spans="1:9" x14ac:dyDescent="0.25">
      <c r="A5320" t="str">
        <f t="shared" si="127"/>
        <v>89301000</v>
      </c>
      <c r="B5320" t="str">
        <f>"486220402"</f>
        <v>486220402</v>
      </c>
      <c r="C5320" s="1">
        <v>45077</v>
      </c>
      <c r="D5320" s="1">
        <v>45082</v>
      </c>
      <c r="E5320">
        <v>1</v>
      </c>
      <c r="F5320" t="str">
        <f>"04-K04-02"</f>
        <v>04-K04-02</v>
      </c>
      <c r="G5320">
        <v>0.52390000000000003</v>
      </c>
      <c r="H5320" t="s">
        <v>11</v>
      </c>
      <c r="I5320" t="s">
        <v>10</v>
      </c>
    </row>
    <row r="5321" spans="1:9" x14ac:dyDescent="0.25">
      <c r="A5321" t="str">
        <f t="shared" si="127"/>
        <v>89301000</v>
      </c>
      <c r="B5321" t="str">
        <f>"486220402"</f>
        <v>486220402</v>
      </c>
      <c r="C5321" s="1">
        <v>45168</v>
      </c>
      <c r="D5321" s="1">
        <v>45174</v>
      </c>
      <c r="E5321">
        <v>1</v>
      </c>
      <c r="F5321" t="str">
        <f>"04-K04-02"</f>
        <v>04-K04-02</v>
      </c>
      <c r="G5321">
        <v>0.52159999999999995</v>
      </c>
      <c r="H5321" t="s">
        <v>11</v>
      </c>
      <c r="I5321" t="s">
        <v>10</v>
      </c>
    </row>
    <row r="5322" spans="1:9" x14ac:dyDescent="0.25">
      <c r="A5322" t="str">
        <f t="shared" si="127"/>
        <v>89301000</v>
      </c>
      <c r="B5322" t="str">
        <f>"486228072"</f>
        <v>486228072</v>
      </c>
      <c r="C5322" s="1">
        <v>45034</v>
      </c>
      <c r="D5322" s="1">
        <v>45035</v>
      </c>
      <c r="E5322">
        <v>1</v>
      </c>
      <c r="F5322" t="str">
        <f>"04-K08-03"</f>
        <v>04-K08-03</v>
      </c>
      <c r="G5322">
        <v>0.89890000000000003</v>
      </c>
      <c r="H5322" t="s">
        <v>11</v>
      </c>
      <c r="I5322" t="s">
        <v>10</v>
      </c>
    </row>
    <row r="5323" spans="1:9" x14ac:dyDescent="0.25">
      <c r="A5323" t="str">
        <f t="shared" si="127"/>
        <v>89301000</v>
      </c>
      <c r="B5323" t="str">
        <f>"486230029"</f>
        <v>486230029</v>
      </c>
      <c r="C5323" s="1">
        <v>45096</v>
      </c>
      <c r="D5323" s="1">
        <v>45097</v>
      </c>
      <c r="E5323">
        <v>1</v>
      </c>
      <c r="F5323" t="str">
        <f>"03-K13-02"</f>
        <v>03-K13-02</v>
      </c>
      <c r="G5323">
        <v>0.24440000000000001</v>
      </c>
      <c r="H5323" t="s">
        <v>11</v>
      </c>
      <c r="I5323" t="s">
        <v>10</v>
      </c>
    </row>
    <row r="5324" spans="1:9" x14ac:dyDescent="0.25">
      <c r="A5324" t="str">
        <f t="shared" si="127"/>
        <v>89301000</v>
      </c>
      <c r="B5324" t="str">
        <f>"490101260"</f>
        <v>490101260</v>
      </c>
      <c r="C5324" s="1">
        <v>45169</v>
      </c>
      <c r="D5324" s="1">
        <v>45176</v>
      </c>
      <c r="E5324">
        <v>1</v>
      </c>
      <c r="F5324" t="str">
        <f>"06-K01-02"</f>
        <v>06-K01-02</v>
      </c>
      <c r="G5324">
        <v>1.3523000000000001</v>
      </c>
      <c r="H5324" t="s">
        <v>11</v>
      </c>
      <c r="I5324" t="s">
        <v>10</v>
      </c>
    </row>
    <row r="5325" spans="1:9" x14ac:dyDescent="0.25">
      <c r="A5325" t="str">
        <f t="shared" si="127"/>
        <v>89301000</v>
      </c>
      <c r="B5325" t="str">
        <f>"490101544"</f>
        <v>490101544</v>
      </c>
      <c r="C5325" s="1">
        <v>45154</v>
      </c>
      <c r="D5325" s="1">
        <v>45160</v>
      </c>
      <c r="E5325">
        <v>1</v>
      </c>
      <c r="F5325" t="str">
        <f>"06-K02-03"</f>
        <v>06-K02-03</v>
      </c>
      <c r="G5325">
        <v>0.50470000000000004</v>
      </c>
      <c r="H5325" t="s">
        <v>11</v>
      </c>
      <c r="I5325" t="s">
        <v>10</v>
      </c>
    </row>
    <row r="5326" spans="1:9" x14ac:dyDescent="0.25">
      <c r="A5326" t="str">
        <f t="shared" si="127"/>
        <v>89301000</v>
      </c>
      <c r="B5326" t="str">
        <f>"490105017"</f>
        <v>490105017</v>
      </c>
      <c r="C5326" s="1">
        <v>44966</v>
      </c>
      <c r="D5326" s="1">
        <v>44991</v>
      </c>
      <c r="E5326">
        <v>4</v>
      </c>
      <c r="F5326" t="str">
        <f>"01-K11-01"</f>
        <v>01-K11-01</v>
      </c>
      <c r="G5326">
        <v>3.2582</v>
      </c>
      <c r="H5326" t="s">
        <v>11</v>
      </c>
      <c r="I5326" t="s">
        <v>10</v>
      </c>
    </row>
    <row r="5327" spans="1:9" x14ac:dyDescent="0.25">
      <c r="A5327" t="str">
        <f t="shared" si="127"/>
        <v>89301000</v>
      </c>
      <c r="B5327" t="str">
        <f>"490109125"</f>
        <v>490109125</v>
      </c>
      <c r="C5327" s="1">
        <v>45239</v>
      </c>
      <c r="D5327" s="1">
        <v>45260</v>
      </c>
      <c r="E5327">
        <v>7</v>
      </c>
      <c r="F5327" t="str">
        <f>"18-K01-04"</f>
        <v>18-K01-04</v>
      </c>
      <c r="G5327">
        <v>2.9117000000000002</v>
      </c>
      <c r="H5327" t="s">
        <v>11</v>
      </c>
      <c r="I5327" t="s">
        <v>10</v>
      </c>
    </row>
    <row r="5328" spans="1:9" x14ac:dyDescent="0.25">
      <c r="A5328" t="str">
        <f t="shared" si="127"/>
        <v>89301000</v>
      </c>
      <c r="B5328" t="str">
        <f>"490119011"</f>
        <v>490119011</v>
      </c>
      <c r="C5328" s="1">
        <v>45002</v>
      </c>
      <c r="D5328" s="1">
        <v>45007</v>
      </c>
      <c r="E5328">
        <v>5</v>
      </c>
      <c r="F5328" t="str">
        <f>"04-K14-02"</f>
        <v>04-K14-02</v>
      </c>
      <c r="G5328">
        <v>1.1498999999999999</v>
      </c>
      <c r="H5328" t="s">
        <v>11</v>
      </c>
      <c r="I5328" t="s">
        <v>10</v>
      </c>
    </row>
    <row r="5329" spans="1:9" x14ac:dyDescent="0.25">
      <c r="A5329" t="str">
        <f t="shared" ref="A5329:A5392" si="128">"89301000"</f>
        <v>89301000</v>
      </c>
      <c r="B5329" t="str">
        <f>"490131003"</f>
        <v>490131003</v>
      </c>
      <c r="C5329" s="1">
        <v>44978</v>
      </c>
      <c r="D5329" s="1">
        <v>44985</v>
      </c>
      <c r="E5329">
        <v>1</v>
      </c>
      <c r="F5329" t="str">
        <f>"18-K02-02"</f>
        <v>18-K02-02</v>
      </c>
      <c r="G5329">
        <v>1.3509</v>
      </c>
      <c r="H5329" t="s">
        <v>11</v>
      </c>
      <c r="I5329" t="s">
        <v>10</v>
      </c>
    </row>
    <row r="5330" spans="1:9" x14ac:dyDescent="0.25">
      <c r="A5330" t="str">
        <f t="shared" si="128"/>
        <v>89301000</v>
      </c>
      <c r="B5330" t="str">
        <f>"490205007"</f>
        <v>490205007</v>
      </c>
      <c r="C5330" s="1">
        <v>45251</v>
      </c>
      <c r="D5330" s="1">
        <v>45253</v>
      </c>
      <c r="E5330">
        <v>1</v>
      </c>
      <c r="F5330" t="str">
        <f>"11-K07-02"</f>
        <v>11-K07-02</v>
      </c>
      <c r="G5330">
        <v>0.55010000000000003</v>
      </c>
      <c r="H5330" t="s">
        <v>11</v>
      </c>
      <c r="I5330" t="s">
        <v>10</v>
      </c>
    </row>
    <row r="5331" spans="1:9" x14ac:dyDescent="0.25">
      <c r="A5331" t="str">
        <f t="shared" si="128"/>
        <v>89301000</v>
      </c>
      <c r="B5331" t="str">
        <f>"490206129"</f>
        <v>490206129</v>
      </c>
      <c r="C5331" s="1">
        <v>45048</v>
      </c>
      <c r="D5331" s="1">
        <v>45049</v>
      </c>
      <c r="E5331">
        <v>1</v>
      </c>
      <c r="F5331" t="str">
        <f>"05-M10-00"</f>
        <v>05-M10-00</v>
      </c>
      <c r="G5331">
        <v>0.2036</v>
      </c>
      <c r="H5331" t="s">
        <v>11</v>
      </c>
      <c r="I5331" t="s">
        <v>10</v>
      </c>
    </row>
    <row r="5332" spans="1:9" x14ac:dyDescent="0.25">
      <c r="A5332" t="str">
        <f t="shared" si="128"/>
        <v>89301000</v>
      </c>
      <c r="B5332" t="str">
        <f>"490206129"</f>
        <v>490206129</v>
      </c>
      <c r="C5332" s="1">
        <v>44950</v>
      </c>
      <c r="D5332" s="1">
        <v>44964</v>
      </c>
      <c r="E5332">
        <v>1</v>
      </c>
      <c r="F5332" t="str">
        <f>"05-I06-02"</f>
        <v>05-I06-02</v>
      </c>
      <c r="G5332">
        <v>11.702299999999999</v>
      </c>
      <c r="H5332" t="s">
        <v>14</v>
      </c>
      <c r="I5332" t="s">
        <v>10</v>
      </c>
    </row>
    <row r="5333" spans="1:9" x14ac:dyDescent="0.25">
      <c r="A5333" t="str">
        <f t="shared" si="128"/>
        <v>89301000</v>
      </c>
      <c r="B5333" t="str">
        <f>"490211193"</f>
        <v>490211193</v>
      </c>
      <c r="C5333" s="1">
        <v>45059</v>
      </c>
      <c r="D5333" s="1">
        <v>45063</v>
      </c>
      <c r="E5333">
        <v>1</v>
      </c>
      <c r="F5333" t="str">
        <f>"05-M06-06"</f>
        <v>05-M06-06</v>
      </c>
      <c r="G5333">
        <v>1.8264</v>
      </c>
      <c r="H5333" t="s">
        <v>12</v>
      </c>
      <c r="I5333" t="s">
        <v>10</v>
      </c>
    </row>
    <row r="5334" spans="1:9" x14ac:dyDescent="0.25">
      <c r="A5334" t="str">
        <f t="shared" si="128"/>
        <v>89301000</v>
      </c>
      <c r="B5334" t="str">
        <f>"490219106"</f>
        <v>490219106</v>
      </c>
      <c r="C5334" s="1">
        <v>45158</v>
      </c>
      <c r="D5334" s="1">
        <v>45161</v>
      </c>
      <c r="E5334">
        <v>1</v>
      </c>
      <c r="F5334" t="str">
        <f>"05-I21-02"</f>
        <v>05-I21-02</v>
      </c>
      <c r="G5334">
        <v>1.9</v>
      </c>
      <c r="H5334" t="s">
        <v>12</v>
      </c>
      <c r="I5334" t="s">
        <v>10</v>
      </c>
    </row>
    <row r="5335" spans="1:9" x14ac:dyDescent="0.25">
      <c r="A5335" t="str">
        <f t="shared" si="128"/>
        <v>89301000</v>
      </c>
      <c r="B5335" t="str">
        <f>"490219213"</f>
        <v>490219213</v>
      </c>
      <c r="C5335" s="1">
        <v>45075</v>
      </c>
      <c r="D5335" s="1">
        <v>45083</v>
      </c>
      <c r="E5335">
        <v>1</v>
      </c>
      <c r="F5335" t="str">
        <f>"05-I18-04"</f>
        <v>05-I18-04</v>
      </c>
      <c r="G5335">
        <v>3.3858000000000001</v>
      </c>
      <c r="H5335" t="s">
        <v>12</v>
      </c>
      <c r="I5335" t="s">
        <v>10</v>
      </c>
    </row>
    <row r="5336" spans="1:9" x14ac:dyDescent="0.25">
      <c r="A5336" t="str">
        <f t="shared" si="128"/>
        <v>89301000</v>
      </c>
      <c r="B5336" t="str">
        <f>"490221083"</f>
        <v>490221083</v>
      </c>
      <c r="C5336" s="1">
        <v>44958</v>
      </c>
      <c r="D5336" s="1">
        <v>44961</v>
      </c>
      <c r="E5336">
        <v>1</v>
      </c>
      <c r="F5336" t="str">
        <f>"08-I03-08"</f>
        <v>08-I03-08</v>
      </c>
      <c r="G5336">
        <v>1.9455</v>
      </c>
      <c r="H5336" t="s">
        <v>9</v>
      </c>
      <c r="I5336" t="s">
        <v>10</v>
      </c>
    </row>
    <row r="5337" spans="1:9" x14ac:dyDescent="0.25">
      <c r="A5337" t="str">
        <f t="shared" si="128"/>
        <v>89301000</v>
      </c>
      <c r="B5337" t="str">
        <f>"490228005"</f>
        <v>490228005</v>
      </c>
      <c r="C5337" s="1">
        <v>45250</v>
      </c>
      <c r="D5337" s="1">
        <v>45253</v>
      </c>
      <c r="E5337">
        <v>1</v>
      </c>
      <c r="F5337" t="str">
        <f>"07-I06-01"</f>
        <v>07-I06-01</v>
      </c>
      <c r="G5337">
        <v>5.2450000000000001</v>
      </c>
      <c r="H5337" t="s">
        <v>12</v>
      </c>
      <c r="I5337" t="s">
        <v>10</v>
      </c>
    </row>
    <row r="5338" spans="1:9" x14ac:dyDescent="0.25">
      <c r="A5338" t="str">
        <f t="shared" si="128"/>
        <v>89301000</v>
      </c>
      <c r="B5338" t="str">
        <f>"490228005"</f>
        <v>490228005</v>
      </c>
      <c r="C5338" s="1">
        <v>45161</v>
      </c>
      <c r="D5338" s="1">
        <v>45167</v>
      </c>
      <c r="E5338">
        <v>1</v>
      </c>
      <c r="F5338" t="str">
        <f>"07-K04-03"</f>
        <v>07-K04-03</v>
      </c>
      <c r="G5338">
        <v>0.98650000000000004</v>
      </c>
      <c r="H5338" t="s">
        <v>11</v>
      </c>
      <c r="I5338" t="s">
        <v>10</v>
      </c>
    </row>
    <row r="5339" spans="1:9" x14ac:dyDescent="0.25">
      <c r="A5339" t="str">
        <f t="shared" si="128"/>
        <v>89301000</v>
      </c>
      <c r="B5339" t="str">
        <f>"490305177"</f>
        <v>490305177</v>
      </c>
      <c r="C5339" s="1">
        <v>45124</v>
      </c>
      <c r="D5339" s="1">
        <v>45141</v>
      </c>
      <c r="E5339">
        <v>4</v>
      </c>
      <c r="F5339" t="str">
        <f>"24-M07-02"</f>
        <v>24-M07-02</v>
      </c>
      <c r="G5339">
        <v>1.5729</v>
      </c>
      <c r="H5339" t="s">
        <v>11</v>
      </c>
      <c r="I5339" t="s">
        <v>10</v>
      </c>
    </row>
    <row r="5340" spans="1:9" x14ac:dyDescent="0.25">
      <c r="A5340" t="str">
        <f t="shared" si="128"/>
        <v>89301000</v>
      </c>
      <c r="B5340" t="str">
        <f>"490305177"</f>
        <v>490305177</v>
      </c>
      <c r="C5340" s="1">
        <v>45119</v>
      </c>
      <c r="D5340" s="1">
        <v>45124</v>
      </c>
      <c r="E5340">
        <v>3</v>
      </c>
      <c r="F5340" t="str">
        <f>"08-I06-04"</f>
        <v>08-I06-04</v>
      </c>
      <c r="G5340">
        <v>2.3527</v>
      </c>
      <c r="H5340" t="s">
        <v>9</v>
      </c>
      <c r="I5340" t="s">
        <v>10</v>
      </c>
    </row>
    <row r="5341" spans="1:9" x14ac:dyDescent="0.25">
      <c r="A5341" t="str">
        <f t="shared" si="128"/>
        <v>89301000</v>
      </c>
      <c r="B5341" t="str">
        <f>"490306172"</f>
        <v>490306172</v>
      </c>
      <c r="C5341" s="1">
        <v>45035</v>
      </c>
      <c r="D5341" s="1">
        <v>45038</v>
      </c>
      <c r="E5341">
        <v>1</v>
      </c>
      <c r="F5341" t="str">
        <f>"08-I03-08"</f>
        <v>08-I03-08</v>
      </c>
      <c r="G5341">
        <v>1.9455</v>
      </c>
      <c r="H5341" t="s">
        <v>9</v>
      </c>
      <c r="I5341" t="s">
        <v>10</v>
      </c>
    </row>
    <row r="5342" spans="1:9" x14ac:dyDescent="0.25">
      <c r="A5342" t="str">
        <f t="shared" si="128"/>
        <v>89301000</v>
      </c>
      <c r="B5342" t="str">
        <f>"490312145"</f>
        <v>490312145</v>
      </c>
      <c r="C5342" s="1">
        <v>44977</v>
      </c>
      <c r="D5342" s="1">
        <v>44979</v>
      </c>
      <c r="E5342">
        <v>1</v>
      </c>
      <c r="F5342" t="str">
        <f>"05-K14-02"</f>
        <v>05-K14-02</v>
      </c>
      <c r="G5342">
        <v>0.9103</v>
      </c>
      <c r="H5342" t="s">
        <v>11</v>
      </c>
      <c r="I5342" t="s">
        <v>10</v>
      </c>
    </row>
    <row r="5343" spans="1:9" x14ac:dyDescent="0.25">
      <c r="A5343" t="str">
        <f t="shared" si="128"/>
        <v>89301000</v>
      </c>
      <c r="B5343" t="str">
        <f>"490312293"</f>
        <v>490312293</v>
      </c>
      <c r="C5343" s="1">
        <v>45213</v>
      </c>
      <c r="D5343" s="1">
        <v>45216</v>
      </c>
      <c r="E5343">
        <v>5</v>
      </c>
      <c r="F5343" t="str">
        <f>"05-M06-06"</f>
        <v>05-M06-06</v>
      </c>
      <c r="G5343">
        <v>1.9881</v>
      </c>
      <c r="H5343" t="s">
        <v>12</v>
      </c>
      <c r="I5343" t="s">
        <v>10</v>
      </c>
    </row>
    <row r="5344" spans="1:9" x14ac:dyDescent="0.25">
      <c r="A5344" t="str">
        <f t="shared" si="128"/>
        <v>89301000</v>
      </c>
      <c r="B5344" t="str">
        <f>"490312293"</f>
        <v>490312293</v>
      </c>
      <c r="C5344" s="1">
        <v>45271</v>
      </c>
      <c r="D5344" s="1">
        <v>45280</v>
      </c>
      <c r="E5344">
        <v>1</v>
      </c>
      <c r="F5344" t="str">
        <f>"05-I16-06"</f>
        <v>05-I16-06</v>
      </c>
      <c r="G5344">
        <v>5.6303000000000001</v>
      </c>
      <c r="H5344" t="s">
        <v>14</v>
      </c>
      <c r="I5344" t="s">
        <v>10</v>
      </c>
    </row>
    <row r="5345" spans="1:9" x14ac:dyDescent="0.25">
      <c r="A5345" t="str">
        <f t="shared" si="128"/>
        <v>89301000</v>
      </c>
      <c r="B5345" t="str">
        <f>"490316104"</f>
        <v>490316104</v>
      </c>
      <c r="C5345" s="1">
        <v>45041</v>
      </c>
      <c r="D5345" s="1">
        <v>45043</v>
      </c>
      <c r="E5345">
        <v>5</v>
      </c>
      <c r="F5345" t="str">
        <f>"05-M06-06"</f>
        <v>05-M06-06</v>
      </c>
      <c r="G5345">
        <v>1.8264</v>
      </c>
      <c r="H5345" t="s">
        <v>12</v>
      </c>
      <c r="I5345" t="s">
        <v>10</v>
      </c>
    </row>
    <row r="5346" spans="1:9" x14ac:dyDescent="0.25">
      <c r="A5346" t="str">
        <f t="shared" si="128"/>
        <v>89301000</v>
      </c>
      <c r="B5346" t="str">
        <f>"490317121"</f>
        <v>490317121</v>
      </c>
      <c r="C5346" s="1">
        <v>45064</v>
      </c>
      <c r="D5346" s="1">
        <v>45068</v>
      </c>
      <c r="E5346">
        <v>1</v>
      </c>
      <c r="F5346" t="str">
        <f>"02-M01-02"</f>
        <v>02-M01-02</v>
      </c>
      <c r="G5346">
        <v>0.63149999999999995</v>
      </c>
      <c r="H5346" t="s">
        <v>11</v>
      </c>
      <c r="I5346" t="s">
        <v>10</v>
      </c>
    </row>
    <row r="5347" spans="1:9" x14ac:dyDescent="0.25">
      <c r="A5347" t="str">
        <f t="shared" si="128"/>
        <v>89301000</v>
      </c>
      <c r="B5347" t="str">
        <f>"490317121"</f>
        <v>490317121</v>
      </c>
      <c r="C5347" s="1">
        <v>45142</v>
      </c>
      <c r="D5347" s="1">
        <v>45143</v>
      </c>
      <c r="E5347">
        <v>1</v>
      </c>
      <c r="F5347" t="str">
        <f>"02-I06-04"</f>
        <v>02-I06-04</v>
      </c>
      <c r="G5347">
        <v>0.79630000000000001</v>
      </c>
      <c r="H5347" t="s">
        <v>12</v>
      </c>
      <c r="I5347" t="s">
        <v>10</v>
      </c>
    </row>
    <row r="5348" spans="1:9" x14ac:dyDescent="0.25">
      <c r="A5348" t="str">
        <f t="shared" si="128"/>
        <v>89301000</v>
      </c>
      <c r="B5348" t="str">
        <f>"490324179"</f>
        <v>490324179</v>
      </c>
      <c r="C5348" s="1">
        <v>45168</v>
      </c>
      <c r="D5348" s="1">
        <v>45177</v>
      </c>
      <c r="E5348">
        <v>5</v>
      </c>
      <c r="F5348" t="str">
        <f>"06-I15-00"</f>
        <v>06-I15-00</v>
      </c>
      <c r="G5348">
        <v>1.8702000000000001</v>
      </c>
      <c r="H5348" t="s">
        <v>9</v>
      </c>
      <c r="I5348" t="s">
        <v>10</v>
      </c>
    </row>
    <row r="5349" spans="1:9" x14ac:dyDescent="0.25">
      <c r="A5349" t="str">
        <f t="shared" si="128"/>
        <v>89301000</v>
      </c>
      <c r="B5349" t="str">
        <f>"490327083"</f>
        <v>490327083</v>
      </c>
      <c r="C5349" s="1">
        <v>45045</v>
      </c>
      <c r="D5349" s="1">
        <v>45048</v>
      </c>
      <c r="E5349">
        <v>5</v>
      </c>
      <c r="F5349" t="str">
        <f>"05-M04-04"</f>
        <v>05-M04-04</v>
      </c>
      <c r="G5349">
        <v>2.1597</v>
      </c>
      <c r="H5349" t="s">
        <v>12</v>
      </c>
      <c r="I5349" t="s">
        <v>10</v>
      </c>
    </row>
    <row r="5350" spans="1:9" x14ac:dyDescent="0.25">
      <c r="A5350" t="str">
        <f t="shared" si="128"/>
        <v>89301000</v>
      </c>
      <c r="B5350" t="str">
        <f>"490402029"</f>
        <v>490402029</v>
      </c>
      <c r="C5350" s="1">
        <v>45162</v>
      </c>
      <c r="D5350" s="1">
        <v>45164</v>
      </c>
      <c r="E5350">
        <v>1</v>
      </c>
      <c r="F5350" t="str">
        <f>"11-K07-02"</f>
        <v>11-K07-02</v>
      </c>
      <c r="G5350">
        <v>0.57999999999999996</v>
      </c>
      <c r="H5350" t="s">
        <v>11</v>
      </c>
      <c r="I5350" t="s">
        <v>10</v>
      </c>
    </row>
    <row r="5351" spans="1:9" x14ac:dyDescent="0.25">
      <c r="A5351" t="str">
        <f t="shared" si="128"/>
        <v>89301000</v>
      </c>
      <c r="B5351" t="str">
        <f>"490402029"</f>
        <v>490402029</v>
      </c>
      <c r="C5351" s="1">
        <v>44938</v>
      </c>
      <c r="D5351" s="1">
        <v>44947</v>
      </c>
      <c r="E5351">
        <v>1</v>
      </c>
      <c r="F5351" t="str">
        <f>"11-I08-03"</f>
        <v>11-I08-03</v>
      </c>
      <c r="G5351">
        <v>2.0529999999999999</v>
      </c>
      <c r="H5351" t="s">
        <v>9</v>
      </c>
      <c r="I5351" t="s">
        <v>10</v>
      </c>
    </row>
    <row r="5352" spans="1:9" x14ac:dyDescent="0.25">
      <c r="A5352" t="str">
        <f t="shared" si="128"/>
        <v>89301000</v>
      </c>
      <c r="B5352" t="str">
        <f>"490403410"</f>
        <v>490403410</v>
      </c>
      <c r="C5352" s="1">
        <v>45189</v>
      </c>
      <c r="D5352" s="1">
        <v>45196</v>
      </c>
      <c r="E5352">
        <v>3</v>
      </c>
      <c r="F5352" t="str">
        <f>"08-I03-04"</f>
        <v>08-I03-04</v>
      </c>
      <c r="G5352">
        <v>4.7615999999999996</v>
      </c>
      <c r="H5352" t="s">
        <v>9</v>
      </c>
      <c r="I5352" t="s">
        <v>10</v>
      </c>
    </row>
    <row r="5353" spans="1:9" x14ac:dyDescent="0.25">
      <c r="A5353" t="str">
        <f t="shared" si="128"/>
        <v>89301000</v>
      </c>
      <c r="B5353" t="str">
        <f>"490403410"</f>
        <v>490403410</v>
      </c>
      <c r="C5353" s="1">
        <v>45085</v>
      </c>
      <c r="D5353" s="1">
        <v>45089</v>
      </c>
      <c r="E5353">
        <v>5</v>
      </c>
      <c r="F5353" t="str">
        <f>"08-K08-00"</f>
        <v>08-K08-00</v>
      </c>
      <c r="G5353">
        <v>0.5272</v>
      </c>
      <c r="H5353" t="s">
        <v>11</v>
      </c>
      <c r="I5353" t="s">
        <v>10</v>
      </c>
    </row>
    <row r="5354" spans="1:9" x14ac:dyDescent="0.25">
      <c r="A5354" t="str">
        <f t="shared" si="128"/>
        <v>89301000</v>
      </c>
      <c r="B5354" t="str">
        <f>"490403410"</f>
        <v>490403410</v>
      </c>
      <c r="C5354" s="1">
        <v>45196</v>
      </c>
      <c r="D5354" s="1">
        <v>45209</v>
      </c>
      <c r="E5354">
        <v>1</v>
      </c>
      <c r="F5354" t="str">
        <f>"24-M07-02"</f>
        <v>24-M07-02</v>
      </c>
      <c r="G5354">
        <v>1.5729</v>
      </c>
      <c r="H5354" t="s">
        <v>11</v>
      </c>
      <c r="I5354" t="s">
        <v>10</v>
      </c>
    </row>
    <row r="5355" spans="1:9" x14ac:dyDescent="0.25">
      <c r="A5355" t="str">
        <f t="shared" si="128"/>
        <v>89301000</v>
      </c>
      <c r="B5355" t="str">
        <f>"490404305"</f>
        <v>490404305</v>
      </c>
      <c r="C5355" s="1">
        <v>45140</v>
      </c>
      <c r="D5355" s="1">
        <v>45141</v>
      </c>
      <c r="E5355">
        <v>1</v>
      </c>
      <c r="F5355" t="str">
        <f>"05-M06-04"</f>
        <v>05-M06-04</v>
      </c>
      <c r="G5355">
        <v>2.4176000000000002</v>
      </c>
      <c r="H5355" t="s">
        <v>12</v>
      </c>
      <c r="I5355" t="s">
        <v>10</v>
      </c>
    </row>
    <row r="5356" spans="1:9" x14ac:dyDescent="0.25">
      <c r="A5356" t="str">
        <f t="shared" si="128"/>
        <v>89301000</v>
      </c>
      <c r="B5356" t="str">
        <f>"490406033"</f>
        <v>490406033</v>
      </c>
      <c r="C5356" s="1">
        <v>45154</v>
      </c>
      <c r="D5356" s="1">
        <v>45157</v>
      </c>
      <c r="E5356">
        <v>1</v>
      </c>
      <c r="F5356" t="str">
        <f>"05-M07-06"</f>
        <v>05-M07-06</v>
      </c>
      <c r="G5356">
        <v>1.2264999999999999</v>
      </c>
      <c r="H5356" t="s">
        <v>12</v>
      </c>
      <c r="I5356" t="s">
        <v>10</v>
      </c>
    </row>
    <row r="5357" spans="1:9" x14ac:dyDescent="0.25">
      <c r="A5357" t="str">
        <f t="shared" si="128"/>
        <v>89301000</v>
      </c>
      <c r="B5357" t="str">
        <f>"490410040"</f>
        <v>490410040</v>
      </c>
      <c r="C5357" s="1">
        <v>45267</v>
      </c>
      <c r="D5357" s="1">
        <v>45270</v>
      </c>
      <c r="E5357">
        <v>1</v>
      </c>
      <c r="F5357" t="str">
        <f>"06-I17-02"</f>
        <v>06-I17-02</v>
      </c>
      <c r="G5357">
        <v>1.0106999999999999</v>
      </c>
      <c r="H5357" t="s">
        <v>12</v>
      </c>
      <c r="I5357" t="s">
        <v>10</v>
      </c>
    </row>
    <row r="5358" spans="1:9" x14ac:dyDescent="0.25">
      <c r="A5358" t="str">
        <f t="shared" si="128"/>
        <v>89301000</v>
      </c>
      <c r="B5358" t="str">
        <f>"490415002"</f>
        <v>490415002</v>
      </c>
      <c r="C5358" s="1">
        <v>45209</v>
      </c>
      <c r="D5358" s="1">
        <v>45210</v>
      </c>
      <c r="E5358">
        <v>1</v>
      </c>
      <c r="F5358" t="str">
        <f>"05-D01-08"</f>
        <v>05-D01-08</v>
      </c>
      <c r="G5358">
        <v>0.43159999999999998</v>
      </c>
      <c r="H5358" t="s">
        <v>11</v>
      </c>
      <c r="I5358" t="s">
        <v>10</v>
      </c>
    </row>
    <row r="5359" spans="1:9" x14ac:dyDescent="0.25">
      <c r="A5359" t="str">
        <f t="shared" si="128"/>
        <v>89301000</v>
      </c>
      <c r="B5359" t="str">
        <f>"490415002"</f>
        <v>490415002</v>
      </c>
      <c r="C5359" s="1">
        <v>45259</v>
      </c>
      <c r="D5359" s="1">
        <v>45266</v>
      </c>
      <c r="E5359">
        <v>1</v>
      </c>
      <c r="F5359" t="str">
        <f>"05-M01-01"</f>
        <v>05-M01-01</v>
      </c>
      <c r="G5359">
        <v>14.674200000000001</v>
      </c>
      <c r="H5359" t="s">
        <v>12</v>
      </c>
      <c r="I5359" t="s">
        <v>10</v>
      </c>
    </row>
    <row r="5360" spans="1:9" x14ac:dyDescent="0.25">
      <c r="A5360" t="str">
        <f t="shared" si="128"/>
        <v>89301000</v>
      </c>
      <c r="B5360" t="str">
        <f>"490423147"</f>
        <v>490423147</v>
      </c>
      <c r="C5360" s="1">
        <v>44935</v>
      </c>
      <c r="D5360" s="1">
        <v>44964</v>
      </c>
      <c r="E5360">
        <v>1</v>
      </c>
      <c r="F5360" t="str">
        <f>"17-K05-01"</f>
        <v>17-K05-01</v>
      </c>
      <c r="G5360">
        <v>2.9418000000000002</v>
      </c>
      <c r="H5360" t="s">
        <v>11</v>
      </c>
      <c r="I5360" t="s">
        <v>10</v>
      </c>
    </row>
    <row r="5361" spans="1:9" x14ac:dyDescent="0.25">
      <c r="A5361" t="str">
        <f t="shared" si="128"/>
        <v>89301000</v>
      </c>
      <c r="B5361" t="str">
        <f>"490426170"</f>
        <v>490426170</v>
      </c>
      <c r="C5361" s="1">
        <v>45040</v>
      </c>
      <c r="D5361" s="1">
        <v>45042</v>
      </c>
      <c r="E5361">
        <v>1</v>
      </c>
      <c r="F5361" t="str">
        <f>"05-D01-08"</f>
        <v>05-D01-08</v>
      </c>
      <c r="G5361">
        <v>0.43509999999999999</v>
      </c>
      <c r="H5361" t="s">
        <v>11</v>
      </c>
      <c r="I5361" t="s">
        <v>10</v>
      </c>
    </row>
    <row r="5362" spans="1:9" x14ac:dyDescent="0.25">
      <c r="A5362" t="str">
        <f t="shared" si="128"/>
        <v>89301000</v>
      </c>
      <c r="B5362" t="str">
        <f>"490426285"</f>
        <v>490426285</v>
      </c>
      <c r="C5362" s="1">
        <v>45064</v>
      </c>
      <c r="D5362" s="1">
        <v>45064</v>
      </c>
      <c r="E5362">
        <v>1</v>
      </c>
      <c r="F5362" t="str">
        <f>"05-D01-02"</f>
        <v>05-D01-02</v>
      </c>
      <c r="G5362">
        <v>1.5137</v>
      </c>
      <c r="H5362" t="s">
        <v>11</v>
      </c>
      <c r="I5362" t="s">
        <v>10</v>
      </c>
    </row>
    <row r="5363" spans="1:9" x14ac:dyDescent="0.25">
      <c r="A5363" t="str">
        <f t="shared" si="128"/>
        <v>89301000</v>
      </c>
      <c r="B5363" t="str">
        <f>"490426285"</f>
        <v>490426285</v>
      </c>
      <c r="C5363" s="1">
        <v>45034</v>
      </c>
      <c r="D5363" s="1">
        <v>45040</v>
      </c>
      <c r="E5363">
        <v>1</v>
      </c>
      <c r="F5363" t="str">
        <f>"05-K15-02"</f>
        <v>05-K15-02</v>
      </c>
      <c r="G5363">
        <v>0.45369999999999999</v>
      </c>
      <c r="H5363" t="s">
        <v>11</v>
      </c>
      <c r="I5363" t="s">
        <v>10</v>
      </c>
    </row>
    <row r="5364" spans="1:9" x14ac:dyDescent="0.25">
      <c r="A5364" t="str">
        <f t="shared" si="128"/>
        <v>89301000</v>
      </c>
      <c r="B5364" t="str">
        <f>"490428100"</f>
        <v>490428100</v>
      </c>
      <c r="C5364" s="1">
        <v>45092</v>
      </c>
      <c r="D5364" s="1">
        <v>45093</v>
      </c>
      <c r="E5364">
        <v>1</v>
      </c>
      <c r="F5364" t="str">
        <f>"01-I13-00"</f>
        <v>01-I13-00</v>
      </c>
      <c r="G5364">
        <v>0.38400000000000001</v>
      </c>
      <c r="H5364" t="s">
        <v>11</v>
      </c>
      <c r="I5364" t="s">
        <v>10</v>
      </c>
    </row>
    <row r="5365" spans="1:9" x14ac:dyDescent="0.25">
      <c r="A5365" t="str">
        <f t="shared" si="128"/>
        <v>89301000</v>
      </c>
      <c r="B5365" t="str">
        <f>"490428103"</f>
        <v>490428103</v>
      </c>
      <c r="C5365" s="1">
        <v>45043</v>
      </c>
      <c r="D5365" s="1">
        <v>45044</v>
      </c>
      <c r="E5365">
        <v>1</v>
      </c>
      <c r="F5365" t="str">
        <f>"05-M06-08"</f>
        <v>05-M06-08</v>
      </c>
      <c r="G5365">
        <v>1.4228000000000001</v>
      </c>
      <c r="H5365" t="s">
        <v>12</v>
      </c>
      <c r="I5365" t="s">
        <v>10</v>
      </c>
    </row>
    <row r="5366" spans="1:9" x14ac:dyDescent="0.25">
      <c r="A5366" t="str">
        <f t="shared" si="128"/>
        <v>89301000</v>
      </c>
      <c r="B5366" t="str">
        <f>"490429002"</f>
        <v>490429002</v>
      </c>
      <c r="C5366" s="1">
        <v>45089</v>
      </c>
      <c r="D5366" s="1">
        <v>45096</v>
      </c>
      <c r="E5366">
        <v>1</v>
      </c>
      <c r="F5366" t="str">
        <f>"04-K02-03"</f>
        <v>04-K02-03</v>
      </c>
      <c r="G5366">
        <v>1.298</v>
      </c>
      <c r="H5366" t="s">
        <v>11</v>
      </c>
      <c r="I5366" t="s">
        <v>10</v>
      </c>
    </row>
    <row r="5367" spans="1:9" x14ac:dyDescent="0.25">
      <c r="A5367" t="str">
        <f t="shared" si="128"/>
        <v>89301000</v>
      </c>
      <c r="B5367" t="str">
        <f>"490429002"</f>
        <v>490429002</v>
      </c>
      <c r="C5367" s="1">
        <v>45173</v>
      </c>
      <c r="D5367" s="1">
        <v>45189</v>
      </c>
      <c r="E5367">
        <v>2</v>
      </c>
      <c r="F5367" t="str">
        <f>"01-K10-03"</f>
        <v>01-K10-03</v>
      </c>
      <c r="G5367">
        <v>1.1995</v>
      </c>
      <c r="H5367" t="s">
        <v>11</v>
      </c>
      <c r="I5367" t="s">
        <v>10</v>
      </c>
    </row>
    <row r="5368" spans="1:9" x14ac:dyDescent="0.25">
      <c r="A5368" t="str">
        <f t="shared" si="128"/>
        <v>89301000</v>
      </c>
      <c r="B5368" t="str">
        <f>"490504047"</f>
        <v>490504047</v>
      </c>
      <c r="C5368" s="1">
        <v>45093</v>
      </c>
      <c r="D5368" s="1">
        <v>45098</v>
      </c>
      <c r="E5368">
        <v>1</v>
      </c>
      <c r="F5368" t="str">
        <f>"11-K01-04"</f>
        <v>11-K01-04</v>
      </c>
      <c r="G5368">
        <v>0.6179</v>
      </c>
      <c r="H5368" t="s">
        <v>11</v>
      </c>
      <c r="I5368" t="s">
        <v>10</v>
      </c>
    </row>
    <row r="5369" spans="1:9" x14ac:dyDescent="0.25">
      <c r="A5369" t="str">
        <f t="shared" si="128"/>
        <v>89301000</v>
      </c>
      <c r="B5369" t="str">
        <f>"490504047"</f>
        <v>490504047</v>
      </c>
      <c r="C5369" s="1">
        <v>45150</v>
      </c>
      <c r="D5369" s="1">
        <v>45161</v>
      </c>
      <c r="E5369">
        <v>1</v>
      </c>
      <c r="F5369" t="str">
        <f>"04-K05-03"</f>
        <v>04-K05-03</v>
      </c>
      <c r="G5369">
        <v>0.77549999999999997</v>
      </c>
      <c r="H5369" t="s">
        <v>11</v>
      </c>
      <c r="I5369" t="s">
        <v>10</v>
      </c>
    </row>
    <row r="5370" spans="1:9" x14ac:dyDescent="0.25">
      <c r="A5370" t="str">
        <f t="shared" si="128"/>
        <v>89301000</v>
      </c>
      <c r="B5370" t="str">
        <f>"490504047"</f>
        <v>490504047</v>
      </c>
      <c r="C5370" s="1">
        <v>44983</v>
      </c>
      <c r="D5370" s="1">
        <v>45029</v>
      </c>
      <c r="E5370">
        <v>1</v>
      </c>
      <c r="F5370" t="str">
        <f>"06-I12-01"</f>
        <v>06-I12-01</v>
      </c>
      <c r="G5370">
        <v>7.9908999999999999</v>
      </c>
      <c r="H5370" t="s">
        <v>11</v>
      </c>
      <c r="I5370" t="s">
        <v>10</v>
      </c>
    </row>
    <row r="5371" spans="1:9" x14ac:dyDescent="0.25">
      <c r="A5371" t="str">
        <f t="shared" si="128"/>
        <v>89301000</v>
      </c>
      <c r="B5371" t="str">
        <f>"490507080"</f>
        <v>490507080</v>
      </c>
      <c r="C5371" s="1">
        <v>45056</v>
      </c>
      <c r="D5371" s="1">
        <v>45063</v>
      </c>
      <c r="E5371">
        <v>1</v>
      </c>
      <c r="F5371" t="str">
        <f>"17-K09-02"</f>
        <v>17-K09-02</v>
      </c>
      <c r="G5371">
        <v>0.77080000000000004</v>
      </c>
      <c r="H5371" t="s">
        <v>11</v>
      </c>
      <c r="I5371" t="s">
        <v>10</v>
      </c>
    </row>
    <row r="5372" spans="1:9" x14ac:dyDescent="0.25">
      <c r="A5372" t="str">
        <f t="shared" si="128"/>
        <v>89301000</v>
      </c>
      <c r="B5372" t="str">
        <f>"490507080"</f>
        <v>490507080</v>
      </c>
      <c r="C5372" s="1">
        <v>45085</v>
      </c>
      <c r="D5372" s="1">
        <v>45101</v>
      </c>
      <c r="E5372">
        <v>1</v>
      </c>
      <c r="F5372" t="str">
        <f>"11-I09-00"</f>
        <v>11-I09-00</v>
      </c>
      <c r="G5372">
        <v>2.4554</v>
      </c>
      <c r="H5372" t="s">
        <v>12</v>
      </c>
      <c r="I5372" t="s">
        <v>10</v>
      </c>
    </row>
    <row r="5373" spans="1:9" x14ac:dyDescent="0.25">
      <c r="A5373" t="str">
        <f t="shared" si="128"/>
        <v>89301000</v>
      </c>
      <c r="B5373" t="str">
        <f>"490507080"</f>
        <v>490507080</v>
      </c>
      <c r="C5373" s="1">
        <v>45198</v>
      </c>
      <c r="D5373" s="1">
        <v>45204</v>
      </c>
      <c r="E5373">
        <v>1</v>
      </c>
      <c r="F5373" t="str">
        <f>"11-K01-04"</f>
        <v>11-K01-04</v>
      </c>
      <c r="G5373">
        <v>0.57130000000000003</v>
      </c>
      <c r="H5373" t="s">
        <v>11</v>
      </c>
      <c r="I5373" t="s">
        <v>10</v>
      </c>
    </row>
    <row r="5374" spans="1:9" x14ac:dyDescent="0.25">
      <c r="A5374" t="str">
        <f t="shared" si="128"/>
        <v>89301000</v>
      </c>
      <c r="B5374" t="str">
        <f>"490513039"</f>
        <v>490513039</v>
      </c>
      <c r="C5374" s="1">
        <v>45159</v>
      </c>
      <c r="D5374" s="1">
        <v>45183</v>
      </c>
      <c r="E5374">
        <v>1</v>
      </c>
      <c r="F5374" t="str">
        <f>"05-I16-04"</f>
        <v>05-I16-04</v>
      </c>
      <c r="G5374">
        <v>7.1818999999999997</v>
      </c>
      <c r="H5374" t="s">
        <v>14</v>
      </c>
      <c r="I5374" t="s">
        <v>10</v>
      </c>
    </row>
    <row r="5375" spans="1:9" x14ac:dyDescent="0.25">
      <c r="A5375" t="str">
        <f t="shared" si="128"/>
        <v>89301000</v>
      </c>
      <c r="B5375" t="str">
        <f>"490526342"</f>
        <v>490526342</v>
      </c>
      <c r="C5375" s="1">
        <v>45265</v>
      </c>
      <c r="D5375" s="1">
        <v>45267</v>
      </c>
      <c r="E5375">
        <v>1</v>
      </c>
      <c r="F5375" t="str">
        <f>"05-M06-06"</f>
        <v>05-M06-06</v>
      </c>
      <c r="G5375">
        <v>1.8264</v>
      </c>
      <c r="H5375" t="s">
        <v>12</v>
      </c>
      <c r="I5375" t="s">
        <v>10</v>
      </c>
    </row>
    <row r="5376" spans="1:9" x14ac:dyDescent="0.25">
      <c r="A5376" t="str">
        <f t="shared" si="128"/>
        <v>89301000</v>
      </c>
      <c r="B5376" t="str">
        <f>"490529034"</f>
        <v>490529034</v>
      </c>
      <c r="C5376" s="1">
        <v>45093</v>
      </c>
      <c r="D5376" s="1">
        <v>45114</v>
      </c>
      <c r="E5376">
        <v>5</v>
      </c>
      <c r="F5376" t="str">
        <f>"05-I12-01"</f>
        <v>05-I12-01</v>
      </c>
      <c r="G5376">
        <v>9.9133999999999993</v>
      </c>
      <c r="H5376" t="s">
        <v>14</v>
      </c>
      <c r="I5376" t="s">
        <v>10</v>
      </c>
    </row>
    <row r="5377" spans="1:9" x14ac:dyDescent="0.25">
      <c r="A5377" t="str">
        <f t="shared" si="128"/>
        <v>89301000</v>
      </c>
      <c r="B5377" t="str">
        <f>"4905620511"</f>
        <v>4905620511</v>
      </c>
      <c r="C5377" s="1">
        <v>45044</v>
      </c>
      <c r="D5377" s="1">
        <v>45063</v>
      </c>
      <c r="E5377">
        <v>1</v>
      </c>
      <c r="F5377" t="str">
        <f>"10-I02-01"</f>
        <v>10-I02-01</v>
      </c>
      <c r="G5377">
        <v>4.3308999999999997</v>
      </c>
      <c r="H5377" t="s">
        <v>12</v>
      </c>
      <c r="I5377" t="s">
        <v>10</v>
      </c>
    </row>
    <row r="5378" spans="1:9" x14ac:dyDescent="0.25">
      <c r="A5378" t="str">
        <f t="shared" si="128"/>
        <v>89301000</v>
      </c>
      <c r="B5378" t="str">
        <f>"490607007"</f>
        <v>490607007</v>
      </c>
      <c r="C5378" s="1">
        <v>45134</v>
      </c>
      <c r="D5378" s="1">
        <v>45140</v>
      </c>
      <c r="E5378">
        <v>1</v>
      </c>
      <c r="F5378" t="str">
        <f>"12-I02-01"</f>
        <v>12-I02-01</v>
      </c>
      <c r="G5378">
        <v>3.3855</v>
      </c>
      <c r="H5378" t="s">
        <v>9</v>
      </c>
      <c r="I5378" t="s">
        <v>10</v>
      </c>
    </row>
    <row r="5379" spans="1:9" x14ac:dyDescent="0.25">
      <c r="A5379" t="str">
        <f t="shared" si="128"/>
        <v>89301000</v>
      </c>
      <c r="B5379" t="str">
        <f>"490608011"</f>
        <v>490608011</v>
      </c>
      <c r="C5379" s="1">
        <v>45233</v>
      </c>
      <c r="D5379" s="1">
        <v>45239</v>
      </c>
      <c r="E5379">
        <v>1</v>
      </c>
      <c r="F5379" t="str">
        <f>"05-K12-02"</f>
        <v>05-K12-02</v>
      </c>
      <c r="G5379">
        <v>0.48820000000000002</v>
      </c>
      <c r="H5379" t="s">
        <v>11</v>
      </c>
      <c r="I5379" t="s">
        <v>10</v>
      </c>
    </row>
    <row r="5380" spans="1:9" x14ac:dyDescent="0.25">
      <c r="A5380" t="str">
        <f t="shared" si="128"/>
        <v>89301000</v>
      </c>
      <c r="B5380" t="str">
        <f>"490610101"</f>
        <v>490610101</v>
      </c>
      <c r="C5380" s="1">
        <v>45119</v>
      </c>
      <c r="D5380" s="1">
        <v>45121</v>
      </c>
      <c r="E5380">
        <v>1</v>
      </c>
      <c r="F5380" t="str">
        <f>"05-D01-07"</f>
        <v>05-D01-07</v>
      </c>
      <c r="G5380">
        <v>0.59299999999999997</v>
      </c>
      <c r="H5380" t="s">
        <v>11</v>
      </c>
      <c r="I5380" t="s">
        <v>10</v>
      </c>
    </row>
    <row r="5381" spans="1:9" x14ac:dyDescent="0.25">
      <c r="A5381" t="str">
        <f t="shared" si="128"/>
        <v>89301000</v>
      </c>
      <c r="B5381" t="str">
        <f>"490616265"</f>
        <v>490616265</v>
      </c>
      <c r="C5381" s="1">
        <v>45252</v>
      </c>
      <c r="D5381" s="1">
        <v>45255</v>
      </c>
      <c r="E5381">
        <v>1</v>
      </c>
      <c r="F5381" t="str">
        <f>"05-I14-01"</f>
        <v>05-I14-01</v>
      </c>
      <c r="G5381">
        <v>9.2554999999999996</v>
      </c>
      <c r="H5381" t="s">
        <v>12</v>
      </c>
      <c r="I5381" t="s">
        <v>10</v>
      </c>
    </row>
    <row r="5382" spans="1:9" x14ac:dyDescent="0.25">
      <c r="A5382" t="str">
        <f t="shared" si="128"/>
        <v>89301000</v>
      </c>
      <c r="B5382" t="str">
        <f>"490617025"</f>
        <v>490617025</v>
      </c>
      <c r="C5382" s="1">
        <v>45209</v>
      </c>
      <c r="D5382" s="1">
        <v>45219</v>
      </c>
      <c r="E5382">
        <v>1</v>
      </c>
      <c r="F5382" t="str">
        <f>"01-K04-02"</f>
        <v>01-K04-02</v>
      </c>
      <c r="G5382">
        <v>0.80210000000000004</v>
      </c>
      <c r="H5382" t="s">
        <v>11</v>
      </c>
      <c r="I5382" t="s">
        <v>10</v>
      </c>
    </row>
    <row r="5383" spans="1:9" x14ac:dyDescent="0.25">
      <c r="A5383" t="str">
        <f t="shared" si="128"/>
        <v>89301000</v>
      </c>
      <c r="B5383" t="str">
        <f>"490618234"</f>
        <v>490618234</v>
      </c>
      <c r="C5383" s="1">
        <v>45081</v>
      </c>
      <c r="D5383" s="1">
        <v>45110</v>
      </c>
      <c r="E5383">
        <v>1</v>
      </c>
      <c r="F5383" t="str">
        <f>"05-M02-01"</f>
        <v>05-M02-01</v>
      </c>
      <c r="G5383">
        <v>12.4621</v>
      </c>
      <c r="H5383" t="s">
        <v>14</v>
      </c>
      <c r="I5383" t="s">
        <v>10</v>
      </c>
    </row>
    <row r="5384" spans="1:9" x14ac:dyDescent="0.25">
      <c r="A5384" t="str">
        <f t="shared" si="128"/>
        <v>89301000</v>
      </c>
      <c r="B5384" t="str">
        <f>"490623037"</f>
        <v>490623037</v>
      </c>
      <c r="C5384" s="1">
        <v>45140</v>
      </c>
      <c r="D5384" s="1">
        <v>45154</v>
      </c>
      <c r="E5384">
        <v>8</v>
      </c>
      <c r="F5384" t="str">
        <f>"12-K05-01"</f>
        <v>12-K05-01</v>
      </c>
      <c r="G5384">
        <v>1.5271999999999999</v>
      </c>
      <c r="H5384" t="s">
        <v>11</v>
      </c>
      <c r="I5384" t="s">
        <v>10</v>
      </c>
    </row>
    <row r="5385" spans="1:9" x14ac:dyDescent="0.25">
      <c r="A5385" t="str">
        <f t="shared" si="128"/>
        <v>89301000</v>
      </c>
      <c r="B5385" t="str">
        <f>"490623037"</f>
        <v>490623037</v>
      </c>
      <c r="C5385" s="1">
        <v>45099</v>
      </c>
      <c r="D5385" s="1">
        <v>45107</v>
      </c>
      <c r="E5385">
        <v>1</v>
      </c>
      <c r="F5385" t="str">
        <f>"12-K05-01"</f>
        <v>12-K05-01</v>
      </c>
      <c r="G5385">
        <v>1.5271999999999999</v>
      </c>
      <c r="H5385" t="s">
        <v>11</v>
      </c>
      <c r="I5385" t="s">
        <v>10</v>
      </c>
    </row>
    <row r="5386" spans="1:9" x14ac:dyDescent="0.25">
      <c r="A5386" t="str">
        <f t="shared" si="128"/>
        <v>89301000</v>
      </c>
      <c r="B5386" t="str">
        <f>"490624211"</f>
        <v>490624211</v>
      </c>
      <c r="C5386" s="1">
        <v>44928</v>
      </c>
      <c r="D5386" s="1">
        <v>44937</v>
      </c>
      <c r="E5386">
        <v>1</v>
      </c>
      <c r="F5386" t="str">
        <f>"05-I12-03"</f>
        <v>05-I12-03</v>
      </c>
      <c r="G5386">
        <v>6.7502000000000004</v>
      </c>
      <c r="H5386" t="s">
        <v>14</v>
      </c>
      <c r="I5386" t="s">
        <v>10</v>
      </c>
    </row>
    <row r="5387" spans="1:9" x14ac:dyDescent="0.25">
      <c r="A5387" t="str">
        <f t="shared" si="128"/>
        <v>89301000</v>
      </c>
      <c r="B5387" t="str">
        <f>"490625068"</f>
        <v>490625068</v>
      </c>
      <c r="C5387" s="1">
        <v>45095</v>
      </c>
      <c r="D5387" s="1">
        <v>45097</v>
      </c>
      <c r="E5387">
        <v>1</v>
      </c>
      <c r="F5387" t="str">
        <f>"11-I17-03"</f>
        <v>11-I17-03</v>
      </c>
      <c r="G5387">
        <v>0.45600000000000002</v>
      </c>
      <c r="H5387" t="s">
        <v>11</v>
      </c>
      <c r="I5387" t="s">
        <v>10</v>
      </c>
    </row>
    <row r="5388" spans="1:9" x14ac:dyDescent="0.25">
      <c r="A5388" t="str">
        <f t="shared" si="128"/>
        <v>89301000</v>
      </c>
      <c r="B5388" t="str">
        <f>"490703133"</f>
        <v>490703133</v>
      </c>
      <c r="C5388" s="1">
        <v>45144</v>
      </c>
      <c r="D5388" s="1">
        <v>45154</v>
      </c>
      <c r="E5388">
        <v>4</v>
      </c>
      <c r="F5388" t="str">
        <f>"01-C02-02"</f>
        <v>01-C02-02</v>
      </c>
      <c r="G5388">
        <v>1.6685000000000001</v>
      </c>
      <c r="H5388" t="s">
        <v>11</v>
      </c>
      <c r="I5388" t="s">
        <v>10</v>
      </c>
    </row>
    <row r="5389" spans="1:9" x14ac:dyDescent="0.25">
      <c r="A5389" t="str">
        <f t="shared" si="128"/>
        <v>89301000</v>
      </c>
      <c r="B5389" t="str">
        <f>"490704198"</f>
        <v>490704198</v>
      </c>
      <c r="C5389" s="1">
        <v>45154</v>
      </c>
      <c r="D5389" s="1">
        <v>45156</v>
      </c>
      <c r="E5389">
        <v>1</v>
      </c>
      <c r="F5389" t="str">
        <f>"05-M05-02"</f>
        <v>05-M05-02</v>
      </c>
      <c r="G5389">
        <v>3.4817999999999998</v>
      </c>
      <c r="H5389" t="s">
        <v>14</v>
      </c>
      <c r="I5389" t="s">
        <v>10</v>
      </c>
    </row>
    <row r="5390" spans="1:9" x14ac:dyDescent="0.25">
      <c r="A5390" t="str">
        <f t="shared" si="128"/>
        <v>89301000</v>
      </c>
      <c r="B5390" t="str">
        <f>"490705016"</f>
        <v>490705016</v>
      </c>
      <c r="C5390" s="1">
        <v>45072</v>
      </c>
      <c r="D5390" s="1">
        <v>45098</v>
      </c>
      <c r="E5390">
        <v>7</v>
      </c>
      <c r="F5390" t="str">
        <f>"08-K03-01"</f>
        <v>08-K03-01</v>
      </c>
      <c r="G5390">
        <v>3.0689000000000002</v>
      </c>
      <c r="H5390" t="s">
        <v>11</v>
      </c>
      <c r="I5390" t="s">
        <v>10</v>
      </c>
    </row>
    <row r="5391" spans="1:9" x14ac:dyDescent="0.25">
      <c r="A5391" t="str">
        <f t="shared" si="128"/>
        <v>89301000</v>
      </c>
      <c r="B5391" t="str">
        <f>"490711456"</f>
        <v>490711456</v>
      </c>
      <c r="C5391" s="1">
        <v>45154</v>
      </c>
      <c r="D5391" s="1">
        <v>45155</v>
      </c>
      <c r="E5391">
        <v>1</v>
      </c>
      <c r="F5391" t="str">
        <f>"07-K06-02"</f>
        <v>07-K06-02</v>
      </c>
      <c r="G5391">
        <v>0.47520000000000001</v>
      </c>
      <c r="H5391" t="s">
        <v>11</v>
      </c>
      <c r="I5391" t="s">
        <v>10</v>
      </c>
    </row>
    <row r="5392" spans="1:9" x14ac:dyDescent="0.25">
      <c r="A5392" t="str">
        <f t="shared" si="128"/>
        <v>89301000</v>
      </c>
      <c r="B5392" t="str">
        <f>"490716385"</f>
        <v>490716385</v>
      </c>
      <c r="C5392" s="1">
        <v>45257</v>
      </c>
      <c r="D5392" s="1">
        <v>45258</v>
      </c>
      <c r="E5392">
        <v>1</v>
      </c>
      <c r="F5392" t="str">
        <f>"02-I08-02"</f>
        <v>02-I08-02</v>
      </c>
      <c r="G5392">
        <v>0.60729999999999995</v>
      </c>
      <c r="H5392" t="s">
        <v>12</v>
      </c>
      <c r="I5392" t="s">
        <v>10</v>
      </c>
    </row>
    <row r="5393" spans="1:9" x14ac:dyDescent="0.25">
      <c r="A5393" t="str">
        <f t="shared" ref="A5393:A5455" si="129">"89301000"</f>
        <v>89301000</v>
      </c>
      <c r="B5393" t="str">
        <f>"490719034"</f>
        <v>490719034</v>
      </c>
      <c r="C5393" s="1">
        <v>45099</v>
      </c>
      <c r="D5393" s="1">
        <v>45102</v>
      </c>
      <c r="E5393">
        <v>1</v>
      </c>
      <c r="F5393" t="str">
        <f>"08-I15-03"</f>
        <v>08-I15-03</v>
      </c>
      <c r="G5393">
        <v>0.94059999999999999</v>
      </c>
      <c r="H5393" t="s">
        <v>12</v>
      </c>
      <c r="I5393" t="s">
        <v>10</v>
      </c>
    </row>
    <row r="5394" spans="1:9" x14ac:dyDescent="0.25">
      <c r="A5394" t="str">
        <f t="shared" si="129"/>
        <v>89301000</v>
      </c>
      <c r="B5394" t="str">
        <f>"490720303"</f>
        <v>490720303</v>
      </c>
      <c r="C5394" s="1">
        <v>45042</v>
      </c>
      <c r="D5394" s="1">
        <v>45049</v>
      </c>
      <c r="E5394">
        <v>1</v>
      </c>
      <c r="F5394" t="str">
        <f>"01-I07-04"</f>
        <v>01-I07-04</v>
      </c>
      <c r="G5394">
        <v>1.9818</v>
      </c>
      <c r="H5394" t="s">
        <v>12</v>
      </c>
      <c r="I5394" t="s">
        <v>10</v>
      </c>
    </row>
    <row r="5395" spans="1:9" x14ac:dyDescent="0.25">
      <c r="A5395" t="str">
        <f t="shared" si="129"/>
        <v>89301000</v>
      </c>
      <c r="B5395" t="str">
        <f>"490722116"</f>
        <v>490722116</v>
      </c>
      <c r="C5395" s="1">
        <v>45195</v>
      </c>
      <c r="D5395" s="1">
        <v>45202</v>
      </c>
      <c r="E5395">
        <v>1</v>
      </c>
      <c r="F5395" t="str">
        <f>"11-K14-03"</f>
        <v>11-K14-03</v>
      </c>
      <c r="G5395">
        <v>0.34799999999999998</v>
      </c>
      <c r="H5395" t="s">
        <v>11</v>
      </c>
      <c r="I5395" t="s">
        <v>10</v>
      </c>
    </row>
    <row r="5396" spans="1:9" x14ac:dyDescent="0.25">
      <c r="A5396" t="str">
        <f t="shared" si="129"/>
        <v>89301000</v>
      </c>
      <c r="B5396" t="str">
        <f>"490722116"</f>
        <v>490722116</v>
      </c>
      <c r="C5396" s="1">
        <v>45250</v>
      </c>
      <c r="D5396" s="1">
        <v>45253</v>
      </c>
      <c r="E5396">
        <v>1</v>
      </c>
      <c r="F5396" t="str">
        <f>"11-K01-04"</f>
        <v>11-K01-04</v>
      </c>
      <c r="G5396">
        <v>0.57130000000000003</v>
      </c>
      <c r="H5396" t="s">
        <v>11</v>
      </c>
      <c r="I5396" t="s">
        <v>10</v>
      </c>
    </row>
    <row r="5397" spans="1:9" x14ac:dyDescent="0.25">
      <c r="A5397" t="str">
        <f t="shared" si="129"/>
        <v>89301000</v>
      </c>
      <c r="B5397" t="str">
        <f>"490722116"</f>
        <v>490722116</v>
      </c>
      <c r="C5397" s="1">
        <v>44957</v>
      </c>
      <c r="D5397" s="1">
        <v>44963</v>
      </c>
      <c r="E5397">
        <v>1</v>
      </c>
      <c r="F5397" t="str">
        <f>"06-M01-03"</f>
        <v>06-M01-03</v>
      </c>
      <c r="G5397">
        <v>0.82350000000000001</v>
      </c>
      <c r="H5397" t="s">
        <v>11</v>
      </c>
      <c r="I5397" t="s">
        <v>10</v>
      </c>
    </row>
    <row r="5398" spans="1:9" x14ac:dyDescent="0.25">
      <c r="A5398" t="str">
        <f t="shared" si="129"/>
        <v>89301000</v>
      </c>
      <c r="B5398" t="str">
        <f>"490722116"</f>
        <v>490722116</v>
      </c>
      <c r="C5398" s="1">
        <v>44945</v>
      </c>
      <c r="D5398" s="1">
        <v>44949</v>
      </c>
      <c r="E5398">
        <v>1</v>
      </c>
      <c r="F5398" t="str">
        <f>"06-M01-02"</f>
        <v>06-M01-02</v>
      </c>
      <c r="G5398">
        <v>1.2206999999999999</v>
      </c>
      <c r="H5398" t="s">
        <v>11</v>
      </c>
      <c r="I5398" t="s">
        <v>10</v>
      </c>
    </row>
    <row r="5399" spans="1:9" x14ac:dyDescent="0.25">
      <c r="A5399" t="str">
        <f t="shared" si="129"/>
        <v>89301000</v>
      </c>
      <c r="B5399" t="str">
        <f>"490725327"</f>
        <v>490725327</v>
      </c>
      <c r="C5399" s="1">
        <v>44929</v>
      </c>
      <c r="D5399" s="1">
        <v>44930</v>
      </c>
      <c r="E5399">
        <v>1</v>
      </c>
      <c r="F5399" t="str">
        <f>"09-I10-02"</f>
        <v>09-I10-02</v>
      </c>
      <c r="G5399">
        <v>0.87580000000000002</v>
      </c>
      <c r="H5399" t="s">
        <v>12</v>
      </c>
      <c r="I5399" t="s">
        <v>10</v>
      </c>
    </row>
    <row r="5400" spans="1:9" x14ac:dyDescent="0.25">
      <c r="A5400" t="str">
        <f t="shared" si="129"/>
        <v>89301000</v>
      </c>
      <c r="B5400" t="str">
        <f>"490731031"</f>
        <v>490731031</v>
      </c>
      <c r="C5400" s="1">
        <v>45178</v>
      </c>
      <c r="D5400" s="1">
        <v>45181</v>
      </c>
      <c r="E5400">
        <v>4</v>
      </c>
      <c r="F5400" t="str">
        <f>"10-K14-03"</f>
        <v>10-K14-03</v>
      </c>
      <c r="G5400">
        <v>0.48830000000000001</v>
      </c>
      <c r="H5400" t="s">
        <v>11</v>
      </c>
      <c r="I5400" t="s">
        <v>10</v>
      </c>
    </row>
    <row r="5401" spans="1:9" x14ac:dyDescent="0.25">
      <c r="A5401" t="str">
        <f t="shared" si="129"/>
        <v>89301000</v>
      </c>
      <c r="B5401" t="str">
        <f>"490731031"</f>
        <v>490731031</v>
      </c>
      <c r="C5401" s="1">
        <v>45273</v>
      </c>
      <c r="D5401" s="1">
        <v>45281</v>
      </c>
      <c r="E5401">
        <v>4</v>
      </c>
      <c r="F5401" t="str">
        <f>"08-I05-07"</f>
        <v>08-I05-07</v>
      </c>
      <c r="G5401">
        <v>2.0836999999999999</v>
      </c>
      <c r="H5401" t="s">
        <v>12</v>
      </c>
      <c r="I5401" t="s">
        <v>10</v>
      </c>
    </row>
    <row r="5402" spans="1:9" x14ac:dyDescent="0.25">
      <c r="A5402" t="str">
        <f t="shared" si="129"/>
        <v>89301000</v>
      </c>
      <c r="B5402" t="str">
        <f>"490731093"</f>
        <v>490731093</v>
      </c>
      <c r="C5402" s="1">
        <v>45159</v>
      </c>
      <c r="D5402" s="1">
        <v>45162</v>
      </c>
      <c r="E5402">
        <v>8</v>
      </c>
      <c r="F5402" t="str">
        <f>"05-D01-07"</f>
        <v>05-D01-07</v>
      </c>
      <c r="G5402">
        <v>0.59299999999999997</v>
      </c>
      <c r="H5402" t="s">
        <v>11</v>
      </c>
      <c r="I5402" t="s">
        <v>10</v>
      </c>
    </row>
    <row r="5403" spans="1:9" x14ac:dyDescent="0.25">
      <c r="A5403" t="str">
        <f t="shared" si="129"/>
        <v>89301000</v>
      </c>
      <c r="B5403" t="str">
        <f>"490805384"</f>
        <v>490805384</v>
      </c>
      <c r="C5403" s="1">
        <v>45054</v>
      </c>
      <c r="D5403" s="1">
        <v>45055</v>
      </c>
      <c r="E5403">
        <v>1</v>
      </c>
      <c r="F5403" t="str">
        <f>"08-I18-02"</f>
        <v>08-I18-02</v>
      </c>
      <c r="G5403">
        <v>0.62509999999999999</v>
      </c>
      <c r="H5403" t="s">
        <v>12</v>
      </c>
      <c r="I5403" t="s">
        <v>10</v>
      </c>
    </row>
    <row r="5404" spans="1:9" x14ac:dyDescent="0.25">
      <c r="A5404" t="str">
        <f t="shared" si="129"/>
        <v>89301000</v>
      </c>
      <c r="B5404" t="str">
        <f>"490806010"</f>
        <v>490806010</v>
      </c>
      <c r="C5404" s="1">
        <v>45146</v>
      </c>
      <c r="D5404" s="1">
        <v>45151</v>
      </c>
      <c r="E5404">
        <v>1</v>
      </c>
      <c r="F5404" t="str">
        <f>"08-I03-06"</f>
        <v>08-I03-06</v>
      </c>
      <c r="G5404">
        <v>2.9159000000000002</v>
      </c>
      <c r="H5404" t="s">
        <v>9</v>
      </c>
      <c r="I5404" t="s">
        <v>10</v>
      </c>
    </row>
    <row r="5405" spans="1:9" x14ac:dyDescent="0.25">
      <c r="A5405" t="str">
        <f t="shared" si="129"/>
        <v>89301000</v>
      </c>
      <c r="B5405" t="str">
        <f>"490807011"</f>
        <v>490807011</v>
      </c>
      <c r="C5405" s="1">
        <v>45090</v>
      </c>
      <c r="D5405" s="1">
        <v>45091</v>
      </c>
      <c r="E5405">
        <v>1</v>
      </c>
      <c r="F5405" t="str">
        <f>"02-I13-02"</f>
        <v>02-I13-02</v>
      </c>
      <c r="G5405">
        <v>0.4259</v>
      </c>
      <c r="H5405" t="s">
        <v>11</v>
      </c>
      <c r="I5405" t="s">
        <v>10</v>
      </c>
    </row>
    <row r="5406" spans="1:9" x14ac:dyDescent="0.25">
      <c r="A5406" t="str">
        <f t="shared" si="129"/>
        <v>89301000</v>
      </c>
      <c r="B5406" t="str">
        <f>"490807091"</f>
        <v>490807091</v>
      </c>
      <c r="C5406" s="1">
        <v>45232</v>
      </c>
      <c r="D5406" s="1">
        <v>45233</v>
      </c>
      <c r="E5406">
        <v>1</v>
      </c>
      <c r="F5406" t="str">
        <f>"05-I14-04"</f>
        <v>05-I14-04</v>
      </c>
      <c r="G5406">
        <v>5.2220000000000004</v>
      </c>
      <c r="H5406" t="s">
        <v>12</v>
      </c>
      <c r="I5406" t="s">
        <v>10</v>
      </c>
    </row>
    <row r="5407" spans="1:9" x14ac:dyDescent="0.25">
      <c r="A5407" t="str">
        <f t="shared" si="129"/>
        <v>89301000</v>
      </c>
      <c r="B5407" t="str">
        <f>"490807091"</f>
        <v>490807091</v>
      </c>
      <c r="C5407" s="1">
        <v>45192</v>
      </c>
      <c r="D5407" s="1">
        <v>45194</v>
      </c>
      <c r="E5407">
        <v>5</v>
      </c>
      <c r="F5407" t="str">
        <f>"05-M06-06"</f>
        <v>05-M06-06</v>
      </c>
      <c r="G5407">
        <v>1.8264</v>
      </c>
      <c r="H5407" t="s">
        <v>12</v>
      </c>
      <c r="I5407" t="s">
        <v>10</v>
      </c>
    </row>
    <row r="5408" spans="1:9" x14ac:dyDescent="0.25">
      <c r="A5408" t="str">
        <f t="shared" si="129"/>
        <v>89301000</v>
      </c>
      <c r="B5408" t="str">
        <f>"490810056"</f>
        <v>490810056</v>
      </c>
      <c r="C5408" s="1">
        <v>45164</v>
      </c>
      <c r="D5408" s="1">
        <v>45169</v>
      </c>
      <c r="E5408">
        <v>1</v>
      </c>
      <c r="F5408" t="str">
        <f>"01-K12-01"</f>
        <v>01-K12-01</v>
      </c>
      <c r="G5408">
        <v>0.72709999999999997</v>
      </c>
      <c r="H5408" t="s">
        <v>11</v>
      </c>
      <c r="I5408" t="s">
        <v>10</v>
      </c>
    </row>
    <row r="5409" spans="1:9" x14ac:dyDescent="0.25">
      <c r="A5409" t="str">
        <f t="shared" si="129"/>
        <v>89301000</v>
      </c>
      <c r="B5409" t="str">
        <f>"490811196"</f>
        <v>490811196</v>
      </c>
      <c r="C5409" s="1">
        <v>45076</v>
      </c>
      <c r="D5409" s="1">
        <v>45081</v>
      </c>
      <c r="E5409">
        <v>7</v>
      </c>
      <c r="F5409" t="str">
        <f>"04-I04-00"</f>
        <v>04-I04-00</v>
      </c>
      <c r="G5409">
        <v>4.0654000000000003</v>
      </c>
      <c r="H5409" t="s">
        <v>12</v>
      </c>
      <c r="I5409" t="s">
        <v>10</v>
      </c>
    </row>
    <row r="5410" spans="1:9" x14ac:dyDescent="0.25">
      <c r="A5410" t="str">
        <f t="shared" si="129"/>
        <v>89301000</v>
      </c>
      <c r="B5410" t="str">
        <f>"490811196"</f>
        <v>490811196</v>
      </c>
      <c r="C5410" s="1">
        <v>45069</v>
      </c>
      <c r="D5410" s="1">
        <v>45070</v>
      </c>
      <c r="E5410">
        <v>1</v>
      </c>
      <c r="F5410" t="str">
        <f>"12-K02-02"</f>
        <v>12-K02-02</v>
      </c>
      <c r="G5410">
        <v>0.39479999999999998</v>
      </c>
      <c r="H5410" t="s">
        <v>11</v>
      </c>
      <c r="I5410" t="s">
        <v>10</v>
      </c>
    </row>
    <row r="5411" spans="1:9" x14ac:dyDescent="0.25">
      <c r="A5411" t="str">
        <f t="shared" si="129"/>
        <v>89301000</v>
      </c>
      <c r="B5411" t="str">
        <f>"490813013"</f>
        <v>490813013</v>
      </c>
      <c r="C5411" s="1">
        <v>45110</v>
      </c>
      <c r="D5411" s="1">
        <v>45111</v>
      </c>
      <c r="E5411">
        <v>1</v>
      </c>
      <c r="F5411" t="str">
        <f>"12-I14-00"</f>
        <v>12-I14-00</v>
      </c>
      <c r="G5411">
        <v>0.42920000000000003</v>
      </c>
      <c r="H5411" t="s">
        <v>11</v>
      </c>
      <c r="I5411" t="s">
        <v>10</v>
      </c>
    </row>
    <row r="5412" spans="1:9" x14ac:dyDescent="0.25">
      <c r="A5412" t="str">
        <f t="shared" si="129"/>
        <v>89301000</v>
      </c>
      <c r="B5412" t="str">
        <f>"490815021"</f>
        <v>490815021</v>
      </c>
      <c r="C5412" s="1">
        <v>45007</v>
      </c>
      <c r="D5412" s="1">
        <v>45009</v>
      </c>
      <c r="E5412">
        <v>1</v>
      </c>
      <c r="F5412" t="str">
        <f>"05-D01-06"</f>
        <v>05-D01-06</v>
      </c>
      <c r="G5412">
        <v>0.7571</v>
      </c>
      <c r="H5412" t="s">
        <v>11</v>
      </c>
      <c r="I5412" t="s">
        <v>10</v>
      </c>
    </row>
    <row r="5413" spans="1:9" x14ac:dyDescent="0.25">
      <c r="A5413" t="str">
        <f t="shared" si="129"/>
        <v>89301000</v>
      </c>
      <c r="B5413" t="str">
        <f>"490815021"</f>
        <v>490815021</v>
      </c>
      <c r="C5413" s="1">
        <v>45070</v>
      </c>
      <c r="D5413" s="1">
        <v>45083</v>
      </c>
      <c r="E5413">
        <v>1</v>
      </c>
      <c r="F5413" t="str">
        <f>"05-I07-01"</f>
        <v>05-I07-01</v>
      </c>
      <c r="G5413">
        <v>12.152200000000001</v>
      </c>
      <c r="H5413" t="s">
        <v>14</v>
      </c>
      <c r="I5413" t="s">
        <v>10</v>
      </c>
    </row>
    <row r="5414" spans="1:9" x14ac:dyDescent="0.25">
      <c r="A5414" t="str">
        <f t="shared" si="129"/>
        <v>89301000</v>
      </c>
      <c r="B5414" t="str">
        <f>"490819151"</f>
        <v>490819151</v>
      </c>
      <c r="C5414" s="1">
        <v>45251</v>
      </c>
      <c r="D5414" s="1">
        <v>45258</v>
      </c>
      <c r="E5414">
        <v>1</v>
      </c>
      <c r="F5414" t="str">
        <f>"07-K07-02"</f>
        <v>07-K07-02</v>
      </c>
      <c r="G5414">
        <v>0.4839</v>
      </c>
      <c r="H5414" t="s">
        <v>11</v>
      </c>
      <c r="I5414" t="s">
        <v>10</v>
      </c>
    </row>
    <row r="5415" spans="1:9" x14ac:dyDescent="0.25">
      <c r="A5415" t="str">
        <f t="shared" si="129"/>
        <v>89301000</v>
      </c>
      <c r="B5415" t="str">
        <f>"490819295"</f>
        <v>490819295</v>
      </c>
      <c r="C5415" s="1">
        <v>45195</v>
      </c>
      <c r="D5415" s="1">
        <v>45204</v>
      </c>
      <c r="E5415">
        <v>4</v>
      </c>
      <c r="F5415" t="str">
        <f>"05-I16-04"</f>
        <v>05-I16-04</v>
      </c>
      <c r="G5415">
        <v>6.2375999999999996</v>
      </c>
      <c r="H5415" t="s">
        <v>14</v>
      </c>
      <c r="I5415" t="s">
        <v>10</v>
      </c>
    </row>
    <row r="5416" spans="1:9" x14ac:dyDescent="0.25">
      <c r="A5416" t="str">
        <f t="shared" si="129"/>
        <v>89301000</v>
      </c>
      <c r="B5416" t="str">
        <f>"490822105"</f>
        <v>490822105</v>
      </c>
      <c r="C5416" s="1">
        <v>45119</v>
      </c>
      <c r="D5416" s="1">
        <v>45121</v>
      </c>
      <c r="E5416">
        <v>1</v>
      </c>
      <c r="F5416" t="str">
        <f>"05-I14-03"</f>
        <v>05-I14-03</v>
      </c>
      <c r="G5416">
        <v>6.0362</v>
      </c>
      <c r="H5416" t="s">
        <v>12</v>
      </c>
      <c r="I5416" t="s">
        <v>10</v>
      </c>
    </row>
    <row r="5417" spans="1:9" x14ac:dyDescent="0.25">
      <c r="A5417" t="str">
        <f t="shared" si="129"/>
        <v>89301000</v>
      </c>
      <c r="B5417" t="str">
        <f>"490822105"</f>
        <v>490822105</v>
      </c>
      <c r="C5417" s="1">
        <v>45078</v>
      </c>
      <c r="D5417" s="1">
        <v>45079</v>
      </c>
      <c r="E5417">
        <v>1</v>
      </c>
      <c r="F5417" t="str">
        <f>"05-M06-08"</f>
        <v>05-M06-08</v>
      </c>
      <c r="G5417">
        <v>1.4228000000000001</v>
      </c>
      <c r="H5417" t="s">
        <v>12</v>
      </c>
      <c r="I5417" t="s">
        <v>10</v>
      </c>
    </row>
    <row r="5418" spans="1:9" x14ac:dyDescent="0.25">
      <c r="A5418" t="str">
        <f t="shared" si="129"/>
        <v>89301000</v>
      </c>
      <c r="B5418" t="str">
        <f>"490824007"</f>
        <v>490824007</v>
      </c>
      <c r="C5418" s="1">
        <v>45036</v>
      </c>
      <c r="D5418" s="1">
        <v>45042</v>
      </c>
      <c r="E5418">
        <v>3</v>
      </c>
      <c r="F5418" t="str">
        <f>"01-K10-03"</f>
        <v>01-K10-03</v>
      </c>
      <c r="G5418">
        <v>1.0348999999999999</v>
      </c>
      <c r="H5418" t="s">
        <v>11</v>
      </c>
      <c r="I5418" t="s">
        <v>10</v>
      </c>
    </row>
    <row r="5419" spans="1:9" x14ac:dyDescent="0.25">
      <c r="A5419" t="str">
        <f t="shared" si="129"/>
        <v>89301000</v>
      </c>
      <c r="B5419" t="str">
        <f>"490824007"</f>
        <v>490824007</v>
      </c>
      <c r="C5419" s="1">
        <v>45042</v>
      </c>
      <c r="D5419" s="1">
        <v>45058</v>
      </c>
      <c r="E5419">
        <v>1</v>
      </c>
      <c r="F5419" t="str">
        <f>"24-M07-01"</f>
        <v>24-M07-01</v>
      </c>
      <c r="G5419">
        <v>1.7825</v>
      </c>
      <c r="H5419" t="s">
        <v>11</v>
      </c>
      <c r="I5419" t="s">
        <v>10</v>
      </c>
    </row>
    <row r="5420" spans="1:9" x14ac:dyDescent="0.25">
      <c r="A5420" t="str">
        <f t="shared" si="129"/>
        <v>89301000</v>
      </c>
      <c r="B5420" t="str">
        <f>"490824123"</f>
        <v>490824123</v>
      </c>
      <c r="C5420" s="1">
        <v>44936</v>
      </c>
      <c r="D5420" s="1">
        <v>44943</v>
      </c>
      <c r="E5420">
        <v>1</v>
      </c>
      <c r="F5420" t="str">
        <f>"06-I21-03"</f>
        <v>06-I21-03</v>
      </c>
      <c r="G5420">
        <v>0.52859999999999996</v>
      </c>
      <c r="H5420" t="s">
        <v>12</v>
      </c>
      <c r="I5420" t="s">
        <v>10</v>
      </c>
    </row>
    <row r="5421" spans="1:9" x14ac:dyDescent="0.25">
      <c r="A5421" t="str">
        <f t="shared" si="129"/>
        <v>89301000</v>
      </c>
      <c r="B5421" t="str">
        <f>"490828146"</f>
        <v>490828146</v>
      </c>
      <c r="C5421" s="1">
        <v>45184</v>
      </c>
      <c r="D5421" s="1">
        <v>45188</v>
      </c>
      <c r="E5421">
        <v>8</v>
      </c>
      <c r="F5421" t="str">
        <f>"06-K20-01"</f>
        <v>06-K20-01</v>
      </c>
      <c r="G5421">
        <v>1.7234</v>
      </c>
      <c r="H5421" t="s">
        <v>11</v>
      </c>
      <c r="I5421" t="s">
        <v>10</v>
      </c>
    </row>
    <row r="5422" spans="1:9" x14ac:dyDescent="0.25">
      <c r="A5422" t="str">
        <f t="shared" si="129"/>
        <v>89301000</v>
      </c>
      <c r="B5422" t="str">
        <f>"490902034"</f>
        <v>490902034</v>
      </c>
      <c r="C5422" s="1">
        <v>45056</v>
      </c>
      <c r="D5422" s="1">
        <v>45066</v>
      </c>
      <c r="E5422">
        <v>1</v>
      </c>
      <c r="F5422" t="str">
        <f>"05-I16-02"</f>
        <v>05-I16-02</v>
      </c>
      <c r="G5422">
        <v>8.7934999999999999</v>
      </c>
      <c r="H5422" t="s">
        <v>14</v>
      </c>
      <c r="I5422" t="s">
        <v>10</v>
      </c>
    </row>
    <row r="5423" spans="1:9" x14ac:dyDescent="0.25">
      <c r="A5423" t="str">
        <f t="shared" si="129"/>
        <v>89301000</v>
      </c>
      <c r="B5423" t="str">
        <f>"490902034"</f>
        <v>490902034</v>
      </c>
      <c r="C5423" s="1">
        <v>45104</v>
      </c>
      <c r="D5423" s="1">
        <v>45105</v>
      </c>
      <c r="E5423">
        <v>1</v>
      </c>
      <c r="F5423" t="str">
        <f>"05-M06-08"</f>
        <v>05-M06-08</v>
      </c>
      <c r="G5423">
        <v>1.4228000000000001</v>
      </c>
      <c r="H5423" t="s">
        <v>12</v>
      </c>
      <c r="I5423" t="s">
        <v>10</v>
      </c>
    </row>
    <row r="5424" spans="1:9" x14ac:dyDescent="0.25">
      <c r="A5424" t="str">
        <f t="shared" si="129"/>
        <v>89301000</v>
      </c>
      <c r="B5424" t="str">
        <f>"490902034"</f>
        <v>490902034</v>
      </c>
      <c r="C5424" s="1">
        <v>45020</v>
      </c>
      <c r="D5424" s="1">
        <v>45020</v>
      </c>
      <c r="E5424">
        <v>1</v>
      </c>
      <c r="F5424" t="str">
        <f>"05-D01-08"</f>
        <v>05-D01-08</v>
      </c>
      <c r="G5424">
        <v>0.2303</v>
      </c>
      <c r="H5424" t="s">
        <v>11</v>
      </c>
      <c r="I5424" t="s">
        <v>10</v>
      </c>
    </row>
    <row r="5425" spans="1:9" x14ac:dyDescent="0.25">
      <c r="A5425" t="str">
        <f t="shared" si="129"/>
        <v>89301000</v>
      </c>
      <c r="B5425" t="str">
        <f>"490909200"</f>
        <v>490909200</v>
      </c>
      <c r="C5425" s="1">
        <v>45026</v>
      </c>
      <c r="D5425" s="1">
        <v>45040</v>
      </c>
      <c r="E5425">
        <v>1</v>
      </c>
      <c r="F5425" t="str">
        <f>"08-K08-00"</f>
        <v>08-K08-00</v>
      </c>
      <c r="G5425">
        <v>0.68540000000000001</v>
      </c>
      <c r="H5425" t="s">
        <v>11</v>
      </c>
      <c r="I5425" t="s">
        <v>10</v>
      </c>
    </row>
    <row r="5426" spans="1:9" x14ac:dyDescent="0.25">
      <c r="A5426" t="str">
        <f t="shared" si="129"/>
        <v>89301000</v>
      </c>
      <c r="B5426" t="str">
        <f>"490915122"</f>
        <v>490915122</v>
      </c>
      <c r="C5426" s="1">
        <v>45074</v>
      </c>
      <c r="D5426" s="1">
        <v>45093</v>
      </c>
      <c r="E5426">
        <v>5</v>
      </c>
      <c r="F5426" t="str">
        <f>"01-M03-01"</f>
        <v>01-M03-01</v>
      </c>
      <c r="G5426">
        <v>5.0377000000000001</v>
      </c>
      <c r="H5426" t="s">
        <v>12</v>
      </c>
      <c r="I5426" t="s">
        <v>10</v>
      </c>
    </row>
    <row r="5427" spans="1:9" x14ac:dyDescent="0.25">
      <c r="A5427" t="str">
        <f t="shared" si="129"/>
        <v>89301000</v>
      </c>
      <c r="B5427" t="str">
        <f t="shared" ref="B5427:B5432" si="130">"490922230"</f>
        <v>490922230</v>
      </c>
      <c r="C5427" s="1">
        <v>45084</v>
      </c>
      <c r="D5427" s="1">
        <v>45085</v>
      </c>
      <c r="E5427">
        <v>1</v>
      </c>
      <c r="F5427" t="str">
        <f>"11-K02-03"</f>
        <v>11-K02-03</v>
      </c>
      <c r="G5427">
        <v>0.5827</v>
      </c>
      <c r="H5427" t="s">
        <v>11</v>
      </c>
      <c r="I5427" t="s">
        <v>10</v>
      </c>
    </row>
    <row r="5428" spans="1:9" x14ac:dyDescent="0.25">
      <c r="A5428" t="str">
        <f t="shared" si="129"/>
        <v>89301000</v>
      </c>
      <c r="B5428" t="str">
        <f t="shared" si="130"/>
        <v>490922230</v>
      </c>
      <c r="C5428" s="1">
        <v>45057</v>
      </c>
      <c r="D5428" s="1">
        <v>45058</v>
      </c>
      <c r="E5428">
        <v>1</v>
      </c>
      <c r="F5428" t="str">
        <f>"11-K03-02"</f>
        <v>11-K03-02</v>
      </c>
      <c r="G5428">
        <v>0.63990000000000002</v>
      </c>
      <c r="H5428" t="s">
        <v>11</v>
      </c>
      <c r="I5428" t="s">
        <v>10</v>
      </c>
    </row>
    <row r="5429" spans="1:9" x14ac:dyDescent="0.25">
      <c r="A5429" t="str">
        <f t="shared" si="129"/>
        <v>89301000</v>
      </c>
      <c r="B5429" t="str">
        <f t="shared" si="130"/>
        <v>490922230</v>
      </c>
      <c r="C5429" s="1">
        <v>45007</v>
      </c>
      <c r="D5429" s="1">
        <v>45008</v>
      </c>
      <c r="E5429">
        <v>1</v>
      </c>
      <c r="F5429" t="str">
        <f>"11-K03-02"</f>
        <v>11-K03-02</v>
      </c>
      <c r="G5429">
        <v>0.63990000000000002</v>
      </c>
      <c r="H5429" t="s">
        <v>11</v>
      </c>
      <c r="I5429" t="s">
        <v>10</v>
      </c>
    </row>
    <row r="5430" spans="1:9" x14ac:dyDescent="0.25">
      <c r="A5430" t="str">
        <f t="shared" si="129"/>
        <v>89301000</v>
      </c>
      <c r="B5430" t="str">
        <f t="shared" si="130"/>
        <v>490922230</v>
      </c>
      <c r="C5430" s="1">
        <v>44951</v>
      </c>
      <c r="D5430" s="1">
        <v>44952</v>
      </c>
      <c r="E5430">
        <v>1</v>
      </c>
      <c r="F5430" t="str">
        <f>"11-K03-02"</f>
        <v>11-K03-02</v>
      </c>
      <c r="G5430">
        <v>0.63990000000000002</v>
      </c>
      <c r="H5430" t="s">
        <v>11</v>
      </c>
      <c r="I5430" t="s">
        <v>10</v>
      </c>
    </row>
    <row r="5431" spans="1:9" x14ac:dyDescent="0.25">
      <c r="A5431" t="str">
        <f t="shared" si="129"/>
        <v>89301000</v>
      </c>
      <c r="B5431" t="str">
        <f t="shared" si="130"/>
        <v>490922230</v>
      </c>
      <c r="C5431" s="1">
        <v>44917</v>
      </c>
      <c r="D5431" s="1">
        <v>44931</v>
      </c>
      <c r="E5431">
        <v>1</v>
      </c>
      <c r="F5431" t="str">
        <f>"11-M02-04"</f>
        <v>11-M02-04</v>
      </c>
      <c r="G5431">
        <v>4.7207999999999997</v>
      </c>
      <c r="H5431" t="s">
        <v>11</v>
      </c>
      <c r="I5431" t="s">
        <v>10</v>
      </c>
    </row>
    <row r="5432" spans="1:9" x14ac:dyDescent="0.25">
      <c r="A5432" t="str">
        <f t="shared" si="129"/>
        <v>89301000</v>
      </c>
      <c r="B5432" t="str">
        <f t="shared" si="130"/>
        <v>490922230</v>
      </c>
      <c r="C5432" s="1">
        <v>44979</v>
      </c>
      <c r="D5432" s="1">
        <v>44980</v>
      </c>
      <c r="E5432">
        <v>1</v>
      </c>
      <c r="F5432" t="str">
        <f>"11-K03-02"</f>
        <v>11-K03-02</v>
      </c>
      <c r="G5432">
        <v>0.63990000000000002</v>
      </c>
      <c r="H5432" t="s">
        <v>11</v>
      </c>
      <c r="I5432" t="s">
        <v>10</v>
      </c>
    </row>
    <row r="5433" spans="1:9" x14ac:dyDescent="0.25">
      <c r="A5433" t="str">
        <f t="shared" si="129"/>
        <v>89301000</v>
      </c>
      <c r="B5433" t="str">
        <f>"490923051"</f>
        <v>490923051</v>
      </c>
      <c r="C5433" s="1">
        <v>45028</v>
      </c>
      <c r="D5433" s="1">
        <v>45031</v>
      </c>
      <c r="E5433">
        <v>1</v>
      </c>
      <c r="F5433" t="str">
        <f>"07-I10-06"</f>
        <v>07-I10-06</v>
      </c>
      <c r="G5433">
        <v>0.98419999999999996</v>
      </c>
      <c r="H5433" t="s">
        <v>12</v>
      </c>
      <c r="I5433" t="s">
        <v>10</v>
      </c>
    </row>
    <row r="5434" spans="1:9" x14ac:dyDescent="0.25">
      <c r="A5434" t="str">
        <f t="shared" si="129"/>
        <v>89301000</v>
      </c>
      <c r="B5434" t="str">
        <f>"490925287"</f>
        <v>490925287</v>
      </c>
      <c r="C5434" s="1">
        <v>45232</v>
      </c>
      <c r="D5434" s="1">
        <v>45233</v>
      </c>
      <c r="E5434">
        <v>1</v>
      </c>
      <c r="F5434" t="str">
        <f>"11-M05-01"</f>
        <v>11-M05-01</v>
      </c>
      <c r="G5434">
        <v>0.83750000000000002</v>
      </c>
      <c r="H5434" t="s">
        <v>12</v>
      </c>
      <c r="I5434" t="s">
        <v>10</v>
      </c>
    </row>
    <row r="5435" spans="1:9" x14ac:dyDescent="0.25">
      <c r="A5435" t="str">
        <f t="shared" si="129"/>
        <v>89301000</v>
      </c>
      <c r="B5435" t="str">
        <f>"490925287"</f>
        <v>490925287</v>
      </c>
      <c r="C5435" s="1">
        <v>45187</v>
      </c>
      <c r="D5435" s="1">
        <v>45190</v>
      </c>
      <c r="E5435">
        <v>1</v>
      </c>
      <c r="F5435" t="str">
        <f>"11-M05-02"</f>
        <v>11-M05-02</v>
      </c>
      <c r="G5435">
        <v>0.6694</v>
      </c>
      <c r="H5435" t="s">
        <v>12</v>
      </c>
      <c r="I5435" t="s">
        <v>10</v>
      </c>
    </row>
    <row r="5436" spans="1:9" x14ac:dyDescent="0.25">
      <c r="A5436" t="str">
        <f t="shared" si="129"/>
        <v>89301000</v>
      </c>
      <c r="B5436" t="str">
        <f>"491021183"</f>
        <v>491021183</v>
      </c>
      <c r="C5436" s="1">
        <v>44986</v>
      </c>
      <c r="D5436" s="1">
        <v>44992</v>
      </c>
      <c r="E5436">
        <v>1</v>
      </c>
      <c r="F5436" t="str">
        <f>"12-I08-03"</f>
        <v>12-I08-03</v>
      </c>
      <c r="G5436">
        <v>0.7258</v>
      </c>
      <c r="H5436" t="s">
        <v>11</v>
      </c>
      <c r="I5436" t="s">
        <v>10</v>
      </c>
    </row>
    <row r="5437" spans="1:9" x14ac:dyDescent="0.25">
      <c r="A5437" t="str">
        <f t="shared" si="129"/>
        <v>89301000</v>
      </c>
      <c r="B5437" t="str">
        <f>"491021201"</f>
        <v>491021201</v>
      </c>
      <c r="C5437" s="1">
        <v>45082</v>
      </c>
      <c r="D5437" s="1">
        <v>45089</v>
      </c>
      <c r="E5437">
        <v>3</v>
      </c>
      <c r="F5437" t="str">
        <f>"08-I06-04"</f>
        <v>08-I06-04</v>
      </c>
      <c r="G5437">
        <v>2.3892000000000002</v>
      </c>
      <c r="H5437" t="s">
        <v>9</v>
      </c>
      <c r="I5437" t="s">
        <v>10</v>
      </c>
    </row>
    <row r="5438" spans="1:9" x14ac:dyDescent="0.25">
      <c r="A5438" t="str">
        <f t="shared" si="129"/>
        <v>89301000</v>
      </c>
      <c r="B5438" t="str">
        <f>"491021201"</f>
        <v>491021201</v>
      </c>
      <c r="C5438" s="1">
        <v>45089</v>
      </c>
      <c r="D5438" s="1">
        <v>45100</v>
      </c>
      <c r="E5438">
        <v>1</v>
      </c>
      <c r="F5438" t="str">
        <f>"24-M06-02"</f>
        <v>24-M06-02</v>
      </c>
      <c r="G5438">
        <v>1.0699000000000001</v>
      </c>
      <c r="H5438" t="s">
        <v>11</v>
      </c>
      <c r="I5438" t="s">
        <v>10</v>
      </c>
    </row>
    <row r="5439" spans="1:9" x14ac:dyDescent="0.25">
      <c r="A5439" t="str">
        <f t="shared" si="129"/>
        <v>89301000</v>
      </c>
      <c r="B5439" t="str">
        <f>"491021212"</f>
        <v>491021212</v>
      </c>
      <c r="C5439" s="1">
        <v>45194</v>
      </c>
      <c r="D5439" s="1">
        <v>45194</v>
      </c>
      <c r="E5439">
        <v>1</v>
      </c>
      <c r="F5439" t="str">
        <f>"05-I14-03"</f>
        <v>05-I14-03</v>
      </c>
      <c r="G5439">
        <v>5.6817000000000002</v>
      </c>
      <c r="H5439" t="s">
        <v>12</v>
      </c>
      <c r="I5439" t="s">
        <v>10</v>
      </c>
    </row>
    <row r="5440" spans="1:9" x14ac:dyDescent="0.25">
      <c r="A5440" t="str">
        <f t="shared" si="129"/>
        <v>89301000</v>
      </c>
      <c r="B5440" t="str">
        <f>"491030116"</f>
        <v>491030116</v>
      </c>
      <c r="C5440" s="1">
        <v>44998</v>
      </c>
      <c r="D5440" s="1">
        <v>44999</v>
      </c>
      <c r="E5440">
        <v>1</v>
      </c>
      <c r="F5440" t="str">
        <f>"02-I13-02"</f>
        <v>02-I13-02</v>
      </c>
      <c r="G5440">
        <v>0.4259</v>
      </c>
      <c r="H5440" t="s">
        <v>11</v>
      </c>
      <c r="I5440" t="s">
        <v>10</v>
      </c>
    </row>
    <row r="5441" spans="1:9" x14ac:dyDescent="0.25">
      <c r="A5441" t="str">
        <f t="shared" si="129"/>
        <v>89301000</v>
      </c>
      <c r="B5441" t="str">
        <f>"491107012"</f>
        <v>491107012</v>
      </c>
      <c r="C5441" s="1">
        <v>45163</v>
      </c>
      <c r="D5441" s="1">
        <v>45173</v>
      </c>
      <c r="E5441">
        <v>1</v>
      </c>
      <c r="F5441" t="str">
        <f>"05-I16-06"</f>
        <v>05-I16-06</v>
      </c>
      <c r="G5441">
        <v>5.6303000000000001</v>
      </c>
      <c r="H5441" t="s">
        <v>14</v>
      </c>
      <c r="I5441" t="s">
        <v>10</v>
      </c>
    </row>
    <row r="5442" spans="1:9" x14ac:dyDescent="0.25">
      <c r="A5442" t="str">
        <f t="shared" si="129"/>
        <v>89301000</v>
      </c>
      <c r="B5442" t="str">
        <f>"491107012"</f>
        <v>491107012</v>
      </c>
      <c r="C5442" s="1">
        <v>45125</v>
      </c>
      <c r="D5442" s="1">
        <v>45127</v>
      </c>
      <c r="E5442">
        <v>1</v>
      </c>
      <c r="F5442" t="str">
        <f>"05-M06-06"</f>
        <v>05-M06-06</v>
      </c>
      <c r="G5442">
        <v>1.8264</v>
      </c>
      <c r="H5442" t="s">
        <v>12</v>
      </c>
      <c r="I5442" t="s">
        <v>10</v>
      </c>
    </row>
    <row r="5443" spans="1:9" x14ac:dyDescent="0.25">
      <c r="A5443" t="str">
        <f t="shared" si="129"/>
        <v>89301000</v>
      </c>
      <c r="B5443" t="str">
        <f>"491113038"</f>
        <v>491113038</v>
      </c>
      <c r="C5443" s="1">
        <v>45075</v>
      </c>
      <c r="D5443" s="1">
        <v>45077</v>
      </c>
      <c r="E5443">
        <v>5</v>
      </c>
      <c r="F5443" t="str">
        <f>"05-M07-06"</f>
        <v>05-M07-06</v>
      </c>
      <c r="G5443">
        <v>1.2264999999999999</v>
      </c>
      <c r="H5443" t="s">
        <v>12</v>
      </c>
      <c r="I5443" t="s">
        <v>10</v>
      </c>
    </row>
    <row r="5444" spans="1:9" x14ac:dyDescent="0.25">
      <c r="A5444" t="str">
        <f t="shared" si="129"/>
        <v>89301000</v>
      </c>
      <c r="B5444" t="str">
        <f>"491121001"</f>
        <v>491121001</v>
      </c>
      <c r="C5444" s="1">
        <v>45014</v>
      </c>
      <c r="D5444" s="1">
        <v>45020</v>
      </c>
      <c r="E5444">
        <v>1</v>
      </c>
      <c r="F5444" t="str">
        <f>"17-C05-05"</f>
        <v>17-C05-05</v>
      </c>
      <c r="G5444">
        <v>0.66069999999999995</v>
      </c>
      <c r="H5444" t="s">
        <v>11</v>
      </c>
      <c r="I5444" t="s">
        <v>10</v>
      </c>
    </row>
    <row r="5445" spans="1:9" x14ac:dyDescent="0.25">
      <c r="A5445" t="str">
        <f t="shared" si="129"/>
        <v>89301000</v>
      </c>
      <c r="B5445" t="str">
        <f>"491121001"</f>
        <v>491121001</v>
      </c>
      <c r="C5445" s="1">
        <v>45177</v>
      </c>
      <c r="D5445" s="1">
        <v>45182</v>
      </c>
      <c r="E5445">
        <v>1</v>
      </c>
      <c r="F5445" t="str">
        <f>"18-K02-02"</f>
        <v>18-K02-02</v>
      </c>
      <c r="G5445">
        <v>1.2894000000000001</v>
      </c>
      <c r="H5445" t="s">
        <v>11</v>
      </c>
      <c r="I5445" t="s">
        <v>10</v>
      </c>
    </row>
    <row r="5446" spans="1:9" x14ac:dyDescent="0.25">
      <c r="A5446" t="str">
        <f t="shared" si="129"/>
        <v>89301000</v>
      </c>
      <c r="B5446" t="str">
        <f>"491121050"</f>
        <v>491121050</v>
      </c>
      <c r="C5446" s="1">
        <v>44950</v>
      </c>
      <c r="D5446" s="1">
        <v>44952</v>
      </c>
      <c r="E5446">
        <v>1</v>
      </c>
      <c r="F5446" t="str">
        <f>"12-I13-02"</f>
        <v>12-I13-02</v>
      </c>
      <c r="G5446">
        <v>0.53879999999999995</v>
      </c>
      <c r="H5446" t="s">
        <v>9</v>
      </c>
      <c r="I5446" t="s">
        <v>10</v>
      </c>
    </row>
    <row r="5447" spans="1:9" x14ac:dyDescent="0.25">
      <c r="A5447" t="str">
        <f t="shared" si="129"/>
        <v>89301000</v>
      </c>
      <c r="B5447" t="str">
        <f>"491121178"</f>
        <v>491121178</v>
      </c>
      <c r="C5447" s="1">
        <v>45215</v>
      </c>
      <c r="D5447" s="1">
        <v>45217</v>
      </c>
      <c r="E5447">
        <v>1</v>
      </c>
      <c r="F5447" t="str">
        <f>"05-I30-02"</f>
        <v>05-I30-02</v>
      </c>
      <c r="G5447">
        <v>0.41699999999999998</v>
      </c>
      <c r="H5447" t="s">
        <v>12</v>
      </c>
      <c r="I5447" t="s">
        <v>10</v>
      </c>
    </row>
    <row r="5448" spans="1:9" x14ac:dyDescent="0.25">
      <c r="A5448" t="str">
        <f t="shared" si="129"/>
        <v>89301000</v>
      </c>
      <c r="B5448" t="str">
        <f>"491122186"</f>
        <v>491122186</v>
      </c>
      <c r="C5448" s="1">
        <v>45248</v>
      </c>
      <c r="D5448" s="1">
        <v>45257</v>
      </c>
      <c r="E5448">
        <v>2</v>
      </c>
      <c r="F5448" t="str">
        <f>"07-M02-03"</f>
        <v>07-M02-03</v>
      </c>
      <c r="G5448">
        <v>1.2942</v>
      </c>
      <c r="H5448" t="s">
        <v>12</v>
      </c>
      <c r="I5448" t="s">
        <v>10</v>
      </c>
    </row>
    <row r="5449" spans="1:9" x14ac:dyDescent="0.25">
      <c r="A5449" t="str">
        <f t="shared" si="129"/>
        <v>89301000</v>
      </c>
      <c r="B5449" t="str">
        <f>"491125172"</f>
        <v>491125172</v>
      </c>
      <c r="C5449" s="1">
        <v>45063</v>
      </c>
      <c r="D5449" s="1">
        <v>45071</v>
      </c>
      <c r="E5449">
        <v>1</v>
      </c>
      <c r="F5449" t="str">
        <f>"05-I16-06"</f>
        <v>05-I16-06</v>
      </c>
      <c r="G5449">
        <v>5.6303000000000001</v>
      </c>
      <c r="H5449" t="s">
        <v>14</v>
      </c>
      <c r="I5449" t="s">
        <v>10</v>
      </c>
    </row>
    <row r="5450" spans="1:9" x14ac:dyDescent="0.25">
      <c r="A5450" t="str">
        <f t="shared" si="129"/>
        <v>89301000</v>
      </c>
      <c r="B5450" t="str">
        <f>"491125172"</f>
        <v>491125172</v>
      </c>
      <c r="C5450" s="1">
        <v>44999</v>
      </c>
      <c r="D5450" s="1">
        <v>45000</v>
      </c>
      <c r="E5450">
        <v>1</v>
      </c>
      <c r="F5450" t="str">
        <f>"05-D01-08"</f>
        <v>05-D01-08</v>
      </c>
      <c r="G5450">
        <v>0.43159999999999998</v>
      </c>
      <c r="H5450" t="s">
        <v>11</v>
      </c>
      <c r="I5450" t="s">
        <v>10</v>
      </c>
    </row>
    <row r="5451" spans="1:9" x14ac:dyDescent="0.25">
      <c r="A5451" t="str">
        <f t="shared" si="129"/>
        <v>89301000</v>
      </c>
      <c r="B5451" t="str">
        <f>"491125172"</f>
        <v>491125172</v>
      </c>
      <c r="C5451" s="1">
        <v>45092</v>
      </c>
      <c r="D5451" s="1">
        <v>45094</v>
      </c>
      <c r="E5451">
        <v>1</v>
      </c>
      <c r="F5451" t="str">
        <f>"05-I14-04"</f>
        <v>05-I14-04</v>
      </c>
      <c r="G5451">
        <v>5.2220000000000004</v>
      </c>
      <c r="H5451" t="s">
        <v>12</v>
      </c>
      <c r="I5451" t="s">
        <v>10</v>
      </c>
    </row>
    <row r="5452" spans="1:9" x14ac:dyDescent="0.25">
      <c r="A5452" t="str">
        <f t="shared" si="129"/>
        <v>89301000</v>
      </c>
      <c r="B5452" t="str">
        <f>"491126238"</f>
        <v>491126238</v>
      </c>
      <c r="C5452" s="1">
        <v>44969</v>
      </c>
      <c r="D5452" s="1">
        <v>44971</v>
      </c>
      <c r="E5452">
        <v>1</v>
      </c>
      <c r="F5452" t="str">
        <f>"03-K04-01"</f>
        <v>03-K04-01</v>
      </c>
      <c r="G5452">
        <v>0.46479999999999999</v>
      </c>
      <c r="H5452" t="s">
        <v>11</v>
      </c>
      <c r="I5452" t="s">
        <v>10</v>
      </c>
    </row>
    <row r="5453" spans="1:9" x14ac:dyDescent="0.25">
      <c r="A5453" t="str">
        <f t="shared" si="129"/>
        <v>89301000</v>
      </c>
      <c r="B5453" t="str">
        <f>"491129027"</f>
        <v>491129027</v>
      </c>
      <c r="C5453" s="1">
        <v>44944</v>
      </c>
      <c r="D5453" s="1">
        <v>44960</v>
      </c>
      <c r="E5453">
        <v>1</v>
      </c>
      <c r="F5453" t="str">
        <f>"24-M07-02"</f>
        <v>24-M07-02</v>
      </c>
      <c r="G5453">
        <v>1.5729</v>
      </c>
      <c r="H5453" t="s">
        <v>11</v>
      </c>
      <c r="I5453" t="s">
        <v>10</v>
      </c>
    </row>
    <row r="5454" spans="1:9" x14ac:dyDescent="0.25">
      <c r="A5454" t="str">
        <f t="shared" si="129"/>
        <v>89301000</v>
      </c>
      <c r="B5454" t="str">
        <f>"491129027"</f>
        <v>491129027</v>
      </c>
      <c r="C5454" s="1">
        <v>44937</v>
      </c>
      <c r="D5454" s="1">
        <v>44944</v>
      </c>
      <c r="E5454">
        <v>3</v>
      </c>
      <c r="F5454" t="str">
        <f>"08-I05-05"</f>
        <v>08-I05-05</v>
      </c>
      <c r="G5454">
        <v>2.2633000000000001</v>
      </c>
      <c r="H5454" t="s">
        <v>12</v>
      </c>
      <c r="I5454" t="s">
        <v>10</v>
      </c>
    </row>
    <row r="5455" spans="1:9" x14ac:dyDescent="0.25">
      <c r="A5455" t="str">
        <f t="shared" si="129"/>
        <v>89301000</v>
      </c>
      <c r="B5455" t="str">
        <f>"491217154"</f>
        <v>491217154</v>
      </c>
      <c r="C5455" s="1">
        <v>45235</v>
      </c>
      <c r="D5455" s="1">
        <v>45250</v>
      </c>
      <c r="E5455">
        <v>1</v>
      </c>
      <c r="F5455" t="str">
        <f>"06-I07-05"</f>
        <v>06-I07-05</v>
      </c>
      <c r="G5455">
        <v>2.7919999999999998</v>
      </c>
      <c r="H5455" t="s">
        <v>12</v>
      </c>
      <c r="I5455" t="s">
        <v>10</v>
      </c>
    </row>
    <row r="5456" spans="1:9" x14ac:dyDescent="0.25">
      <c r="A5456" t="str">
        <f t="shared" ref="A5456:A5519" si="131">"89301000"</f>
        <v>89301000</v>
      </c>
      <c r="B5456" t="str">
        <f>"491217154"</f>
        <v>491217154</v>
      </c>
      <c r="C5456" s="1">
        <v>45190</v>
      </c>
      <c r="D5456" s="1">
        <v>45191</v>
      </c>
      <c r="E5456">
        <v>1</v>
      </c>
      <c r="F5456" t="str">
        <f>"06-M01-02"</f>
        <v>06-M01-02</v>
      </c>
      <c r="G5456">
        <v>1.2206999999999999</v>
      </c>
      <c r="H5456" t="s">
        <v>11</v>
      </c>
      <c r="I5456" t="s">
        <v>10</v>
      </c>
    </row>
    <row r="5457" spans="1:9" x14ac:dyDescent="0.25">
      <c r="A5457" t="str">
        <f t="shared" si="131"/>
        <v>89301000</v>
      </c>
      <c r="B5457" t="str">
        <f>"491219192"</f>
        <v>491219192</v>
      </c>
      <c r="C5457" s="1">
        <v>45219</v>
      </c>
      <c r="D5457" s="1">
        <v>45222</v>
      </c>
      <c r="E5457">
        <v>1</v>
      </c>
      <c r="F5457" t="str">
        <f>"05-D01-06"</f>
        <v>05-D01-06</v>
      </c>
      <c r="G5457">
        <v>0.7571</v>
      </c>
      <c r="H5457" t="s">
        <v>11</v>
      </c>
      <c r="I5457" t="s">
        <v>10</v>
      </c>
    </row>
    <row r="5458" spans="1:9" x14ac:dyDescent="0.25">
      <c r="A5458" t="str">
        <f t="shared" si="131"/>
        <v>89301000</v>
      </c>
      <c r="B5458" t="str">
        <f>"491219192"</f>
        <v>491219192</v>
      </c>
      <c r="C5458" s="1">
        <v>45057</v>
      </c>
      <c r="D5458" s="1">
        <v>45059</v>
      </c>
      <c r="E5458">
        <v>1</v>
      </c>
      <c r="F5458" t="str">
        <f>"06-M01-02"</f>
        <v>06-M01-02</v>
      </c>
      <c r="G5458">
        <v>1.2206999999999999</v>
      </c>
      <c r="H5458" t="s">
        <v>11</v>
      </c>
      <c r="I5458" t="s">
        <v>10</v>
      </c>
    </row>
    <row r="5459" spans="1:9" x14ac:dyDescent="0.25">
      <c r="A5459" t="str">
        <f t="shared" si="131"/>
        <v>89301000</v>
      </c>
      <c r="B5459" t="str">
        <f>"491219192"</f>
        <v>491219192</v>
      </c>
      <c r="C5459" s="1">
        <v>45176</v>
      </c>
      <c r="D5459" s="1">
        <v>45178</v>
      </c>
      <c r="E5459">
        <v>1</v>
      </c>
      <c r="F5459" t="str">
        <f>"06-M01-02"</f>
        <v>06-M01-02</v>
      </c>
      <c r="G5459">
        <v>1.2206999999999999</v>
      </c>
      <c r="H5459" t="s">
        <v>11</v>
      </c>
      <c r="I5459" t="s">
        <v>10</v>
      </c>
    </row>
    <row r="5460" spans="1:9" x14ac:dyDescent="0.25">
      <c r="A5460" t="str">
        <f t="shared" si="131"/>
        <v>89301000</v>
      </c>
      <c r="B5460" t="str">
        <f>"491220091"</f>
        <v>491220091</v>
      </c>
      <c r="C5460" s="1">
        <v>45225</v>
      </c>
      <c r="D5460" s="1">
        <v>45240</v>
      </c>
      <c r="E5460">
        <v>1</v>
      </c>
      <c r="F5460" t="str">
        <f>"24-M07-02"</f>
        <v>24-M07-02</v>
      </c>
      <c r="G5460">
        <v>1.5729</v>
      </c>
      <c r="H5460" t="s">
        <v>11</v>
      </c>
      <c r="I5460" t="s">
        <v>10</v>
      </c>
    </row>
    <row r="5461" spans="1:9" x14ac:dyDescent="0.25">
      <c r="A5461" t="str">
        <f t="shared" si="131"/>
        <v>89301000</v>
      </c>
      <c r="B5461" t="str">
        <f>"491220091"</f>
        <v>491220091</v>
      </c>
      <c r="C5461" s="1">
        <v>45221</v>
      </c>
      <c r="D5461" s="1">
        <v>45225</v>
      </c>
      <c r="E5461">
        <v>3</v>
      </c>
      <c r="F5461" t="str">
        <f>"08-I06-04"</f>
        <v>08-I06-04</v>
      </c>
      <c r="G5461">
        <v>2.3483999999999998</v>
      </c>
      <c r="H5461" t="s">
        <v>9</v>
      </c>
      <c r="I5461" t="s">
        <v>10</v>
      </c>
    </row>
    <row r="5462" spans="1:9" x14ac:dyDescent="0.25">
      <c r="A5462" t="str">
        <f t="shared" si="131"/>
        <v>89301000</v>
      </c>
      <c r="B5462" t="str">
        <f>"491231128"</f>
        <v>491231128</v>
      </c>
      <c r="C5462" s="1">
        <v>44941</v>
      </c>
      <c r="D5462" s="1">
        <v>44944</v>
      </c>
      <c r="E5462">
        <v>1</v>
      </c>
      <c r="F5462" t="str">
        <f>"08-M03-05"</f>
        <v>08-M03-05</v>
      </c>
      <c r="G5462">
        <v>0.46810000000000002</v>
      </c>
      <c r="H5462" t="s">
        <v>11</v>
      </c>
      <c r="I5462" t="s">
        <v>10</v>
      </c>
    </row>
    <row r="5463" spans="1:9" x14ac:dyDescent="0.25">
      <c r="A5463" t="str">
        <f t="shared" si="131"/>
        <v>89301000</v>
      </c>
      <c r="B5463" t="str">
        <f>"495103273"</f>
        <v>495103273</v>
      </c>
      <c r="C5463" s="1">
        <v>45180</v>
      </c>
      <c r="D5463" s="1">
        <v>45183</v>
      </c>
      <c r="E5463">
        <v>1</v>
      </c>
      <c r="F5463" t="str">
        <f>"01-K04-02"</f>
        <v>01-K04-02</v>
      </c>
      <c r="G5463">
        <v>0.79990000000000006</v>
      </c>
      <c r="H5463" t="s">
        <v>11</v>
      </c>
      <c r="I5463" t="s">
        <v>10</v>
      </c>
    </row>
    <row r="5464" spans="1:9" x14ac:dyDescent="0.25">
      <c r="A5464" t="str">
        <f t="shared" si="131"/>
        <v>89301000</v>
      </c>
      <c r="B5464" t="str">
        <f>"495106112"</f>
        <v>495106112</v>
      </c>
      <c r="C5464" s="1">
        <v>45063</v>
      </c>
      <c r="D5464" s="1">
        <v>45068</v>
      </c>
      <c r="E5464">
        <v>1</v>
      </c>
      <c r="F5464" t="str">
        <f>"01-K10-03"</f>
        <v>01-K10-03</v>
      </c>
      <c r="G5464">
        <v>1.0348999999999999</v>
      </c>
      <c r="H5464" t="s">
        <v>11</v>
      </c>
      <c r="I5464" t="s">
        <v>10</v>
      </c>
    </row>
    <row r="5465" spans="1:9" x14ac:dyDescent="0.25">
      <c r="A5465" t="str">
        <f t="shared" si="131"/>
        <v>89301000</v>
      </c>
      <c r="B5465" t="str">
        <f>"495116204"</f>
        <v>495116204</v>
      </c>
      <c r="C5465" s="1">
        <v>44909</v>
      </c>
      <c r="D5465" s="1">
        <v>44939</v>
      </c>
      <c r="E5465">
        <v>8</v>
      </c>
      <c r="F5465" t="str">
        <f>"17-C05-01"</f>
        <v>17-C05-01</v>
      </c>
      <c r="G5465">
        <v>7.2572999999999999</v>
      </c>
      <c r="H5465" t="s">
        <v>11</v>
      </c>
      <c r="I5465" t="s">
        <v>10</v>
      </c>
    </row>
    <row r="5466" spans="1:9" x14ac:dyDescent="0.25">
      <c r="A5466" t="str">
        <f t="shared" si="131"/>
        <v>89301000</v>
      </c>
      <c r="B5466" t="str">
        <f>"495118088"</f>
        <v>495118088</v>
      </c>
      <c r="C5466" s="1">
        <v>45219</v>
      </c>
      <c r="D5466" s="1">
        <v>45226</v>
      </c>
      <c r="E5466">
        <v>1</v>
      </c>
      <c r="F5466" t="str">
        <f>"10-K12-03"</f>
        <v>10-K12-03</v>
      </c>
      <c r="G5466">
        <v>0.5091</v>
      </c>
      <c r="H5466" t="s">
        <v>11</v>
      </c>
      <c r="I5466" t="s">
        <v>10</v>
      </c>
    </row>
    <row r="5467" spans="1:9" x14ac:dyDescent="0.25">
      <c r="A5467" t="str">
        <f t="shared" si="131"/>
        <v>89301000</v>
      </c>
      <c r="B5467" t="str">
        <f>"495128068"</f>
        <v>495128068</v>
      </c>
      <c r="C5467" s="1">
        <v>45285</v>
      </c>
      <c r="D5467" s="1">
        <v>45289</v>
      </c>
      <c r="E5467">
        <v>1</v>
      </c>
      <c r="F5467" t="str">
        <f>"16-K02-02"</f>
        <v>16-K02-02</v>
      </c>
      <c r="G5467">
        <v>0.63249999999999995</v>
      </c>
      <c r="H5467" t="s">
        <v>11</v>
      </c>
      <c r="I5467" t="s">
        <v>10</v>
      </c>
    </row>
    <row r="5468" spans="1:9" x14ac:dyDescent="0.25">
      <c r="A5468" t="str">
        <f t="shared" si="131"/>
        <v>89301000</v>
      </c>
      <c r="B5468" t="str">
        <f>"495220007"</f>
        <v>495220007</v>
      </c>
      <c r="C5468" s="1">
        <v>45077</v>
      </c>
      <c r="D5468" s="1">
        <v>45082</v>
      </c>
      <c r="E5468">
        <v>1</v>
      </c>
      <c r="F5468" t="str">
        <f>"08-I06-04"</f>
        <v>08-I06-04</v>
      </c>
      <c r="G5468">
        <v>2.3792</v>
      </c>
      <c r="H5468" t="s">
        <v>9</v>
      </c>
      <c r="I5468" t="s">
        <v>10</v>
      </c>
    </row>
    <row r="5469" spans="1:9" x14ac:dyDescent="0.25">
      <c r="A5469" t="str">
        <f t="shared" si="131"/>
        <v>89301000</v>
      </c>
      <c r="B5469" t="str">
        <f>"495223283"</f>
        <v>495223283</v>
      </c>
      <c r="C5469" s="1">
        <v>45168</v>
      </c>
      <c r="D5469" s="1">
        <v>45176</v>
      </c>
      <c r="E5469">
        <v>1</v>
      </c>
      <c r="F5469" t="str">
        <f>"08-K09-01"</f>
        <v>08-K09-01</v>
      </c>
      <c r="G5469">
        <v>3.0983999999999998</v>
      </c>
      <c r="H5469" t="s">
        <v>11</v>
      </c>
      <c r="I5469" t="s">
        <v>10</v>
      </c>
    </row>
    <row r="5470" spans="1:9" x14ac:dyDescent="0.25">
      <c r="A5470" t="str">
        <f t="shared" si="131"/>
        <v>89301000</v>
      </c>
      <c r="B5470" t="str">
        <f>"495223283"</f>
        <v>495223283</v>
      </c>
      <c r="C5470" s="1">
        <v>45088</v>
      </c>
      <c r="D5470" s="1">
        <v>45093</v>
      </c>
      <c r="E5470">
        <v>1</v>
      </c>
      <c r="F5470" t="str">
        <f>"04-I09-02"</f>
        <v>04-I09-02</v>
      </c>
      <c r="G5470">
        <v>0.98980000000000001</v>
      </c>
      <c r="H5470" t="s">
        <v>11</v>
      </c>
      <c r="I5470" t="s">
        <v>10</v>
      </c>
    </row>
    <row r="5471" spans="1:9" x14ac:dyDescent="0.25">
      <c r="A5471" t="str">
        <f t="shared" si="131"/>
        <v>89301000</v>
      </c>
      <c r="B5471" t="str">
        <f>"495224108"</f>
        <v>495224108</v>
      </c>
      <c r="C5471" s="1">
        <v>45084</v>
      </c>
      <c r="D5471" s="1">
        <v>45085</v>
      </c>
      <c r="E5471">
        <v>1</v>
      </c>
      <c r="F5471" t="str">
        <f>"02-I13-02"</f>
        <v>02-I13-02</v>
      </c>
      <c r="G5471">
        <v>0.4259</v>
      </c>
      <c r="H5471" t="s">
        <v>11</v>
      </c>
      <c r="I5471" t="s">
        <v>10</v>
      </c>
    </row>
    <row r="5472" spans="1:9" x14ac:dyDescent="0.25">
      <c r="A5472" t="str">
        <f t="shared" si="131"/>
        <v>89301000</v>
      </c>
      <c r="B5472" t="str">
        <f>"495227025"</f>
        <v>495227025</v>
      </c>
      <c r="C5472" s="1">
        <v>45040</v>
      </c>
      <c r="D5472" s="1">
        <v>45058</v>
      </c>
      <c r="E5472">
        <v>4</v>
      </c>
      <c r="F5472" t="str">
        <f>"08-I13-05"</f>
        <v>08-I13-05</v>
      </c>
      <c r="G5472">
        <v>2.343</v>
      </c>
      <c r="H5472" t="s">
        <v>12</v>
      </c>
      <c r="I5472" t="s">
        <v>10</v>
      </c>
    </row>
    <row r="5473" spans="1:9" x14ac:dyDescent="0.25">
      <c r="A5473" t="str">
        <f t="shared" si="131"/>
        <v>89301000</v>
      </c>
      <c r="B5473" t="str">
        <f>"495302031"</f>
        <v>495302031</v>
      </c>
      <c r="C5473" s="1">
        <v>45188</v>
      </c>
      <c r="D5473" s="1">
        <v>45196</v>
      </c>
      <c r="E5473">
        <v>1</v>
      </c>
      <c r="F5473" t="str">
        <f>"23-K04-02"</f>
        <v>23-K04-02</v>
      </c>
      <c r="G5473">
        <v>0.51990000000000003</v>
      </c>
      <c r="H5473" t="s">
        <v>11</v>
      </c>
      <c r="I5473" t="s">
        <v>10</v>
      </c>
    </row>
    <row r="5474" spans="1:9" x14ac:dyDescent="0.25">
      <c r="A5474" t="str">
        <f t="shared" si="131"/>
        <v>89301000</v>
      </c>
      <c r="B5474" t="str">
        <f>"495302047"</f>
        <v>495302047</v>
      </c>
      <c r="C5474" s="1">
        <v>45012</v>
      </c>
      <c r="D5474" s="1">
        <v>45014</v>
      </c>
      <c r="E5474">
        <v>1</v>
      </c>
      <c r="F5474" t="str">
        <f>"11-M06-03"</f>
        <v>11-M06-03</v>
      </c>
      <c r="G5474">
        <v>0.62009999999999998</v>
      </c>
      <c r="H5474" t="s">
        <v>12</v>
      </c>
      <c r="I5474" t="s">
        <v>10</v>
      </c>
    </row>
    <row r="5475" spans="1:9" x14ac:dyDescent="0.25">
      <c r="A5475" t="str">
        <f t="shared" si="131"/>
        <v>89301000</v>
      </c>
      <c r="B5475" t="str">
        <f>"495304023"</f>
        <v>495304023</v>
      </c>
      <c r="C5475" s="1">
        <v>45111</v>
      </c>
      <c r="D5475" s="1">
        <v>45115</v>
      </c>
      <c r="E5475">
        <v>1</v>
      </c>
      <c r="F5475" t="str">
        <f>"16-K02-03"</f>
        <v>16-K02-03</v>
      </c>
      <c r="G5475">
        <v>0.58299999999999996</v>
      </c>
      <c r="H5475" t="s">
        <v>11</v>
      </c>
      <c r="I5475" t="s">
        <v>10</v>
      </c>
    </row>
    <row r="5476" spans="1:9" x14ac:dyDescent="0.25">
      <c r="A5476" t="str">
        <f t="shared" si="131"/>
        <v>89301000</v>
      </c>
      <c r="B5476" t="str">
        <f>"495304023"</f>
        <v>495304023</v>
      </c>
      <c r="C5476" s="1">
        <v>45161</v>
      </c>
      <c r="D5476" s="1">
        <v>45177</v>
      </c>
      <c r="E5476">
        <v>1</v>
      </c>
      <c r="F5476" t="str">
        <f>"06-I07-05"</f>
        <v>06-I07-05</v>
      </c>
      <c r="G5476">
        <v>2.7919999999999998</v>
      </c>
      <c r="H5476" t="s">
        <v>12</v>
      </c>
      <c r="I5476" t="s">
        <v>10</v>
      </c>
    </row>
    <row r="5477" spans="1:9" x14ac:dyDescent="0.25">
      <c r="A5477" t="str">
        <f t="shared" si="131"/>
        <v>89301000</v>
      </c>
      <c r="B5477" t="str">
        <f>"495309289"</f>
        <v>495309289</v>
      </c>
      <c r="C5477" s="1">
        <v>45097</v>
      </c>
      <c r="D5477" s="1">
        <v>45104</v>
      </c>
      <c r="E5477">
        <v>1</v>
      </c>
      <c r="F5477" t="str">
        <f>"08-I17-01"</f>
        <v>08-I17-01</v>
      </c>
      <c r="G5477">
        <v>1.6589</v>
      </c>
      <c r="H5477" t="s">
        <v>11</v>
      </c>
      <c r="I5477" t="s">
        <v>10</v>
      </c>
    </row>
    <row r="5478" spans="1:9" x14ac:dyDescent="0.25">
      <c r="A5478" t="str">
        <f t="shared" si="131"/>
        <v>89301000</v>
      </c>
      <c r="B5478" t="str">
        <f>"495309289"</f>
        <v>495309289</v>
      </c>
      <c r="C5478" s="1">
        <v>45142</v>
      </c>
      <c r="D5478" s="1">
        <v>45149</v>
      </c>
      <c r="E5478">
        <v>1</v>
      </c>
      <c r="F5478" t="str">
        <f>"07-K11-01"</f>
        <v>07-K11-01</v>
      </c>
      <c r="G5478">
        <v>1.3149</v>
      </c>
      <c r="H5478" t="s">
        <v>11</v>
      </c>
      <c r="I5478" t="s">
        <v>10</v>
      </c>
    </row>
    <row r="5479" spans="1:9" x14ac:dyDescent="0.25">
      <c r="A5479" t="str">
        <f t="shared" si="131"/>
        <v>89301000</v>
      </c>
      <c r="B5479" t="str">
        <f>"495310003"</f>
        <v>495310003</v>
      </c>
      <c r="C5479" s="1">
        <v>45244</v>
      </c>
      <c r="D5479" s="1">
        <v>45245</v>
      </c>
      <c r="E5479">
        <v>1</v>
      </c>
      <c r="F5479" t="str">
        <f>"05-I25-04"</f>
        <v>05-I25-04</v>
      </c>
      <c r="G5479">
        <v>2.2559999999999998</v>
      </c>
      <c r="H5479" t="s">
        <v>12</v>
      </c>
      <c r="I5479" t="s">
        <v>10</v>
      </c>
    </row>
    <row r="5480" spans="1:9" x14ac:dyDescent="0.25">
      <c r="A5480" t="str">
        <f t="shared" si="131"/>
        <v>89301000</v>
      </c>
      <c r="B5480" t="str">
        <f>"495318143"</f>
        <v>495318143</v>
      </c>
      <c r="C5480" s="1">
        <v>45250</v>
      </c>
      <c r="D5480" s="1">
        <v>45254</v>
      </c>
      <c r="E5480">
        <v>1</v>
      </c>
      <c r="F5480" t="str">
        <f>"06-M01-03"</f>
        <v>06-M01-03</v>
      </c>
      <c r="G5480">
        <v>0.89200000000000002</v>
      </c>
      <c r="H5480" t="s">
        <v>11</v>
      </c>
      <c r="I5480" t="s">
        <v>10</v>
      </c>
    </row>
    <row r="5481" spans="1:9" x14ac:dyDescent="0.25">
      <c r="A5481" t="str">
        <f t="shared" si="131"/>
        <v>89301000</v>
      </c>
      <c r="B5481" t="str">
        <f>"495322277"</f>
        <v>495322277</v>
      </c>
      <c r="C5481" s="1">
        <v>45148</v>
      </c>
      <c r="D5481" s="1">
        <v>45160</v>
      </c>
      <c r="E5481">
        <v>5</v>
      </c>
      <c r="F5481" t="str">
        <f>"00-M02-01"</f>
        <v>00-M02-01</v>
      </c>
      <c r="G5481">
        <v>22.650099999999998</v>
      </c>
      <c r="H5481" t="s">
        <v>11</v>
      </c>
      <c r="I5481" t="s">
        <v>10</v>
      </c>
    </row>
    <row r="5482" spans="1:9" x14ac:dyDescent="0.25">
      <c r="A5482" t="str">
        <f t="shared" si="131"/>
        <v>89301000</v>
      </c>
      <c r="B5482" t="str">
        <f>"495325086"</f>
        <v>495325086</v>
      </c>
      <c r="C5482" s="1">
        <v>45239</v>
      </c>
      <c r="D5482" s="1">
        <v>45240</v>
      </c>
      <c r="E5482">
        <v>1</v>
      </c>
      <c r="F5482" t="str">
        <f>"02-I06-04"</f>
        <v>02-I06-04</v>
      </c>
      <c r="G5482">
        <v>0.79630000000000001</v>
      </c>
      <c r="H5482" t="s">
        <v>12</v>
      </c>
      <c r="I5482" t="s">
        <v>10</v>
      </c>
    </row>
    <row r="5483" spans="1:9" x14ac:dyDescent="0.25">
      <c r="A5483" t="str">
        <f t="shared" si="131"/>
        <v>89301000</v>
      </c>
      <c r="B5483" t="str">
        <f>"495405015"</f>
        <v>495405015</v>
      </c>
      <c r="C5483" s="1">
        <v>45137</v>
      </c>
      <c r="D5483" s="1">
        <v>45141</v>
      </c>
      <c r="E5483">
        <v>5</v>
      </c>
      <c r="F5483" t="str">
        <f>"05-D01-06"</f>
        <v>05-D01-06</v>
      </c>
      <c r="G5483">
        <v>0.7571</v>
      </c>
      <c r="H5483" t="s">
        <v>11</v>
      </c>
      <c r="I5483" t="s">
        <v>10</v>
      </c>
    </row>
    <row r="5484" spans="1:9" x14ac:dyDescent="0.25">
      <c r="A5484" t="str">
        <f t="shared" si="131"/>
        <v>89301000</v>
      </c>
      <c r="B5484" t="str">
        <f>"495407190"</f>
        <v>495407190</v>
      </c>
      <c r="C5484" s="1">
        <v>44992</v>
      </c>
      <c r="D5484" s="1">
        <v>45000</v>
      </c>
      <c r="E5484">
        <v>1</v>
      </c>
      <c r="F5484" t="str">
        <f>"13-I15-01"</f>
        <v>13-I15-01</v>
      </c>
      <c r="G5484">
        <v>1.1816</v>
      </c>
      <c r="H5484" t="s">
        <v>12</v>
      </c>
      <c r="I5484" t="s">
        <v>10</v>
      </c>
    </row>
    <row r="5485" spans="1:9" x14ac:dyDescent="0.25">
      <c r="A5485" t="str">
        <f t="shared" si="131"/>
        <v>89301000</v>
      </c>
      <c r="B5485" t="str">
        <f>"495413007"</f>
        <v>495413007</v>
      </c>
      <c r="C5485" s="1">
        <v>44929</v>
      </c>
      <c r="D5485" s="1">
        <v>44935</v>
      </c>
      <c r="E5485">
        <v>1</v>
      </c>
      <c r="F5485" t="str">
        <f>"04-K02-03"</f>
        <v>04-K02-03</v>
      </c>
      <c r="G5485">
        <v>1.298</v>
      </c>
      <c r="H5485" t="s">
        <v>11</v>
      </c>
      <c r="I5485" t="s">
        <v>10</v>
      </c>
    </row>
    <row r="5486" spans="1:9" x14ac:dyDescent="0.25">
      <c r="A5486" t="str">
        <f t="shared" si="131"/>
        <v>89301000</v>
      </c>
      <c r="B5486" t="str">
        <f>"495415108"</f>
        <v>495415108</v>
      </c>
      <c r="C5486" s="1">
        <v>45245</v>
      </c>
      <c r="D5486" s="1">
        <v>45250</v>
      </c>
      <c r="E5486">
        <v>1</v>
      </c>
      <c r="F5486" t="str">
        <f>"16-K02-03"</f>
        <v>16-K02-03</v>
      </c>
      <c r="G5486">
        <v>0.58299999999999996</v>
      </c>
      <c r="H5486" t="s">
        <v>11</v>
      </c>
      <c r="I5486" t="s">
        <v>10</v>
      </c>
    </row>
    <row r="5487" spans="1:9" x14ac:dyDescent="0.25">
      <c r="A5487" t="str">
        <f t="shared" si="131"/>
        <v>89301000</v>
      </c>
      <c r="B5487" t="str">
        <f>"495417015"</f>
        <v>495417015</v>
      </c>
      <c r="C5487" s="1">
        <v>45006</v>
      </c>
      <c r="D5487" s="1">
        <v>45036</v>
      </c>
      <c r="E5487">
        <v>4</v>
      </c>
      <c r="F5487" t="str">
        <f>"08-I05-03"</f>
        <v>08-I05-03</v>
      </c>
      <c r="G5487">
        <v>3.3738000000000001</v>
      </c>
      <c r="H5487" t="s">
        <v>12</v>
      </c>
      <c r="I5487" t="s">
        <v>10</v>
      </c>
    </row>
    <row r="5488" spans="1:9" x14ac:dyDescent="0.25">
      <c r="A5488" t="str">
        <f t="shared" si="131"/>
        <v>89301000</v>
      </c>
      <c r="B5488" t="str">
        <f>"495428108"</f>
        <v>495428108</v>
      </c>
      <c r="C5488" s="1">
        <v>45127</v>
      </c>
      <c r="D5488" s="1">
        <v>45130</v>
      </c>
      <c r="E5488">
        <v>1</v>
      </c>
      <c r="F5488" t="str">
        <f>"09-I06-04"</f>
        <v>09-I06-04</v>
      </c>
      <c r="G5488">
        <v>0.95069999999999999</v>
      </c>
      <c r="H5488" t="s">
        <v>12</v>
      </c>
      <c r="I5488" t="s">
        <v>10</v>
      </c>
    </row>
    <row r="5489" spans="1:9" x14ac:dyDescent="0.25">
      <c r="A5489" t="str">
        <f t="shared" si="131"/>
        <v>89301000</v>
      </c>
      <c r="B5489" t="str">
        <f>"495505384"</f>
        <v>495505384</v>
      </c>
      <c r="C5489" s="1">
        <v>45113</v>
      </c>
      <c r="D5489" s="1">
        <v>45118</v>
      </c>
      <c r="E5489">
        <v>1</v>
      </c>
      <c r="F5489" t="str">
        <f>"08-I06-04"</f>
        <v>08-I06-04</v>
      </c>
      <c r="G5489">
        <v>2.3601999999999999</v>
      </c>
      <c r="H5489" t="s">
        <v>9</v>
      </c>
      <c r="I5489" t="s">
        <v>10</v>
      </c>
    </row>
    <row r="5490" spans="1:9" x14ac:dyDescent="0.25">
      <c r="A5490" t="str">
        <f t="shared" si="131"/>
        <v>89301000</v>
      </c>
      <c r="B5490" t="str">
        <f>"495508090"</f>
        <v>495508090</v>
      </c>
      <c r="C5490" s="1">
        <v>44944</v>
      </c>
      <c r="D5490" s="1">
        <v>44949</v>
      </c>
      <c r="E5490">
        <v>1</v>
      </c>
      <c r="F5490" t="str">
        <f>"10-I13-02"</f>
        <v>10-I13-02</v>
      </c>
      <c r="G5490">
        <v>1.1124000000000001</v>
      </c>
      <c r="H5490" t="s">
        <v>9</v>
      </c>
      <c r="I5490" t="s">
        <v>10</v>
      </c>
    </row>
    <row r="5491" spans="1:9" x14ac:dyDescent="0.25">
      <c r="A5491" t="str">
        <f t="shared" si="131"/>
        <v>89301000</v>
      </c>
      <c r="B5491" t="str">
        <f>"495510067"</f>
        <v>495510067</v>
      </c>
      <c r="C5491" s="1">
        <v>44980</v>
      </c>
      <c r="D5491" s="1">
        <v>44984</v>
      </c>
      <c r="E5491">
        <v>1</v>
      </c>
      <c r="F5491" t="str">
        <f>"04-K07-03"</f>
        <v>04-K07-03</v>
      </c>
      <c r="G5491">
        <v>0.61119999999999997</v>
      </c>
      <c r="H5491" t="s">
        <v>11</v>
      </c>
      <c r="I5491" t="s">
        <v>10</v>
      </c>
    </row>
    <row r="5492" spans="1:9" x14ac:dyDescent="0.25">
      <c r="A5492" t="str">
        <f t="shared" si="131"/>
        <v>89301000</v>
      </c>
      <c r="B5492" t="str">
        <f>"495510067"</f>
        <v>495510067</v>
      </c>
      <c r="C5492" s="1">
        <v>45078</v>
      </c>
      <c r="D5492" s="1">
        <v>45086</v>
      </c>
      <c r="E5492">
        <v>1</v>
      </c>
      <c r="F5492" t="str">
        <f>"08-K08-00"</f>
        <v>08-K08-00</v>
      </c>
      <c r="G5492">
        <v>0.5272</v>
      </c>
      <c r="H5492" t="s">
        <v>11</v>
      </c>
      <c r="I5492" t="s">
        <v>10</v>
      </c>
    </row>
    <row r="5493" spans="1:9" x14ac:dyDescent="0.25">
      <c r="A5493" t="str">
        <f t="shared" si="131"/>
        <v>89301000</v>
      </c>
      <c r="B5493" t="str">
        <f>"495516009"</f>
        <v>495516009</v>
      </c>
      <c r="C5493" s="1">
        <v>45006</v>
      </c>
      <c r="D5493" s="1">
        <v>45008</v>
      </c>
      <c r="E5493">
        <v>1</v>
      </c>
      <c r="F5493" t="str">
        <f>"05-M05-02"</f>
        <v>05-M05-02</v>
      </c>
      <c r="G5493">
        <v>3.4817999999999998</v>
      </c>
      <c r="H5493" t="s">
        <v>14</v>
      </c>
      <c r="I5493" t="s">
        <v>10</v>
      </c>
    </row>
    <row r="5494" spans="1:9" x14ac:dyDescent="0.25">
      <c r="A5494" t="str">
        <f t="shared" si="131"/>
        <v>89301000</v>
      </c>
      <c r="B5494" t="str">
        <f>"495518284"</f>
        <v>495518284</v>
      </c>
      <c r="C5494" s="1">
        <v>44973</v>
      </c>
      <c r="D5494" s="1">
        <v>44975</v>
      </c>
      <c r="E5494">
        <v>1</v>
      </c>
      <c r="F5494" t="str">
        <f>"09-I06-04"</f>
        <v>09-I06-04</v>
      </c>
      <c r="G5494">
        <v>0.95069999999999999</v>
      </c>
      <c r="H5494" t="s">
        <v>12</v>
      </c>
      <c r="I5494" t="s">
        <v>10</v>
      </c>
    </row>
    <row r="5495" spans="1:9" x14ac:dyDescent="0.25">
      <c r="A5495" t="str">
        <f t="shared" si="131"/>
        <v>89301000</v>
      </c>
      <c r="B5495" t="str">
        <f>"495520027"</f>
        <v>495520027</v>
      </c>
      <c r="C5495" s="1">
        <v>45217</v>
      </c>
      <c r="D5495" s="1">
        <v>45235</v>
      </c>
      <c r="E5495">
        <v>8</v>
      </c>
      <c r="F5495" t="str">
        <f>"00-M02-02"</f>
        <v>00-M02-02</v>
      </c>
      <c r="G5495">
        <v>19.758099999999999</v>
      </c>
      <c r="H5495" t="s">
        <v>11</v>
      </c>
      <c r="I5495" t="s">
        <v>10</v>
      </c>
    </row>
    <row r="5496" spans="1:9" x14ac:dyDescent="0.25">
      <c r="A5496" t="str">
        <f t="shared" si="131"/>
        <v>89301000</v>
      </c>
      <c r="B5496" t="str">
        <f t="shared" ref="B5496:B5501" si="132">"495522004"</f>
        <v>495522004</v>
      </c>
      <c r="C5496" s="1">
        <v>45142</v>
      </c>
      <c r="D5496" s="1">
        <v>45161</v>
      </c>
      <c r="E5496">
        <v>1</v>
      </c>
      <c r="F5496" t="str">
        <f>"06-I12-03"</f>
        <v>06-I12-03</v>
      </c>
      <c r="G5496">
        <v>2.1817000000000002</v>
      </c>
      <c r="H5496" t="s">
        <v>11</v>
      </c>
      <c r="I5496" t="s">
        <v>10</v>
      </c>
    </row>
    <row r="5497" spans="1:9" x14ac:dyDescent="0.25">
      <c r="A5497" t="str">
        <f t="shared" si="131"/>
        <v>89301000</v>
      </c>
      <c r="B5497" t="str">
        <f t="shared" si="132"/>
        <v>495522004</v>
      </c>
      <c r="C5497" s="1">
        <v>45182</v>
      </c>
      <c r="D5497" s="1">
        <v>45189</v>
      </c>
      <c r="E5497">
        <v>1</v>
      </c>
      <c r="F5497" t="str">
        <f>"06-K14-02"</f>
        <v>06-K14-02</v>
      </c>
      <c r="G5497">
        <v>0.61380000000000001</v>
      </c>
      <c r="H5497" t="s">
        <v>11</v>
      </c>
      <c r="I5497" t="s">
        <v>10</v>
      </c>
    </row>
    <row r="5498" spans="1:9" x14ac:dyDescent="0.25">
      <c r="A5498" t="str">
        <f t="shared" si="131"/>
        <v>89301000</v>
      </c>
      <c r="B5498" t="str">
        <f t="shared" si="132"/>
        <v>495522004</v>
      </c>
      <c r="C5498" s="1">
        <v>45208</v>
      </c>
      <c r="D5498" s="1">
        <v>45212</v>
      </c>
      <c r="E5498">
        <v>1</v>
      </c>
      <c r="F5498" t="str">
        <f>"06-K14-02"</f>
        <v>06-K14-02</v>
      </c>
      <c r="G5498">
        <v>0.5766</v>
      </c>
      <c r="H5498" t="s">
        <v>11</v>
      </c>
      <c r="I5498" t="s">
        <v>10</v>
      </c>
    </row>
    <row r="5499" spans="1:9" x14ac:dyDescent="0.25">
      <c r="A5499" t="str">
        <f t="shared" si="131"/>
        <v>89301000</v>
      </c>
      <c r="B5499" t="str">
        <f t="shared" si="132"/>
        <v>495522004</v>
      </c>
      <c r="C5499" s="1">
        <v>45225</v>
      </c>
      <c r="D5499" s="1">
        <v>45229</v>
      </c>
      <c r="E5499">
        <v>1</v>
      </c>
      <c r="F5499" t="str">
        <f>"06-K14-02"</f>
        <v>06-K14-02</v>
      </c>
      <c r="G5499">
        <v>0.5766</v>
      </c>
      <c r="H5499" t="s">
        <v>11</v>
      </c>
      <c r="I5499" t="s">
        <v>10</v>
      </c>
    </row>
    <row r="5500" spans="1:9" x14ac:dyDescent="0.25">
      <c r="A5500" t="str">
        <f t="shared" si="131"/>
        <v>89301000</v>
      </c>
      <c r="B5500" t="str">
        <f t="shared" si="132"/>
        <v>495522004</v>
      </c>
      <c r="C5500" s="1">
        <v>45091</v>
      </c>
      <c r="D5500" s="1">
        <v>45092</v>
      </c>
      <c r="E5500">
        <v>1</v>
      </c>
      <c r="F5500" t="str">
        <f>"06-K14-02"</f>
        <v>06-K14-02</v>
      </c>
      <c r="G5500">
        <v>0.5766</v>
      </c>
      <c r="H5500" t="s">
        <v>11</v>
      </c>
      <c r="I5500" t="s">
        <v>10</v>
      </c>
    </row>
    <row r="5501" spans="1:9" x14ac:dyDescent="0.25">
      <c r="A5501" t="str">
        <f t="shared" si="131"/>
        <v>89301000</v>
      </c>
      <c r="B5501" t="str">
        <f t="shared" si="132"/>
        <v>495522004</v>
      </c>
      <c r="C5501" s="1">
        <v>45119</v>
      </c>
      <c r="D5501" s="1">
        <v>45139</v>
      </c>
      <c r="E5501">
        <v>1</v>
      </c>
      <c r="F5501" t="str">
        <f>"06-K14-01"</f>
        <v>06-K14-01</v>
      </c>
      <c r="G5501">
        <v>1.2667999999999999</v>
      </c>
      <c r="H5501" t="s">
        <v>11</v>
      </c>
      <c r="I5501" t="s">
        <v>10</v>
      </c>
    </row>
    <row r="5502" spans="1:9" x14ac:dyDescent="0.25">
      <c r="A5502" t="str">
        <f t="shared" si="131"/>
        <v>89301000</v>
      </c>
      <c r="B5502" t="str">
        <f>"495524153"</f>
        <v>495524153</v>
      </c>
      <c r="C5502" s="1">
        <v>44936</v>
      </c>
      <c r="D5502" s="1">
        <v>44938</v>
      </c>
      <c r="E5502">
        <v>1</v>
      </c>
      <c r="F5502" t="str">
        <f>"23-K06-00"</f>
        <v>23-K06-00</v>
      </c>
      <c r="G5502">
        <v>0.9214</v>
      </c>
      <c r="H5502" t="s">
        <v>11</v>
      </c>
      <c r="I5502" t="s">
        <v>10</v>
      </c>
    </row>
    <row r="5503" spans="1:9" x14ac:dyDescent="0.25">
      <c r="A5503" t="str">
        <f t="shared" si="131"/>
        <v>89301000</v>
      </c>
      <c r="B5503" t="str">
        <f>"495601187"</f>
        <v>495601187</v>
      </c>
      <c r="C5503" s="1">
        <v>45084</v>
      </c>
      <c r="D5503" s="1">
        <v>45088</v>
      </c>
      <c r="E5503">
        <v>6</v>
      </c>
      <c r="F5503" t="str">
        <f>"10-I13-02"</f>
        <v>10-I13-02</v>
      </c>
      <c r="G5503">
        <v>1.1124000000000001</v>
      </c>
      <c r="H5503" t="s">
        <v>9</v>
      </c>
      <c r="I5503" t="s">
        <v>10</v>
      </c>
    </row>
    <row r="5504" spans="1:9" x14ac:dyDescent="0.25">
      <c r="A5504" t="str">
        <f t="shared" si="131"/>
        <v>89301000</v>
      </c>
      <c r="B5504" t="str">
        <f>"495603104"</f>
        <v>495603104</v>
      </c>
      <c r="C5504" s="1">
        <v>45181</v>
      </c>
      <c r="D5504" s="1">
        <v>45183</v>
      </c>
      <c r="E5504">
        <v>5</v>
      </c>
      <c r="F5504" t="str">
        <f>"01-I08-04"</f>
        <v>01-I08-04</v>
      </c>
      <c r="G5504">
        <v>1.5697000000000001</v>
      </c>
      <c r="H5504" t="s">
        <v>14</v>
      </c>
      <c r="I5504" t="s">
        <v>10</v>
      </c>
    </row>
    <row r="5505" spans="1:9" x14ac:dyDescent="0.25">
      <c r="A5505" t="str">
        <f t="shared" si="131"/>
        <v>89301000</v>
      </c>
      <c r="B5505" t="str">
        <f>"495603104"</f>
        <v>495603104</v>
      </c>
      <c r="C5505" s="1">
        <v>45080</v>
      </c>
      <c r="D5505" s="1">
        <v>45089</v>
      </c>
      <c r="E5505">
        <v>1</v>
      </c>
      <c r="F5505" t="str">
        <f>"10-K12-03"</f>
        <v>10-K12-03</v>
      </c>
      <c r="G5505">
        <v>0.5091</v>
      </c>
      <c r="H5505" t="s">
        <v>11</v>
      </c>
      <c r="I5505" t="s">
        <v>10</v>
      </c>
    </row>
    <row r="5506" spans="1:9" x14ac:dyDescent="0.25">
      <c r="A5506" t="str">
        <f t="shared" si="131"/>
        <v>89301000</v>
      </c>
      <c r="B5506" t="str">
        <f>"495603104"</f>
        <v>495603104</v>
      </c>
      <c r="C5506" s="1">
        <v>45095</v>
      </c>
      <c r="D5506" s="1">
        <v>45100</v>
      </c>
      <c r="E5506">
        <v>5</v>
      </c>
      <c r="F5506" t="str">
        <f>"01-I06-02"</f>
        <v>01-I06-02</v>
      </c>
      <c r="G5506">
        <v>5.1349</v>
      </c>
      <c r="H5506" t="s">
        <v>12</v>
      </c>
      <c r="I5506" t="s">
        <v>10</v>
      </c>
    </row>
    <row r="5507" spans="1:9" x14ac:dyDescent="0.25">
      <c r="A5507" t="str">
        <f t="shared" si="131"/>
        <v>89301000</v>
      </c>
      <c r="B5507" t="str">
        <f>"495604011"</f>
        <v>495604011</v>
      </c>
      <c r="C5507" s="1">
        <v>45237</v>
      </c>
      <c r="D5507" s="1">
        <v>45243</v>
      </c>
      <c r="E5507">
        <v>4</v>
      </c>
      <c r="F5507" t="str">
        <f>"08-I13-06"</f>
        <v>08-I13-06</v>
      </c>
      <c r="G5507">
        <v>1.9452</v>
      </c>
      <c r="H5507" t="s">
        <v>12</v>
      </c>
      <c r="I5507" t="s">
        <v>10</v>
      </c>
    </row>
    <row r="5508" spans="1:9" x14ac:dyDescent="0.25">
      <c r="A5508" t="str">
        <f t="shared" si="131"/>
        <v>89301000</v>
      </c>
      <c r="B5508" t="str">
        <f>"495605025"</f>
        <v>495605025</v>
      </c>
      <c r="C5508" s="1">
        <v>45194</v>
      </c>
      <c r="D5508" s="1">
        <v>45198</v>
      </c>
      <c r="E5508">
        <v>1</v>
      </c>
      <c r="F5508" t="str">
        <f>"09-I09-05"</f>
        <v>09-I09-05</v>
      </c>
      <c r="G5508">
        <v>0.46870000000000001</v>
      </c>
      <c r="H5508" t="s">
        <v>12</v>
      </c>
      <c r="I5508" t="s">
        <v>10</v>
      </c>
    </row>
    <row r="5509" spans="1:9" x14ac:dyDescent="0.25">
      <c r="A5509" t="str">
        <f t="shared" si="131"/>
        <v>89301000</v>
      </c>
      <c r="B5509" t="str">
        <f>"495608059"</f>
        <v>495608059</v>
      </c>
      <c r="C5509" s="1">
        <v>44970</v>
      </c>
      <c r="D5509" s="1">
        <v>44987</v>
      </c>
      <c r="E5509">
        <v>4</v>
      </c>
      <c r="F5509" t="str">
        <f>"05-I23-02"</f>
        <v>05-I23-02</v>
      </c>
      <c r="G5509">
        <v>2.4087999999999998</v>
      </c>
      <c r="H5509" t="s">
        <v>11</v>
      </c>
      <c r="I5509" t="s">
        <v>10</v>
      </c>
    </row>
    <row r="5510" spans="1:9" x14ac:dyDescent="0.25">
      <c r="A5510" t="str">
        <f t="shared" si="131"/>
        <v>89301000</v>
      </c>
      <c r="B5510" t="str">
        <f>"495616068"</f>
        <v>495616068</v>
      </c>
      <c r="C5510" s="1">
        <v>45111</v>
      </c>
      <c r="D5510" s="1">
        <v>45121</v>
      </c>
      <c r="E5510">
        <v>1</v>
      </c>
      <c r="F5510" t="str">
        <f>"02-K01-02"</f>
        <v>02-K01-02</v>
      </c>
      <c r="G5510">
        <v>0.90510000000000002</v>
      </c>
      <c r="H5510" t="s">
        <v>11</v>
      </c>
      <c r="I5510" t="s">
        <v>10</v>
      </c>
    </row>
    <row r="5511" spans="1:9" x14ac:dyDescent="0.25">
      <c r="A5511" t="str">
        <f t="shared" si="131"/>
        <v>89301000</v>
      </c>
      <c r="B5511" t="str">
        <f>"495618027"</f>
        <v>495618027</v>
      </c>
      <c r="C5511" s="1">
        <v>45075</v>
      </c>
      <c r="D5511" s="1">
        <v>45090</v>
      </c>
      <c r="E5511">
        <v>7</v>
      </c>
      <c r="F5511" t="str">
        <f>"00-M02-02"</f>
        <v>00-M02-02</v>
      </c>
      <c r="G5511">
        <v>19.758099999999999</v>
      </c>
      <c r="H5511" t="s">
        <v>11</v>
      </c>
      <c r="I5511" t="s">
        <v>10</v>
      </c>
    </row>
    <row r="5512" spans="1:9" x14ac:dyDescent="0.25">
      <c r="A5512" t="str">
        <f t="shared" si="131"/>
        <v>89301000</v>
      </c>
      <c r="B5512" t="str">
        <f>"495619023"</f>
        <v>495619023</v>
      </c>
      <c r="C5512" s="1">
        <v>45231</v>
      </c>
      <c r="D5512" s="1">
        <v>45234</v>
      </c>
      <c r="E5512">
        <v>1</v>
      </c>
      <c r="F5512" t="str">
        <f>"08-I23-02"</f>
        <v>08-I23-02</v>
      </c>
      <c r="G5512">
        <v>0.91059999999999997</v>
      </c>
      <c r="H5512" t="s">
        <v>12</v>
      </c>
      <c r="I5512" t="s">
        <v>10</v>
      </c>
    </row>
    <row r="5513" spans="1:9" x14ac:dyDescent="0.25">
      <c r="A5513" t="str">
        <f t="shared" si="131"/>
        <v>89301000</v>
      </c>
      <c r="B5513" t="str">
        <f>"495627300"</f>
        <v>495627300</v>
      </c>
      <c r="C5513" s="1">
        <v>44960</v>
      </c>
      <c r="D5513" s="1">
        <v>44963</v>
      </c>
      <c r="E5513">
        <v>1</v>
      </c>
      <c r="F5513" t="str">
        <f>"23-I10-00"</f>
        <v>23-I10-00</v>
      </c>
      <c r="G5513">
        <v>0.57330000000000003</v>
      </c>
      <c r="H5513" t="s">
        <v>11</v>
      </c>
      <c r="I5513" t="s">
        <v>10</v>
      </c>
    </row>
    <row r="5514" spans="1:9" x14ac:dyDescent="0.25">
      <c r="A5514" t="str">
        <f t="shared" si="131"/>
        <v>89301000</v>
      </c>
      <c r="B5514" t="str">
        <f>"495707178"</f>
        <v>495707178</v>
      </c>
      <c r="C5514" s="1">
        <v>45217</v>
      </c>
      <c r="D5514" s="1">
        <v>45222</v>
      </c>
      <c r="E5514">
        <v>1</v>
      </c>
      <c r="F5514" t="str">
        <f>"08-I04-02"</f>
        <v>08-I04-02</v>
      </c>
      <c r="G5514">
        <v>1.6229</v>
      </c>
      <c r="H5514" t="s">
        <v>14</v>
      </c>
      <c r="I5514" t="s">
        <v>10</v>
      </c>
    </row>
    <row r="5515" spans="1:9" x14ac:dyDescent="0.25">
      <c r="A5515" t="str">
        <f t="shared" si="131"/>
        <v>89301000</v>
      </c>
      <c r="B5515" t="str">
        <f>"495708070"</f>
        <v>495708070</v>
      </c>
      <c r="C5515" s="1">
        <v>44977</v>
      </c>
      <c r="D5515" s="1">
        <v>44981</v>
      </c>
      <c r="E5515">
        <v>1</v>
      </c>
      <c r="F5515" t="str">
        <f>"08-C03-02"</f>
        <v>08-C03-02</v>
      </c>
      <c r="G5515">
        <v>1.0185</v>
      </c>
      <c r="H5515" t="s">
        <v>11</v>
      </c>
      <c r="I5515" t="s">
        <v>10</v>
      </c>
    </row>
    <row r="5516" spans="1:9" x14ac:dyDescent="0.25">
      <c r="A5516" t="str">
        <f t="shared" si="131"/>
        <v>89301000</v>
      </c>
      <c r="B5516" t="str">
        <f>"495708070"</f>
        <v>495708070</v>
      </c>
      <c r="C5516" s="1">
        <v>45069</v>
      </c>
      <c r="D5516" s="1">
        <v>45078</v>
      </c>
      <c r="E5516">
        <v>7</v>
      </c>
      <c r="F5516" t="str">
        <f>"08-K09-02"</f>
        <v>08-K09-02</v>
      </c>
      <c r="G5516">
        <v>0.74390000000000001</v>
      </c>
      <c r="H5516" t="s">
        <v>11</v>
      </c>
      <c r="I5516" t="s">
        <v>10</v>
      </c>
    </row>
    <row r="5517" spans="1:9" x14ac:dyDescent="0.25">
      <c r="A5517" t="str">
        <f t="shared" si="131"/>
        <v>89301000</v>
      </c>
      <c r="B5517" t="str">
        <f>"495710319"</f>
        <v>495710319</v>
      </c>
      <c r="C5517" s="1">
        <v>45221</v>
      </c>
      <c r="D5517" s="1">
        <v>45223</v>
      </c>
      <c r="E5517">
        <v>1</v>
      </c>
      <c r="F5517" t="str">
        <f>"02-I07-02"</f>
        <v>02-I07-02</v>
      </c>
      <c r="G5517">
        <v>1.0773999999999999</v>
      </c>
      <c r="H5517" t="s">
        <v>12</v>
      </c>
      <c r="I5517" t="s">
        <v>10</v>
      </c>
    </row>
    <row r="5518" spans="1:9" x14ac:dyDescent="0.25">
      <c r="A5518" t="str">
        <f t="shared" si="131"/>
        <v>89301000</v>
      </c>
      <c r="B5518" t="str">
        <f>"495711144"</f>
        <v>495711144</v>
      </c>
      <c r="C5518" s="1">
        <v>45176</v>
      </c>
      <c r="D5518" s="1">
        <v>45194</v>
      </c>
      <c r="E5518">
        <v>8</v>
      </c>
      <c r="F5518" t="str">
        <f>"16-K07-00"</f>
        <v>16-K07-00</v>
      </c>
      <c r="G5518">
        <v>2.0287999999999999</v>
      </c>
      <c r="H5518" t="s">
        <v>11</v>
      </c>
      <c r="I5518" t="s">
        <v>10</v>
      </c>
    </row>
    <row r="5519" spans="1:9" x14ac:dyDescent="0.25">
      <c r="A5519" t="str">
        <f t="shared" si="131"/>
        <v>89301000</v>
      </c>
      <c r="B5519" t="str">
        <f>"495711144"</f>
        <v>495711144</v>
      </c>
      <c r="C5519" s="1">
        <v>45168</v>
      </c>
      <c r="D5519" s="1">
        <v>45170</v>
      </c>
      <c r="E5519">
        <v>1</v>
      </c>
      <c r="F5519" t="str">
        <f>"17-K07-01"</f>
        <v>17-K07-01</v>
      </c>
      <c r="G5519">
        <v>2.5855000000000001</v>
      </c>
      <c r="H5519" t="s">
        <v>11</v>
      </c>
      <c r="I5519" t="s">
        <v>10</v>
      </c>
    </row>
    <row r="5520" spans="1:9" x14ac:dyDescent="0.25">
      <c r="A5520" t="str">
        <f t="shared" ref="A5520:A5583" si="133">"89301000"</f>
        <v>89301000</v>
      </c>
      <c r="B5520" t="str">
        <f>"495711144"</f>
        <v>495711144</v>
      </c>
      <c r="C5520" s="1">
        <v>45119</v>
      </c>
      <c r="D5520" s="1">
        <v>45121</v>
      </c>
      <c r="E5520">
        <v>1</v>
      </c>
      <c r="F5520" t="str">
        <f>"17-K07-01"</f>
        <v>17-K07-01</v>
      </c>
      <c r="G5520">
        <v>2.5855000000000001</v>
      </c>
      <c r="H5520" t="s">
        <v>11</v>
      </c>
      <c r="I5520" t="s">
        <v>10</v>
      </c>
    </row>
    <row r="5521" spans="1:9" x14ac:dyDescent="0.25">
      <c r="A5521" t="str">
        <f t="shared" si="133"/>
        <v>89301000</v>
      </c>
      <c r="B5521" t="str">
        <f>"495712134"</f>
        <v>495712134</v>
      </c>
      <c r="C5521" s="1">
        <v>45148</v>
      </c>
      <c r="D5521" s="1">
        <v>45151</v>
      </c>
      <c r="E5521">
        <v>1</v>
      </c>
      <c r="F5521" t="str">
        <f>"13-I18-02"</f>
        <v>13-I18-02</v>
      </c>
      <c r="G5521">
        <v>0.93840000000000001</v>
      </c>
      <c r="H5521" t="s">
        <v>11</v>
      </c>
      <c r="I5521" t="s">
        <v>10</v>
      </c>
    </row>
    <row r="5522" spans="1:9" x14ac:dyDescent="0.25">
      <c r="A5522" t="str">
        <f t="shared" si="133"/>
        <v>89301000</v>
      </c>
      <c r="B5522" t="str">
        <f>"495714003"</f>
        <v>495714003</v>
      </c>
      <c r="C5522" s="1">
        <v>44932</v>
      </c>
      <c r="D5522" s="1">
        <v>44937</v>
      </c>
      <c r="E5522">
        <v>1</v>
      </c>
      <c r="F5522" t="str">
        <f>"01-K18-04"</f>
        <v>01-K18-04</v>
      </c>
      <c r="G5522">
        <v>0.54610000000000003</v>
      </c>
      <c r="H5522" t="s">
        <v>11</v>
      </c>
      <c r="I5522" t="s">
        <v>10</v>
      </c>
    </row>
    <row r="5523" spans="1:9" x14ac:dyDescent="0.25">
      <c r="A5523" t="str">
        <f t="shared" si="133"/>
        <v>89301000</v>
      </c>
      <c r="B5523" t="str">
        <f>"495714003"</f>
        <v>495714003</v>
      </c>
      <c r="C5523" s="1">
        <v>44971</v>
      </c>
      <c r="D5523" s="1">
        <v>44973</v>
      </c>
      <c r="E5523">
        <v>1</v>
      </c>
      <c r="F5523" t="str">
        <f>"01-K18-04"</f>
        <v>01-K18-04</v>
      </c>
      <c r="G5523">
        <v>0.54610000000000003</v>
      </c>
      <c r="H5523" t="s">
        <v>11</v>
      </c>
      <c r="I5523" t="s">
        <v>10</v>
      </c>
    </row>
    <row r="5524" spans="1:9" x14ac:dyDescent="0.25">
      <c r="A5524" t="str">
        <f t="shared" si="133"/>
        <v>89301000</v>
      </c>
      <c r="B5524" t="str">
        <f>"495716301"</f>
        <v>495716301</v>
      </c>
      <c r="C5524" s="1">
        <v>45064</v>
      </c>
      <c r="D5524" s="1">
        <v>45069</v>
      </c>
      <c r="E5524">
        <v>1</v>
      </c>
      <c r="F5524" t="str">
        <f>"11-K01-04"</f>
        <v>11-K01-04</v>
      </c>
      <c r="G5524">
        <v>0.57130000000000003</v>
      </c>
      <c r="H5524" t="s">
        <v>11</v>
      </c>
      <c r="I5524" t="s">
        <v>10</v>
      </c>
    </row>
    <row r="5525" spans="1:9" x14ac:dyDescent="0.25">
      <c r="A5525" t="str">
        <f t="shared" si="133"/>
        <v>89301000</v>
      </c>
      <c r="B5525" t="str">
        <f>"495716301"</f>
        <v>495716301</v>
      </c>
      <c r="C5525" s="1">
        <v>45096</v>
      </c>
      <c r="D5525" s="1">
        <v>45097</v>
      </c>
      <c r="E5525">
        <v>1</v>
      </c>
      <c r="F5525" t="str">
        <f>"11-K06-01"</f>
        <v>11-K06-01</v>
      </c>
      <c r="G5525">
        <v>0.29759999999999998</v>
      </c>
      <c r="H5525" t="s">
        <v>11</v>
      </c>
      <c r="I5525" t="s">
        <v>10</v>
      </c>
    </row>
    <row r="5526" spans="1:9" x14ac:dyDescent="0.25">
      <c r="A5526" t="str">
        <f t="shared" si="133"/>
        <v>89301000</v>
      </c>
      <c r="B5526" t="str">
        <f>"495716301"</f>
        <v>495716301</v>
      </c>
      <c r="C5526" s="1">
        <v>45236</v>
      </c>
      <c r="D5526" s="1">
        <v>45257</v>
      </c>
      <c r="E5526">
        <v>1</v>
      </c>
      <c r="F5526" t="str">
        <f>"11-I17-03"</f>
        <v>11-I17-03</v>
      </c>
      <c r="G5526">
        <v>1.5274000000000001</v>
      </c>
      <c r="H5526" t="s">
        <v>11</v>
      </c>
      <c r="I5526" t="s">
        <v>10</v>
      </c>
    </row>
    <row r="5527" spans="1:9" x14ac:dyDescent="0.25">
      <c r="A5527" t="str">
        <f t="shared" si="133"/>
        <v>89301000</v>
      </c>
      <c r="B5527" t="str">
        <f>"495720229"</f>
        <v>495720229</v>
      </c>
      <c r="C5527" s="1">
        <v>45209</v>
      </c>
      <c r="D5527" s="1">
        <v>45211</v>
      </c>
      <c r="E5527">
        <v>1</v>
      </c>
      <c r="F5527" t="str">
        <f>"10-K15-02"</f>
        <v>10-K15-02</v>
      </c>
      <c r="G5527">
        <v>0.66379999999999995</v>
      </c>
      <c r="H5527" t="s">
        <v>11</v>
      </c>
      <c r="I5527" t="s">
        <v>10</v>
      </c>
    </row>
    <row r="5528" spans="1:9" x14ac:dyDescent="0.25">
      <c r="A5528" t="str">
        <f t="shared" si="133"/>
        <v>89301000</v>
      </c>
      <c r="B5528" t="str">
        <f>"495723155"</f>
        <v>495723155</v>
      </c>
      <c r="C5528" s="1">
        <v>44965</v>
      </c>
      <c r="D5528" s="1">
        <v>44966</v>
      </c>
      <c r="E5528">
        <v>1</v>
      </c>
      <c r="F5528" t="str">
        <f>"05-D01-08"</f>
        <v>05-D01-08</v>
      </c>
      <c r="G5528">
        <v>0.43159999999999998</v>
      </c>
      <c r="H5528" t="s">
        <v>11</v>
      </c>
      <c r="I5528" t="s">
        <v>10</v>
      </c>
    </row>
    <row r="5529" spans="1:9" x14ac:dyDescent="0.25">
      <c r="A5529" t="str">
        <f t="shared" si="133"/>
        <v>89301000</v>
      </c>
      <c r="B5529" t="str">
        <f>"495727053"</f>
        <v>495727053</v>
      </c>
      <c r="C5529" s="1">
        <v>45048</v>
      </c>
      <c r="D5529" s="1">
        <v>45051</v>
      </c>
      <c r="E5529">
        <v>1</v>
      </c>
      <c r="F5529" t="str">
        <f>"01-K08-02"</f>
        <v>01-K08-02</v>
      </c>
      <c r="G5529">
        <v>0.61160000000000003</v>
      </c>
      <c r="H5529" t="s">
        <v>11</v>
      </c>
      <c r="I5529" t="s">
        <v>10</v>
      </c>
    </row>
    <row r="5530" spans="1:9" x14ac:dyDescent="0.25">
      <c r="A5530" t="str">
        <f t="shared" si="133"/>
        <v>89301000</v>
      </c>
      <c r="B5530" t="str">
        <f>"495727053"</f>
        <v>495727053</v>
      </c>
      <c r="C5530" s="1">
        <v>45006</v>
      </c>
      <c r="D5530" s="1">
        <v>45009</v>
      </c>
      <c r="E5530">
        <v>1</v>
      </c>
      <c r="F5530" t="str">
        <f>"01-D01-03"</f>
        <v>01-D01-03</v>
      </c>
      <c r="G5530">
        <v>0.21060000000000001</v>
      </c>
      <c r="H5530" t="s">
        <v>11</v>
      </c>
      <c r="I5530" t="s">
        <v>10</v>
      </c>
    </row>
    <row r="5531" spans="1:9" x14ac:dyDescent="0.25">
      <c r="A5531" t="str">
        <f t="shared" si="133"/>
        <v>89301000</v>
      </c>
      <c r="B5531" t="str">
        <f>"495730002"</f>
        <v>495730002</v>
      </c>
      <c r="C5531" s="1">
        <v>45131</v>
      </c>
      <c r="D5531" s="1">
        <v>45152</v>
      </c>
      <c r="E5531">
        <v>4</v>
      </c>
      <c r="F5531" t="str">
        <f>"18-K01-05"</f>
        <v>18-K01-05</v>
      </c>
      <c r="G5531">
        <v>1.8069999999999999</v>
      </c>
      <c r="H5531" t="s">
        <v>11</v>
      </c>
      <c r="I5531" t="s">
        <v>10</v>
      </c>
    </row>
    <row r="5532" spans="1:9" x14ac:dyDescent="0.25">
      <c r="A5532" t="str">
        <f t="shared" si="133"/>
        <v>89301000</v>
      </c>
      <c r="B5532" t="str">
        <f>"495803190"</f>
        <v>495803190</v>
      </c>
      <c r="C5532" s="1">
        <v>45041</v>
      </c>
      <c r="D5532" s="1">
        <v>45043</v>
      </c>
      <c r="E5532">
        <v>1</v>
      </c>
      <c r="F5532" t="str">
        <f>"11-M07-01"</f>
        <v>11-M07-01</v>
      </c>
      <c r="G5532">
        <v>0.93930000000000002</v>
      </c>
      <c r="H5532" t="s">
        <v>12</v>
      </c>
      <c r="I5532" t="s">
        <v>10</v>
      </c>
    </row>
    <row r="5533" spans="1:9" x14ac:dyDescent="0.25">
      <c r="A5533" t="str">
        <f t="shared" si="133"/>
        <v>89301000</v>
      </c>
      <c r="B5533" t="str">
        <f>"495806133"</f>
        <v>495806133</v>
      </c>
      <c r="C5533" s="1">
        <v>45118</v>
      </c>
      <c r="D5533" s="1">
        <v>45139</v>
      </c>
      <c r="E5533">
        <v>5</v>
      </c>
      <c r="F5533" t="str">
        <f>"05-K13-02"</f>
        <v>05-K13-02</v>
      </c>
      <c r="G5533">
        <v>2.5491000000000001</v>
      </c>
      <c r="H5533" t="s">
        <v>11</v>
      </c>
      <c r="I5533" t="s">
        <v>10</v>
      </c>
    </row>
    <row r="5534" spans="1:9" x14ac:dyDescent="0.25">
      <c r="A5534" t="str">
        <f t="shared" si="133"/>
        <v>89301000</v>
      </c>
      <c r="B5534" t="str">
        <f>"495807267"</f>
        <v>495807267</v>
      </c>
      <c r="C5534" s="1">
        <v>45224</v>
      </c>
      <c r="D5534" s="1">
        <v>45228</v>
      </c>
      <c r="E5534">
        <v>6</v>
      </c>
      <c r="F5534" t="str">
        <f>"10-I13-02"</f>
        <v>10-I13-02</v>
      </c>
      <c r="G5534">
        <v>1.1124000000000001</v>
      </c>
      <c r="H5534" t="s">
        <v>9</v>
      </c>
      <c r="I5534" t="s">
        <v>10</v>
      </c>
    </row>
    <row r="5535" spans="1:9" x14ac:dyDescent="0.25">
      <c r="A5535" t="str">
        <f t="shared" si="133"/>
        <v>89301000</v>
      </c>
      <c r="B5535" t="str">
        <f>"495816290"</f>
        <v>495816290</v>
      </c>
      <c r="C5535" s="1">
        <v>45077</v>
      </c>
      <c r="D5535" s="1">
        <v>45082</v>
      </c>
      <c r="E5535">
        <v>1</v>
      </c>
      <c r="F5535" t="str">
        <f>"01-K13-02"</f>
        <v>01-K13-02</v>
      </c>
      <c r="G5535">
        <v>0.73899999999999999</v>
      </c>
      <c r="H5535" t="s">
        <v>11</v>
      </c>
      <c r="I5535" t="s">
        <v>10</v>
      </c>
    </row>
    <row r="5536" spans="1:9" x14ac:dyDescent="0.25">
      <c r="A5536" t="str">
        <f t="shared" si="133"/>
        <v>89301000</v>
      </c>
      <c r="B5536" t="str">
        <f>"495822139"</f>
        <v>495822139</v>
      </c>
      <c r="C5536" s="1">
        <v>45263</v>
      </c>
      <c r="D5536" s="1">
        <v>45277</v>
      </c>
      <c r="E5536">
        <v>1</v>
      </c>
      <c r="F5536" t="str">
        <f>"07-I03-02"</f>
        <v>07-I03-02</v>
      </c>
      <c r="G5536">
        <v>3.3115999999999999</v>
      </c>
      <c r="H5536" t="s">
        <v>14</v>
      </c>
      <c r="I5536" t="s">
        <v>10</v>
      </c>
    </row>
    <row r="5537" spans="1:9" x14ac:dyDescent="0.25">
      <c r="A5537" t="str">
        <f t="shared" si="133"/>
        <v>89301000</v>
      </c>
      <c r="B5537" t="str">
        <f>"495824358"</f>
        <v>495824358</v>
      </c>
      <c r="C5537" s="1">
        <v>45229</v>
      </c>
      <c r="D5537" s="1">
        <v>45233</v>
      </c>
      <c r="E5537">
        <v>1</v>
      </c>
      <c r="F5537" t="str">
        <f>"01-D01-02"</f>
        <v>01-D01-02</v>
      </c>
      <c r="G5537">
        <v>0.4461</v>
      </c>
      <c r="H5537" t="s">
        <v>11</v>
      </c>
      <c r="I5537" t="s">
        <v>10</v>
      </c>
    </row>
    <row r="5538" spans="1:9" x14ac:dyDescent="0.25">
      <c r="A5538" t="str">
        <f t="shared" si="133"/>
        <v>89301000</v>
      </c>
      <c r="B5538" t="str">
        <f>"495828092"</f>
        <v>495828092</v>
      </c>
      <c r="C5538" s="1">
        <v>45202</v>
      </c>
      <c r="D5538" s="1">
        <v>45205</v>
      </c>
      <c r="E5538">
        <v>1</v>
      </c>
      <c r="F5538" t="str">
        <f>"08-K02-01"</f>
        <v>08-K02-01</v>
      </c>
      <c r="G5538">
        <v>1.2603</v>
      </c>
      <c r="H5538" t="s">
        <v>11</v>
      </c>
      <c r="I5538" t="s">
        <v>10</v>
      </c>
    </row>
    <row r="5539" spans="1:9" x14ac:dyDescent="0.25">
      <c r="A5539" t="str">
        <f t="shared" si="133"/>
        <v>89301000</v>
      </c>
      <c r="B5539" t="str">
        <f>"495828194"</f>
        <v>495828194</v>
      </c>
      <c r="C5539" s="1">
        <v>45033</v>
      </c>
      <c r="D5539" s="1">
        <v>45036</v>
      </c>
      <c r="E5539">
        <v>1</v>
      </c>
      <c r="F5539" t="str">
        <f>"13-I13-02"</f>
        <v>13-I13-02</v>
      </c>
      <c r="G5539">
        <v>0.94840000000000002</v>
      </c>
      <c r="H5539" t="s">
        <v>12</v>
      </c>
      <c r="I5539" t="s">
        <v>10</v>
      </c>
    </row>
    <row r="5540" spans="1:9" x14ac:dyDescent="0.25">
      <c r="A5540" t="str">
        <f t="shared" si="133"/>
        <v>89301000</v>
      </c>
      <c r="B5540" t="str">
        <f>"4958700516"</f>
        <v>4958700516</v>
      </c>
      <c r="C5540" s="1">
        <v>45126</v>
      </c>
      <c r="D5540" s="1">
        <v>45134</v>
      </c>
      <c r="E5540">
        <v>3</v>
      </c>
      <c r="F5540" t="str">
        <f>"01-M02-00"</f>
        <v>01-M02-00</v>
      </c>
      <c r="G5540">
        <v>5.3973000000000004</v>
      </c>
      <c r="H5540" t="s">
        <v>12</v>
      </c>
      <c r="I5540" t="s">
        <v>10</v>
      </c>
    </row>
    <row r="5541" spans="1:9" x14ac:dyDescent="0.25">
      <c r="A5541" t="str">
        <f t="shared" si="133"/>
        <v>89301000</v>
      </c>
      <c r="B5541" t="str">
        <f>"4958700516"</f>
        <v>4958700516</v>
      </c>
      <c r="C5541" s="1">
        <v>45134</v>
      </c>
      <c r="D5541" s="1">
        <v>45148</v>
      </c>
      <c r="E5541">
        <v>1</v>
      </c>
      <c r="F5541" t="str">
        <f>"24-M07-01"</f>
        <v>24-M07-01</v>
      </c>
      <c r="G5541">
        <v>1.7825</v>
      </c>
      <c r="H5541" t="s">
        <v>11</v>
      </c>
      <c r="I5541" t="s">
        <v>10</v>
      </c>
    </row>
    <row r="5542" spans="1:9" x14ac:dyDescent="0.25">
      <c r="A5542" t="str">
        <f t="shared" si="133"/>
        <v>89301000</v>
      </c>
      <c r="B5542" t="str">
        <f>"495912189"</f>
        <v>495912189</v>
      </c>
      <c r="C5542" s="1">
        <v>44964</v>
      </c>
      <c r="D5542" s="1">
        <v>44977</v>
      </c>
      <c r="E5542">
        <v>2</v>
      </c>
      <c r="F5542" t="str">
        <f>"08-K08-00"</f>
        <v>08-K08-00</v>
      </c>
      <c r="G5542">
        <v>0.63260000000000005</v>
      </c>
      <c r="H5542" t="s">
        <v>11</v>
      </c>
      <c r="I5542" t="s">
        <v>10</v>
      </c>
    </row>
    <row r="5543" spans="1:9" x14ac:dyDescent="0.25">
      <c r="A5543" t="str">
        <f t="shared" si="133"/>
        <v>89301000</v>
      </c>
      <c r="B5543" t="str">
        <f>"495912196"</f>
        <v>495912196</v>
      </c>
      <c r="C5543" s="1">
        <v>45041</v>
      </c>
      <c r="D5543" s="1">
        <v>45048</v>
      </c>
      <c r="E5543">
        <v>1</v>
      </c>
      <c r="F5543" t="str">
        <f>"08-K08-00"</f>
        <v>08-K08-00</v>
      </c>
      <c r="G5543">
        <v>0.5272</v>
      </c>
      <c r="H5543" t="s">
        <v>11</v>
      </c>
      <c r="I5543" t="s">
        <v>10</v>
      </c>
    </row>
    <row r="5544" spans="1:9" x14ac:dyDescent="0.25">
      <c r="A5544" t="str">
        <f t="shared" si="133"/>
        <v>89301000</v>
      </c>
      <c r="B5544" t="str">
        <f>"495914210"</f>
        <v>495914210</v>
      </c>
      <c r="C5544" s="1">
        <v>45048</v>
      </c>
      <c r="D5544" s="1">
        <v>45053</v>
      </c>
      <c r="E5544">
        <v>1</v>
      </c>
      <c r="F5544" t="str">
        <f>"02-I08-02"</f>
        <v>02-I08-02</v>
      </c>
      <c r="G5544">
        <v>0.60729999999999995</v>
      </c>
      <c r="H5544" t="s">
        <v>12</v>
      </c>
      <c r="I5544" t="s">
        <v>10</v>
      </c>
    </row>
    <row r="5545" spans="1:9" x14ac:dyDescent="0.25">
      <c r="A5545" t="str">
        <f t="shared" si="133"/>
        <v>89301000</v>
      </c>
      <c r="B5545" t="str">
        <f>"496001112"</f>
        <v>496001112</v>
      </c>
      <c r="C5545" s="1">
        <v>45014</v>
      </c>
      <c r="D5545" s="1">
        <v>45019</v>
      </c>
      <c r="E5545">
        <v>1</v>
      </c>
      <c r="F5545" t="str">
        <f>"01-I09-02"</f>
        <v>01-I09-02</v>
      </c>
      <c r="G5545">
        <v>1.5277000000000001</v>
      </c>
      <c r="H5545" t="s">
        <v>12</v>
      </c>
      <c r="I5545" t="s">
        <v>10</v>
      </c>
    </row>
    <row r="5546" spans="1:9" x14ac:dyDescent="0.25">
      <c r="A5546" t="str">
        <f t="shared" si="133"/>
        <v>89301000</v>
      </c>
      <c r="B5546" t="str">
        <f>"496004105"</f>
        <v>496004105</v>
      </c>
      <c r="C5546" s="1">
        <v>45175</v>
      </c>
      <c r="D5546" s="1">
        <v>45181</v>
      </c>
      <c r="E5546">
        <v>1</v>
      </c>
      <c r="F5546" t="str">
        <f>"01-K01-01"</f>
        <v>01-K01-01</v>
      </c>
      <c r="G5546">
        <v>0.91659999999999997</v>
      </c>
      <c r="H5546" t="s">
        <v>11</v>
      </c>
      <c r="I5546" t="s">
        <v>10</v>
      </c>
    </row>
    <row r="5547" spans="1:9" x14ac:dyDescent="0.25">
      <c r="A5547" t="str">
        <f t="shared" si="133"/>
        <v>89301000</v>
      </c>
      <c r="B5547" t="str">
        <f>"496005024"</f>
        <v>496005024</v>
      </c>
      <c r="C5547" s="1">
        <v>45142</v>
      </c>
      <c r="D5547" s="1">
        <v>45146</v>
      </c>
      <c r="E5547">
        <v>1</v>
      </c>
      <c r="F5547" t="str">
        <f>"06-K03-03"</f>
        <v>06-K03-03</v>
      </c>
      <c r="G5547">
        <v>0.62060000000000004</v>
      </c>
      <c r="H5547" t="s">
        <v>11</v>
      </c>
      <c r="I5547" t="s">
        <v>10</v>
      </c>
    </row>
    <row r="5548" spans="1:9" x14ac:dyDescent="0.25">
      <c r="A5548" t="str">
        <f t="shared" si="133"/>
        <v>89301000</v>
      </c>
      <c r="B5548" t="str">
        <f>"496013080"</f>
        <v>496013080</v>
      </c>
      <c r="C5548" s="1">
        <v>45089</v>
      </c>
      <c r="D5548" s="1">
        <v>45092</v>
      </c>
      <c r="E5548">
        <v>1</v>
      </c>
      <c r="F5548" t="str">
        <f>"08-K08-00"</f>
        <v>08-K08-00</v>
      </c>
      <c r="G5548">
        <v>0.5272</v>
      </c>
      <c r="H5548" t="s">
        <v>11</v>
      </c>
      <c r="I5548" t="s">
        <v>10</v>
      </c>
    </row>
    <row r="5549" spans="1:9" x14ac:dyDescent="0.25">
      <c r="A5549" t="str">
        <f t="shared" si="133"/>
        <v>89301000</v>
      </c>
      <c r="B5549" t="str">
        <f>"496016158"</f>
        <v>496016158</v>
      </c>
      <c r="C5549" s="1">
        <v>45260</v>
      </c>
      <c r="D5549" s="1">
        <v>45262</v>
      </c>
      <c r="E5549">
        <v>1</v>
      </c>
      <c r="F5549" t="str">
        <f>"09-I06-04"</f>
        <v>09-I06-04</v>
      </c>
      <c r="G5549">
        <v>0.95069999999999999</v>
      </c>
      <c r="H5549" t="s">
        <v>12</v>
      </c>
      <c r="I5549" t="s">
        <v>10</v>
      </c>
    </row>
    <row r="5550" spans="1:9" x14ac:dyDescent="0.25">
      <c r="A5550" t="str">
        <f t="shared" si="133"/>
        <v>89301000</v>
      </c>
      <c r="B5550" t="str">
        <f>"496017184"</f>
        <v>496017184</v>
      </c>
      <c r="C5550" s="1">
        <v>45056</v>
      </c>
      <c r="D5550" s="1">
        <v>45061</v>
      </c>
      <c r="E5550">
        <v>1</v>
      </c>
      <c r="F5550" t="str">
        <f>"11-M03-02"</f>
        <v>11-M03-02</v>
      </c>
      <c r="G5550">
        <v>1.4410000000000001</v>
      </c>
      <c r="H5550" t="s">
        <v>12</v>
      </c>
      <c r="I5550" t="s">
        <v>10</v>
      </c>
    </row>
    <row r="5551" spans="1:9" x14ac:dyDescent="0.25">
      <c r="A5551" t="str">
        <f t="shared" si="133"/>
        <v>89301000</v>
      </c>
      <c r="B5551" t="str">
        <f>"496017184"</f>
        <v>496017184</v>
      </c>
      <c r="C5551" s="1">
        <v>44962</v>
      </c>
      <c r="D5551" s="1">
        <v>44964</v>
      </c>
      <c r="E5551">
        <v>1</v>
      </c>
      <c r="F5551" t="str">
        <f>"11-K01-04"</f>
        <v>11-K01-04</v>
      </c>
      <c r="G5551">
        <v>0.57130000000000003</v>
      </c>
      <c r="H5551" t="s">
        <v>11</v>
      </c>
      <c r="I5551" t="s">
        <v>10</v>
      </c>
    </row>
    <row r="5552" spans="1:9" x14ac:dyDescent="0.25">
      <c r="A5552" t="str">
        <f t="shared" si="133"/>
        <v>89301000</v>
      </c>
      <c r="B5552" t="str">
        <f>"496019173"</f>
        <v>496019173</v>
      </c>
      <c r="C5552" s="1">
        <v>45112</v>
      </c>
      <c r="D5552" s="1">
        <v>45117</v>
      </c>
      <c r="E5552">
        <v>1</v>
      </c>
      <c r="F5552" t="str">
        <f>"04-K06-03"</f>
        <v>04-K06-03</v>
      </c>
      <c r="G5552">
        <v>0.63190000000000002</v>
      </c>
      <c r="H5552" t="s">
        <v>11</v>
      </c>
      <c r="I5552" t="s">
        <v>10</v>
      </c>
    </row>
    <row r="5553" spans="1:9" x14ac:dyDescent="0.25">
      <c r="A5553" t="str">
        <f t="shared" si="133"/>
        <v>89301000</v>
      </c>
      <c r="B5553" t="str">
        <f>"496019173"</f>
        <v>496019173</v>
      </c>
      <c r="C5553" s="1">
        <v>44987</v>
      </c>
      <c r="D5553" s="1">
        <v>44991</v>
      </c>
      <c r="E5553">
        <v>1</v>
      </c>
      <c r="F5553" t="str">
        <f>"04-K09-02"</f>
        <v>04-K09-02</v>
      </c>
      <c r="G5553">
        <v>1.155</v>
      </c>
      <c r="H5553" t="s">
        <v>11</v>
      </c>
      <c r="I5553" t="s">
        <v>10</v>
      </c>
    </row>
    <row r="5554" spans="1:9" x14ac:dyDescent="0.25">
      <c r="A5554" t="str">
        <f t="shared" si="133"/>
        <v>89301000</v>
      </c>
      <c r="B5554" t="str">
        <f>"496019173"</f>
        <v>496019173</v>
      </c>
      <c r="C5554" s="1">
        <v>44936</v>
      </c>
      <c r="D5554" s="1">
        <v>44939</v>
      </c>
      <c r="E5554">
        <v>1</v>
      </c>
      <c r="F5554" t="str">
        <f>"04-K02-04"</f>
        <v>04-K02-04</v>
      </c>
      <c r="G5554">
        <v>0.82099999999999995</v>
      </c>
      <c r="H5554" t="s">
        <v>11</v>
      </c>
      <c r="I5554" t="s">
        <v>10</v>
      </c>
    </row>
    <row r="5555" spans="1:9" x14ac:dyDescent="0.25">
      <c r="A5555" t="str">
        <f t="shared" si="133"/>
        <v>89301000</v>
      </c>
      <c r="B5555" t="str">
        <f>"496019173"</f>
        <v>496019173</v>
      </c>
      <c r="C5555" s="1">
        <v>45124</v>
      </c>
      <c r="D5555" s="1">
        <v>45128</v>
      </c>
      <c r="E5555">
        <v>1</v>
      </c>
      <c r="F5555" t="str">
        <f>"04-K06-03"</f>
        <v>04-K06-03</v>
      </c>
      <c r="G5555">
        <v>0.63190000000000002</v>
      </c>
      <c r="H5555" t="s">
        <v>11</v>
      </c>
      <c r="I5555" t="s">
        <v>10</v>
      </c>
    </row>
    <row r="5556" spans="1:9" x14ac:dyDescent="0.25">
      <c r="A5556" t="str">
        <f t="shared" si="133"/>
        <v>89301000</v>
      </c>
      <c r="B5556" t="str">
        <f>"496021221"</f>
        <v>496021221</v>
      </c>
      <c r="C5556" s="1">
        <v>45227</v>
      </c>
      <c r="D5556" s="1">
        <v>45229</v>
      </c>
      <c r="E5556">
        <v>1</v>
      </c>
      <c r="F5556" t="str">
        <f>"23-K04-02"</f>
        <v>23-K04-02</v>
      </c>
      <c r="G5556">
        <v>0.38150000000000001</v>
      </c>
      <c r="H5556" t="s">
        <v>11</v>
      </c>
      <c r="I5556" t="s">
        <v>10</v>
      </c>
    </row>
    <row r="5557" spans="1:9" x14ac:dyDescent="0.25">
      <c r="A5557" t="str">
        <f t="shared" si="133"/>
        <v>89301000</v>
      </c>
      <c r="B5557" t="str">
        <f>"496023065"</f>
        <v>496023065</v>
      </c>
      <c r="C5557" s="1">
        <v>44935</v>
      </c>
      <c r="D5557" s="1">
        <v>44940</v>
      </c>
      <c r="E5557">
        <v>1</v>
      </c>
      <c r="F5557" t="str">
        <f>"09-I06-04"</f>
        <v>09-I06-04</v>
      </c>
      <c r="G5557">
        <v>0.95069999999999999</v>
      </c>
      <c r="H5557" t="s">
        <v>12</v>
      </c>
      <c r="I5557" t="s">
        <v>10</v>
      </c>
    </row>
    <row r="5558" spans="1:9" x14ac:dyDescent="0.25">
      <c r="A5558" t="str">
        <f t="shared" si="133"/>
        <v>89301000</v>
      </c>
      <c r="B5558" t="str">
        <f>"496025171"</f>
        <v>496025171</v>
      </c>
      <c r="C5558" s="1">
        <v>44959</v>
      </c>
      <c r="D5558" s="1">
        <v>44966</v>
      </c>
      <c r="E5558">
        <v>4</v>
      </c>
      <c r="F5558" t="str">
        <f>"08-I05-04"</f>
        <v>08-I05-04</v>
      </c>
      <c r="G5558">
        <v>2.4445000000000001</v>
      </c>
      <c r="H5558" t="s">
        <v>12</v>
      </c>
      <c r="I5558" t="s">
        <v>10</v>
      </c>
    </row>
    <row r="5559" spans="1:9" x14ac:dyDescent="0.25">
      <c r="A5559" t="str">
        <f t="shared" si="133"/>
        <v>89301000</v>
      </c>
      <c r="B5559" t="str">
        <f>"496028254"</f>
        <v>496028254</v>
      </c>
      <c r="C5559" s="1">
        <v>45187</v>
      </c>
      <c r="D5559" s="1">
        <v>45194</v>
      </c>
      <c r="E5559">
        <v>4</v>
      </c>
      <c r="F5559" t="str">
        <f>"08-I06-04"</f>
        <v>08-I06-04</v>
      </c>
      <c r="G5559">
        <v>2.4180000000000001</v>
      </c>
      <c r="H5559" t="s">
        <v>9</v>
      </c>
      <c r="I5559" t="s">
        <v>10</v>
      </c>
    </row>
    <row r="5560" spans="1:9" x14ac:dyDescent="0.25">
      <c r="A5560" t="str">
        <f t="shared" si="133"/>
        <v>89301000</v>
      </c>
      <c r="B5560" t="str">
        <f>"496103056"</f>
        <v>496103056</v>
      </c>
      <c r="C5560" s="1">
        <v>45180</v>
      </c>
      <c r="D5560" s="1">
        <v>45185</v>
      </c>
      <c r="E5560">
        <v>1</v>
      </c>
      <c r="F5560" t="str">
        <f>"11-M03-02"</f>
        <v>11-M03-02</v>
      </c>
      <c r="G5560">
        <v>1.4410000000000001</v>
      </c>
      <c r="H5560" t="s">
        <v>12</v>
      </c>
      <c r="I5560" t="s">
        <v>10</v>
      </c>
    </row>
    <row r="5561" spans="1:9" x14ac:dyDescent="0.25">
      <c r="A5561" t="str">
        <f t="shared" si="133"/>
        <v>89301000</v>
      </c>
      <c r="B5561" t="str">
        <f>"496103313"</f>
        <v>496103313</v>
      </c>
      <c r="C5561" s="1">
        <v>45048</v>
      </c>
      <c r="D5561" s="1">
        <v>45050</v>
      </c>
      <c r="E5561">
        <v>1</v>
      </c>
      <c r="F5561" t="str">
        <f>"09-I13-03"</f>
        <v>09-I13-03</v>
      </c>
      <c r="G5561">
        <v>0.79510000000000003</v>
      </c>
      <c r="H5561" t="s">
        <v>11</v>
      </c>
      <c r="I5561" t="s">
        <v>10</v>
      </c>
    </row>
    <row r="5562" spans="1:9" x14ac:dyDescent="0.25">
      <c r="A5562" t="str">
        <f t="shared" si="133"/>
        <v>89301000</v>
      </c>
      <c r="B5562" t="str">
        <f>"496104283"</f>
        <v>496104283</v>
      </c>
      <c r="C5562" s="1">
        <v>45076</v>
      </c>
      <c r="D5562" s="1">
        <v>45082</v>
      </c>
      <c r="E5562">
        <v>1</v>
      </c>
      <c r="F5562" t="str">
        <f>"08-I03-06"</f>
        <v>08-I03-06</v>
      </c>
      <c r="G5562">
        <v>2.9211999999999998</v>
      </c>
      <c r="H5562" t="s">
        <v>9</v>
      </c>
      <c r="I5562" t="s">
        <v>10</v>
      </c>
    </row>
    <row r="5563" spans="1:9" x14ac:dyDescent="0.25">
      <c r="A5563" t="str">
        <f t="shared" si="133"/>
        <v>89301000</v>
      </c>
      <c r="B5563" t="str">
        <f>"496104303"</f>
        <v>496104303</v>
      </c>
      <c r="C5563" s="1">
        <v>45204</v>
      </c>
      <c r="D5563" s="1">
        <v>45209</v>
      </c>
      <c r="E5563">
        <v>1</v>
      </c>
      <c r="F5563" t="str">
        <f>"06-I22-01"</f>
        <v>06-I22-01</v>
      </c>
      <c r="G5563">
        <v>0.68120000000000003</v>
      </c>
      <c r="H5563" t="s">
        <v>12</v>
      </c>
      <c r="I5563" t="s">
        <v>10</v>
      </c>
    </row>
    <row r="5564" spans="1:9" x14ac:dyDescent="0.25">
      <c r="A5564" t="str">
        <f t="shared" si="133"/>
        <v>89301000</v>
      </c>
      <c r="B5564" t="str">
        <f>"496105190"</f>
        <v>496105190</v>
      </c>
      <c r="C5564" s="1">
        <v>45026</v>
      </c>
      <c r="D5564" s="1">
        <v>45043</v>
      </c>
      <c r="E5564">
        <v>1</v>
      </c>
      <c r="F5564" t="str">
        <f>"17-K10-01"</f>
        <v>17-K10-01</v>
      </c>
      <c r="G5564">
        <v>1.5891999999999999</v>
      </c>
      <c r="H5564" t="s">
        <v>11</v>
      </c>
      <c r="I5564" t="s">
        <v>10</v>
      </c>
    </row>
    <row r="5565" spans="1:9" x14ac:dyDescent="0.25">
      <c r="A5565" t="str">
        <f t="shared" si="133"/>
        <v>89301000</v>
      </c>
      <c r="B5565" t="str">
        <f>"496107112"</f>
        <v>496107112</v>
      </c>
      <c r="C5565" s="1">
        <v>45208</v>
      </c>
      <c r="D5565" s="1">
        <v>45211</v>
      </c>
      <c r="E5565">
        <v>1</v>
      </c>
      <c r="F5565" t="str">
        <f>"05-M04-04"</f>
        <v>05-M04-04</v>
      </c>
      <c r="G5565">
        <v>2.4062000000000001</v>
      </c>
      <c r="H5565" t="s">
        <v>12</v>
      </c>
      <c r="I5565" t="s">
        <v>10</v>
      </c>
    </row>
    <row r="5566" spans="1:9" x14ac:dyDescent="0.25">
      <c r="A5566" t="str">
        <f t="shared" si="133"/>
        <v>89301000</v>
      </c>
      <c r="B5566" t="str">
        <f>"496108193"</f>
        <v>496108193</v>
      </c>
      <c r="C5566" s="1">
        <v>45195</v>
      </c>
      <c r="D5566" s="1">
        <v>45198</v>
      </c>
      <c r="E5566">
        <v>1</v>
      </c>
      <c r="F5566" t="str">
        <f>"16-I04-01"</f>
        <v>16-I04-01</v>
      </c>
      <c r="G5566">
        <v>0.94389999999999996</v>
      </c>
      <c r="H5566" t="s">
        <v>12</v>
      </c>
      <c r="I5566" t="s">
        <v>10</v>
      </c>
    </row>
    <row r="5567" spans="1:9" x14ac:dyDescent="0.25">
      <c r="A5567" t="str">
        <f t="shared" si="133"/>
        <v>89301000</v>
      </c>
      <c r="B5567" t="str">
        <f>"496108199"</f>
        <v>496108199</v>
      </c>
      <c r="C5567" s="1">
        <v>44992</v>
      </c>
      <c r="D5567" s="1">
        <v>44993</v>
      </c>
      <c r="E5567">
        <v>1</v>
      </c>
      <c r="F5567" t="str">
        <f>"05-I25-03"</f>
        <v>05-I25-03</v>
      </c>
      <c r="G5567">
        <v>1.633</v>
      </c>
      <c r="H5567" t="s">
        <v>12</v>
      </c>
      <c r="I5567" t="s">
        <v>10</v>
      </c>
    </row>
    <row r="5568" spans="1:9" x14ac:dyDescent="0.25">
      <c r="A5568" t="str">
        <f t="shared" si="133"/>
        <v>89301000</v>
      </c>
      <c r="B5568" t="str">
        <f>"496110224"</f>
        <v>496110224</v>
      </c>
      <c r="C5568" s="1">
        <v>45175</v>
      </c>
      <c r="D5568" s="1">
        <v>45179</v>
      </c>
      <c r="E5568">
        <v>1</v>
      </c>
      <c r="F5568" t="str">
        <f>"13-I13-02"</f>
        <v>13-I13-02</v>
      </c>
      <c r="G5568">
        <v>1.2961</v>
      </c>
      <c r="H5568" t="s">
        <v>12</v>
      </c>
      <c r="I5568" t="s">
        <v>10</v>
      </c>
    </row>
    <row r="5569" spans="1:9" x14ac:dyDescent="0.25">
      <c r="A5569" t="str">
        <f t="shared" si="133"/>
        <v>89301000</v>
      </c>
      <c r="B5569" t="str">
        <f>"496111082"</f>
        <v>496111082</v>
      </c>
      <c r="C5569" s="1">
        <v>44998</v>
      </c>
      <c r="D5569" s="1">
        <v>45000</v>
      </c>
      <c r="E5569">
        <v>1</v>
      </c>
      <c r="F5569" t="str">
        <f>"09-I13-05"</f>
        <v>09-I13-05</v>
      </c>
      <c r="G5569">
        <v>0.42509999999999998</v>
      </c>
      <c r="H5569" t="s">
        <v>11</v>
      </c>
      <c r="I5569" t="s">
        <v>10</v>
      </c>
    </row>
    <row r="5570" spans="1:9" x14ac:dyDescent="0.25">
      <c r="A5570" t="str">
        <f t="shared" si="133"/>
        <v>89301000</v>
      </c>
      <c r="B5570" t="str">
        <f>"496113290"</f>
        <v>496113290</v>
      </c>
      <c r="C5570" s="1">
        <v>45009</v>
      </c>
      <c r="D5570" s="1">
        <v>45011</v>
      </c>
      <c r="E5570">
        <v>1</v>
      </c>
      <c r="F5570" t="str">
        <f>"06-K15-02"</f>
        <v>06-K15-02</v>
      </c>
      <c r="G5570">
        <v>0.29499999999999998</v>
      </c>
      <c r="H5570" t="s">
        <v>11</v>
      </c>
      <c r="I5570" t="s">
        <v>10</v>
      </c>
    </row>
    <row r="5571" spans="1:9" x14ac:dyDescent="0.25">
      <c r="A5571" t="str">
        <f t="shared" si="133"/>
        <v>89301000</v>
      </c>
      <c r="B5571" t="str">
        <f>"496120184"</f>
        <v>496120184</v>
      </c>
      <c r="C5571" s="1">
        <v>45068</v>
      </c>
      <c r="D5571" s="1">
        <v>45069</v>
      </c>
      <c r="E5571">
        <v>1</v>
      </c>
      <c r="F5571" t="str">
        <f>"13-I19-00"</f>
        <v>13-I19-00</v>
      </c>
      <c r="G5571">
        <v>0.28249999999999997</v>
      </c>
      <c r="H5571" t="s">
        <v>11</v>
      </c>
      <c r="I5571" t="s">
        <v>10</v>
      </c>
    </row>
    <row r="5572" spans="1:9" x14ac:dyDescent="0.25">
      <c r="A5572" t="str">
        <f t="shared" si="133"/>
        <v>89301000</v>
      </c>
      <c r="B5572" t="str">
        <f>"496123293"</f>
        <v>496123293</v>
      </c>
      <c r="C5572" s="1">
        <v>45182</v>
      </c>
      <c r="D5572" s="1">
        <v>45186</v>
      </c>
      <c r="E5572">
        <v>1</v>
      </c>
      <c r="F5572" t="str">
        <f>"13-I11-03"</f>
        <v>13-I11-03</v>
      </c>
      <c r="G5572">
        <v>1.921</v>
      </c>
      <c r="H5572" t="s">
        <v>9</v>
      </c>
      <c r="I5572" t="s">
        <v>10</v>
      </c>
    </row>
    <row r="5573" spans="1:9" x14ac:dyDescent="0.25">
      <c r="A5573" t="str">
        <f t="shared" si="133"/>
        <v>89301000</v>
      </c>
      <c r="B5573" t="str">
        <f>"496221189"</f>
        <v>496221189</v>
      </c>
      <c r="C5573" s="1">
        <v>45253</v>
      </c>
      <c r="D5573" s="1">
        <v>45254</v>
      </c>
      <c r="E5573">
        <v>1</v>
      </c>
      <c r="F5573" t="str">
        <f>"01-D01-03"</f>
        <v>01-D01-03</v>
      </c>
      <c r="G5573">
        <v>0.16200000000000001</v>
      </c>
      <c r="H5573" t="s">
        <v>11</v>
      </c>
      <c r="I5573" t="s">
        <v>10</v>
      </c>
    </row>
    <row r="5574" spans="1:9" x14ac:dyDescent="0.25">
      <c r="A5574" t="str">
        <f t="shared" si="133"/>
        <v>89301000</v>
      </c>
      <c r="B5574" t="str">
        <f>"500104072"</f>
        <v>500104072</v>
      </c>
      <c r="C5574" s="1">
        <v>45215</v>
      </c>
      <c r="D5574" s="1">
        <v>45216</v>
      </c>
      <c r="E5574">
        <v>5</v>
      </c>
      <c r="F5574" t="str">
        <f>"18-I01-02"</f>
        <v>18-I01-02</v>
      </c>
      <c r="G5574">
        <v>1.3069</v>
      </c>
      <c r="H5574" t="s">
        <v>11</v>
      </c>
      <c r="I5574" t="s">
        <v>10</v>
      </c>
    </row>
    <row r="5575" spans="1:9" x14ac:dyDescent="0.25">
      <c r="A5575" t="str">
        <f t="shared" si="133"/>
        <v>89301000</v>
      </c>
      <c r="B5575" t="str">
        <f>"500106247"</f>
        <v>500106247</v>
      </c>
      <c r="C5575" s="1">
        <v>45243</v>
      </c>
      <c r="D5575" s="1">
        <v>45244</v>
      </c>
      <c r="E5575">
        <v>1</v>
      </c>
      <c r="F5575" t="str">
        <f>"05-D01-08"</f>
        <v>05-D01-08</v>
      </c>
      <c r="G5575">
        <v>0.43159999999999998</v>
      </c>
      <c r="H5575" t="s">
        <v>11</v>
      </c>
      <c r="I5575" t="s">
        <v>10</v>
      </c>
    </row>
    <row r="5576" spans="1:9" x14ac:dyDescent="0.25">
      <c r="A5576" t="str">
        <f t="shared" si="133"/>
        <v>89301000</v>
      </c>
      <c r="B5576" t="str">
        <f>"500107094"</f>
        <v>500107094</v>
      </c>
      <c r="C5576" s="1">
        <v>45115</v>
      </c>
      <c r="D5576" s="1">
        <v>45125</v>
      </c>
      <c r="E5576">
        <v>4</v>
      </c>
      <c r="F5576" t="str">
        <f>"08-I05-05"</f>
        <v>08-I05-05</v>
      </c>
      <c r="G5576">
        <v>2.2633000000000001</v>
      </c>
      <c r="H5576" t="s">
        <v>12</v>
      </c>
      <c r="I5576" t="s">
        <v>10</v>
      </c>
    </row>
    <row r="5577" spans="1:9" x14ac:dyDescent="0.25">
      <c r="A5577" t="str">
        <f t="shared" si="133"/>
        <v>89301000</v>
      </c>
      <c r="B5577" t="str">
        <f>"500111285"</f>
        <v>500111285</v>
      </c>
      <c r="C5577" s="1">
        <v>45254</v>
      </c>
      <c r="D5577" s="1">
        <v>45261</v>
      </c>
      <c r="E5577">
        <v>5</v>
      </c>
      <c r="F5577" t="str">
        <f>"00-M01-03"</f>
        <v>00-M01-03</v>
      </c>
      <c r="G5577">
        <v>10.3605</v>
      </c>
      <c r="H5577" t="s">
        <v>11</v>
      </c>
      <c r="I5577" t="s">
        <v>10</v>
      </c>
    </row>
    <row r="5578" spans="1:9" x14ac:dyDescent="0.25">
      <c r="A5578" t="str">
        <f t="shared" si="133"/>
        <v>89301000</v>
      </c>
      <c r="B5578" t="str">
        <f>"500111285"</f>
        <v>500111285</v>
      </c>
      <c r="C5578" s="1">
        <v>45244</v>
      </c>
      <c r="D5578" s="1">
        <v>45250</v>
      </c>
      <c r="E5578">
        <v>1</v>
      </c>
      <c r="F5578" t="str">
        <f>"01-K10-03"</f>
        <v>01-K10-03</v>
      </c>
      <c r="G5578">
        <v>1.0348999999999999</v>
      </c>
      <c r="H5578" t="s">
        <v>11</v>
      </c>
      <c r="I5578" t="s">
        <v>10</v>
      </c>
    </row>
    <row r="5579" spans="1:9" x14ac:dyDescent="0.25">
      <c r="A5579" t="str">
        <f t="shared" si="133"/>
        <v>89301000</v>
      </c>
      <c r="B5579" t="str">
        <f>"500113107"</f>
        <v>500113107</v>
      </c>
      <c r="C5579" s="1">
        <v>44964</v>
      </c>
      <c r="D5579" s="1">
        <v>44966</v>
      </c>
      <c r="E5579">
        <v>5</v>
      </c>
      <c r="F5579" t="str">
        <f>"05-K15-01"</f>
        <v>05-K15-01</v>
      </c>
      <c r="G5579">
        <v>0.85289999999999999</v>
      </c>
      <c r="H5579" t="s">
        <v>11</v>
      </c>
      <c r="I5579" t="s">
        <v>10</v>
      </c>
    </row>
    <row r="5580" spans="1:9" x14ac:dyDescent="0.25">
      <c r="A5580" t="str">
        <f t="shared" si="133"/>
        <v>89301000</v>
      </c>
      <c r="B5580" t="str">
        <f>"500113107"</f>
        <v>500113107</v>
      </c>
      <c r="C5580" s="1">
        <v>44978</v>
      </c>
      <c r="D5580" s="1">
        <v>44979</v>
      </c>
      <c r="E5580">
        <v>5</v>
      </c>
      <c r="F5580" t="str">
        <f>"05-K05-02"</f>
        <v>05-K05-02</v>
      </c>
      <c r="G5580">
        <v>0.92349999999999999</v>
      </c>
      <c r="H5580" t="s">
        <v>11</v>
      </c>
      <c r="I5580" t="s">
        <v>10</v>
      </c>
    </row>
    <row r="5581" spans="1:9" x14ac:dyDescent="0.25">
      <c r="A5581" t="str">
        <f t="shared" si="133"/>
        <v>89301000</v>
      </c>
      <c r="B5581" t="str">
        <f>"500113107"</f>
        <v>500113107</v>
      </c>
      <c r="C5581" s="1">
        <v>44997</v>
      </c>
      <c r="D5581" s="1">
        <v>44999</v>
      </c>
      <c r="E5581">
        <v>1</v>
      </c>
      <c r="F5581" t="str">
        <f>"05-D01-03"</f>
        <v>05-D01-03</v>
      </c>
      <c r="G5581">
        <v>1.0057</v>
      </c>
      <c r="H5581" t="s">
        <v>11</v>
      </c>
      <c r="I5581" t="s">
        <v>10</v>
      </c>
    </row>
    <row r="5582" spans="1:9" x14ac:dyDescent="0.25">
      <c r="A5582" t="str">
        <f t="shared" si="133"/>
        <v>89301000</v>
      </c>
      <c r="B5582" t="str">
        <f>"500113107"</f>
        <v>500113107</v>
      </c>
      <c r="C5582" s="1">
        <v>45035</v>
      </c>
      <c r="D5582" s="1">
        <v>45052</v>
      </c>
      <c r="E5582">
        <v>7</v>
      </c>
      <c r="F5582" t="str">
        <f>"04-I04-00"</f>
        <v>04-I04-00</v>
      </c>
      <c r="G5582">
        <v>4.0654000000000003</v>
      </c>
      <c r="H5582" t="s">
        <v>12</v>
      </c>
      <c r="I5582" t="s">
        <v>10</v>
      </c>
    </row>
    <row r="5583" spans="1:9" x14ac:dyDescent="0.25">
      <c r="A5583" t="str">
        <f t="shared" si="133"/>
        <v>89301000</v>
      </c>
      <c r="B5583" t="str">
        <f>"500118146"</f>
        <v>500118146</v>
      </c>
      <c r="C5583" s="1">
        <v>45153</v>
      </c>
      <c r="D5583" s="1">
        <v>45156</v>
      </c>
      <c r="E5583">
        <v>1</v>
      </c>
      <c r="F5583" t="str">
        <f>"11-I17-03"</f>
        <v>11-I17-03</v>
      </c>
      <c r="G5583">
        <v>0.50139999999999996</v>
      </c>
      <c r="H5583" t="s">
        <v>11</v>
      </c>
      <c r="I5583" t="s">
        <v>10</v>
      </c>
    </row>
    <row r="5584" spans="1:9" x14ac:dyDescent="0.25">
      <c r="A5584" t="str">
        <f t="shared" ref="A5584:A5646" si="134">"89301000"</f>
        <v>89301000</v>
      </c>
      <c r="B5584" t="str">
        <f>"500118146"</f>
        <v>500118146</v>
      </c>
      <c r="C5584" s="1">
        <v>44972</v>
      </c>
      <c r="D5584" s="1">
        <v>44976</v>
      </c>
      <c r="E5584">
        <v>1</v>
      </c>
      <c r="F5584" t="str">
        <f>"11-M06-03"</f>
        <v>11-M06-03</v>
      </c>
      <c r="G5584">
        <v>0.62009999999999998</v>
      </c>
      <c r="H5584" t="s">
        <v>12</v>
      </c>
      <c r="I5584" t="s">
        <v>10</v>
      </c>
    </row>
    <row r="5585" spans="1:9" x14ac:dyDescent="0.25">
      <c r="A5585" t="str">
        <f t="shared" si="134"/>
        <v>89301000</v>
      </c>
      <c r="B5585" t="str">
        <f>"500119268"</f>
        <v>500119268</v>
      </c>
      <c r="C5585" s="1">
        <v>45242</v>
      </c>
      <c r="D5585" s="1">
        <v>45245</v>
      </c>
      <c r="E5585">
        <v>1</v>
      </c>
      <c r="F5585" t="str">
        <f>"08-I25-02"</f>
        <v>08-I25-02</v>
      </c>
      <c r="G5585">
        <v>0.55279999999999996</v>
      </c>
      <c r="H5585" t="s">
        <v>11</v>
      </c>
      <c r="I5585" t="s">
        <v>10</v>
      </c>
    </row>
    <row r="5586" spans="1:9" x14ac:dyDescent="0.25">
      <c r="A5586" t="str">
        <f t="shared" si="134"/>
        <v>89301000</v>
      </c>
      <c r="B5586" t="str">
        <f>"500122092"</f>
        <v>500122092</v>
      </c>
      <c r="C5586" s="1">
        <v>45055</v>
      </c>
      <c r="D5586" s="1">
        <v>45064</v>
      </c>
      <c r="E5586">
        <v>1</v>
      </c>
      <c r="F5586" t="str">
        <f>"01-K12-01"</f>
        <v>01-K12-01</v>
      </c>
      <c r="G5586">
        <v>0.73780000000000001</v>
      </c>
      <c r="H5586" t="s">
        <v>11</v>
      </c>
      <c r="I5586" t="s">
        <v>10</v>
      </c>
    </row>
    <row r="5587" spans="1:9" x14ac:dyDescent="0.25">
      <c r="A5587" t="str">
        <f t="shared" si="134"/>
        <v>89301000</v>
      </c>
      <c r="B5587" t="str">
        <f>"500125180"</f>
        <v>500125180</v>
      </c>
      <c r="C5587" s="1">
        <v>44940</v>
      </c>
      <c r="D5587" s="1">
        <v>44957</v>
      </c>
      <c r="E5587">
        <v>1</v>
      </c>
      <c r="F5587" t="str">
        <f>"02-K11-01"</f>
        <v>02-K11-01</v>
      </c>
      <c r="G5587">
        <v>1.4013</v>
      </c>
      <c r="H5587" t="s">
        <v>11</v>
      </c>
      <c r="I5587" t="s">
        <v>10</v>
      </c>
    </row>
    <row r="5588" spans="1:9" x14ac:dyDescent="0.25">
      <c r="A5588" t="str">
        <f t="shared" si="134"/>
        <v>89301000</v>
      </c>
      <c r="B5588" t="str">
        <f>"500126129"</f>
        <v>500126129</v>
      </c>
      <c r="C5588" s="1">
        <v>45148</v>
      </c>
      <c r="D5588" s="1">
        <v>45174</v>
      </c>
      <c r="E5588">
        <v>8</v>
      </c>
      <c r="F5588" t="str">
        <f>"05-K07-01"</f>
        <v>05-K07-01</v>
      </c>
      <c r="G5588">
        <v>3.9245000000000001</v>
      </c>
      <c r="H5588" t="s">
        <v>11</v>
      </c>
      <c r="I5588" t="s">
        <v>10</v>
      </c>
    </row>
    <row r="5589" spans="1:9" x14ac:dyDescent="0.25">
      <c r="A5589" t="str">
        <f t="shared" si="134"/>
        <v>89301000</v>
      </c>
      <c r="B5589" t="str">
        <f>"500128010"</f>
        <v>500128010</v>
      </c>
      <c r="C5589" s="1">
        <v>44999</v>
      </c>
      <c r="D5589" s="1">
        <v>45002</v>
      </c>
      <c r="E5589">
        <v>1</v>
      </c>
      <c r="F5589" t="str">
        <f>"03-I18-03"</f>
        <v>03-I18-03</v>
      </c>
      <c r="G5589">
        <v>0.83940000000000003</v>
      </c>
      <c r="H5589" t="s">
        <v>9</v>
      </c>
      <c r="I5589" t="s">
        <v>10</v>
      </c>
    </row>
    <row r="5590" spans="1:9" x14ac:dyDescent="0.25">
      <c r="A5590" t="str">
        <f t="shared" si="134"/>
        <v>89301000</v>
      </c>
      <c r="B5590" t="str">
        <f>"500129048"</f>
        <v>500129048</v>
      </c>
      <c r="C5590" s="1">
        <v>45258</v>
      </c>
      <c r="D5590" s="1">
        <v>45261</v>
      </c>
      <c r="E5590">
        <v>1</v>
      </c>
      <c r="F5590" t="str">
        <f>"06-I16-02"</f>
        <v>06-I16-02</v>
      </c>
      <c r="G5590">
        <v>1.1348</v>
      </c>
      <c r="H5590" t="s">
        <v>9</v>
      </c>
      <c r="I5590" t="s">
        <v>10</v>
      </c>
    </row>
    <row r="5591" spans="1:9" x14ac:dyDescent="0.25">
      <c r="A5591" t="str">
        <f t="shared" si="134"/>
        <v>89301000</v>
      </c>
      <c r="B5591" t="str">
        <f>"500131053"</f>
        <v>500131053</v>
      </c>
      <c r="C5591" s="1">
        <v>45078</v>
      </c>
      <c r="D5591" s="1">
        <v>45082</v>
      </c>
      <c r="E5591">
        <v>1</v>
      </c>
      <c r="F5591" t="str">
        <f>"08-I06-04"</f>
        <v>08-I06-04</v>
      </c>
      <c r="G5591">
        <v>2.3593000000000002</v>
      </c>
      <c r="H5591" t="s">
        <v>9</v>
      </c>
      <c r="I5591" t="s">
        <v>10</v>
      </c>
    </row>
    <row r="5592" spans="1:9" x14ac:dyDescent="0.25">
      <c r="A5592" t="str">
        <f t="shared" si="134"/>
        <v>89301000</v>
      </c>
      <c r="B5592" t="str">
        <f>"500207053"</f>
        <v>500207053</v>
      </c>
      <c r="C5592" s="1">
        <v>45179</v>
      </c>
      <c r="D5592" s="1">
        <v>45185</v>
      </c>
      <c r="E5592">
        <v>1</v>
      </c>
      <c r="F5592" t="str">
        <f>"08-I05-04"</f>
        <v>08-I05-04</v>
      </c>
      <c r="G5592">
        <v>2.4445000000000001</v>
      </c>
      <c r="H5592" t="s">
        <v>12</v>
      </c>
      <c r="I5592" t="s">
        <v>10</v>
      </c>
    </row>
    <row r="5593" spans="1:9" x14ac:dyDescent="0.25">
      <c r="A5593" t="str">
        <f t="shared" si="134"/>
        <v>89301000</v>
      </c>
      <c r="B5593" t="str">
        <f>"500207237"</f>
        <v>500207237</v>
      </c>
      <c r="C5593" s="1">
        <v>45203</v>
      </c>
      <c r="D5593" s="1">
        <v>45206</v>
      </c>
      <c r="E5593">
        <v>1</v>
      </c>
      <c r="F5593" t="str">
        <f>"03-I12-04"</f>
        <v>03-I12-04</v>
      </c>
      <c r="G5593">
        <v>0.85899999999999999</v>
      </c>
      <c r="H5593" t="s">
        <v>12</v>
      </c>
      <c r="I5593" t="s">
        <v>10</v>
      </c>
    </row>
    <row r="5594" spans="1:9" x14ac:dyDescent="0.25">
      <c r="A5594" t="str">
        <f t="shared" si="134"/>
        <v>89301000</v>
      </c>
      <c r="B5594" t="str">
        <f>"500208030"</f>
        <v>500208030</v>
      </c>
      <c r="C5594" s="1">
        <v>45040</v>
      </c>
      <c r="D5594" s="1">
        <v>45049</v>
      </c>
      <c r="E5594">
        <v>5</v>
      </c>
      <c r="F5594" t="str">
        <f>"00-M01-04"</f>
        <v>00-M01-04</v>
      </c>
      <c r="G5594">
        <v>7.2366999999999999</v>
      </c>
      <c r="H5594" t="s">
        <v>11</v>
      </c>
      <c r="I5594" t="s">
        <v>10</v>
      </c>
    </row>
    <row r="5595" spans="1:9" x14ac:dyDescent="0.25">
      <c r="A5595" t="str">
        <f t="shared" si="134"/>
        <v>89301000</v>
      </c>
      <c r="B5595" t="str">
        <f>"500213016"</f>
        <v>500213016</v>
      </c>
      <c r="C5595" s="1">
        <v>45081</v>
      </c>
      <c r="D5595" s="1">
        <v>45084</v>
      </c>
      <c r="E5595">
        <v>1</v>
      </c>
      <c r="F5595" t="str">
        <f>"08-I13-06"</f>
        <v>08-I13-06</v>
      </c>
      <c r="G5595">
        <v>1.9452</v>
      </c>
      <c r="H5595" t="s">
        <v>12</v>
      </c>
      <c r="I5595" t="s">
        <v>10</v>
      </c>
    </row>
    <row r="5596" spans="1:9" x14ac:dyDescent="0.25">
      <c r="A5596" t="str">
        <f t="shared" si="134"/>
        <v>89301000</v>
      </c>
      <c r="B5596" t="str">
        <f>"500215109"</f>
        <v>500215109</v>
      </c>
      <c r="C5596" s="1">
        <v>45074</v>
      </c>
      <c r="D5596" s="1">
        <v>45078</v>
      </c>
      <c r="E5596">
        <v>4</v>
      </c>
      <c r="F5596" t="str">
        <f>"04-K02-04"</f>
        <v>04-K02-04</v>
      </c>
      <c r="G5596">
        <v>0.82099999999999995</v>
      </c>
      <c r="H5596" t="s">
        <v>11</v>
      </c>
      <c r="I5596" t="s">
        <v>10</v>
      </c>
    </row>
    <row r="5597" spans="1:9" x14ac:dyDescent="0.25">
      <c r="A5597" t="str">
        <f t="shared" si="134"/>
        <v>89301000</v>
      </c>
      <c r="B5597" t="str">
        <f>"500224216"</f>
        <v>500224216</v>
      </c>
      <c r="C5597" s="1">
        <v>45257</v>
      </c>
      <c r="D5597" s="1">
        <v>45260</v>
      </c>
      <c r="E5597">
        <v>1</v>
      </c>
      <c r="F5597" t="str">
        <f>"08-I04-02"</f>
        <v>08-I04-02</v>
      </c>
      <c r="G5597">
        <v>1.6229</v>
      </c>
      <c r="H5597" t="s">
        <v>14</v>
      </c>
      <c r="I5597" t="s">
        <v>10</v>
      </c>
    </row>
    <row r="5598" spans="1:9" x14ac:dyDescent="0.25">
      <c r="A5598" t="str">
        <f t="shared" si="134"/>
        <v>89301000</v>
      </c>
      <c r="B5598" t="str">
        <f>"500226033"</f>
        <v>500226033</v>
      </c>
      <c r="C5598" s="1">
        <v>45135</v>
      </c>
      <c r="D5598" s="1">
        <v>45135</v>
      </c>
      <c r="E5598">
        <v>1</v>
      </c>
      <c r="F5598" t="str">
        <f>"05-D01-08"</f>
        <v>05-D01-08</v>
      </c>
      <c r="G5598">
        <v>0.2303</v>
      </c>
      <c r="H5598" t="s">
        <v>11</v>
      </c>
      <c r="I5598" t="s">
        <v>10</v>
      </c>
    </row>
    <row r="5599" spans="1:9" x14ac:dyDescent="0.25">
      <c r="A5599" t="str">
        <f t="shared" si="134"/>
        <v>89301000</v>
      </c>
      <c r="B5599" t="str">
        <f>"500226033"</f>
        <v>500226033</v>
      </c>
      <c r="C5599" s="1">
        <v>45148</v>
      </c>
      <c r="D5599" s="1">
        <v>45152</v>
      </c>
      <c r="E5599">
        <v>1</v>
      </c>
      <c r="F5599" t="str">
        <f>"11-K03-02"</f>
        <v>11-K03-02</v>
      </c>
      <c r="G5599">
        <v>3.5171000000000001</v>
      </c>
      <c r="H5599" t="s">
        <v>11</v>
      </c>
      <c r="I5599" t="s">
        <v>10</v>
      </c>
    </row>
    <row r="5600" spans="1:9" x14ac:dyDescent="0.25">
      <c r="A5600" t="str">
        <f t="shared" si="134"/>
        <v>89301000</v>
      </c>
      <c r="B5600" t="str">
        <f>"500301073"</f>
        <v>500301073</v>
      </c>
      <c r="C5600" s="1">
        <v>45274</v>
      </c>
      <c r="D5600" s="1">
        <v>45279</v>
      </c>
      <c r="E5600">
        <v>1</v>
      </c>
      <c r="F5600" t="str">
        <f>"01-I03-03"</f>
        <v>01-I03-03</v>
      </c>
      <c r="G5600">
        <v>2.0834000000000001</v>
      </c>
      <c r="H5600" t="s">
        <v>14</v>
      </c>
      <c r="I5600" t="s">
        <v>10</v>
      </c>
    </row>
    <row r="5601" spans="1:9" x14ac:dyDescent="0.25">
      <c r="A5601" t="str">
        <f t="shared" si="134"/>
        <v>89301000</v>
      </c>
      <c r="B5601" t="str">
        <f>"500304149"</f>
        <v>500304149</v>
      </c>
      <c r="C5601" s="1">
        <v>45182</v>
      </c>
      <c r="D5601" s="1">
        <v>45188</v>
      </c>
      <c r="E5601">
        <v>1</v>
      </c>
      <c r="F5601" t="str">
        <f>"01-K12-01"</f>
        <v>01-K12-01</v>
      </c>
      <c r="G5601">
        <v>0.72709999999999997</v>
      </c>
      <c r="H5601" t="s">
        <v>11</v>
      </c>
      <c r="I5601" t="s">
        <v>10</v>
      </c>
    </row>
    <row r="5602" spans="1:9" x14ac:dyDescent="0.25">
      <c r="A5602" t="str">
        <f t="shared" si="134"/>
        <v>89301000</v>
      </c>
      <c r="B5602" t="str">
        <f>"500306003"</f>
        <v>500306003</v>
      </c>
      <c r="C5602" s="1">
        <v>45203</v>
      </c>
      <c r="D5602" s="1">
        <v>45209</v>
      </c>
      <c r="E5602">
        <v>1</v>
      </c>
      <c r="F5602" t="str">
        <f>"08-I03-06"</f>
        <v>08-I03-06</v>
      </c>
      <c r="G5602">
        <v>2.9211999999999998</v>
      </c>
      <c r="H5602" t="s">
        <v>9</v>
      </c>
      <c r="I5602" t="s">
        <v>10</v>
      </c>
    </row>
    <row r="5603" spans="1:9" x14ac:dyDescent="0.25">
      <c r="A5603" t="str">
        <f t="shared" si="134"/>
        <v>89301000</v>
      </c>
      <c r="B5603" t="str">
        <f>"500314020"</f>
        <v>500314020</v>
      </c>
      <c r="C5603" s="1">
        <v>45272</v>
      </c>
      <c r="D5603" s="1">
        <v>45278</v>
      </c>
      <c r="E5603">
        <v>4</v>
      </c>
      <c r="F5603" t="str">
        <f>"08-I05-04"</f>
        <v>08-I05-04</v>
      </c>
      <c r="G5603">
        <v>2.4445000000000001</v>
      </c>
      <c r="H5603" t="s">
        <v>12</v>
      </c>
      <c r="I5603" t="s">
        <v>10</v>
      </c>
    </row>
    <row r="5604" spans="1:9" x14ac:dyDescent="0.25">
      <c r="A5604" t="str">
        <f t="shared" si="134"/>
        <v>89301000</v>
      </c>
      <c r="B5604" t="str">
        <f>"500317112"</f>
        <v>500317112</v>
      </c>
      <c r="C5604" s="1">
        <v>44956</v>
      </c>
      <c r="D5604" s="1">
        <v>44965</v>
      </c>
      <c r="E5604">
        <v>1</v>
      </c>
      <c r="F5604" t="str">
        <f>"17-C05-05"</f>
        <v>17-C05-05</v>
      </c>
      <c r="G5604">
        <v>0.82609999999999995</v>
      </c>
      <c r="H5604" t="s">
        <v>11</v>
      </c>
      <c r="I5604" t="s">
        <v>10</v>
      </c>
    </row>
    <row r="5605" spans="1:9" x14ac:dyDescent="0.25">
      <c r="A5605" t="str">
        <f t="shared" si="134"/>
        <v>89301000</v>
      </c>
      <c r="B5605" t="str">
        <f>"500317112"</f>
        <v>500317112</v>
      </c>
      <c r="C5605" s="1">
        <v>44979</v>
      </c>
      <c r="D5605" s="1">
        <v>44984</v>
      </c>
      <c r="E5605">
        <v>1</v>
      </c>
      <c r="F5605" t="str">
        <f>"17-C05-05"</f>
        <v>17-C05-05</v>
      </c>
      <c r="G5605">
        <v>0.66069999999999995</v>
      </c>
      <c r="H5605" t="s">
        <v>11</v>
      </c>
      <c r="I5605" t="s">
        <v>10</v>
      </c>
    </row>
    <row r="5606" spans="1:9" x14ac:dyDescent="0.25">
      <c r="A5606" t="str">
        <f t="shared" si="134"/>
        <v>89301000</v>
      </c>
      <c r="B5606" t="str">
        <f>"500317112"</f>
        <v>500317112</v>
      </c>
      <c r="C5606" s="1">
        <v>44935</v>
      </c>
      <c r="D5606" s="1">
        <v>44937</v>
      </c>
      <c r="E5606">
        <v>1</v>
      </c>
      <c r="F5606" t="str">
        <f>"17-I08-02"</f>
        <v>17-I08-02</v>
      </c>
      <c r="G5606">
        <v>1.071</v>
      </c>
      <c r="H5606" t="s">
        <v>11</v>
      </c>
      <c r="I5606" t="s">
        <v>10</v>
      </c>
    </row>
    <row r="5607" spans="1:9" x14ac:dyDescent="0.25">
      <c r="A5607" t="str">
        <f t="shared" si="134"/>
        <v>89301000</v>
      </c>
      <c r="B5607" t="str">
        <f>"500322182"</f>
        <v>500322182</v>
      </c>
      <c r="C5607" s="1">
        <v>45215</v>
      </c>
      <c r="D5607" s="1">
        <v>45217</v>
      </c>
      <c r="E5607">
        <v>1</v>
      </c>
      <c r="F5607" t="str">
        <f>"05-I30-02"</f>
        <v>05-I30-02</v>
      </c>
      <c r="G5607">
        <v>0.41699999999999998</v>
      </c>
      <c r="H5607" t="s">
        <v>12</v>
      </c>
      <c r="I5607" t="s">
        <v>10</v>
      </c>
    </row>
    <row r="5608" spans="1:9" x14ac:dyDescent="0.25">
      <c r="A5608" t="str">
        <f t="shared" si="134"/>
        <v>89301000</v>
      </c>
      <c r="B5608" t="str">
        <f>"500322326"</f>
        <v>500322326</v>
      </c>
      <c r="C5608" s="1">
        <v>45104</v>
      </c>
      <c r="D5608" s="1">
        <v>45126</v>
      </c>
      <c r="E5608">
        <v>8</v>
      </c>
      <c r="F5608" t="str">
        <f>"05-D01-04"</f>
        <v>05-D01-04</v>
      </c>
      <c r="G5608">
        <v>2.8845000000000001</v>
      </c>
      <c r="H5608" t="s">
        <v>11</v>
      </c>
      <c r="I5608" t="s">
        <v>10</v>
      </c>
    </row>
    <row r="5609" spans="1:9" x14ac:dyDescent="0.25">
      <c r="A5609" t="str">
        <f t="shared" si="134"/>
        <v>89301000</v>
      </c>
      <c r="B5609" t="str">
        <f>"500323200"</f>
        <v>500323200</v>
      </c>
      <c r="C5609" s="1">
        <v>44994</v>
      </c>
      <c r="D5609" s="1">
        <v>44997</v>
      </c>
      <c r="E5609">
        <v>1</v>
      </c>
      <c r="F5609" t="str">
        <f>"11-K04-01"</f>
        <v>11-K04-01</v>
      </c>
      <c r="G5609">
        <v>0.73480000000000001</v>
      </c>
      <c r="H5609" t="s">
        <v>11</v>
      </c>
      <c r="I5609" t="s">
        <v>10</v>
      </c>
    </row>
    <row r="5610" spans="1:9" x14ac:dyDescent="0.25">
      <c r="A5610" t="str">
        <f t="shared" si="134"/>
        <v>89301000</v>
      </c>
      <c r="B5610" t="str">
        <f>"500328102"</f>
        <v>500328102</v>
      </c>
      <c r="C5610" s="1">
        <v>45273</v>
      </c>
      <c r="D5610" s="1">
        <v>45273</v>
      </c>
      <c r="E5610">
        <v>1</v>
      </c>
      <c r="F5610" t="str">
        <f>"05-M06-08"</f>
        <v>05-M06-08</v>
      </c>
      <c r="G5610">
        <v>1.1012</v>
      </c>
      <c r="H5610" t="s">
        <v>12</v>
      </c>
      <c r="I5610" t="s">
        <v>10</v>
      </c>
    </row>
    <row r="5611" spans="1:9" x14ac:dyDescent="0.25">
      <c r="A5611" t="str">
        <f t="shared" si="134"/>
        <v>89301000</v>
      </c>
      <c r="B5611" t="str">
        <f>"500329082"</f>
        <v>500329082</v>
      </c>
      <c r="C5611" s="1">
        <v>45068</v>
      </c>
      <c r="D5611" s="1">
        <v>45072</v>
      </c>
      <c r="E5611">
        <v>1</v>
      </c>
      <c r="F5611" t="str">
        <f>"10-K04-04"</f>
        <v>10-K04-04</v>
      </c>
      <c r="G5611">
        <v>0.53949999999999998</v>
      </c>
      <c r="H5611" t="s">
        <v>11</v>
      </c>
      <c r="I5611" t="s">
        <v>10</v>
      </c>
    </row>
    <row r="5612" spans="1:9" x14ac:dyDescent="0.25">
      <c r="A5612" t="str">
        <f t="shared" si="134"/>
        <v>89301000</v>
      </c>
      <c r="B5612" t="str">
        <f>"500401220"</f>
        <v>500401220</v>
      </c>
      <c r="C5612" s="1">
        <v>45029</v>
      </c>
      <c r="D5612" s="1">
        <v>45035</v>
      </c>
      <c r="E5612">
        <v>1</v>
      </c>
      <c r="F5612" t="str">
        <f>"12-I03-01"</f>
        <v>12-I03-01</v>
      </c>
      <c r="G5612">
        <v>2.6934999999999998</v>
      </c>
      <c r="H5612" t="s">
        <v>9</v>
      </c>
      <c r="I5612" t="s">
        <v>10</v>
      </c>
    </row>
    <row r="5613" spans="1:9" x14ac:dyDescent="0.25">
      <c r="A5613" t="str">
        <f t="shared" si="134"/>
        <v>89301000</v>
      </c>
      <c r="B5613" t="str">
        <f>"500402148"</f>
        <v>500402148</v>
      </c>
      <c r="C5613" s="1">
        <v>45260</v>
      </c>
      <c r="D5613" s="1">
        <v>45261</v>
      </c>
      <c r="E5613">
        <v>1</v>
      </c>
      <c r="F5613" t="str">
        <f>"01-D01-03"</f>
        <v>01-D01-03</v>
      </c>
      <c r="G5613">
        <v>0.16200000000000001</v>
      </c>
      <c r="H5613" t="s">
        <v>11</v>
      </c>
      <c r="I5613" t="s">
        <v>10</v>
      </c>
    </row>
    <row r="5614" spans="1:9" x14ac:dyDescent="0.25">
      <c r="A5614" t="str">
        <f t="shared" si="134"/>
        <v>89301000</v>
      </c>
      <c r="B5614" t="str">
        <f>"500406006"</f>
        <v>500406006</v>
      </c>
      <c r="C5614" s="1">
        <v>45040</v>
      </c>
      <c r="D5614" s="1">
        <v>45051</v>
      </c>
      <c r="E5614">
        <v>1</v>
      </c>
      <c r="F5614" t="str">
        <f>"08-K08-00"</f>
        <v>08-K08-00</v>
      </c>
      <c r="G5614">
        <v>0.5272</v>
      </c>
      <c r="H5614" t="s">
        <v>11</v>
      </c>
      <c r="I5614" t="s">
        <v>10</v>
      </c>
    </row>
    <row r="5615" spans="1:9" x14ac:dyDescent="0.25">
      <c r="A5615" t="str">
        <f t="shared" si="134"/>
        <v>89301000</v>
      </c>
      <c r="B5615" t="str">
        <f>"500410086"</f>
        <v>500410086</v>
      </c>
      <c r="C5615" s="1">
        <v>45117</v>
      </c>
      <c r="D5615" s="1">
        <v>45120</v>
      </c>
      <c r="E5615">
        <v>1</v>
      </c>
      <c r="F5615" t="str">
        <f>"06-K15-01"</f>
        <v>06-K15-01</v>
      </c>
      <c r="G5615">
        <v>0.58350000000000002</v>
      </c>
      <c r="H5615" t="s">
        <v>11</v>
      </c>
      <c r="I5615" t="s">
        <v>10</v>
      </c>
    </row>
    <row r="5616" spans="1:9" x14ac:dyDescent="0.25">
      <c r="A5616" t="str">
        <f t="shared" si="134"/>
        <v>89301000</v>
      </c>
      <c r="B5616" t="str">
        <f>"500410086"</f>
        <v>500410086</v>
      </c>
      <c r="C5616" s="1">
        <v>45015</v>
      </c>
      <c r="D5616" s="1">
        <v>45019</v>
      </c>
      <c r="E5616">
        <v>1</v>
      </c>
      <c r="F5616" t="str">
        <f>"06-M01-03"</f>
        <v>06-M01-03</v>
      </c>
      <c r="G5616">
        <v>0.82350000000000001</v>
      </c>
      <c r="H5616" t="s">
        <v>11</v>
      </c>
      <c r="I5616" t="s">
        <v>10</v>
      </c>
    </row>
    <row r="5617" spans="1:9" x14ac:dyDescent="0.25">
      <c r="A5617" t="str">
        <f t="shared" si="134"/>
        <v>89301000</v>
      </c>
      <c r="B5617" t="str">
        <f>"500410086"</f>
        <v>500410086</v>
      </c>
      <c r="C5617" s="1">
        <v>45110</v>
      </c>
      <c r="D5617" s="1">
        <v>45113</v>
      </c>
      <c r="E5617">
        <v>1</v>
      </c>
      <c r="F5617" t="str">
        <f>"06-M01-02"</f>
        <v>06-M01-02</v>
      </c>
      <c r="G5617">
        <v>1.2206999999999999</v>
      </c>
      <c r="H5617" t="s">
        <v>11</v>
      </c>
      <c r="I5617" t="s">
        <v>10</v>
      </c>
    </row>
    <row r="5618" spans="1:9" x14ac:dyDescent="0.25">
      <c r="A5618" t="str">
        <f t="shared" si="134"/>
        <v>89301000</v>
      </c>
      <c r="B5618" t="str">
        <f>"500413024"</f>
        <v>500413024</v>
      </c>
      <c r="C5618" s="1">
        <v>44950</v>
      </c>
      <c r="D5618" s="1">
        <v>44951</v>
      </c>
      <c r="E5618">
        <v>1</v>
      </c>
      <c r="F5618" t="str">
        <f>"02-I13-02"</f>
        <v>02-I13-02</v>
      </c>
      <c r="G5618">
        <v>0.4259</v>
      </c>
      <c r="H5618" t="s">
        <v>11</v>
      </c>
      <c r="I5618" t="s">
        <v>10</v>
      </c>
    </row>
    <row r="5619" spans="1:9" x14ac:dyDescent="0.25">
      <c r="A5619" t="str">
        <f t="shared" si="134"/>
        <v>89301000</v>
      </c>
      <c r="B5619" t="str">
        <f>"500419026"</f>
        <v>500419026</v>
      </c>
      <c r="C5619" s="1">
        <v>45174</v>
      </c>
      <c r="D5619" s="1">
        <v>45180</v>
      </c>
      <c r="E5619">
        <v>1</v>
      </c>
      <c r="F5619" t="str">
        <f>"05-M01-02"</f>
        <v>05-M01-02</v>
      </c>
      <c r="G5619">
        <v>12.371700000000001</v>
      </c>
      <c r="H5619" t="s">
        <v>12</v>
      </c>
      <c r="I5619" t="s">
        <v>10</v>
      </c>
    </row>
    <row r="5620" spans="1:9" x14ac:dyDescent="0.25">
      <c r="A5620" t="str">
        <f t="shared" si="134"/>
        <v>89301000</v>
      </c>
      <c r="B5620" t="str">
        <f>"500420028"</f>
        <v>500420028</v>
      </c>
      <c r="C5620" s="1">
        <v>45002</v>
      </c>
      <c r="D5620" s="1">
        <v>45005</v>
      </c>
      <c r="E5620">
        <v>1</v>
      </c>
      <c r="F5620" t="str">
        <f>"10-K15-02"</f>
        <v>10-K15-02</v>
      </c>
      <c r="G5620">
        <v>0.66379999999999995</v>
      </c>
      <c r="H5620" t="s">
        <v>11</v>
      </c>
      <c r="I5620" t="s">
        <v>10</v>
      </c>
    </row>
    <row r="5621" spans="1:9" x14ac:dyDescent="0.25">
      <c r="A5621" t="str">
        <f t="shared" si="134"/>
        <v>89301000</v>
      </c>
      <c r="B5621" t="str">
        <f>"500420028"</f>
        <v>500420028</v>
      </c>
      <c r="C5621" s="1">
        <v>44938</v>
      </c>
      <c r="D5621" s="1">
        <v>44939</v>
      </c>
      <c r="E5621">
        <v>1</v>
      </c>
      <c r="F5621" t="str">
        <f>"10-K15-02"</f>
        <v>10-K15-02</v>
      </c>
      <c r="G5621">
        <v>0.66379999999999995</v>
      </c>
      <c r="H5621" t="s">
        <v>11</v>
      </c>
      <c r="I5621" t="s">
        <v>10</v>
      </c>
    </row>
    <row r="5622" spans="1:9" x14ac:dyDescent="0.25">
      <c r="A5622" t="str">
        <f t="shared" si="134"/>
        <v>89301000</v>
      </c>
      <c r="B5622" t="str">
        <f>"500421314"</f>
        <v>500421314</v>
      </c>
      <c r="C5622" s="1">
        <v>45167</v>
      </c>
      <c r="D5622" s="1">
        <v>45187</v>
      </c>
      <c r="E5622">
        <v>1</v>
      </c>
      <c r="F5622" t="str">
        <f>"17-C05-01"</f>
        <v>17-C05-01</v>
      </c>
      <c r="G5622">
        <v>6.6181999999999999</v>
      </c>
      <c r="H5622" t="s">
        <v>11</v>
      </c>
      <c r="I5622" t="s">
        <v>10</v>
      </c>
    </row>
    <row r="5623" spans="1:9" x14ac:dyDescent="0.25">
      <c r="A5623" t="str">
        <f t="shared" si="134"/>
        <v>89301000</v>
      </c>
      <c r="B5623" t="str">
        <f>"500421314"</f>
        <v>500421314</v>
      </c>
      <c r="C5623" s="1">
        <v>45190</v>
      </c>
      <c r="D5623" s="1">
        <v>45193</v>
      </c>
      <c r="E5623">
        <v>1</v>
      </c>
      <c r="F5623" t="str">
        <f>"17-C05-02"</f>
        <v>17-C05-02</v>
      </c>
      <c r="G5623">
        <v>2.3085</v>
      </c>
      <c r="H5623" t="s">
        <v>11</v>
      </c>
      <c r="I5623" t="s">
        <v>10</v>
      </c>
    </row>
    <row r="5624" spans="1:9" x14ac:dyDescent="0.25">
      <c r="A5624" t="str">
        <f t="shared" si="134"/>
        <v>89301000</v>
      </c>
      <c r="B5624" t="str">
        <f>"500425095"</f>
        <v>500425095</v>
      </c>
      <c r="C5624" s="1">
        <v>45037</v>
      </c>
      <c r="D5624" s="1">
        <v>45048</v>
      </c>
      <c r="E5624">
        <v>1</v>
      </c>
      <c r="F5624" t="str">
        <f>"05-I12-03"</f>
        <v>05-I12-03</v>
      </c>
      <c r="G5624">
        <v>6.7502000000000004</v>
      </c>
      <c r="H5624" t="s">
        <v>14</v>
      </c>
      <c r="I5624" t="s">
        <v>10</v>
      </c>
    </row>
    <row r="5625" spans="1:9" x14ac:dyDescent="0.25">
      <c r="A5625" t="str">
        <f t="shared" si="134"/>
        <v>89301000</v>
      </c>
      <c r="B5625" t="str">
        <f>"500425095"</f>
        <v>500425095</v>
      </c>
      <c r="C5625" s="1">
        <v>44967</v>
      </c>
      <c r="D5625" s="1">
        <v>44967</v>
      </c>
      <c r="E5625">
        <v>1</v>
      </c>
      <c r="F5625" t="str">
        <f>"05-D01-06"</f>
        <v>05-D01-06</v>
      </c>
      <c r="G5625">
        <v>0.4037</v>
      </c>
      <c r="H5625" t="s">
        <v>11</v>
      </c>
      <c r="I5625" t="s">
        <v>10</v>
      </c>
    </row>
    <row r="5626" spans="1:9" x14ac:dyDescent="0.25">
      <c r="A5626" t="str">
        <f t="shared" si="134"/>
        <v>89301000</v>
      </c>
      <c r="B5626" t="str">
        <f>"500427114"</f>
        <v>500427114</v>
      </c>
      <c r="C5626" s="1">
        <v>44943</v>
      </c>
      <c r="D5626" s="1">
        <v>44944</v>
      </c>
      <c r="E5626">
        <v>1</v>
      </c>
      <c r="F5626" t="str">
        <f>"02-I13-02"</f>
        <v>02-I13-02</v>
      </c>
      <c r="G5626">
        <v>0.4259</v>
      </c>
      <c r="H5626" t="s">
        <v>11</v>
      </c>
      <c r="I5626" t="s">
        <v>10</v>
      </c>
    </row>
    <row r="5627" spans="1:9" x14ac:dyDescent="0.25">
      <c r="A5627" t="str">
        <f t="shared" si="134"/>
        <v>89301000</v>
      </c>
      <c r="B5627" t="str">
        <f>"500429080"</f>
        <v>500429080</v>
      </c>
      <c r="C5627" s="1">
        <v>44937</v>
      </c>
      <c r="D5627" s="1">
        <v>44941</v>
      </c>
      <c r="E5627">
        <v>1</v>
      </c>
      <c r="F5627" t="str">
        <f>"10-K04-04"</f>
        <v>10-K04-04</v>
      </c>
      <c r="G5627">
        <v>0.53949999999999998</v>
      </c>
      <c r="H5627" t="s">
        <v>11</v>
      </c>
      <c r="I5627" t="s">
        <v>10</v>
      </c>
    </row>
    <row r="5628" spans="1:9" x14ac:dyDescent="0.25">
      <c r="A5628" t="str">
        <f t="shared" si="134"/>
        <v>89301000</v>
      </c>
      <c r="B5628" t="str">
        <f>"500429080"</f>
        <v>500429080</v>
      </c>
      <c r="C5628" s="1">
        <v>45125</v>
      </c>
      <c r="D5628" s="1">
        <v>45129</v>
      </c>
      <c r="E5628">
        <v>1</v>
      </c>
      <c r="F5628" t="str">
        <f>"01-K08-01"</f>
        <v>01-K08-01</v>
      </c>
      <c r="G5628">
        <v>1.2258</v>
      </c>
      <c r="H5628" t="s">
        <v>11</v>
      </c>
      <c r="I5628" t="s">
        <v>10</v>
      </c>
    </row>
    <row r="5629" spans="1:9" x14ac:dyDescent="0.25">
      <c r="A5629" t="str">
        <f t="shared" si="134"/>
        <v>89301000</v>
      </c>
      <c r="B5629" t="str">
        <f>"500502148"</f>
        <v>500502148</v>
      </c>
      <c r="C5629" s="1">
        <v>45236</v>
      </c>
      <c r="D5629" s="1">
        <v>45238</v>
      </c>
      <c r="E5629">
        <v>1</v>
      </c>
      <c r="F5629" t="str">
        <f>"09-I13-05"</f>
        <v>09-I13-05</v>
      </c>
      <c r="G5629">
        <v>0.44190000000000002</v>
      </c>
      <c r="H5629" t="s">
        <v>11</v>
      </c>
      <c r="I5629" t="s">
        <v>10</v>
      </c>
    </row>
    <row r="5630" spans="1:9" x14ac:dyDescent="0.25">
      <c r="A5630" t="str">
        <f t="shared" si="134"/>
        <v>89301000</v>
      </c>
      <c r="B5630" t="str">
        <f>"500505438"</f>
        <v>500505438</v>
      </c>
      <c r="C5630" s="1">
        <v>45085</v>
      </c>
      <c r="D5630" s="1">
        <v>45089</v>
      </c>
      <c r="E5630">
        <v>1</v>
      </c>
      <c r="F5630" t="str">
        <f>"01-K08-02"</f>
        <v>01-K08-02</v>
      </c>
      <c r="G5630">
        <v>0.60619999999999996</v>
      </c>
      <c r="H5630" t="s">
        <v>11</v>
      </c>
      <c r="I5630" t="s">
        <v>10</v>
      </c>
    </row>
    <row r="5631" spans="1:9" x14ac:dyDescent="0.25">
      <c r="A5631" t="str">
        <f t="shared" si="134"/>
        <v>89301000</v>
      </c>
      <c r="B5631" t="str">
        <f>"500506102"</f>
        <v>500506102</v>
      </c>
      <c r="C5631" s="1">
        <v>45007</v>
      </c>
      <c r="D5631" s="1">
        <v>45022</v>
      </c>
      <c r="E5631">
        <v>1</v>
      </c>
      <c r="F5631" t="str">
        <f>"24-M07-02"</f>
        <v>24-M07-02</v>
      </c>
      <c r="G5631">
        <v>1.5729</v>
      </c>
      <c r="H5631" t="s">
        <v>11</v>
      </c>
      <c r="I5631" t="s">
        <v>10</v>
      </c>
    </row>
    <row r="5632" spans="1:9" x14ac:dyDescent="0.25">
      <c r="A5632" t="str">
        <f t="shared" si="134"/>
        <v>89301000</v>
      </c>
      <c r="B5632" t="str">
        <f>"500509044"</f>
        <v>500509044</v>
      </c>
      <c r="C5632" s="1">
        <v>45130</v>
      </c>
      <c r="D5632" s="1">
        <v>45136</v>
      </c>
      <c r="E5632">
        <v>1</v>
      </c>
      <c r="F5632" t="str">
        <f>"12-I02-01"</f>
        <v>12-I02-01</v>
      </c>
      <c r="G5632">
        <v>3.3855</v>
      </c>
      <c r="H5632" t="s">
        <v>9</v>
      </c>
      <c r="I5632" t="s">
        <v>10</v>
      </c>
    </row>
    <row r="5633" spans="1:9" x14ac:dyDescent="0.25">
      <c r="A5633" t="str">
        <f t="shared" si="134"/>
        <v>89301000</v>
      </c>
      <c r="B5633" t="str">
        <f>"500515038"</f>
        <v>500515038</v>
      </c>
      <c r="C5633" s="1">
        <v>44936</v>
      </c>
      <c r="D5633" s="1">
        <v>44943</v>
      </c>
      <c r="E5633">
        <v>4</v>
      </c>
      <c r="F5633" t="str">
        <f>"24-M06-02"</f>
        <v>24-M06-02</v>
      </c>
      <c r="G5633">
        <v>1.0699000000000001</v>
      </c>
      <c r="H5633" t="s">
        <v>11</v>
      </c>
      <c r="I5633" t="s">
        <v>10</v>
      </c>
    </row>
    <row r="5634" spans="1:9" x14ac:dyDescent="0.25">
      <c r="A5634" t="str">
        <f t="shared" si="134"/>
        <v>89301000</v>
      </c>
      <c r="B5634" t="str">
        <f>"500515038"</f>
        <v>500515038</v>
      </c>
      <c r="C5634" s="1">
        <v>44927</v>
      </c>
      <c r="D5634" s="1">
        <v>44936</v>
      </c>
      <c r="E5634">
        <v>3</v>
      </c>
      <c r="F5634" t="str">
        <f>"08-I06-04"</f>
        <v>08-I06-04</v>
      </c>
      <c r="G5634">
        <v>2.4180000000000001</v>
      </c>
      <c r="H5634" t="s">
        <v>9</v>
      </c>
      <c r="I5634" t="s">
        <v>10</v>
      </c>
    </row>
    <row r="5635" spans="1:9" x14ac:dyDescent="0.25">
      <c r="A5635" t="str">
        <f t="shared" si="134"/>
        <v>89301000</v>
      </c>
      <c r="B5635" t="str">
        <f>"500521091"</f>
        <v>500521091</v>
      </c>
      <c r="C5635" s="1">
        <v>45124</v>
      </c>
      <c r="D5635" s="1">
        <v>45154</v>
      </c>
      <c r="E5635">
        <v>1</v>
      </c>
      <c r="F5635" t="str">
        <f>"03-I03-01"</f>
        <v>03-I03-01</v>
      </c>
      <c r="G5635">
        <v>8.3224999999999998</v>
      </c>
      <c r="H5635" t="s">
        <v>14</v>
      </c>
      <c r="I5635" t="s">
        <v>10</v>
      </c>
    </row>
    <row r="5636" spans="1:9" x14ac:dyDescent="0.25">
      <c r="A5636" t="str">
        <f t="shared" si="134"/>
        <v>89301000</v>
      </c>
      <c r="B5636" t="str">
        <f>"500526150"</f>
        <v>500526150</v>
      </c>
      <c r="C5636" s="1">
        <v>45118</v>
      </c>
      <c r="D5636" s="1">
        <v>45154</v>
      </c>
      <c r="E5636">
        <v>1</v>
      </c>
      <c r="F5636" t="str">
        <f>"03-R01-01"</f>
        <v>03-R01-01</v>
      </c>
      <c r="G5636">
        <v>6.4535999999999998</v>
      </c>
      <c r="H5636" t="s">
        <v>11</v>
      </c>
      <c r="I5636" t="s">
        <v>10</v>
      </c>
    </row>
    <row r="5637" spans="1:9" x14ac:dyDescent="0.25">
      <c r="A5637" t="str">
        <f t="shared" si="134"/>
        <v>89301000</v>
      </c>
      <c r="B5637" t="str">
        <f>"500526150"</f>
        <v>500526150</v>
      </c>
      <c r="C5637" s="1">
        <v>45110</v>
      </c>
      <c r="D5637" s="1">
        <v>45114</v>
      </c>
      <c r="E5637">
        <v>1</v>
      </c>
      <c r="F5637" t="str">
        <f>"03-R01-08"</f>
        <v>03-R01-08</v>
      </c>
      <c r="G5637">
        <v>1.0552999999999999</v>
      </c>
      <c r="H5637" t="s">
        <v>11</v>
      </c>
      <c r="I5637" t="s">
        <v>10</v>
      </c>
    </row>
    <row r="5638" spans="1:9" x14ac:dyDescent="0.25">
      <c r="A5638" t="str">
        <f t="shared" si="134"/>
        <v>89301000</v>
      </c>
      <c r="B5638" t="str">
        <f>"500526150"</f>
        <v>500526150</v>
      </c>
      <c r="C5638" s="1">
        <v>45056</v>
      </c>
      <c r="D5638" s="1">
        <v>45069</v>
      </c>
      <c r="E5638">
        <v>1</v>
      </c>
      <c r="F5638" t="str">
        <f>"00-M01-03"</f>
        <v>00-M01-03</v>
      </c>
      <c r="G5638">
        <v>9.7695000000000007</v>
      </c>
      <c r="H5638" t="s">
        <v>11</v>
      </c>
      <c r="I5638" t="s">
        <v>10</v>
      </c>
    </row>
    <row r="5639" spans="1:9" x14ac:dyDescent="0.25">
      <c r="A5639" t="str">
        <f t="shared" si="134"/>
        <v>89301000</v>
      </c>
      <c r="B5639" t="str">
        <f>"500526150"</f>
        <v>500526150</v>
      </c>
      <c r="C5639" s="1">
        <v>45084</v>
      </c>
      <c r="D5639" s="1">
        <v>45085</v>
      </c>
      <c r="E5639">
        <v>1</v>
      </c>
      <c r="F5639" t="str">
        <f>"10-K14-03"</f>
        <v>10-K14-03</v>
      </c>
      <c r="G5639">
        <v>0.48830000000000001</v>
      </c>
      <c r="H5639" t="s">
        <v>11</v>
      </c>
      <c r="I5639" t="s">
        <v>10</v>
      </c>
    </row>
    <row r="5640" spans="1:9" x14ac:dyDescent="0.25">
      <c r="A5640" t="str">
        <f t="shared" si="134"/>
        <v>89301000</v>
      </c>
      <c r="B5640" t="str">
        <f>"500527170"</f>
        <v>500527170</v>
      </c>
      <c r="C5640" s="1">
        <v>45274</v>
      </c>
      <c r="D5640" s="1">
        <v>45278</v>
      </c>
      <c r="E5640">
        <v>1</v>
      </c>
      <c r="F5640" t="str">
        <f>"04-K09-03"</f>
        <v>04-K09-03</v>
      </c>
      <c r="G5640">
        <v>0.629</v>
      </c>
      <c r="H5640" t="s">
        <v>11</v>
      </c>
      <c r="I5640" t="s">
        <v>10</v>
      </c>
    </row>
    <row r="5641" spans="1:9" x14ac:dyDescent="0.25">
      <c r="A5641" t="str">
        <f t="shared" si="134"/>
        <v>89301000</v>
      </c>
      <c r="B5641" t="str">
        <f>"500527170"</f>
        <v>500527170</v>
      </c>
      <c r="C5641" s="1">
        <v>45282</v>
      </c>
      <c r="D5641" s="1">
        <v>45283</v>
      </c>
      <c r="E5641">
        <v>7</v>
      </c>
      <c r="F5641" t="str">
        <f>"04-K09-01"</f>
        <v>04-K09-01</v>
      </c>
      <c r="G5641">
        <v>0.12889999999999999</v>
      </c>
      <c r="H5641" t="s">
        <v>11</v>
      </c>
      <c r="I5641" t="s">
        <v>10</v>
      </c>
    </row>
    <row r="5642" spans="1:9" x14ac:dyDescent="0.25">
      <c r="A5642" t="str">
        <f t="shared" si="134"/>
        <v>89301000</v>
      </c>
      <c r="B5642" t="str">
        <f>"500530120"</f>
        <v>500530120</v>
      </c>
      <c r="C5642" s="1">
        <v>45264</v>
      </c>
      <c r="D5642" s="1">
        <v>45265</v>
      </c>
      <c r="E5642">
        <v>1</v>
      </c>
      <c r="F5642" t="str">
        <f>"05-M05-03"</f>
        <v>05-M05-03</v>
      </c>
      <c r="G5642">
        <v>2.0312999999999999</v>
      </c>
      <c r="H5642" t="s">
        <v>14</v>
      </c>
      <c r="I5642" t="s">
        <v>10</v>
      </c>
    </row>
    <row r="5643" spans="1:9" x14ac:dyDescent="0.25">
      <c r="A5643" t="str">
        <f t="shared" si="134"/>
        <v>89301000</v>
      </c>
      <c r="B5643" t="str">
        <f>"500531067"</f>
        <v>500531067</v>
      </c>
      <c r="C5643" s="1">
        <v>45243</v>
      </c>
      <c r="D5643" s="1">
        <v>45253</v>
      </c>
      <c r="E5643">
        <v>4</v>
      </c>
      <c r="F5643" t="str">
        <f>"08-I05-03"</f>
        <v>08-I05-03</v>
      </c>
      <c r="G5643">
        <v>3.3738000000000001</v>
      </c>
      <c r="H5643" t="s">
        <v>12</v>
      </c>
      <c r="I5643" t="s">
        <v>10</v>
      </c>
    </row>
    <row r="5644" spans="1:9" x14ac:dyDescent="0.25">
      <c r="A5644" t="str">
        <f t="shared" si="134"/>
        <v>89301000</v>
      </c>
      <c r="B5644" t="str">
        <f>"500605088"</f>
        <v>500605088</v>
      </c>
      <c r="C5644" s="1">
        <v>45270</v>
      </c>
      <c r="D5644" s="1">
        <v>45276</v>
      </c>
      <c r="E5644">
        <v>1</v>
      </c>
      <c r="F5644" t="str">
        <f>"04-I03-04"</f>
        <v>04-I03-04</v>
      </c>
      <c r="G5644">
        <v>1.9829000000000001</v>
      </c>
      <c r="H5644" t="s">
        <v>14</v>
      </c>
      <c r="I5644" t="s">
        <v>10</v>
      </c>
    </row>
    <row r="5645" spans="1:9" x14ac:dyDescent="0.25">
      <c r="A5645" t="str">
        <f t="shared" si="134"/>
        <v>89301000</v>
      </c>
      <c r="B5645" t="str">
        <f>"500605232"</f>
        <v>500605232</v>
      </c>
      <c r="C5645" s="1">
        <v>45043</v>
      </c>
      <c r="D5645" s="1">
        <v>45045</v>
      </c>
      <c r="E5645">
        <v>1</v>
      </c>
      <c r="F5645" t="str">
        <f>"05-K15-01"</f>
        <v>05-K15-01</v>
      </c>
      <c r="G5645">
        <v>0.85289999999999999</v>
      </c>
      <c r="H5645" t="s">
        <v>11</v>
      </c>
      <c r="I5645" t="s">
        <v>10</v>
      </c>
    </row>
    <row r="5646" spans="1:9" x14ac:dyDescent="0.25">
      <c r="A5646" t="str">
        <f t="shared" si="134"/>
        <v>89301000</v>
      </c>
      <c r="B5646" t="str">
        <f>"500605232"</f>
        <v>500605232</v>
      </c>
      <c r="C5646" s="1">
        <v>45145</v>
      </c>
      <c r="D5646" s="1">
        <v>45173</v>
      </c>
      <c r="E5646">
        <v>4</v>
      </c>
      <c r="F5646" t="str">
        <f>"03-I03-02"</f>
        <v>03-I03-02</v>
      </c>
      <c r="G5646">
        <v>5.4272999999999998</v>
      </c>
      <c r="H5646" t="s">
        <v>14</v>
      </c>
      <c r="I5646" t="s">
        <v>10</v>
      </c>
    </row>
    <row r="5647" spans="1:9" x14ac:dyDescent="0.25">
      <c r="A5647" t="str">
        <f t="shared" ref="A5647:A5710" si="135">"89301000"</f>
        <v>89301000</v>
      </c>
      <c r="B5647" t="str">
        <f>"500605232"</f>
        <v>500605232</v>
      </c>
      <c r="C5647" s="1">
        <v>45011</v>
      </c>
      <c r="D5647" s="1">
        <v>45021</v>
      </c>
      <c r="E5647">
        <v>1</v>
      </c>
      <c r="F5647" t="str">
        <f>"03-I22-01"</f>
        <v>03-I22-01</v>
      </c>
      <c r="G5647">
        <v>0.91420000000000001</v>
      </c>
      <c r="H5647" t="s">
        <v>11</v>
      </c>
      <c r="I5647" t="s">
        <v>10</v>
      </c>
    </row>
    <row r="5648" spans="1:9" x14ac:dyDescent="0.25">
      <c r="A5648" t="str">
        <f t="shared" si="135"/>
        <v>89301000</v>
      </c>
      <c r="B5648" t="str">
        <f>"500606386"</f>
        <v>500606386</v>
      </c>
      <c r="C5648" s="1">
        <v>44992</v>
      </c>
      <c r="D5648" s="1">
        <v>44994</v>
      </c>
      <c r="E5648">
        <v>1</v>
      </c>
      <c r="F5648" t="str">
        <f>"21-K01-00"</f>
        <v>21-K01-00</v>
      </c>
      <c r="G5648">
        <v>0.5917</v>
      </c>
      <c r="H5648" t="s">
        <v>11</v>
      </c>
      <c r="I5648" t="s">
        <v>16</v>
      </c>
    </row>
    <row r="5649" spans="1:9" x14ac:dyDescent="0.25">
      <c r="A5649" t="str">
        <f t="shared" si="135"/>
        <v>89301000</v>
      </c>
      <c r="B5649" t="str">
        <f>"500607066"</f>
        <v>500607066</v>
      </c>
      <c r="C5649" s="1">
        <v>45183</v>
      </c>
      <c r="D5649" s="1">
        <v>45185</v>
      </c>
      <c r="E5649">
        <v>5</v>
      </c>
      <c r="F5649" t="str">
        <f>"05-M07-06"</f>
        <v>05-M07-06</v>
      </c>
      <c r="G5649">
        <v>1.2264999999999999</v>
      </c>
      <c r="H5649" t="s">
        <v>12</v>
      </c>
      <c r="I5649" t="s">
        <v>10</v>
      </c>
    </row>
    <row r="5650" spans="1:9" x14ac:dyDescent="0.25">
      <c r="A5650" t="str">
        <f t="shared" si="135"/>
        <v>89301000</v>
      </c>
      <c r="B5650" t="str">
        <f>"500608132"</f>
        <v>500608132</v>
      </c>
      <c r="C5650" s="1">
        <v>45123</v>
      </c>
      <c r="D5650" s="1">
        <v>45142</v>
      </c>
      <c r="E5650">
        <v>2</v>
      </c>
      <c r="F5650" t="str">
        <f>"01-K10-02"</f>
        <v>01-K10-02</v>
      </c>
      <c r="G5650">
        <v>1.62</v>
      </c>
      <c r="H5650" t="s">
        <v>11</v>
      </c>
      <c r="I5650" t="s">
        <v>10</v>
      </c>
    </row>
    <row r="5651" spans="1:9" x14ac:dyDescent="0.25">
      <c r="A5651" t="str">
        <f t="shared" si="135"/>
        <v>89301000</v>
      </c>
      <c r="B5651" t="str">
        <f>"500612014"</f>
        <v>500612014</v>
      </c>
      <c r="C5651" s="1">
        <v>45083</v>
      </c>
      <c r="D5651" s="1">
        <v>45086</v>
      </c>
      <c r="E5651">
        <v>1</v>
      </c>
      <c r="F5651" t="str">
        <f>"12-I13-02"</f>
        <v>12-I13-02</v>
      </c>
      <c r="G5651">
        <v>0.53920000000000001</v>
      </c>
      <c r="H5651" t="s">
        <v>9</v>
      </c>
      <c r="I5651" t="s">
        <v>10</v>
      </c>
    </row>
    <row r="5652" spans="1:9" x14ac:dyDescent="0.25">
      <c r="A5652" t="str">
        <f t="shared" si="135"/>
        <v>89301000</v>
      </c>
      <c r="B5652" t="str">
        <f>"500620270"</f>
        <v>500620270</v>
      </c>
      <c r="C5652" s="1">
        <v>45274</v>
      </c>
      <c r="D5652" s="1">
        <v>45281</v>
      </c>
      <c r="E5652">
        <v>5</v>
      </c>
      <c r="F5652" t="str">
        <f>"01-M02-00"</f>
        <v>01-M02-00</v>
      </c>
      <c r="G5652">
        <v>5.3973000000000004</v>
      </c>
      <c r="H5652" t="s">
        <v>12</v>
      </c>
      <c r="I5652" t="s">
        <v>10</v>
      </c>
    </row>
    <row r="5653" spans="1:9" x14ac:dyDescent="0.25">
      <c r="A5653" t="str">
        <f t="shared" si="135"/>
        <v>89301000</v>
      </c>
      <c r="B5653" t="str">
        <f>"500624087"</f>
        <v>500624087</v>
      </c>
      <c r="C5653" s="1">
        <v>45216</v>
      </c>
      <c r="D5653" s="1">
        <v>45217</v>
      </c>
      <c r="E5653">
        <v>1</v>
      </c>
      <c r="F5653" t="str">
        <f>"02-I06-03"</f>
        <v>02-I06-03</v>
      </c>
      <c r="G5653">
        <v>0.99260000000000004</v>
      </c>
      <c r="H5653" t="s">
        <v>12</v>
      </c>
      <c r="I5653" t="s">
        <v>10</v>
      </c>
    </row>
    <row r="5654" spans="1:9" x14ac:dyDescent="0.25">
      <c r="A5654" t="str">
        <f t="shared" si="135"/>
        <v>89301000</v>
      </c>
      <c r="B5654" t="str">
        <f>"500624098"</f>
        <v>500624098</v>
      </c>
      <c r="C5654" s="1">
        <v>45204</v>
      </c>
      <c r="D5654" s="1">
        <v>45211</v>
      </c>
      <c r="E5654">
        <v>1</v>
      </c>
      <c r="F5654" t="str">
        <f>"05-I21-01"</f>
        <v>05-I21-01</v>
      </c>
      <c r="G5654">
        <v>3.6871999999999998</v>
      </c>
      <c r="H5654" t="s">
        <v>12</v>
      </c>
      <c r="I5654" t="s">
        <v>10</v>
      </c>
    </row>
    <row r="5655" spans="1:9" x14ac:dyDescent="0.25">
      <c r="A5655" t="str">
        <f t="shared" si="135"/>
        <v>89301000</v>
      </c>
      <c r="B5655" t="str">
        <f>"500624098"</f>
        <v>500624098</v>
      </c>
      <c r="C5655" s="1">
        <v>45127</v>
      </c>
      <c r="D5655" s="1">
        <v>45128</v>
      </c>
      <c r="E5655">
        <v>1</v>
      </c>
      <c r="F5655" t="str">
        <f>"05-D01-06"</f>
        <v>05-D01-06</v>
      </c>
      <c r="G5655">
        <v>0.7571</v>
      </c>
      <c r="H5655" t="s">
        <v>11</v>
      </c>
      <c r="I5655" t="s">
        <v>10</v>
      </c>
    </row>
    <row r="5656" spans="1:9" x14ac:dyDescent="0.25">
      <c r="A5656" t="str">
        <f t="shared" si="135"/>
        <v>89301000</v>
      </c>
      <c r="B5656" t="str">
        <f>"500624098"</f>
        <v>500624098</v>
      </c>
      <c r="C5656" s="1">
        <v>45134</v>
      </c>
      <c r="D5656" s="1">
        <v>45139</v>
      </c>
      <c r="E5656">
        <v>1</v>
      </c>
      <c r="F5656" t="str">
        <f>"05-K01-02"</f>
        <v>05-K01-02</v>
      </c>
      <c r="G5656">
        <v>0.91720000000000002</v>
      </c>
      <c r="H5656" t="s">
        <v>11</v>
      </c>
      <c r="I5656" t="s">
        <v>10</v>
      </c>
    </row>
    <row r="5657" spans="1:9" x14ac:dyDescent="0.25">
      <c r="A5657" t="str">
        <f t="shared" si="135"/>
        <v>89301000</v>
      </c>
      <c r="B5657" t="str">
        <f>"500624098"</f>
        <v>500624098</v>
      </c>
      <c r="C5657" s="1">
        <v>45152</v>
      </c>
      <c r="D5657" s="1">
        <v>45154</v>
      </c>
      <c r="E5657">
        <v>1</v>
      </c>
      <c r="F5657" t="str">
        <f>"05-I14-03"</f>
        <v>05-I14-03</v>
      </c>
      <c r="G5657">
        <v>6.0362</v>
      </c>
      <c r="H5657" t="s">
        <v>12</v>
      </c>
      <c r="I5657" t="s">
        <v>10</v>
      </c>
    </row>
    <row r="5658" spans="1:9" x14ac:dyDescent="0.25">
      <c r="A5658" t="str">
        <f t="shared" si="135"/>
        <v>89301000</v>
      </c>
      <c r="B5658" t="str">
        <f>"500624098"</f>
        <v>500624098</v>
      </c>
      <c r="C5658" s="1">
        <v>45195</v>
      </c>
      <c r="D5658" s="1">
        <v>45196</v>
      </c>
      <c r="E5658">
        <v>1</v>
      </c>
      <c r="F5658" t="str">
        <f>"05-K05-05"</f>
        <v>05-K05-05</v>
      </c>
      <c r="G5658">
        <v>0.35659999999999997</v>
      </c>
      <c r="H5658" t="s">
        <v>11</v>
      </c>
      <c r="I5658" t="s">
        <v>10</v>
      </c>
    </row>
    <row r="5659" spans="1:9" x14ac:dyDescent="0.25">
      <c r="A5659" t="str">
        <f t="shared" si="135"/>
        <v>89301000</v>
      </c>
      <c r="B5659" t="str">
        <f>"500701300"</f>
        <v>500701300</v>
      </c>
      <c r="C5659" s="1">
        <v>45270</v>
      </c>
      <c r="D5659" s="1">
        <v>45274</v>
      </c>
      <c r="E5659">
        <v>1</v>
      </c>
      <c r="F5659" t="str">
        <f>"01-K12-01"</f>
        <v>01-K12-01</v>
      </c>
      <c r="G5659">
        <v>0.72709999999999997</v>
      </c>
      <c r="H5659" t="s">
        <v>11</v>
      </c>
      <c r="I5659" t="s">
        <v>10</v>
      </c>
    </row>
    <row r="5660" spans="1:9" x14ac:dyDescent="0.25">
      <c r="A5660" t="str">
        <f t="shared" si="135"/>
        <v>89301000</v>
      </c>
      <c r="B5660" t="str">
        <f>"500707157"</f>
        <v>500707157</v>
      </c>
      <c r="C5660" s="1">
        <v>44956</v>
      </c>
      <c r="D5660" s="1">
        <v>44958</v>
      </c>
      <c r="E5660">
        <v>1</v>
      </c>
      <c r="F5660" t="str">
        <f>"05-M06-06"</f>
        <v>05-M06-06</v>
      </c>
      <c r="G5660">
        <v>1.8264</v>
      </c>
      <c r="H5660" t="s">
        <v>12</v>
      </c>
      <c r="I5660" t="s">
        <v>10</v>
      </c>
    </row>
    <row r="5661" spans="1:9" x14ac:dyDescent="0.25">
      <c r="A5661" t="str">
        <f t="shared" si="135"/>
        <v>89301000</v>
      </c>
      <c r="B5661" t="str">
        <f>"500711108"</f>
        <v>500711108</v>
      </c>
      <c r="C5661" s="1">
        <v>44992</v>
      </c>
      <c r="D5661" s="1">
        <v>44994</v>
      </c>
      <c r="E5661">
        <v>1</v>
      </c>
      <c r="F5661" t="str">
        <f>"09-I10-02"</f>
        <v>09-I10-02</v>
      </c>
      <c r="G5661">
        <v>0.87580000000000002</v>
      </c>
      <c r="H5661" t="s">
        <v>12</v>
      </c>
      <c r="I5661" t="s">
        <v>10</v>
      </c>
    </row>
    <row r="5662" spans="1:9" x14ac:dyDescent="0.25">
      <c r="A5662" t="str">
        <f t="shared" si="135"/>
        <v>89301000</v>
      </c>
      <c r="B5662" t="str">
        <f>"500716066"</f>
        <v>500716066</v>
      </c>
      <c r="C5662" s="1">
        <v>45037</v>
      </c>
      <c r="D5662" s="1">
        <v>45037</v>
      </c>
      <c r="E5662">
        <v>1</v>
      </c>
      <c r="F5662" t="str">
        <f>"05-M09-00"</f>
        <v>05-M09-00</v>
      </c>
      <c r="G5662">
        <v>0.35620000000000002</v>
      </c>
      <c r="H5662" t="s">
        <v>11</v>
      </c>
      <c r="I5662" t="s">
        <v>10</v>
      </c>
    </row>
    <row r="5663" spans="1:9" x14ac:dyDescent="0.25">
      <c r="A5663" t="str">
        <f t="shared" si="135"/>
        <v>89301000</v>
      </c>
      <c r="B5663" t="str">
        <f>"500721135"</f>
        <v>500721135</v>
      </c>
      <c r="C5663" s="1">
        <v>45236</v>
      </c>
      <c r="D5663" s="1">
        <v>45246</v>
      </c>
      <c r="E5663">
        <v>1</v>
      </c>
      <c r="F5663" t="str">
        <f>"24-M06-02"</f>
        <v>24-M06-02</v>
      </c>
      <c r="G5663">
        <v>1.0699000000000001</v>
      </c>
      <c r="H5663" t="s">
        <v>11</v>
      </c>
      <c r="I5663" t="s">
        <v>10</v>
      </c>
    </row>
    <row r="5664" spans="1:9" x14ac:dyDescent="0.25">
      <c r="A5664" t="str">
        <f t="shared" si="135"/>
        <v>89301000</v>
      </c>
      <c r="B5664" t="str">
        <f>"500721135"</f>
        <v>500721135</v>
      </c>
      <c r="C5664" s="1">
        <v>45232</v>
      </c>
      <c r="D5664" s="1">
        <v>45236</v>
      </c>
      <c r="E5664">
        <v>3</v>
      </c>
      <c r="F5664" t="str">
        <f>"08-I06-04"</f>
        <v>08-I06-04</v>
      </c>
      <c r="G5664">
        <v>2.3969</v>
      </c>
      <c r="H5664" t="s">
        <v>9</v>
      </c>
      <c r="I5664" t="s">
        <v>10</v>
      </c>
    </row>
    <row r="5665" spans="1:9" x14ac:dyDescent="0.25">
      <c r="A5665" t="str">
        <f t="shared" si="135"/>
        <v>89301000</v>
      </c>
      <c r="B5665" t="str">
        <f>"500724187"</f>
        <v>500724187</v>
      </c>
      <c r="C5665" s="1">
        <v>45251</v>
      </c>
      <c r="D5665" s="1">
        <v>45273</v>
      </c>
      <c r="E5665">
        <v>3</v>
      </c>
      <c r="F5665" t="str">
        <f>"08-I26-01"</f>
        <v>08-I26-01</v>
      </c>
      <c r="G5665">
        <v>1.7975000000000001</v>
      </c>
      <c r="H5665" t="s">
        <v>11</v>
      </c>
      <c r="I5665" t="s">
        <v>10</v>
      </c>
    </row>
    <row r="5666" spans="1:9" x14ac:dyDescent="0.25">
      <c r="A5666" t="str">
        <f t="shared" si="135"/>
        <v>89301000</v>
      </c>
      <c r="B5666" t="str">
        <f>"500724187"</f>
        <v>500724187</v>
      </c>
      <c r="C5666" s="1">
        <v>45273</v>
      </c>
      <c r="D5666" s="1">
        <v>45282</v>
      </c>
      <c r="E5666">
        <v>1</v>
      </c>
      <c r="F5666" t="str">
        <f>"24-M06-02"</f>
        <v>24-M06-02</v>
      </c>
      <c r="G5666">
        <v>1.07</v>
      </c>
      <c r="H5666" t="s">
        <v>11</v>
      </c>
      <c r="I5666" t="s">
        <v>10</v>
      </c>
    </row>
    <row r="5667" spans="1:9" x14ac:dyDescent="0.25">
      <c r="A5667" t="str">
        <f t="shared" si="135"/>
        <v>89301000</v>
      </c>
      <c r="B5667" t="str">
        <f>"500727031"</f>
        <v>500727031</v>
      </c>
      <c r="C5667" s="1">
        <v>45052</v>
      </c>
      <c r="D5667" s="1">
        <v>45062</v>
      </c>
      <c r="E5667">
        <v>1</v>
      </c>
      <c r="F5667" t="str">
        <f>"01-C02-02"</f>
        <v>01-C02-02</v>
      </c>
      <c r="G5667">
        <v>1.6685000000000001</v>
      </c>
      <c r="H5667" t="s">
        <v>11</v>
      </c>
      <c r="I5667" t="s">
        <v>10</v>
      </c>
    </row>
    <row r="5668" spans="1:9" x14ac:dyDescent="0.25">
      <c r="A5668" t="str">
        <f t="shared" si="135"/>
        <v>89301000</v>
      </c>
      <c r="B5668" t="str">
        <f>"500803043"</f>
        <v>500803043</v>
      </c>
      <c r="C5668" s="1">
        <v>44973</v>
      </c>
      <c r="D5668" s="1">
        <v>44974</v>
      </c>
      <c r="E5668">
        <v>1</v>
      </c>
      <c r="F5668" t="str">
        <f>"01-I13-00"</f>
        <v>01-I13-00</v>
      </c>
      <c r="G5668">
        <v>0.38400000000000001</v>
      </c>
      <c r="H5668" t="s">
        <v>11</v>
      </c>
      <c r="I5668" t="s">
        <v>10</v>
      </c>
    </row>
    <row r="5669" spans="1:9" x14ac:dyDescent="0.25">
      <c r="A5669" t="str">
        <f t="shared" si="135"/>
        <v>89301000</v>
      </c>
      <c r="B5669" t="str">
        <f>"500803058"</f>
        <v>500803058</v>
      </c>
      <c r="C5669" s="1">
        <v>45023</v>
      </c>
      <c r="D5669" s="1">
        <v>45028</v>
      </c>
      <c r="E5669">
        <v>4</v>
      </c>
      <c r="F5669" t="str">
        <f>"08-I14-02"</f>
        <v>08-I14-02</v>
      </c>
      <c r="G5669">
        <v>1.6909000000000001</v>
      </c>
      <c r="H5669" t="s">
        <v>12</v>
      </c>
      <c r="I5669" t="s">
        <v>10</v>
      </c>
    </row>
    <row r="5670" spans="1:9" x14ac:dyDescent="0.25">
      <c r="A5670" t="str">
        <f t="shared" si="135"/>
        <v>89301000</v>
      </c>
      <c r="B5670" t="str">
        <f>"500803235"</f>
        <v>500803235</v>
      </c>
      <c r="C5670" s="1">
        <v>45092</v>
      </c>
      <c r="D5670" s="1">
        <v>45093</v>
      </c>
      <c r="E5670">
        <v>5</v>
      </c>
      <c r="F5670" t="str">
        <f>"05-K12-02"</f>
        <v>05-K12-02</v>
      </c>
      <c r="G5670">
        <v>0.48820000000000002</v>
      </c>
      <c r="H5670" t="s">
        <v>11</v>
      </c>
      <c r="I5670" t="s">
        <v>10</v>
      </c>
    </row>
    <row r="5671" spans="1:9" x14ac:dyDescent="0.25">
      <c r="A5671" t="str">
        <f t="shared" si="135"/>
        <v>89301000</v>
      </c>
      <c r="B5671" t="str">
        <f>"500811048"</f>
        <v>500811048</v>
      </c>
      <c r="C5671" s="1">
        <v>45245</v>
      </c>
      <c r="D5671" s="1">
        <v>45247</v>
      </c>
      <c r="E5671">
        <v>1</v>
      </c>
      <c r="F5671" t="str">
        <f>"21-K06-02"</f>
        <v>21-K06-02</v>
      </c>
      <c r="G5671">
        <v>0.55720000000000003</v>
      </c>
      <c r="H5671" t="s">
        <v>11</v>
      </c>
      <c r="I5671" t="s">
        <v>10</v>
      </c>
    </row>
    <row r="5672" spans="1:9" x14ac:dyDescent="0.25">
      <c r="A5672" t="str">
        <f t="shared" si="135"/>
        <v>89301000</v>
      </c>
      <c r="B5672" t="str">
        <f>"500826036"</f>
        <v>500826036</v>
      </c>
      <c r="C5672" s="1">
        <v>45103</v>
      </c>
      <c r="D5672" s="1">
        <v>45111</v>
      </c>
      <c r="E5672">
        <v>1</v>
      </c>
      <c r="F5672" t="str">
        <f>"01-R02-08"</f>
        <v>01-R02-08</v>
      </c>
      <c r="G5672">
        <v>1.3386</v>
      </c>
      <c r="H5672" t="s">
        <v>11</v>
      </c>
      <c r="I5672" t="s">
        <v>10</v>
      </c>
    </row>
    <row r="5673" spans="1:9" x14ac:dyDescent="0.25">
      <c r="A5673" t="str">
        <f t="shared" si="135"/>
        <v>89301000</v>
      </c>
      <c r="B5673" t="str">
        <f>"500828346"</f>
        <v>500828346</v>
      </c>
      <c r="C5673" s="1">
        <v>44967</v>
      </c>
      <c r="D5673" s="1">
        <v>44980</v>
      </c>
      <c r="E5673">
        <v>1</v>
      </c>
      <c r="F5673" t="str">
        <f>"04-K09-02"</f>
        <v>04-K09-02</v>
      </c>
      <c r="G5673">
        <v>1.155</v>
      </c>
      <c r="H5673" t="s">
        <v>11</v>
      </c>
      <c r="I5673" t="s">
        <v>10</v>
      </c>
    </row>
    <row r="5674" spans="1:9" x14ac:dyDescent="0.25">
      <c r="A5674" t="str">
        <f t="shared" si="135"/>
        <v>89301000</v>
      </c>
      <c r="B5674" t="str">
        <f>"500910218"</f>
        <v>500910218</v>
      </c>
      <c r="C5674" s="1">
        <v>45075</v>
      </c>
      <c r="D5674" s="1">
        <v>45082</v>
      </c>
      <c r="E5674">
        <v>3</v>
      </c>
      <c r="F5674" t="str">
        <f>"08-I06-04"</f>
        <v>08-I06-04</v>
      </c>
      <c r="G5674">
        <v>2.4180000000000001</v>
      </c>
      <c r="H5674" t="s">
        <v>9</v>
      </c>
      <c r="I5674" t="s">
        <v>10</v>
      </c>
    </row>
    <row r="5675" spans="1:9" x14ac:dyDescent="0.25">
      <c r="A5675" t="str">
        <f t="shared" si="135"/>
        <v>89301000</v>
      </c>
      <c r="B5675" t="str">
        <f>"500910218"</f>
        <v>500910218</v>
      </c>
      <c r="C5675" s="1">
        <v>45082</v>
      </c>
      <c r="D5675" s="1">
        <v>45093</v>
      </c>
      <c r="E5675">
        <v>1</v>
      </c>
      <c r="F5675" t="str">
        <f>"24-M06-02"</f>
        <v>24-M06-02</v>
      </c>
      <c r="G5675">
        <v>1.0699000000000001</v>
      </c>
      <c r="H5675" t="s">
        <v>11</v>
      </c>
      <c r="I5675" t="s">
        <v>10</v>
      </c>
    </row>
    <row r="5676" spans="1:9" x14ac:dyDescent="0.25">
      <c r="A5676" t="str">
        <f t="shared" si="135"/>
        <v>89301000</v>
      </c>
      <c r="B5676" t="str">
        <f>"500911217"</f>
        <v>500911217</v>
      </c>
      <c r="C5676" s="1">
        <v>45042</v>
      </c>
      <c r="D5676" s="1">
        <v>45049</v>
      </c>
      <c r="E5676">
        <v>1</v>
      </c>
      <c r="F5676" t="str">
        <f>"11-K02-03"</f>
        <v>11-K02-03</v>
      </c>
      <c r="G5676">
        <v>0.84279999999999999</v>
      </c>
      <c r="H5676" t="s">
        <v>11</v>
      </c>
      <c r="I5676" t="s">
        <v>10</v>
      </c>
    </row>
    <row r="5677" spans="1:9" x14ac:dyDescent="0.25">
      <c r="A5677" t="str">
        <f t="shared" si="135"/>
        <v>89301000</v>
      </c>
      <c r="B5677" t="str">
        <f>"500913240"</f>
        <v>500913240</v>
      </c>
      <c r="C5677" s="1">
        <v>45160</v>
      </c>
      <c r="D5677" s="1">
        <v>45168</v>
      </c>
      <c r="E5677">
        <v>1</v>
      </c>
      <c r="F5677" t="str">
        <f>"05-I16-06"</f>
        <v>05-I16-06</v>
      </c>
      <c r="G5677">
        <v>5.6303000000000001</v>
      </c>
      <c r="H5677" t="s">
        <v>14</v>
      </c>
      <c r="I5677" t="s">
        <v>10</v>
      </c>
    </row>
    <row r="5678" spans="1:9" x14ac:dyDescent="0.25">
      <c r="A5678" t="str">
        <f t="shared" si="135"/>
        <v>89301000</v>
      </c>
      <c r="B5678" t="str">
        <f>"501017296"</f>
        <v>501017296</v>
      </c>
      <c r="C5678" s="1">
        <v>45114</v>
      </c>
      <c r="D5678" s="1">
        <v>45124</v>
      </c>
      <c r="E5678">
        <v>1</v>
      </c>
      <c r="F5678" t="str">
        <f>"11-K01-04"</f>
        <v>11-K01-04</v>
      </c>
      <c r="G5678">
        <v>0.58320000000000005</v>
      </c>
      <c r="H5678" t="s">
        <v>11</v>
      </c>
      <c r="I5678" t="s">
        <v>10</v>
      </c>
    </row>
    <row r="5679" spans="1:9" x14ac:dyDescent="0.25">
      <c r="A5679" t="str">
        <f t="shared" si="135"/>
        <v>89301000</v>
      </c>
      <c r="B5679" t="str">
        <f>"501017296"</f>
        <v>501017296</v>
      </c>
      <c r="C5679" s="1">
        <v>45083</v>
      </c>
      <c r="D5679" s="1">
        <v>45091</v>
      </c>
      <c r="E5679">
        <v>2</v>
      </c>
      <c r="F5679" t="str">
        <f>"18-K01-05"</f>
        <v>18-K01-05</v>
      </c>
      <c r="G5679">
        <v>1.8069999999999999</v>
      </c>
      <c r="H5679" t="s">
        <v>11</v>
      </c>
      <c r="I5679" t="s">
        <v>10</v>
      </c>
    </row>
    <row r="5680" spans="1:9" x14ac:dyDescent="0.25">
      <c r="A5680" t="str">
        <f t="shared" si="135"/>
        <v>89301000</v>
      </c>
      <c r="B5680" t="str">
        <f>"501017296"</f>
        <v>501017296</v>
      </c>
      <c r="C5680" s="1">
        <v>45036</v>
      </c>
      <c r="D5680" s="1">
        <v>45044</v>
      </c>
      <c r="E5680">
        <v>2</v>
      </c>
      <c r="F5680" t="str">
        <f>"11-K01-02"</f>
        <v>11-K01-02</v>
      </c>
      <c r="G5680">
        <v>0.86480000000000001</v>
      </c>
      <c r="H5680" t="s">
        <v>11</v>
      </c>
      <c r="I5680" t="s">
        <v>10</v>
      </c>
    </row>
    <row r="5681" spans="1:9" x14ac:dyDescent="0.25">
      <c r="A5681" t="str">
        <f t="shared" si="135"/>
        <v>89301000</v>
      </c>
      <c r="B5681" t="str">
        <f>"501017296"</f>
        <v>501017296</v>
      </c>
      <c r="C5681" s="1">
        <v>45000</v>
      </c>
      <c r="D5681" s="1">
        <v>45007</v>
      </c>
      <c r="E5681">
        <v>4</v>
      </c>
      <c r="F5681" t="str">
        <f>"01-K03-08"</f>
        <v>01-K03-08</v>
      </c>
      <c r="G5681">
        <v>0.44030000000000002</v>
      </c>
      <c r="H5681" t="s">
        <v>11</v>
      </c>
      <c r="I5681" t="s">
        <v>10</v>
      </c>
    </row>
    <row r="5682" spans="1:9" x14ac:dyDescent="0.25">
      <c r="A5682" t="str">
        <f t="shared" si="135"/>
        <v>89301000</v>
      </c>
      <c r="B5682" t="str">
        <f>"501023240"</f>
        <v>501023240</v>
      </c>
      <c r="C5682" s="1">
        <v>45069</v>
      </c>
      <c r="D5682" s="1">
        <v>45070</v>
      </c>
      <c r="E5682">
        <v>1</v>
      </c>
      <c r="F5682" t="str">
        <f>"02-K03-00"</f>
        <v>02-K03-00</v>
      </c>
      <c r="G5682">
        <v>0.58779999999999999</v>
      </c>
      <c r="H5682" t="s">
        <v>11</v>
      </c>
      <c r="I5682" t="s">
        <v>10</v>
      </c>
    </row>
    <row r="5683" spans="1:9" x14ac:dyDescent="0.25">
      <c r="A5683" t="str">
        <f t="shared" si="135"/>
        <v>89301000</v>
      </c>
      <c r="B5683" t="str">
        <f>"501028193"</f>
        <v>501028193</v>
      </c>
      <c r="C5683" s="1">
        <v>45189</v>
      </c>
      <c r="D5683" s="1">
        <v>45190</v>
      </c>
      <c r="E5683">
        <v>1</v>
      </c>
      <c r="F5683" t="str">
        <f>"01-D01-03"</f>
        <v>01-D01-03</v>
      </c>
      <c r="G5683">
        <v>0.16200000000000001</v>
      </c>
      <c r="H5683" t="s">
        <v>11</v>
      </c>
      <c r="I5683" t="s">
        <v>10</v>
      </c>
    </row>
    <row r="5684" spans="1:9" x14ac:dyDescent="0.25">
      <c r="A5684" t="str">
        <f t="shared" si="135"/>
        <v>89301000</v>
      </c>
      <c r="B5684" t="str">
        <f>"501029170"</f>
        <v>501029170</v>
      </c>
      <c r="C5684" s="1">
        <v>45083</v>
      </c>
      <c r="D5684" s="1">
        <v>45091</v>
      </c>
      <c r="E5684">
        <v>1</v>
      </c>
      <c r="F5684" t="str">
        <f>"08-K02-01"</f>
        <v>08-K02-01</v>
      </c>
      <c r="G5684">
        <v>1.2954000000000001</v>
      </c>
      <c r="H5684" t="s">
        <v>11</v>
      </c>
      <c r="I5684" t="s">
        <v>10</v>
      </c>
    </row>
    <row r="5685" spans="1:9" x14ac:dyDescent="0.25">
      <c r="A5685" t="str">
        <f t="shared" si="135"/>
        <v>89301000</v>
      </c>
      <c r="B5685" t="str">
        <f>"501102337"</f>
        <v>501102337</v>
      </c>
      <c r="C5685" s="1">
        <v>45152</v>
      </c>
      <c r="D5685" s="1">
        <v>45166</v>
      </c>
      <c r="E5685">
        <v>1</v>
      </c>
      <c r="F5685" t="str">
        <f>"20-K04-02"</f>
        <v>20-K04-02</v>
      </c>
      <c r="G5685">
        <v>1.3379000000000001</v>
      </c>
      <c r="H5685" t="s">
        <v>11</v>
      </c>
      <c r="I5685" t="s">
        <v>10</v>
      </c>
    </row>
    <row r="5686" spans="1:9" x14ac:dyDescent="0.25">
      <c r="A5686" t="str">
        <f t="shared" si="135"/>
        <v>89301000</v>
      </c>
      <c r="B5686" t="str">
        <f>"501102337"</f>
        <v>501102337</v>
      </c>
      <c r="C5686" s="1">
        <v>44907</v>
      </c>
      <c r="D5686" s="1">
        <v>44935</v>
      </c>
      <c r="E5686">
        <v>1</v>
      </c>
      <c r="F5686" t="str">
        <f>"04-K02-02"</f>
        <v>04-K02-02</v>
      </c>
      <c r="G5686">
        <v>2.8616999999999999</v>
      </c>
      <c r="H5686" t="s">
        <v>11</v>
      </c>
      <c r="I5686" t="s">
        <v>10</v>
      </c>
    </row>
    <row r="5687" spans="1:9" x14ac:dyDescent="0.25">
      <c r="A5687" t="str">
        <f t="shared" si="135"/>
        <v>89301000</v>
      </c>
      <c r="B5687" t="str">
        <f>"501103170"</f>
        <v>501103170</v>
      </c>
      <c r="C5687" s="1">
        <v>45002</v>
      </c>
      <c r="D5687" s="1">
        <v>45013</v>
      </c>
      <c r="E5687">
        <v>1</v>
      </c>
      <c r="F5687" t="str">
        <f>"01-I09-02"</f>
        <v>01-I09-02</v>
      </c>
      <c r="G5687">
        <v>1.5277000000000001</v>
      </c>
      <c r="H5687" t="s">
        <v>12</v>
      </c>
      <c r="I5687" t="s">
        <v>10</v>
      </c>
    </row>
    <row r="5688" spans="1:9" x14ac:dyDescent="0.25">
      <c r="A5688" t="str">
        <f t="shared" si="135"/>
        <v>89301000</v>
      </c>
      <c r="B5688" t="str">
        <f>"501104220"</f>
        <v>501104220</v>
      </c>
      <c r="C5688" s="1">
        <v>44972</v>
      </c>
      <c r="D5688" s="1">
        <v>44978</v>
      </c>
      <c r="E5688">
        <v>1</v>
      </c>
      <c r="F5688" t="str">
        <f>"01-K08-02"</f>
        <v>01-K08-02</v>
      </c>
      <c r="G5688">
        <v>0.60619999999999996</v>
      </c>
      <c r="H5688" t="s">
        <v>11</v>
      </c>
      <c r="I5688" t="s">
        <v>10</v>
      </c>
    </row>
    <row r="5689" spans="1:9" x14ac:dyDescent="0.25">
      <c r="A5689" t="str">
        <f t="shared" si="135"/>
        <v>89301000</v>
      </c>
      <c r="B5689" t="str">
        <f>"501106159"</f>
        <v>501106159</v>
      </c>
      <c r="C5689" s="1">
        <v>45184</v>
      </c>
      <c r="D5689" s="1">
        <v>45196</v>
      </c>
      <c r="E5689">
        <v>1</v>
      </c>
      <c r="F5689" t="str">
        <f>"05-I24-03"</f>
        <v>05-I24-03</v>
      </c>
      <c r="G5689">
        <v>3.1084999999999998</v>
      </c>
      <c r="H5689" t="s">
        <v>12</v>
      </c>
      <c r="I5689" t="s">
        <v>10</v>
      </c>
    </row>
    <row r="5690" spans="1:9" x14ac:dyDescent="0.25">
      <c r="A5690" t="str">
        <f t="shared" si="135"/>
        <v>89301000</v>
      </c>
      <c r="B5690" t="str">
        <f>"501106159"</f>
        <v>501106159</v>
      </c>
      <c r="C5690" s="1">
        <v>45009</v>
      </c>
      <c r="D5690" s="1">
        <v>45015</v>
      </c>
      <c r="E5690">
        <v>1</v>
      </c>
      <c r="F5690" t="str">
        <f>"05-K12-02"</f>
        <v>05-K12-02</v>
      </c>
      <c r="G5690">
        <v>0.48820000000000002</v>
      </c>
      <c r="H5690" t="s">
        <v>11</v>
      </c>
      <c r="I5690" t="s">
        <v>10</v>
      </c>
    </row>
    <row r="5691" spans="1:9" x14ac:dyDescent="0.25">
      <c r="A5691" t="str">
        <f t="shared" si="135"/>
        <v>89301000</v>
      </c>
      <c r="B5691" t="str">
        <f>"501108306"</f>
        <v>501108306</v>
      </c>
      <c r="C5691" s="1">
        <v>45020</v>
      </c>
      <c r="D5691" s="1">
        <v>45022</v>
      </c>
      <c r="E5691">
        <v>1</v>
      </c>
      <c r="F5691" t="str">
        <f>"05-M05-02"</f>
        <v>05-M05-02</v>
      </c>
      <c r="G5691">
        <v>3.4817999999999998</v>
      </c>
      <c r="H5691" t="s">
        <v>14</v>
      </c>
      <c r="I5691" t="s">
        <v>10</v>
      </c>
    </row>
    <row r="5692" spans="1:9" x14ac:dyDescent="0.25">
      <c r="A5692" t="str">
        <f t="shared" si="135"/>
        <v>89301000</v>
      </c>
      <c r="B5692" t="str">
        <f>"501109350"</f>
        <v>501109350</v>
      </c>
      <c r="C5692" s="1">
        <v>45177</v>
      </c>
      <c r="D5692" s="1">
        <v>45178</v>
      </c>
      <c r="E5692">
        <v>1</v>
      </c>
      <c r="F5692" t="str">
        <f>"05-M06-08"</f>
        <v>05-M06-08</v>
      </c>
      <c r="G5692">
        <v>1.4228000000000001</v>
      </c>
      <c r="H5692" t="s">
        <v>12</v>
      </c>
      <c r="I5692" t="s">
        <v>10</v>
      </c>
    </row>
    <row r="5693" spans="1:9" x14ac:dyDescent="0.25">
      <c r="A5693" t="str">
        <f t="shared" si="135"/>
        <v>89301000</v>
      </c>
      <c r="B5693" t="str">
        <f>"501113204"</f>
        <v>501113204</v>
      </c>
      <c r="C5693" s="1">
        <v>45027</v>
      </c>
      <c r="D5693" s="1">
        <v>45028</v>
      </c>
      <c r="E5693">
        <v>1</v>
      </c>
      <c r="F5693" t="str">
        <f>"05-I25-03"</f>
        <v>05-I25-03</v>
      </c>
      <c r="G5693">
        <v>1.633</v>
      </c>
      <c r="H5693" t="s">
        <v>12</v>
      </c>
      <c r="I5693" t="s">
        <v>10</v>
      </c>
    </row>
    <row r="5694" spans="1:9" x14ac:dyDescent="0.25">
      <c r="A5694" t="str">
        <f t="shared" si="135"/>
        <v>89301000</v>
      </c>
      <c r="B5694" t="str">
        <f>"501116174"</f>
        <v>501116174</v>
      </c>
      <c r="C5694" s="1">
        <v>45215</v>
      </c>
      <c r="D5694" s="1">
        <v>45216</v>
      </c>
      <c r="E5694">
        <v>1</v>
      </c>
      <c r="F5694" t="str">
        <f>"12-I14-00"</f>
        <v>12-I14-00</v>
      </c>
      <c r="G5694">
        <v>0.42920000000000003</v>
      </c>
      <c r="H5694" t="s">
        <v>11</v>
      </c>
      <c r="I5694" t="s">
        <v>10</v>
      </c>
    </row>
    <row r="5695" spans="1:9" x14ac:dyDescent="0.25">
      <c r="A5695" t="str">
        <f t="shared" si="135"/>
        <v>89301000</v>
      </c>
      <c r="B5695" t="str">
        <f>"501124220"</f>
        <v>501124220</v>
      </c>
      <c r="C5695" s="1">
        <v>45205</v>
      </c>
      <c r="D5695" s="1">
        <v>45215</v>
      </c>
      <c r="E5695">
        <v>1</v>
      </c>
      <c r="F5695" t="str">
        <f>"08-I14-03"</f>
        <v>08-I14-03</v>
      </c>
      <c r="G5695">
        <v>1.5401</v>
      </c>
      <c r="H5695" t="s">
        <v>12</v>
      </c>
      <c r="I5695" t="s">
        <v>10</v>
      </c>
    </row>
    <row r="5696" spans="1:9" x14ac:dyDescent="0.25">
      <c r="A5696" t="str">
        <f t="shared" si="135"/>
        <v>89301000</v>
      </c>
      <c r="B5696" t="str">
        <f>"501126050"</f>
        <v>501126050</v>
      </c>
      <c r="C5696" s="1">
        <v>45050</v>
      </c>
      <c r="D5696" s="1">
        <v>45051</v>
      </c>
      <c r="E5696">
        <v>1</v>
      </c>
      <c r="F5696" t="str">
        <f>"17-K05-02"</f>
        <v>17-K05-02</v>
      </c>
      <c r="G5696">
        <v>0.67759999999999998</v>
      </c>
      <c r="H5696" t="s">
        <v>11</v>
      </c>
      <c r="I5696" t="s">
        <v>10</v>
      </c>
    </row>
    <row r="5697" spans="1:9" x14ac:dyDescent="0.25">
      <c r="A5697" t="str">
        <f t="shared" si="135"/>
        <v>89301000</v>
      </c>
      <c r="B5697" t="str">
        <f>"501127057"</f>
        <v>501127057</v>
      </c>
      <c r="C5697" s="1">
        <v>44960</v>
      </c>
      <c r="D5697" s="1">
        <v>44961</v>
      </c>
      <c r="E5697">
        <v>1</v>
      </c>
      <c r="F5697" t="str">
        <f>"12-I14-00"</f>
        <v>12-I14-00</v>
      </c>
      <c r="G5697">
        <v>0.42920000000000003</v>
      </c>
      <c r="H5697" t="s">
        <v>11</v>
      </c>
      <c r="I5697" t="s">
        <v>10</v>
      </c>
    </row>
    <row r="5698" spans="1:9" x14ac:dyDescent="0.25">
      <c r="A5698" t="str">
        <f t="shared" si="135"/>
        <v>89301000</v>
      </c>
      <c r="B5698" t="str">
        <f>"501130344"</f>
        <v>501130344</v>
      </c>
      <c r="C5698" s="1">
        <v>45075</v>
      </c>
      <c r="D5698" s="1">
        <v>45077</v>
      </c>
      <c r="E5698">
        <v>1</v>
      </c>
      <c r="F5698" t="str">
        <f>"05-K05-01"</f>
        <v>05-K05-01</v>
      </c>
      <c r="G5698">
        <v>1.4616</v>
      </c>
      <c r="H5698" t="s">
        <v>11</v>
      </c>
      <c r="I5698" t="s">
        <v>10</v>
      </c>
    </row>
    <row r="5699" spans="1:9" x14ac:dyDescent="0.25">
      <c r="A5699" t="str">
        <f t="shared" si="135"/>
        <v>89301000</v>
      </c>
      <c r="B5699" t="str">
        <f>"501130344"</f>
        <v>501130344</v>
      </c>
      <c r="C5699" s="1">
        <v>45117</v>
      </c>
      <c r="D5699" s="1">
        <v>45119</v>
      </c>
      <c r="E5699">
        <v>1</v>
      </c>
      <c r="F5699" t="str">
        <f>"05-I14-02"</f>
        <v>05-I14-02</v>
      </c>
      <c r="G5699">
        <v>6.4595000000000002</v>
      </c>
      <c r="H5699" t="s">
        <v>12</v>
      </c>
      <c r="I5699" t="s">
        <v>10</v>
      </c>
    </row>
    <row r="5700" spans="1:9" x14ac:dyDescent="0.25">
      <c r="A5700" t="str">
        <f t="shared" si="135"/>
        <v>89301000</v>
      </c>
      <c r="B5700" t="str">
        <f>"501130344"</f>
        <v>501130344</v>
      </c>
      <c r="C5700" s="1">
        <v>45107</v>
      </c>
      <c r="D5700" s="1">
        <v>45110</v>
      </c>
      <c r="E5700">
        <v>4</v>
      </c>
      <c r="F5700" t="str">
        <f>"05-K05-02"</f>
        <v>05-K05-02</v>
      </c>
      <c r="G5700">
        <v>0.92349999999999999</v>
      </c>
      <c r="H5700" t="s">
        <v>11</v>
      </c>
      <c r="I5700" t="s">
        <v>10</v>
      </c>
    </row>
    <row r="5701" spans="1:9" x14ac:dyDescent="0.25">
      <c r="A5701" t="str">
        <f t="shared" si="135"/>
        <v>89301000</v>
      </c>
      <c r="B5701" t="str">
        <f>"501202171"</f>
        <v>501202171</v>
      </c>
      <c r="C5701" s="1">
        <v>44958</v>
      </c>
      <c r="D5701" s="1">
        <v>44977</v>
      </c>
      <c r="E5701">
        <v>2</v>
      </c>
      <c r="F5701" t="str">
        <f>"08-M03-05"</f>
        <v>08-M03-05</v>
      </c>
      <c r="G5701">
        <v>1.9157</v>
      </c>
      <c r="H5701" t="s">
        <v>11</v>
      </c>
      <c r="I5701" t="s">
        <v>10</v>
      </c>
    </row>
    <row r="5702" spans="1:9" x14ac:dyDescent="0.25">
      <c r="A5702" t="str">
        <f t="shared" si="135"/>
        <v>89301000</v>
      </c>
      <c r="B5702" t="str">
        <f>"501204036"</f>
        <v>501204036</v>
      </c>
      <c r="C5702" s="1">
        <v>44928</v>
      </c>
      <c r="D5702" s="1">
        <v>44930</v>
      </c>
      <c r="E5702">
        <v>1</v>
      </c>
      <c r="F5702" t="str">
        <f>"05-K07-04"</f>
        <v>05-K07-04</v>
      </c>
      <c r="G5702">
        <v>1.0598000000000001</v>
      </c>
      <c r="H5702" t="s">
        <v>11</v>
      </c>
      <c r="I5702" t="s">
        <v>10</v>
      </c>
    </row>
    <row r="5703" spans="1:9" x14ac:dyDescent="0.25">
      <c r="A5703" t="str">
        <f t="shared" si="135"/>
        <v>89301000</v>
      </c>
      <c r="B5703" t="str">
        <f>"501204077"</f>
        <v>501204077</v>
      </c>
      <c r="C5703" s="1">
        <v>45019</v>
      </c>
      <c r="D5703" s="1">
        <v>45021</v>
      </c>
      <c r="E5703">
        <v>1</v>
      </c>
      <c r="F5703" t="str">
        <f>"17-K03-02"</f>
        <v>17-K03-02</v>
      </c>
      <c r="G5703">
        <v>1.008</v>
      </c>
      <c r="H5703" t="s">
        <v>11</v>
      </c>
      <c r="I5703" t="s">
        <v>10</v>
      </c>
    </row>
    <row r="5704" spans="1:9" x14ac:dyDescent="0.25">
      <c r="A5704" t="str">
        <f t="shared" si="135"/>
        <v>89301000</v>
      </c>
      <c r="B5704" t="str">
        <f>"501208173"</f>
        <v>501208173</v>
      </c>
      <c r="C5704" s="1">
        <v>45224</v>
      </c>
      <c r="D5704" s="1">
        <v>45230</v>
      </c>
      <c r="E5704">
        <v>1</v>
      </c>
      <c r="F5704" t="str">
        <f>"04-K02-04"</f>
        <v>04-K02-04</v>
      </c>
      <c r="G5704">
        <v>0.82099999999999995</v>
      </c>
      <c r="H5704" t="s">
        <v>11</v>
      </c>
      <c r="I5704" t="s">
        <v>10</v>
      </c>
    </row>
    <row r="5705" spans="1:9" x14ac:dyDescent="0.25">
      <c r="A5705" t="str">
        <f t="shared" si="135"/>
        <v>89301000</v>
      </c>
      <c r="B5705" t="str">
        <f>"501210069"</f>
        <v>501210069</v>
      </c>
      <c r="C5705" s="1">
        <v>45099</v>
      </c>
      <c r="D5705" s="1">
        <v>45111</v>
      </c>
      <c r="E5705">
        <v>1</v>
      </c>
      <c r="F5705" t="str">
        <f>"05-I16-06"</f>
        <v>05-I16-06</v>
      </c>
      <c r="G5705">
        <v>5.6303000000000001</v>
      </c>
      <c r="H5705" t="s">
        <v>14</v>
      </c>
      <c r="I5705" t="s">
        <v>10</v>
      </c>
    </row>
    <row r="5706" spans="1:9" x14ac:dyDescent="0.25">
      <c r="A5706" t="str">
        <f t="shared" si="135"/>
        <v>89301000</v>
      </c>
      <c r="B5706" t="str">
        <f>"501218180"</f>
        <v>501218180</v>
      </c>
      <c r="C5706" s="1">
        <v>44941</v>
      </c>
      <c r="D5706" s="1">
        <v>44943</v>
      </c>
      <c r="E5706">
        <v>1</v>
      </c>
      <c r="F5706" t="str">
        <f>"08-M03-03"</f>
        <v>08-M03-03</v>
      </c>
      <c r="G5706">
        <v>0.56640000000000001</v>
      </c>
      <c r="H5706" t="s">
        <v>11</v>
      </c>
      <c r="I5706" t="s">
        <v>10</v>
      </c>
    </row>
    <row r="5707" spans="1:9" x14ac:dyDescent="0.25">
      <c r="A5707" t="str">
        <f t="shared" si="135"/>
        <v>89301000</v>
      </c>
      <c r="B5707" t="str">
        <f>"501218282"</f>
        <v>501218282</v>
      </c>
      <c r="C5707" s="1">
        <v>44943</v>
      </c>
      <c r="D5707" s="1">
        <v>44952</v>
      </c>
      <c r="E5707">
        <v>1</v>
      </c>
      <c r="F5707" t="str">
        <f>"12-I03-04"</f>
        <v>12-I03-04</v>
      </c>
      <c r="G5707">
        <v>1.7813000000000001</v>
      </c>
      <c r="H5707" t="s">
        <v>9</v>
      </c>
      <c r="I5707" t="s">
        <v>10</v>
      </c>
    </row>
    <row r="5708" spans="1:9" x14ac:dyDescent="0.25">
      <c r="A5708" t="str">
        <f t="shared" si="135"/>
        <v>89301000</v>
      </c>
      <c r="B5708" t="str">
        <f>"501223222"</f>
        <v>501223222</v>
      </c>
      <c r="C5708" s="1">
        <v>44980</v>
      </c>
      <c r="D5708" s="1">
        <v>44980</v>
      </c>
      <c r="E5708">
        <v>1</v>
      </c>
      <c r="F5708" t="str">
        <f>"05-D01-08"</f>
        <v>05-D01-08</v>
      </c>
      <c r="G5708">
        <v>0.2303</v>
      </c>
      <c r="H5708" t="s">
        <v>11</v>
      </c>
      <c r="I5708" t="s">
        <v>10</v>
      </c>
    </row>
    <row r="5709" spans="1:9" x14ac:dyDescent="0.25">
      <c r="A5709" t="str">
        <f t="shared" si="135"/>
        <v>89301000</v>
      </c>
      <c r="B5709" t="str">
        <f>"501225211"</f>
        <v>501225211</v>
      </c>
      <c r="C5709" s="1">
        <v>45063</v>
      </c>
      <c r="D5709" s="1">
        <v>45065</v>
      </c>
      <c r="E5709">
        <v>1</v>
      </c>
      <c r="F5709" t="str">
        <f>"04-K10-02"</f>
        <v>04-K10-02</v>
      </c>
      <c r="G5709">
        <v>0.41899999999999998</v>
      </c>
      <c r="H5709" t="s">
        <v>11</v>
      </c>
      <c r="I5709" t="s">
        <v>10</v>
      </c>
    </row>
    <row r="5710" spans="1:9" x14ac:dyDescent="0.25">
      <c r="A5710" t="str">
        <f t="shared" si="135"/>
        <v>89301000</v>
      </c>
      <c r="B5710" t="str">
        <f>"505101326"</f>
        <v>505101326</v>
      </c>
      <c r="C5710" s="1">
        <v>45238</v>
      </c>
      <c r="D5710" s="1">
        <v>45240</v>
      </c>
      <c r="E5710">
        <v>5</v>
      </c>
      <c r="F5710" t="str">
        <f>"05-I26-02"</f>
        <v>05-I26-02</v>
      </c>
      <c r="G5710">
        <v>1.4358</v>
      </c>
      <c r="H5710" t="s">
        <v>12</v>
      </c>
      <c r="I5710" t="s">
        <v>10</v>
      </c>
    </row>
    <row r="5711" spans="1:9" x14ac:dyDescent="0.25">
      <c r="A5711" t="str">
        <f t="shared" ref="A5711:A5771" si="136">"89301000"</f>
        <v>89301000</v>
      </c>
      <c r="B5711" t="str">
        <f>"505106264"</f>
        <v>505106264</v>
      </c>
      <c r="C5711" s="1">
        <v>45040</v>
      </c>
      <c r="D5711" s="1">
        <v>45049</v>
      </c>
      <c r="E5711">
        <v>1</v>
      </c>
      <c r="F5711" t="str">
        <f>"04-M01-07"</f>
        <v>04-M01-07</v>
      </c>
      <c r="G5711">
        <v>3.2717000000000001</v>
      </c>
      <c r="H5711" t="s">
        <v>11</v>
      </c>
      <c r="I5711" t="s">
        <v>10</v>
      </c>
    </row>
    <row r="5712" spans="1:9" x14ac:dyDescent="0.25">
      <c r="A5712" t="str">
        <f t="shared" si="136"/>
        <v>89301000</v>
      </c>
      <c r="B5712" t="str">
        <f>"505107076"</f>
        <v>505107076</v>
      </c>
      <c r="C5712" s="1">
        <v>45154</v>
      </c>
      <c r="D5712" s="1">
        <v>45160</v>
      </c>
      <c r="E5712">
        <v>1</v>
      </c>
      <c r="F5712" t="str">
        <f>"02-K11-02"</f>
        <v>02-K11-02</v>
      </c>
      <c r="G5712">
        <v>0.56559999999999999</v>
      </c>
      <c r="H5712" t="s">
        <v>11</v>
      </c>
      <c r="I5712" t="s">
        <v>10</v>
      </c>
    </row>
    <row r="5713" spans="1:9" x14ac:dyDescent="0.25">
      <c r="A5713" t="str">
        <f t="shared" si="136"/>
        <v>89301000</v>
      </c>
      <c r="B5713" t="str">
        <f>"505109059"</f>
        <v>505109059</v>
      </c>
      <c r="C5713" s="1">
        <v>45020</v>
      </c>
      <c r="D5713" s="1">
        <v>45022</v>
      </c>
      <c r="E5713">
        <v>1</v>
      </c>
      <c r="F5713" t="str">
        <f>"11-I14-02"</f>
        <v>11-I14-02</v>
      </c>
      <c r="G5713">
        <v>0.61839999999999995</v>
      </c>
      <c r="H5713" t="s">
        <v>9</v>
      </c>
      <c r="I5713" t="s">
        <v>10</v>
      </c>
    </row>
    <row r="5714" spans="1:9" x14ac:dyDescent="0.25">
      <c r="A5714" t="str">
        <f t="shared" si="136"/>
        <v>89301000</v>
      </c>
      <c r="B5714" t="str">
        <f>"505111078"</f>
        <v>505111078</v>
      </c>
      <c r="C5714" s="1">
        <v>45050</v>
      </c>
      <c r="D5714" s="1">
        <v>45069</v>
      </c>
      <c r="E5714">
        <v>1</v>
      </c>
      <c r="F5714" t="str">
        <f>"11-I10-03"</f>
        <v>11-I10-03</v>
      </c>
      <c r="G5714">
        <v>2.7046000000000001</v>
      </c>
      <c r="H5714" t="s">
        <v>12</v>
      </c>
      <c r="I5714" t="s">
        <v>10</v>
      </c>
    </row>
    <row r="5715" spans="1:9" x14ac:dyDescent="0.25">
      <c r="A5715" t="str">
        <f t="shared" si="136"/>
        <v>89301000</v>
      </c>
      <c r="B5715" t="str">
        <f>"505114029"</f>
        <v>505114029</v>
      </c>
      <c r="C5715" s="1">
        <v>45027</v>
      </c>
      <c r="D5715" s="1">
        <v>45030</v>
      </c>
      <c r="E5715">
        <v>1</v>
      </c>
      <c r="F5715" t="str">
        <f>"08-I23-02"</f>
        <v>08-I23-02</v>
      </c>
      <c r="G5715">
        <v>0.91059999999999997</v>
      </c>
      <c r="H5715" t="s">
        <v>12</v>
      </c>
      <c r="I5715" t="s">
        <v>10</v>
      </c>
    </row>
    <row r="5716" spans="1:9" x14ac:dyDescent="0.25">
      <c r="A5716" t="str">
        <f t="shared" si="136"/>
        <v>89301000</v>
      </c>
      <c r="B5716" t="str">
        <f>"505116275"</f>
        <v>505116275</v>
      </c>
      <c r="C5716" s="1">
        <v>44935</v>
      </c>
      <c r="D5716" s="1">
        <v>44937</v>
      </c>
      <c r="E5716">
        <v>1</v>
      </c>
      <c r="F5716" t="str">
        <f>"05-K07-04"</f>
        <v>05-K07-04</v>
      </c>
      <c r="G5716">
        <v>1.0598000000000001</v>
      </c>
      <c r="H5716" t="s">
        <v>11</v>
      </c>
      <c r="I5716" t="s">
        <v>10</v>
      </c>
    </row>
    <row r="5717" spans="1:9" x14ac:dyDescent="0.25">
      <c r="A5717" t="str">
        <f t="shared" si="136"/>
        <v>89301000</v>
      </c>
      <c r="B5717" t="str">
        <f>"505116275"</f>
        <v>505116275</v>
      </c>
      <c r="C5717" s="1">
        <v>45069</v>
      </c>
      <c r="D5717" s="1">
        <v>45072</v>
      </c>
      <c r="E5717">
        <v>1</v>
      </c>
      <c r="F5717" t="str">
        <f>"07-K04-03"</f>
        <v>07-K04-03</v>
      </c>
      <c r="G5717">
        <v>0.98650000000000004</v>
      </c>
      <c r="H5717" t="s">
        <v>11</v>
      </c>
      <c r="I5717" t="s">
        <v>10</v>
      </c>
    </row>
    <row r="5718" spans="1:9" x14ac:dyDescent="0.25">
      <c r="A5718" t="str">
        <f t="shared" si="136"/>
        <v>89301000</v>
      </c>
      <c r="B5718" t="str">
        <f>"505118221"</f>
        <v>505118221</v>
      </c>
      <c r="C5718" s="1">
        <v>45209</v>
      </c>
      <c r="D5718" s="1">
        <v>45210</v>
      </c>
      <c r="E5718">
        <v>1</v>
      </c>
      <c r="F5718" t="str">
        <f>"02-I13-01"</f>
        <v>02-I13-01</v>
      </c>
      <c r="G5718">
        <v>0.63970000000000005</v>
      </c>
      <c r="H5718" t="s">
        <v>11</v>
      </c>
      <c r="I5718" t="s">
        <v>10</v>
      </c>
    </row>
    <row r="5719" spans="1:9" x14ac:dyDescent="0.25">
      <c r="A5719" t="str">
        <f t="shared" si="136"/>
        <v>89301000</v>
      </c>
      <c r="B5719" t="str">
        <f>"505118252"</f>
        <v>505118252</v>
      </c>
      <c r="C5719" s="1">
        <v>45028</v>
      </c>
      <c r="D5719" s="1">
        <v>45035</v>
      </c>
      <c r="E5719">
        <v>4</v>
      </c>
      <c r="F5719" t="str">
        <f>"08-I05-05"</f>
        <v>08-I05-05</v>
      </c>
      <c r="G5719">
        <v>2.2633000000000001</v>
      </c>
      <c r="H5719" t="s">
        <v>12</v>
      </c>
      <c r="I5719" t="s">
        <v>10</v>
      </c>
    </row>
    <row r="5720" spans="1:9" x14ac:dyDescent="0.25">
      <c r="A5720" t="str">
        <f t="shared" si="136"/>
        <v>89301000</v>
      </c>
      <c r="B5720" t="str">
        <f>"505120125"</f>
        <v>505120125</v>
      </c>
      <c r="C5720" s="1">
        <v>45232</v>
      </c>
      <c r="D5720" s="1">
        <v>45239</v>
      </c>
      <c r="E5720">
        <v>1</v>
      </c>
      <c r="F5720" t="str">
        <f>"02-I05-02"</f>
        <v>02-I05-02</v>
      </c>
      <c r="G5720">
        <v>1.5121</v>
      </c>
      <c r="H5720" t="s">
        <v>12</v>
      </c>
      <c r="I5720" t="s">
        <v>10</v>
      </c>
    </row>
    <row r="5721" spans="1:9" x14ac:dyDescent="0.25">
      <c r="A5721" t="str">
        <f t="shared" si="136"/>
        <v>89301000</v>
      </c>
      <c r="B5721" t="str">
        <f>"505127082"</f>
        <v>505127082</v>
      </c>
      <c r="C5721" s="1">
        <v>44929</v>
      </c>
      <c r="D5721" s="1">
        <v>44958</v>
      </c>
      <c r="E5721">
        <v>4</v>
      </c>
      <c r="F5721" t="str">
        <f>"08-K13-01"</f>
        <v>08-K13-01</v>
      </c>
      <c r="G5721">
        <v>1.6253</v>
      </c>
      <c r="H5721" t="s">
        <v>11</v>
      </c>
      <c r="I5721" t="s">
        <v>10</v>
      </c>
    </row>
    <row r="5722" spans="1:9" x14ac:dyDescent="0.25">
      <c r="A5722" t="str">
        <f t="shared" si="136"/>
        <v>89301000</v>
      </c>
      <c r="B5722" t="str">
        <f>"505127082"</f>
        <v>505127082</v>
      </c>
      <c r="C5722" s="1">
        <v>45177</v>
      </c>
      <c r="D5722" s="1">
        <v>45183</v>
      </c>
      <c r="E5722">
        <v>1</v>
      </c>
      <c r="F5722" t="str">
        <f>"05-K12-02"</f>
        <v>05-K12-02</v>
      </c>
      <c r="G5722">
        <v>0.48820000000000002</v>
      </c>
      <c r="H5722" t="s">
        <v>11</v>
      </c>
      <c r="I5722" t="s">
        <v>10</v>
      </c>
    </row>
    <row r="5723" spans="1:9" x14ac:dyDescent="0.25">
      <c r="A5723" t="str">
        <f t="shared" si="136"/>
        <v>89301000</v>
      </c>
      <c r="B5723" t="str">
        <f>"505127082"</f>
        <v>505127082</v>
      </c>
      <c r="C5723" s="1">
        <v>45022</v>
      </c>
      <c r="D5723" s="1">
        <v>45029</v>
      </c>
      <c r="E5723">
        <v>4</v>
      </c>
      <c r="F5723" t="str">
        <f>"05-K12-02"</f>
        <v>05-K12-02</v>
      </c>
      <c r="G5723">
        <v>0.50290000000000001</v>
      </c>
      <c r="H5723" t="s">
        <v>11</v>
      </c>
      <c r="I5723" t="s">
        <v>10</v>
      </c>
    </row>
    <row r="5724" spans="1:9" x14ac:dyDescent="0.25">
      <c r="A5724" t="str">
        <f t="shared" si="136"/>
        <v>89301000</v>
      </c>
      <c r="B5724" t="str">
        <f>"505127082"</f>
        <v>505127082</v>
      </c>
      <c r="C5724" s="1">
        <v>45279</v>
      </c>
      <c r="D5724" s="1">
        <v>45282</v>
      </c>
      <c r="E5724">
        <v>1</v>
      </c>
      <c r="F5724" t="str">
        <f>"05-K12-02"</f>
        <v>05-K12-02</v>
      </c>
      <c r="G5724">
        <v>0.50290000000000001</v>
      </c>
      <c r="H5724" t="s">
        <v>11</v>
      </c>
      <c r="I5724" t="s">
        <v>10</v>
      </c>
    </row>
    <row r="5725" spans="1:9" x14ac:dyDescent="0.25">
      <c r="A5725" t="str">
        <f t="shared" si="136"/>
        <v>89301000</v>
      </c>
      <c r="B5725" t="str">
        <f>"505130293"</f>
        <v>505130293</v>
      </c>
      <c r="C5725" s="1">
        <v>45057</v>
      </c>
      <c r="D5725" s="1">
        <v>45067</v>
      </c>
      <c r="E5725">
        <v>7</v>
      </c>
      <c r="F5725" t="str">
        <f>"08-R02-08"</f>
        <v>08-R02-08</v>
      </c>
      <c r="G5725">
        <v>1.3067</v>
      </c>
      <c r="H5725" t="s">
        <v>11</v>
      </c>
      <c r="I5725" t="s">
        <v>10</v>
      </c>
    </row>
    <row r="5726" spans="1:9" x14ac:dyDescent="0.25">
      <c r="A5726" t="str">
        <f t="shared" si="136"/>
        <v>89301000</v>
      </c>
      <c r="B5726" t="str">
        <f>"505130293"</f>
        <v>505130293</v>
      </c>
      <c r="C5726" s="1">
        <v>45033</v>
      </c>
      <c r="D5726" s="1">
        <v>45040</v>
      </c>
      <c r="E5726">
        <v>1</v>
      </c>
      <c r="F5726" t="str">
        <f>"02-K11-01"</f>
        <v>02-K11-01</v>
      </c>
      <c r="G5726">
        <v>0.87490000000000001</v>
      </c>
      <c r="H5726" t="s">
        <v>11</v>
      </c>
      <c r="I5726" t="s">
        <v>10</v>
      </c>
    </row>
    <row r="5727" spans="1:9" x14ac:dyDescent="0.25">
      <c r="A5727" t="str">
        <f t="shared" si="136"/>
        <v>89301000</v>
      </c>
      <c r="B5727" t="str">
        <f>"505210159"</f>
        <v>505210159</v>
      </c>
      <c r="C5727" s="1">
        <v>45121</v>
      </c>
      <c r="D5727" s="1">
        <v>45126</v>
      </c>
      <c r="E5727">
        <v>1</v>
      </c>
      <c r="F5727" t="str">
        <f>"07-K01-02"</f>
        <v>07-K01-02</v>
      </c>
      <c r="G5727">
        <v>1.2588999999999999</v>
      </c>
      <c r="H5727" t="s">
        <v>11</v>
      </c>
      <c r="I5727" t="s">
        <v>10</v>
      </c>
    </row>
    <row r="5728" spans="1:9" x14ac:dyDescent="0.25">
      <c r="A5728" t="str">
        <f t="shared" si="136"/>
        <v>89301000</v>
      </c>
      <c r="B5728" t="str">
        <f>"505212023"</f>
        <v>505212023</v>
      </c>
      <c r="C5728" s="1">
        <v>44956</v>
      </c>
      <c r="D5728" s="1">
        <v>44974</v>
      </c>
      <c r="E5728">
        <v>1</v>
      </c>
      <c r="F5728" t="str">
        <f>"24-M08-02"</f>
        <v>24-M08-02</v>
      </c>
      <c r="G5728">
        <v>2.0236999999999998</v>
      </c>
      <c r="H5728" t="s">
        <v>11</v>
      </c>
      <c r="I5728" t="s">
        <v>10</v>
      </c>
    </row>
    <row r="5729" spans="1:9" x14ac:dyDescent="0.25">
      <c r="A5729" t="str">
        <f t="shared" si="136"/>
        <v>89301000</v>
      </c>
      <c r="B5729" t="str">
        <f>"505212023"</f>
        <v>505212023</v>
      </c>
      <c r="C5729" s="1">
        <v>44948</v>
      </c>
      <c r="D5729" s="1">
        <v>44956</v>
      </c>
      <c r="E5729">
        <v>3</v>
      </c>
      <c r="F5729" t="str">
        <f>"08-I05-04"</f>
        <v>08-I05-04</v>
      </c>
      <c r="G5729">
        <v>2.4445000000000001</v>
      </c>
      <c r="H5729" t="s">
        <v>12</v>
      </c>
      <c r="I5729" t="s">
        <v>10</v>
      </c>
    </row>
    <row r="5730" spans="1:9" x14ac:dyDescent="0.25">
      <c r="A5730" t="str">
        <f t="shared" si="136"/>
        <v>89301000</v>
      </c>
      <c r="B5730" t="str">
        <f>"505213175"</f>
        <v>505213175</v>
      </c>
      <c r="C5730" s="1">
        <v>44963</v>
      </c>
      <c r="D5730" s="1">
        <v>44968</v>
      </c>
      <c r="E5730">
        <v>1</v>
      </c>
      <c r="F5730" t="str">
        <f>"11-I07-01"</f>
        <v>11-I07-01</v>
      </c>
      <c r="G5730">
        <v>2.7482000000000002</v>
      </c>
      <c r="H5730" t="s">
        <v>9</v>
      </c>
      <c r="I5730" t="s">
        <v>10</v>
      </c>
    </row>
    <row r="5731" spans="1:9" x14ac:dyDescent="0.25">
      <c r="A5731" t="str">
        <f t="shared" si="136"/>
        <v>89301000</v>
      </c>
      <c r="B5731" t="str">
        <f>"505218098"</f>
        <v>505218098</v>
      </c>
      <c r="C5731" s="1">
        <v>45170</v>
      </c>
      <c r="D5731" s="1">
        <v>45212</v>
      </c>
      <c r="E5731">
        <v>1</v>
      </c>
      <c r="F5731" t="str">
        <f>"19-K08-01"</f>
        <v>19-K08-01</v>
      </c>
      <c r="G5731">
        <v>4.8014999999999999</v>
      </c>
      <c r="H5731" t="s">
        <v>15</v>
      </c>
      <c r="I5731" t="s">
        <v>10</v>
      </c>
    </row>
    <row r="5732" spans="1:9" x14ac:dyDescent="0.25">
      <c r="A5732" t="str">
        <f t="shared" si="136"/>
        <v>89301000</v>
      </c>
      <c r="B5732" t="str">
        <f>"505218098"</f>
        <v>505218098</v>
      </c>
      <c r="C5732" s="1">
        <v>45275</v>
      </c>
      <c r="D5732" s="1">
        <v>45278</v>
      </c>
      <c r="E5732">
        <v>1</v>
      </c>
      <c r="F5732" t="str">
        <f>"08-I03-05"</f>
        <v>08-I03-05</v>
      </c>
      <c r="G5732">
        <v>2.3035000000000001</v>
      </c>
      <c r="H5732" t="s">
        <v>9</v>
      </c>
      <c r="I5732" t="s">
        <v>10</v>
      </c>
    </row>
    <row r="5733" spans="1:9" x14ac:dyDescent="0.25">
      <c r="A5733" t="str">
        <f t="shared" si="136"/>
        <v>89301000</v>
      </c>
      <c r="B5733" t="str">
        <f>"505227068"</f>
        <v>505227068</v>
      </c>
      <c r="C5733" s="1">
        <v>44924</v>
      </c>
      <c r="D5733" s="1">
        <v>44928</v>
      </c>
      <c r="E5733">
        <v>7</v>
      </c>
      <c r="F5733" t="str">
        <f>"04-I08-01"</f>
        <v>04-I08-01</v>
      </c>
      <c r="G5733">
        <v>2.5998999999999999</v>
      </c>
      <c r="H5733" t="s">
        <v>11</v>
      </c>
      <c r="I5733" t="s">
        <v>10</v>
      </c>
    </row>
    <row r="5734" spans="1:9" x14ac:dyDescent="0.25">
      <c r="A5734" t="str">
        <f t="shared" si="136"/>
        <v>89301000</v>
      </c>
      <c r="B5734" t="str">
        <f>"505306010"</f>
        <v>505306010</v>
      </c>
      <c r="C5734" s="1">
        <v>44987</v>
      </c>
      <c r="D5734" s="1">
        <v>44993</v>
      </c>
      <c r="E5734">
        <v>1</v>
      </c>
      <c r="F5734" t="str">
        <f>"08-I03-04"</f>
        <v>08-I03-04</v>
      </c>
      <c r="G5734">
        <v>4.101</v>
      </c>
      <c r="H5734" t="s">
        <v>9</v>
      </c>
      <c r="I5734" t="s">
        <v>10</v>
      </c>
    </row>
    <row r="5735" spans="1:9" x14ac:dyDescent="0.25">
      <c r="A5735" t="str">
        <f t="shared" si="136"/>
        <v>89301000</v>
      </c>
      <c r="B5735" t="str">
        <f>"505310195"</f>
        <v>505310195</v>
      </c>
      <c r="C5735" s="1">
        <v>45008</v>
      </c>
      <c r="D5735" s="1">
        <v>45009</v>
      </c>
      <c r="E5735">
        <v>1</v>
      </c>
      <c r="F5735" t="str">
        <f>"11-K05-00"</f>
        <v>11-K05-00</v>
      </c>
      <c r="G5735">
        <v>0.41760000000000003</v>
      </c>
      <c r="H5735" t="s">
        <v>11</v>
      </c>
      <c r="I5735" t="s">
        <v>10</v>
      </c>
    </row>
    <row r="5736" spans="1:9" x14ac:dyDescent="0.25">
      <c r="A5736" t="str">
        <f t="shared" si="136"/>
        <v>89301000</v>
      </c>
      <c r="B5736" t="str">
        <f>"505317102"</f>
        <v>505317102</v>
      </c>
      <c r="C5736" s="1">
        <v>45071</v>
      </c>
      <c r="D5736" s="1">
        <v>45076</v>
      </c>
      <c r="E5736">
        <v>1</v>
      </c>
      <c r="F5736" t="str">
        <f>"09-I06-04"</f>
        <v>09-I06-04</v>
      </c>
      <c r="G5736">
        <v>0.98899999999999999</v>
      </c>
      <c r="H5736" t="s">
        <v>12</v>
      </c>
      <c r="I5736" t="s">
        <v>10</v>
      </c>
    </row>
    <row r="5737" spans="1:9" x14ac:dyDescent="0.25">
      <c r="A5737" t="str">
        <f t="shared" si="136"/>
        <v>89301000</v>
      </c>
      <c r="B5737" t="str">
        <f>"505317131"</f>
        <v>505317131</v>
      </c>
      <c r="C5737" s="1">
        <v>45027</v>
      </c>
      <c r="D5737" s="1">
        <v>45028</v>
      </c>
      <c r="E5737">
        <v>1</v>
      </c>
      <c r="F5737" t="str">
        <f>"11-K01-04"</f>
        <v>11-K01-04</v>
      </c>
      <c r="G5737">
        <v>0.67279999999999995</v>
      </c>
      <c r="H5737" t="s">
        <v>11</v>
      </c>
      <c r="I5737" t="s">
        <v>10</v>
      </c>
    </row>
    <row r="5738" spans="1:9" x14ac:dyDescent="0.25">
      <c r="A5738" t="str">
        <f t="shared" si="136"/>
        <v>89301000</v>
      </c>
      <c r="B5738" t="str">
        <f>"505318321"</f>
        <v>505318321</v>
      </c>
      <c r="C5738" s="1">
        <v>44963</v>
      </c>
      <c r="D5738" s="1">
        <v>44973</v>
      </c>
      <c r="E5738">
        <v>4</v>
      </c>
      <c r="F5738" t="str">
        <f>"01-K10-02"</f>
        <v>01-K10-02</v>
      </c>
      <c r="G5738">
        <v>1.6027</v>
      </c>
      <c r="H5738" t="s">
        <v>11</v>
      </c>
      <c r="I5738" t="s">
        <v>10</v>
      </c>
    </row>
    <row r="5739" spans="1:9" x14ac:dyDescent="0.25">
      <c r="A5739" t="str">
        <f t="shared" si="136"/>
        <v>89301000</v>
      </c>
      <c r="B5739" t="str">
        <f>"505318321"</f>
        <v>505318321</v>
      </c>
      <c r="C5739" s="1">
        <v>45234</v>
      </c>
      <c r="D5739" s="1">
        <v>45238</v>
      </c>
      <c r="E5739">
        <v>1</v>
      </c>
      <c r="F5739" t="str">
        <f>"06-K04-02"</f>
        <v>06-K04-02</v>
      </c>
      <c r="G5739">
        <v>0.94599999999999995</v>
      </c>
      <c r="H5739" t="s">
        <v>11</v>
      </c>
      <c r="I5739" t="s">
        <v>10</v>
      </c>
    </row>
    <row r="5740" spans="1:9" x14ac:dyDescent="0.25">
      <c r="A5740" t="str">
        <f t="shared" si="136"/>
        <v>89301000</v>
      </c>
      <c r="B5740" t="str">
        <f>"505319114"</f>
        <v>505319114</v>
      </c>
      <c r="C5740" s="1">
        <v>45095</v>
      </c>
      <c r="D5740" s="1">
        <v>45103</v>
      </c>
      <c r="E5740">
        <v>4</v>
      </c>
      <c r="F5740" t="str">
        <f>"08-I05-05"</f>
        <v>08-I05-05</v>
      </c>
      <c r="G5740">
        <v>2.2633000000000001</v>
      </c>
      <c r="H5740" t="s">
        <v>12</v>
      </c>
      <c r="I5740" t="s">
        <v>10</v>
      </c>
    </row>
    <row r="5741" spans="1:9" x14ac:dyDescent="0.25">
      <c r="A5741" t="str">
        <f t="shared" si="136"/>
        <v>89301000</v>
      </c>
      <c r="B5741" t="str">
        <f>"505319224"</f>
        <v>505319224</v>
      </c>
      <c r="C5741" s="1">
        <v>44972</v>
      </c>
      <c r="D5741" s="1">
        <v>44980</v>
      </c>
      <c r="E5741">
        <v>1</v>
      </c>
      <c r="F5741" t="str">
        <f>"04-K09-02"</f>
        <v>04-K09-02</v>
      </c>
      <c r="G5741">
        <v>1.155</v>
      </c>
      <c r="H5741" t="s">
        <v>11</v>
      </c>
      <c r="I5741" t="s">
        <v>10</v>
      </c>
    </row>
    <row r="5742" spans="1:9" x14ac:dyDescent="0.25">
      <c r="A5742" t="str">
        <f t="shared" si="136"/>
        <v>89301000</v>
      </c>
      <c r="B5742" t="str">
        <f>"505320036"</f>
        <v>505320036</v>
      </c>
      <c r="C5742" s="1">
        <v>44930</v>
      </c>
      <c r="D5742" s="1">
        <v>44938</v>
      </c>
      <c r="E5742">
        <v>1</v>
      </c>
      <c r="F5742" t="str">
        <f>"24-M06-02"</f>
        <v>24-M06-02</v>
      </c>
      <c r="G5742">
        <v>1.0699000000000001</v>
      </c>
      <c r="H5742" t="s">
        <v>11</v>
      </c>
      <c r="I5742" t="s">
        <v>10</v>
      </c>
    </row>
    <row r="5743" spans="1:9" x14ac:dyDescent="0.25">
      <c r="A5743" t="str">
        <f t="shared" si="136"/>
        <v>89301000</v>
      </c>
      <c r="B5743" t="str">
        <f>"505321076"</f>
        <v>505321076</v>
      </c>
      <c r="C5743" s="1">
        <v>45193</v>
      </c>
      <c r="D5743" s="1">
        <v>45195</v>
      </c>
      <c r="E5743">
        <v>1</v>
      </c>
      <c r="F5743" t="str">
        <f>"05-I14-04"</f>
        <v>05-I14-04</v>
      </c>
      <c r="G5743">
        <v>5.2220000000000004</v>
      </c>
      <c r="H5743" t="s">
        <v>12</v>
      </c>
      <c r="I5743" t="s">
        <v>10</v>
      </c>
    </row>
    <row r="5744" spans="1:9" x14ac:dyDescent="0.25">
      <c r="A5744" t="str">
        <f t="shared" si="136"/>
        <v>89301000</v>
      </c>
      <c r="B5744" t="str">
        <f>"505322110"</f>
        <v>505322110</v>
      </c>
      <c r="C5744" s="1">
        <v>45002</v>
      </c>
      <c r="D5744" s="1">
        <v>45002</v>
      </c>
      <c r="E5744">
        <v>1</v>
      </c>
      <c r="F5744" t="str">
        <f>"05-I14-03"</f>
        <v>05-I14-03</v>
      </c>
      <c r="G5744">
        <v>5.6817000000000002</v>
      </c>
      <c r="H5744" t="s">
        <v>12</v>
      </c>
      <c r="I5744" t="s">
        <v>10</v>
      </c>
    </row>
    <row r="5745" spans="1:9" x14ac:dyDescent="0.25">
      <c r="A5745" t="str">
        <f t="shared" si="136"/>
        <v>89301000</v>
      </c>
      <c r="B5745" t="str">
        <f>"505328017"</f>
        <v>505328017</v>
      </c>
      <c r="C5745" s="1">
        <v>45225</v>
      </c>
      <c r="D5745" s="1">
        <v>45227</v>
      </c>
      <c r="E5745">
        <v>1</v>
      </c>
      <c r="F5745" t="str">
        <f>"08-I26-03"</f>
        <v>08-I26-03</v>
      </c>
      <c r="G5745">
        <v>0.47699999999999998</v>
      </c>
      <c r="H5745" t="s">
        <v>11</v>
      </c>
      <c r="I5745" t="s">
        <v>10</v>
      </c>
    </row>
    <row r="5746" spans="1:9" x14ac:dyDescent="0.25">
      <c r="A5746" t="str">
        <f t="shared" si="136"/>
        <v>89301000</v>
      </c>
      <c r="B5746" t="str">
        <f>"505329334"</f>
        <v>505329334</v>
      </c>
      <c r="C5746" s="1">
        <v>44930</v>
      </c>
      <c r="D5746" s="1">
        <v>44932</v>
      </c>
      <c r="E5746">
        <v>1</v>
      </c>
      <c r="F5746" t="str">
        <f>"08-I17-02"</f>
        <v>08-I17-02</v>
      </c>
      <c r="G5746">
        <v>0.89680000000000004</v>
      </c>
      <c r="H5746" t="s">
        <v>11</v>
      </c>
      <c r="I5746" t="s">
        <v>10</v>
      </c>
    </row>
    <row r="5747" spans="1:9" x14ac:dyDescent="0.25">
      <c r="A5747" t="str">
        <f t="shared" si="136"/>
        <v>89301000</v>
      </c>
      <c r="B5747" t="str">
        <f>"505331026"</f>
        <v>505331026</v>
      </c>
      <c r="C5747" s="1">
        <v>45210</v>
      </c>
      <c r="D5747" s="1">
        <v>45213</v>
      </c>
      <c r="E5747">
        <v>1</v>
      </c>
      <c r="F5747" t="str">
        <f>"08-M03-05"</f>
        <v>08-M03-05</v>
      </c>
      <c r="G5747">
        <v>0.46810000000000002</v>
      </c>
      <c r="H5747" t="s">
        <v>11</v>
      </c>
      <c r="I5747" t="s">
        <v>10</v>
      </c>
    </row>
    <row r="5748" spans="1:9" x14ac:dyDescent="0.25">
      <c r="A5748" t="str">
        <f t="shared" si="136"/>
        <v>89301000</v>
      </c>
      <c r="B5748" t="str">
        <f>"505401066"</f>
        <v>505401066</v>
      </c>
      <c r="C5748" s="1">
        <v>45147</v>
      </c>
      <c r="D5748" s="1">
        <v>45147</v>
      </c>
      <c r="E5748">
        <v>7</v>
      </c>
      <c r="F5748" t="str">
        <f>"07-K06-02"</f>
        <v>07-K06-02</v>
      </c>
      <c r="G5748">
        <v>0.223</v>
      </c>
      <c r="H5748" t="s">
        <v>11</v>
      </c>
      <c r="I5748" t="s">
        <v>10</v>
      </c>
    </row>
    <row r="5749" spans="1:9" x14ac:dyDescent="0.25">
      <c r="A5749" t="str">
        <f t="shared" si="136"/>
        <v>89301000</v>
      </c>
      <c r="B5749" t="str">
        <f>"505401128"</f>
        <v>505401128</v>
      </c>
      <c r="C5749" s="1">
        <v>45083</v>
      </c>
      <c r="D5749" s="1">
        <v>45086</v>
      </c>
      <c r="E5749">
        <v>1</v>
      </c>
      <c r="F5749" t="str">
        <f>"13-I13-02"</f>
        <v>13-I13-02</v>
      </c>
      <c r="G5749">
        <v>0.94840000000000002</v>
      </c>
      <c r="H5749" t="s">
        <v>12</v>
      </c>
      <c r="I5749" t="s">
        <v>10</v>
      </c>
    </row>
    <row r="5750" spans="1:9" x14ac:dyDescent="0.25">
      <c r="A5750" t="str">
        <f t="shared" si="136"/>
        <v>89301000</v>
      </c>
      <c r="B5750" t="str">
        <f>"505402120"</f>
        <v>505402120</v>
      </c>
      <c r="C5750" s="1">
        <v>45057</v>
      </c>
      <c r="D5750" s="1">
        <v>45058</v>
      </c>
      <c r="E5750">
        <v>1</v>
      </c>
      <c r="F5750" t="str">
        <f>"11-K03-02"</f>
        <v>11-K03-02</v>
      </c>
      <c r="G5750">
        <v>0.622</v>
      </c>
      <c r="H5750" t="s">
        <v>11</v>
      </c>
      <c r="I5750" t="s">
        <v>10</v>
      </c>
    </row>
    <row r="5751" spans="1:9" x14ac:dyDescent="0.25">
      <c r="A5751" t="str">
        <f t="shared" si="136"/>
        <v>89301000</v>
      </c>
      <c r="B5751" t="str">
        <f>"505402120"</f>
        <v>505402120</v>
      </c>
      <c r="C5751" s="1">
        <v>45037</v>
      </c>
      <c r="D5751" s="1">
        <v>45042</v>
      </c>
      <c r="E5751">
        <v>1</v>
      </c>
      <c r="F5751" t="str">
        <f>"11-K03-02"</f>
        <v>11-K03-02</v>
      </c>
      <c r="G5751">
        <v>0.622</v>
      </c>
      <c r="H5751" t="s">
        <v>11</v>
      </c>
      <c r="I5751" t="s">
        <v>10</v>
      </c>
    </row>
    <row r="5752" spans="1:9" x14ac:dyDescent="0.25">
      <c r="A5752" t="str">
        <f t="shared" si="136"/>
        <v>89301000</v>
      </c>
      <c r="B5752" t="str">
        <f>"505409365"</f>
        <v>505409365</v>
      </c>
      <c r="C5752" s="1">
        <v>44938</v>
      </c>
      <c r="D5752" s="1">
        <v>44944</v>
      </c>
      <c r="E5752">
        <v>1</v>
      </c>
      <c r="F5752" t="str">
        <f>"08-K08-00"</f>
        <v>08-K08-00</v>
      </c>
      <c r="G5752">
        <v>0.5272</v>
      </c>
      <c r="H5752" t="s">
        <v>11</v>
      </c>
      <c r="I5752" t="s">
        <v>10</v>
      </c>
    </row>
    <row r="5753" spans="1:9" x14ac:dyDescent="0.25">
      <c r="A5753" t="str">
        <f t="shared" si="136"/>
        <v>89301000</v>
      </c>
      <c r="B5753" t="str">
        <f>"505413206"</f>
        <v>505413206</v>
      </c>
      <c r="C5753" s="1">
        <v>45152</v>
      </c>
      <c r="D5753" s="1">
        <v>45153</v>
      </c>
      <c r="E5753">
        <v>1</v>
      </c>
      <c r="F5753" t="str">
        <f>"03-I19-03"</f>
        <v>03-I19-03</v>
      </c>
      <c r="G5753">
        <v>0.53420000000000001</v>
      </c>
      <c r="H5753" t="s">
        <v>11</v>
      </c>
      <c r="I5753" t="s">
        <v>10</v>
      </c>
    </row>
    <row r="5754" spans="1:9" x14ac:dyDescent="0.25">
      <c r="A5754" t="str">
        <f t="shared" si="136"/>
        <v>89301000</v>
      </c>
      <c r="B5754" t="str">
        <f>"505413206"</f>
        <v>505413206</v>
      </c>
      <c r="C5754" s="1">
        <v>45021</v>
      </c>
      <c r="D5754" s="1">
        <v>45022</v>
      </c>
      <c r="E5754">
        <v>2</v>
      </c>
      <c r="F5754" t="str">
        <f>"11-M02-07"</f>
        <v>11-M02-07</v>
      </c>
      <c r="G5754">
        <v>0.64419999999999999</v>
      </c>
      <c r="H5754" t="s">
        <v>11</v>
      </c>
      <c r="I5754" t="s">
        <v>10</v>
      </c>
    </row>
    <row r="5755" spans="1:9" x14ac:dyDescent="0.25">
      <c r="A5755" t="str">
        <f t="shared" si="136"/>
        <v>89301000</v>
      </c>
      <c r="B5755" t="str">
        <f>"505413206"</f>
        <v>505413206</v>
      </c>
      <c r="C5755" s="1">
        <v>44949</v>
      </c>
      <c r="D5755" s="1">
        <v>45001</v>
      </c>
      <c r="E5755">
        <v>4</v>
      </c>
      <c r="F5755" t="str">
        <f>"11-M02-01"</f>
        <v>11-M02-01</v>
      </c>
      <c r="G5755">
        <v>7.8785999999999996</v>
      </c>
      <c r="H5755" t="s">
        <v>11</v>
      </c>
      <c r="I5755" t="s">
        <v>10</v>
      </c>
    </row>
    <row r="5756" spans="1:9" x14ac:dyDescent="0.25">
      <c r="A5756" t="str">
        <f t="shared" si="136"/>
        <v>89301000</v>
      </c>
      <c r="B5756" t="str">
        <f>"505413206"</f>
        <v>505413206</v>
      </c>
      <c r="C5756" s="1">
        <v>45266</v>
      </c>
      <c r="D5756" s="1">
        <v>45280</v>
      </c>
      <c r="E5756">
        <v>1</v>
      </c>
      <c r="F5756" t="str">
        <f>"06-K01-02"</f>
        <v>06-K01-02</v>
      </c>
      <c r="G5756">
        <v>1.4187000000000001</v>
      </c>
      <c r="H5756" t="s">
        <v>11</v>
      </c>
      <c r="I5756" t="s">
        <v>10</v>
      </c>
    </row>
    <row r="5757" spans="1:9" x14ac:dyDescent="0.25">
      <c r="A5757" t="str">
        <f t="shared" si="136"/>
        <v>89301000</v>
      </c>
      <c r="B5757" t="str">
        <f>"505413284"</f>
        <v>505413284</v>
      </c>
      <c r="C5757" s="1">
        <v>45159</v>
      </c>
      <c r="D5757" s="1">
        <v>45212</v>
      </c>
      <c r="E5757">
        <v>8</v>
      </c>
      <c r="F5757" t="str">
        <f>"07-K02-01"</f>
        <v>07-K02-01</v>
      </c>
      <c r="G5757">
        <v>5.1308999999999996</v>
      </c>
      <c r="H5757" t="s">
        <v>11</v>
      </c>
      <c r="I5757" t="s">
        <v>10</v>
      </c>
    </row>
    <row r="5758" spans="1:9" x14ac:dyDescent="0.25">
      <c r="A5758" t="str">
        <f t="shared" si="136"/>
        <v>89301000</v>
      </c>
      <c r="B5758" t="str">
        <f>"505415305"</f>
        <v>505415305</v>
      </c>
      <c r="C5758" s="1">
        <v>45012</v>
      </c>
      <c r="D5758" s="1">
        <v>45013</v>
      </c>
      <c r="E5758">
        <v>1</v>
      </c>
      <c r="F5758" t="str">
        <f>"04-K06-03"</f>
        <v>04-K06-03</v>
      </c>
      <c r="G5758">
        <v>0.62519999999999998</v>
      </c>
      <c r="H5758" t="s">
        <v>11</v>
      </c>
      <c r="I5758" t="s">
        <v>10</v>
      </c>
    </row>
    <row r="5759" spans="1:9" x14ac:dyDescent="0.25">
      <c r="A5759" t="str">
        <f t="shared" si="136"/>
        <v>89301000</v>
      </c>
      <c r="B5759" t="str">
        <f>"505415305"</f>
        <v>505415305</v>
      </c>
      <c r="C5759" s="1">
        <v>44937</v>
      </c>
      <c r="D5759" s="1">
        <v>44938</v>
      </c>
      <c r="E5759">
        <v>1</v>
      </c>
      <c r="F5759" t="str">
        <f>"04-K06-03"</f>
        <v>04-K06-03</v>
      </c>
      <c r="G5759">
        <v>0.62519999999999998</v>
      </c>
      <c r="H5759" t="s">
        <v>11</v>
      </c>
      <c r="I5759" t="s">
        <v>10</v>
      </c>
    </row>
    <row r="5760" spans="1:9" x14ac:dyDescent="0.25">
      <c r="A5760" t="str">
        <f t="shared" si="136"/>
        <v>89301000</v>
      </c>
      <c r="B5760" t="str">
        <f>"505415305"</f>
        <v>505415305</v>
      </c>
      <c r="C5760" s="1">
        <v>45176</v>
      </c>
      <c r="D5760" s="1">
        <v>45181</v>
      </c>
      <c r="E5760">
        <v>1</v>
      </c>
      <c r="F5760" t="str">
        <f>"04-K08-03"</f>
        <v>04-K08-03</v>
      </c>
      <c r="G5760">
        <v>1.7977000000000001</v>
      </c>
      <c r="H5760" t="s">
        <v>11</v>
      </c>
      <c r="I5760" t="s">
        <v>10</v>
      </c>
    </row>
    <row r="5761" spans="1:9" x14ac:dyDescent="0.25">
      <c r="A5761" t="str">
        <f t="shared" si="136"/>
        <v>89301000</v>
      </c>
      <c r="B5761" t="str">
        <f>"505416250"</f>
        <v>505416250</v>
      </c>
      <c r="C5761" s="1">
        <v>44964</v>
      </c>
      <c r="D5761" s="1">
        <v>44975</v>
      </c>
      <c r="E5761">
        <v>8</v>
      </c>
      <c r="F5761" t="str">
        <f>"04-K07-01"</f>
        <v>04-K07-01</v>
      </c>
      <c r="G5761">
        <v>2.1055999999999999</v>
      </c>
      <c r="H5761" t="s">
        <v>11</v>
      </c>
      <c r="I5761" t="s">
        <v>10</v>
      </c>
    </row>
    <row r="5762" spans="1:9" x14ac:dyDescent="0.25">
      <c r="A5762" t="str">
        <f t="shared" si="136"/>
        <v>89301000</v>
      </c>
      <c r="B5762" t="str">
        <f>"505421142"</f>
        <v>505421142</v>
      </c>
      <c r="C5762" s="1">
        <v>44985</v>
      </c>
      <c r="D5762" s="1">
        <v>44988</v>
      </c>
      <c r="E5762">
        <v>1</v>
      </c>
      <c r="F5762" t="str">
        <f>"05-I14-04"</f>
        <v>05-I14-04</v>
      </c>
      <c r="G5762">
        <v>5.2220000000000004</v>
      </c>
      <c r="H5762" t="s">
        <v>12</v>
      </c>
      <c r="I5762" t="s">
        <v>10</v>
      </c>
    </row>
    <row r="5763" spans="1:9" x14ac:dyDescent="0.25">
      <c r="A5763" t="str">
        <f t="shared" si="136"/>
        <v>89301000</v>
      </c>
      <c r="B5763" t="str">
        <f>"505421142"</f>
        <v>505421142</v>
      </c>
      <c r="C5763" s="1">
        <v>45148</v>
      </c>
      <c r="D5763" s="1">
        <v>45154</v>
      </c>
      <c r="E5763">
        <v>1</v>
      </c>
      <c r="F5763" t="str">
        <f>"11-K14-02"</f>
        <v>11-K14-02</v>
      </c>
      <c r="G5763">
        <v>0.48649999999999999</v>
      </c>
      <c r="H5763" t="s">
        <v>11</v>
      </c>
      <c r="I5763" t="s">
        <v>10</v>
      </c>
    </row>
    <row r="5764" spans="1:9" x14ac:dyDescent="0.25">
      <c r="A5764" t="str">
        <f t="shared" si="136"/>
        <v>89301000</v>
      </c>
      <c r="B5764" t="str">
        <f>"505429258"</f>
        <v>505429258</v>
      </c>
      <c r="C5764" s="1">
        <v>44964</v>
      </c>
      <c r="D5764" s="1">
        <v>44967</v>
      </c>
      <c r="E5764">
        <v>1</v>
      </c>
      <c r="F5764" t="str">
        <f>"01-K03-08"</f>
        <v>01-K03-08</v>
      </c>
      <c r="G5764">
        <v>0.38290000000000002</v>
      </c>
      <c r="H5764" t="s">
        <v>11</v>
      </c>
      <c r="I5764" t="s">
        <v>10</v>
      </c>
    </row>
    <row r="5765" spans="1:9" x14ac:dyDescent="0.25">
      <c r="A5765" t="str">
        <f t="shared" si="136"/>
        <v>89301000</v>
      </c>
      <c r="B5765" t="str">
        <f>"505501249"</f>
        <v>505501249</v>
      </c>
      <c r="C5765" s="1">
        <v>45279</v>
      </c>
      <c r="D5765" s="1">
        <v>45280</v>
      </c>
      <c r="E5765">
        <v>1</v>
      </c>
      <c r="F5765" t="str">
        <f>"05-D01-08"</f>
        <v>05-D01-08</v>
      </c>
      <c r="G5765">
        <v>0.43159999999999998</v>
      </c>
      <c r="H5765" t="s">
        <v>11</v>
      </c>
      <c r="I5765" t="s">
        <v>10</v>
      </c>
    </row>
    <row r="5766" spans="1:9" x14ac:dyDescent="0.25">
      <c r="A5766" t="str">
        <f t="shared" si="136"/>
        <v>89301000</v>
      </c>
      <c r="B5766" t="str">
        <f>"505502151"</f>
        <v>505502151</v>
      </c>
      <c r="C5766" s="1">
        <v>45075</v>
      </c>
      <c r="D5766" s="1">
        <v>45082</v>
      </c>
      <c r="E5766">
        <v>1</v>
      </c>
      <c r="F5766" t="str">
        <f>"08-K08-00"</f>
        <v>08-K08-00</v>
      </c>
      <c r="G5766">
        <v>0.5272</v>
      </c>
      <c r="H5766" t="s">
        <v>11</v>
      </c>
      <c r="I5766" t="s">
        <v>10</v>
      </c>
    </row>
    <row r="5767" spans="1:9" x14ac:dyDescent="0.25">
      <c r="A5767" t="str">
        <f t="shared" si="136"/>
        <v>89301000</v>
      </c>
      <c r="B5767" t="str">
        <f>"505502298"</f>
        <v>505502298</v>
      </c>
      <c r="C5767" s="1">
        <v>45255</v>
      </c>
      <c r="D5767" s="1">
        <v>45258</v>
      </c>
      <c r="E5767">
        <v>4</v>
      </c>
      <c r="F5767" t="str">
        <f>"01-K04-02"</f>
        <v>01-K04-02</v>
      </c>
      <c r="G5767">
        <v>0.79990000000000006</v>
      </c>
      <c r="H5767" t="s">
        <v>11</v>
      </c>
      <c r="I5767" t="s">
        <v>10</v>
      </c>
    </row>
    <row r="5768" spans="1:9" x14ac:dyDescent="0.25">
      <c r="A5768" t="str">
        <f t="shared" si="136"/>
        <v>89301000</v>
      </c>
      <c r="B5768" t="str">
        <f>"505510099"</f>
        <v>505510099</v>
      </c>
      <c r="C5768" s="1">
        <v>45243</v>
      </c>
      <c r="D5768" s="1">
        <v>45254</v>
      </c>
      <c r="E5768">
        <v>1</v>
      </c>
      <c r="F5768" t="str">
        <f>"24-M06-02"</f>
        <v>24-M06-02</v>
      </c>
      <c r="G5768">
        <v>1.0699000000000001</v>
      </c>
      <c r="H5768" t="s">
        <v>11</v>
      </c>
      <c r="I5768" t="s">
        <v>10</v>
      </c>
    </row>
    <row r="5769" spans="1:9" x14ac:dyDescent="0.25">
      <c r="A5769" t="str">
        <f t="shared" si="136"/>
        <v>89301000</v>
      </c>
      <c r="B5769" t="str">
        <f>"505510099"</f>
        <v>505510099</v>
      </c>
      <c r="C5769" s="1">
        <v>45035</v>
      </c>
      <c r="D5769" s="1">
        <v>45041</v>
      </c>
      <c r="E5769">
        <v>1</v>
      </c>
      <c r="F5769" t="str">
        <f>"06-K04-02"</f>
        <v>06-K04-02</v>
      </c>
      <c r="G5769">
        <v>0.94599999999999995</v>
      </c>
      <c r="H5769" t="s">
        <v>11</v>
      </c>
      <c r="I5769" t="s">
        <v>10</v>
      </c>
    </row>
    <row r="5770" spans="1:9" x14ac:dyDescent="0.25">
      <c r="A5770" t="str">
        <f t="shared" si="136"/>
        <v>89301000</v>
      </c>
      <c r="B5770" t="str">
        <f>"505510099"</f>
        <v>505510099</v>
      </c>
      <c r="C5770" s="1">
        <v>45237</v>
      </c>
      <c r="D5770" s="1">
        <v>45241</v>
      </c>
      <c r="E5770">
        <v>1</v>
      </c>
      <c r="F5770" t="str">
        <f>"08-I06-04"</f>
        <v>08-I06-04</v>
      </c>
      <c r="G5770">
        <v>2.3500999999999999</v>
      </c>
      <c r="H5770" t="s">
        <v>9</v>
      </c>
      <c r="I5770" t="s">
        <v>10</v>
      </c>
    </row>
    <row r="5771" spans="1:9" x14ac:dyDescent="0.25">
      <c r="A5771" t="str">
        <f t="shared" si="136"/>
        <v>89301000</v>
      </c>
      <c r="B5771" t="str">
        <f>"505514058"</f>
        <v>505514058</v>
      </c>
      <c r="C5771" s="1">
        <v>45084</v>
      </c>
      <c r="D5771" s="1">
        <v>45085</v>
      </c>
      <c r="E5771">
        <v>1</v>
      </c>
      <c r="F5771" t="str">
        <f>"05-D01-08"</f>
        <v>05-D01-08</v>
      </c>
      <c r="G5771">
        <v>0.43159999999999998</v>
      </c>
      <c r="H5771" t="s">
        <v>11</v>
      </c>
      <c r="I5771" t="s">
        <v>10</v>
      </c>
    </row>
    <row r="5772" spans="1:9" x14ac:dyDescent="0.25">
      <c r="A5772" t="str">
        <f t="shared" ref="A5772:A5835" si="137">"89301000"</f>
        <v>89301000</v>
      </c>
      <c r="B5772" t="str">
        <f>"505524032"</f>
        <v>505524032</v>
      </c>
      <c r="C5772" s="1">
        <v>44995</v>
      </c>
      <c r="D5772" s="1">
        <v>45001</v>
      </c>
      <c r="E5772">
        <v>8</v>
      </c>
      <c r="F5772" t="str">
        <f>"01-K11-02"</f>
        <v>01-K11-02</v>
      </c>
      <c r="G5772">
        <v>2.2850000000000001</v>
      </c>
      <c r="H5772" t="s">
        <v>11</v>
      </c>
      <c r="I5772" t="s">
        <v>10</v>
      </c>
    </row>
    <row r="5773" spans="1:9" x14ac:dyDescent="0.25">
      <c r="A5773" t="str">
        <f t="shared" si="137"/>
        <v>89301000</v>
      </c>
      <c r="B5773" t="str">
        <f>"505531050"</f>
        <v>505531050</v>
      </c>
      <c r="C5773" s="1">
        <v>45112</v>
      </c>
      <c r="D5773" s="1">
        <v>45114</v>
      </c>
      <c r="E5773">
        <v>1</v>
      </c>
      <c r="F5773" t="str">
        <f>"03-K04-01"</f>
        <v>03-K04-01</v>
      </c>
      <c r="G5773">
        <v>0.46479999999999999</v>
      </c>
      <c r="H5773" t="s">
        <v>11</v>
      </c>
      <c r="I5773" t="s">
        <v>10</v>
      </c>
    </row>
    <row r="5774" spans="1:9" x14ac:dyDescent="0.25">
      <c r="A5774" t="str">
        <f t="shared" si="137"/>
        <v>89301000</v>
      </c>
      <c r="B5774" t="str">
        <f>"505531050"</f>
        <v>505531050</v>
      </c>
      <c r="C5774" s="1">
        <v>45199</v>
      </c>
      <c r="D5774" s="1">
        <v>45202</v>
      </c>
      <c r="E5774">
        <v>1</v>
      </c>
      <c r="F5774" t="str">
        <f>"09-K08-02"</f>
        <v>09-K08-02</v>
      </c>
      <c r="G5774">
        <v>0.47689999999999999</v>
      </c>
      <c r="H5774" t="s">
        <v>11</v>
      </c>
      <c r="I5774" t="s">
        <v>10</v>
      </c>
    </row>
    <row r="5775" spans="1:9" x14ac:dyDescent="0.25">
      <c r="A5775" t="str">
        <f t="shared" si="137"/>
        <v>89301000</v>
      </c>
      <c r="B5775" t="str">
        <f>"505531050"</f>
        <v>505531050</v>
      </c>
      <c r="C5775" s="1">
        <v>45187</v>
      </c>
      <c r="D5775" s="1">
        <v>45188</v>
      </c>
      <c r="E5775">
        <v>1</v>
      </c>
      <c r="F5775" t="str">
        <f>"09-K08-02"</f>
        <v>09-K08-02</v>
      </c>
      <c r="G5775">
        <v>0.47689999999999999</v>
      </c>
      <c r="H5775" t="s">
        <v>11</v>
      </c>
      <c r="I5775" t="s">
        <v>10</v>
      </c>
    </row>
    <row r="5776" spans="1:9" x14ac:dyDescent="0.25">
      <c r="A5776" t="str">
        <f t="shared" si="137"/>
        <v>89301000</v>
      </c>
      <c r="B5776" t="str">
        <f>"505531050"</f>
        <v>505531050</v>
      </c>
      <c r="C5776" s="1">
        <v>45236</v>
      </c>
      <c r="D5776" s="1">
        <v>45245</v>
      </c>
      <c r="E5776">
        <v>1</v>
      </c>
      <c r="F5776" t="str">
        <f>"09-K08-02"</f>
        <v>09-K08-02</v>
      </c>
      <c r="G5776">
        <v>0.47689999999999999</v>
      </c>
      <c r="H5776" t="s">
        <v>11</v>
      </c>
      <c r="I5776" t="s">
        <v>10</v>
      </c>
    </row>
    <row r="5777" spans="1:9" x14ac:dyDescent="0.25">
      <c r="A5777" t="str">
        <f t="shared" si="137"/>
        <v>89301000</v>
      </c>
      <c r="B5777" t="str">
        <f>"505531105"</f>
        <v>505531105</v>
      </c>
      <c r="C5777" s="1">
        <v>45064</v>
      </c>
      <c r="D5777" s="1">
        <v>45069</v>
      </c>
      <c r="E5777">
        <v>1</v>
      </c>
      <c r="F5777" t="str">
        <f>"08-I03-06"</f>
        <v>08-I03-06</v>
      </c>
      <c r="G5777">
        <v>2.9228000000000001</v>
      </c>
      <c r="H5777" t="s">
        <v>9</v>
      </c>
      <c r="I5777" t="s">
        <v>10</v>
      </c>
    </row>
    <row r="5778" spans="1:9" x14ac:dyDescent="0.25">
      <c r="A5778" t="str">
        <f t="shared" si="137"/>
        <v>89301000</v>
      </c>
      <c r="B5778" t="str">
        <f>"505604139"</f>
        <v>505604139</v>
      </c>
      <c r="C5778" s="1">
        <v>44966</v>
      </c>
      <c r="D5778" s="1">
        <v>44978</v>
      </c>
      <c r="E5778">
        <v>1</v>
      </c>
      <c r="F5778" t="str">
        <f>"11-I08-03"</f>
        <v>11-I08-03</v>
      </c>
      <c r="G5778">
        <v>2.1918000000000002</v>
      </c>
      <c r="H5778" t="s">
        <v>9</v>
      </c>
      <c r="I5778" t="s">
        <v>10</v>
      </c>
    </row>
    <row r="5779" spans="1:9" x14ac:dyDescent="0.25">
      <c r="A5779" t="str">
        <f t="shared" si="137"/>
        <v>89301000</v>
      </c>
      <c r="B5779" t="str">
        <f>"505605078"</f>
        <v>505605078</v>
      </c>
      <c r="C5779" s="1">
        <v>44971</v>
      </c>
      <c r="D5779" s="1">
        <v>44978</v>
      </c>
      <c r="E5779">
        <v>1</v>
      </c>
      <c r="F5779" t="str">
        <f>"11-K01-01"</f>
        <v>11-K01-01</v>
      </c>
      <c r="G5779">
        <v>1.377</v>
      </c>
      <c r="H5779" t="s">
        <v>11</v>
      </c>
      <c r="I5779" t="s">
        <v>10</v>
      </c>
    </row>
    <row r="5780" spans="1:9" x14ac:dyDescent="0.25">
      <c r="A5780" t="str">
        <f t="shared" si="137"/>
        <v>89301000</v>
      </c>
      <c r="B5780" t="str">
        <f>"505605078"</f>
        <v>505605078</v>
      </c>
      <c r="C5780" s="1">
        <v>45221</v>
      </c>
      <c r="D5780" s="1">
        <v>45232</v>
      </c>
      <c r="E5780">
        <v>1</v>
      </c>
      <c r="F5780" t="str">
        <f>"18-K01-05"</f>
        <v>18-K01-05</v>
      </c>
      <c r="G5780">
        <v>1.8069999999999999</v>
      </c>
      <c r="H5780" t="s">
        <v>11</v>
      </c>
      <c r="I5780" t="s">
        <v>10</v>
      </c>
    </row>
    <row r="5781" spans="1:9" x14ac:dyDescent="0.25">
      <c r="A5781" t="str">
        <f t="shared" si="137"/>
        <v>89301000</v>
      </c>
      <c r="B5781" t="str">
        <f>"505606312"</f>
        <v>505606312</v>
      </c>
      <c r="C5781" s="1">
        <v>44944</v>
      </c>
      <c r="D5781" s="1">
        <v>44951</v>
      </c>
      <c r="E5781">
        <v>4</v>
      </c>
      <c r="F5781" t="str">
        <f>"08-K11-02"</f>
        <v>08-K11-02</v>
      </c>
      <c r="G5781">
        <v>0.622</v>
      </c>
      <c r="H5781" t="s">
        <v>11</v>
      </c>
      <c r="I5781" t="s">
        <v>10</v>
      </c>
    </row>
    <row r="5782" spans="1:9" x14ac:dyDescent="0.25">
      <c r="A5782" t="str">
        <f t="shared" si="137"/>
        <v>89301000</v>
      </c>
      <c r="B5782" t="str">
        <f>"505606312"</f>
        <v>505606312</v>
      </c>
      <c r="C5782" s="1">
        <v>45159</v>
      </c>
      <c r="D5782" s="1">
        <v>45174</v>
      </c>
      <c r="E5782">
        <v>5</v>
      </c>
      <c r="F5782" t="str">
        <f>"16-K02-01"</f>
        <v>16-K02-01</v>
      </c>
      <c r="G5782">
        <v>1.3922000000000001</v>
      </c>
      <c r="H5782" t="s">
        <v>11</v>
      </c>
      <c r="I5782" t="s">
        <v>10</v>
      </c>
    </row>
    <row r="5783" spans="1:9" x14ac:dyDescent="0.25">
      <c r="A5783" t="str">
        <f t="shared" si="137"/>
        <v>89301000</v>
      </c>
      <c r="B5783" t="str">
        <f>"505611039"</f>
        <v>505611039</v>
      </c>
      <c r="C5783" s="1">
        <v>45207</v>
      </c>
      <c r="D5783" s="1">
        <v>45212</v>
      </c>
      <c r="E5783">
        <v>1</v>
      </c>
      <c r="F5783" t="str">
        <f>"06-K07-02"</f>
        <v>06-K07-02</v>
      </c>
      <c r="G5783">
        <v>0.4385</v>
      </c>
      <c r="H5783" t="s">
        <v>11</v>
      </c>
      <c r="I5783" t="s">
        <v>10</v>
      </c>
    </row>
    <row r="5784" spans="1:9" x14ac:dyDescent="0.25">
      <c r="A5784" t="str">
        <f t="shared" si="137"/>
        <v>89301000</v>
      </c>
      <c r="B5784" t="str">
        <f>"505614122"</f>
        <v>505614122</v>
      </c>
      <c r="C5784" s="1">
        <v>44966</v>
      </c>
      <c r="D5784" s="1">
        <v>44970</v>
      </c>
      <c r="E5784">
        <v>1</v>
      </c>
      <c r="F5784" t="str">
        <f>"06-I21-03"</f>
        <v>06-I21-03</v>
      </c>
      <c r="G5784">
        <v>0.4572</v>
      </c>
      <c r="H5784" t="s">
        <v>12</v>
      </c>
      <c r="I5784" t="s">
        <v>10</v>
      </c>
    </row>
    <row r="5785" spans="1:9" x14ac:dyDescent="0.25">
      <c r="A5785" t="str">
        <f t="shared" si="137"/>
        <v>89301000</v>
      </c>
      <c r="B5785" t="str">
        <f>"505617144"</f>
        <v>505617144</v>
      </c>
      <c r="C5785" s="1">
        <v>45257</v>
      </c>
      <c r="D5785" s="1">
        <v>45264</v>
      </c>
      <c r="E5785">
        <v>1</v>
      </c>
      <c r="F5785" t="str">
        <f>"08-K01-02"</f>
        <v>08-K01-02</v>
      </c>
      <c r="G5785">
        <v>0.90180000000000005</v>
      </c>
      <c r="H5785" t="s">
        <v>11</v>
      </c>
      <c r="I5785" t="s">
        <v>10</v>
      </c>
    </row>
    <row r="5786" spans="1:9" x14ac:dyDescent="0.25">
      <c r="A5786" t="str">
        <f t="shared" si="137"/>
        <v>89301000</v>
      </c>
      <c r="B5786" t="str">
        <f>"505618074"</f>
        <v>505618074</v>
      </c>
      <c r="C5786" s="1">
        <v>44977</v>
      </c>
      <c r="D5786" s="1">
        <v>44978</v>
      </c>
      <c r="E5786">
        <v>1</v>
      </c>
      <c r="F5786" t="str">
        <f>"05-D01-08"</f>
        <v>05-D01-08</v>
      </c>
      <c r="G5786">
        <v>0.43159999999999998</v>
      </c>
      <c r="H5786" t="s">
        <v>11</v>
      </c>
      <c r="I5786" t="s">
        <v>10</v>
      </c>
    </row>
    <row r="5787" spans="1:9" x14ac:dyDescent="0.25">
      <c r="A5787" t="str">
        <f t="shared" si="137"/>
        <v>89301000</v>
      </c>
      <c r="B5787" t="str">
        <f>"505623063"</f>
        <v>505623063</v>
      </c>
      <c r="C5787" s="1">
        <v>45148</v>
      </c>
      <c r="D5787" s="1">
        <v>45149</v>
      </c>
      <c r="E5787">
        <v>1</v>
      </c>
      <c r="F5787" t="str">
        <f>"05-D01-06"</f>
        <v>05-D01-06</v>
      </c>
      <c r="G5787">
        <v>0.7571</v>
      </c>
      <c r="H5787" t="s">
        <v>11</v>
      </c>
      <c r="I5787" t="s">
        <v>10</v>
      </c>
    </row>
    <row r="5788" spans="1:9" x14ac:dyDescent="0.25">
      <c r="A5788" t="str">
        <f t="shared" si="137"/>
        <v>89301000</v>
      </c>
      <c r="B5788" t="str">
        <f>"505623063"</f>
        <v>505623063</v>
      </c>
      <c r="C5788" s="1">
        <v>45221</v>
      </c>
      <c r="D5788" s="1">
        <v>45229</v>
      </c>
      <c r="E5788">
        <v>1</v>
      </c>
      <c r="F5788" t="str">
        <f>"08-I05-05"</f>
        <v>08-I05-05</v>
      </c>
      <c r="G5788">
        <v>2.2633000000000001</v>
      </c>
      <c r="H5788" t="s">
        <v>12</v>
      </c>
      <c r="I5788" t="s">
        <v>10</v>
      </c>
    </row>
    <row r="5789" spans="1:9" x14ac:dyDescent="0.25">
      <c r="A5789" t="str">
        <f t="shared" si="137"/>
        <v>89301000</v>
      </c>
      <c r="B5789" t="str">
        <f>"505623063"</f>
        <v>505623063</v>
      </c>
      <c r="C5789" s="1">
        <v>45245</v>
      </c>
      <c r="D5789" s="1">
        <v>45275</v>
      </c>
      <c r="E5789">
        <v>1</v>
      </c>
      <c r="F5789" t="str">
        <f>"08-I05-03"</f>
        <v>08-I05-03</v>
      </c>
      <c r="G5789">
        <v>3.3738000000000001</v>
      </c>
      <c r="H5789" t="s">
        <v>12</v>
      </c>
      <c r="I5789" t="s">
        <v>10</v>
      </c>
    </row>
    <row r="5790" spans="1:9" x14ac:dyDescent="0.25">
      <c r="A5790" t="str">
        <f t="shared" si="137"/>
        <v>89301000</v>
      </c>
      <c r="B5790" t="str">
        <f>"505629070"</f>
        <v>505629070</v>
      </c>
      <c r="C5790" s="1">
        <v>45148</v>
      </c>
      <c r="D5790" s="1">
        <v>45148</v>
      </c>
      <c r="E5790">
        <v>1</v>
      </c>
      <c r="F5790" t="str">
        <f>"04-K15-03"</f>
        <v>04-K15-03</v>
      </c>
      <c r="G5790">
        <v>0.25459999999999999</v>
      </c>
      <c r="H5790" t="s">
        <v>11</v>
      </c>
      <c r="I5790" t="s">
        <v>10</v>
      </c>
    </row>
    <row r="5791" spans="1:9" x14ac:dyDescent="0.25">
      <c r="A5791" t="str">
        <f t="shared" si="137"/>
        <v>89301000</v>
      </c>
      <c r="B5791" t="str">
        <f>"505701088"</f>
        <v>505701088</v>
      </c>
      <c r="C5791" s="1">
        <v>45145</v>
      </c>
      <c r="D5791" s="1">
        <v>45147</v>
      </c>
      <c r="E5791">
        <v>1</v>
      </c>
      <c r="F5791" t="str">
        <f>"05-M05-02"</f>
        <v>05-M05-02</v>
      </c>
      <c r="G5791">
        <v>3.4817999999999998</v>
      </c>
      <c r="H5791" t="s">
        <v>14</v>
      </c>
      <c r="I5791" t="s">
        <v>10</v>
      </c>
    </row>
    <row r="5792" spans="1:9" x14ac:dyDescent="0.25">
      <c r="A5792" t="str">
        <f t="shared" si="137"/>
        <v>89301000</v>
      </c>
      <c r="B5792" t="str">
        <f>"505704046"</f>
        <v>505704046</v>
      </c>
      <c r="C5792" s="1">
        <v>45163</v>
      </c>
      <c r="D5792" s="1">
        <v>45176</v>
      </c>
      <c r="E5792">
        <v>1</v>
      </c>
      <c r="F5792" t="str">
        <f>"01-K04-02"</f>
        <v>01-K04-02</v>
      </c>
      <c r="G5792">
        <v>0.79990000000000006</v>
      </c>
      <c r="H5792" t="s">
        <v>11</v>
      </c>
      <c r="I5792" t="s">
        <v>10</v>
      </c>
    </row>
    <row r="5793" spans="1:9" x14ac:dyDescent="0.25">
      <c r="A5793" t="str">
        <f t="shared" si="137"/>
        <v>89301000</v>
      </c>
      <c r="B5793" t="str">
        <f>"505706266"</f>
        <v>505706266</v>
      </c>
      <c r="C5793" s="1">
        <v>44958</v>
      </c>
      <c r="D5793" s="1">
        <v>44961</v>
      </c>
      <c r="E5793">
        <v>1</v>
      </c>
      <c r="F5793" t="str">
        <f>"06-I16-04"</f>
        <v>06-I16-04</v>
      </c>
      <c r="G5793">
        <v>0.68920000000000003</v>
      </c>
      <c r="H5793" t="s">
        <v>9</v>
      </c>
      <c r="I5793" t="s">
        <v>10</v>
      </c>
    </row>
    <row r="5794" spans="1:9" x14ac:dyDescent="0.25">
      <c r="A5794" t="str">
        <f t="shared" si="137"/>
        <v>89301000</v>
      </c>
      <c r="B5794" t="str">
        <f>"505711036"</f>
        <v>505711036</v>
      </c>
      <c r="C5794" s="1">
        <v>45033</v>
      </c>
      <c r="D5794" s="1">
        <v>45040</v>
      </c>
      <c r="E5794">
        <v>1</v>
      </c>
      <c r="F5794" t="str">
        <f>"04-K07-03"</f>
        <v>04-K07-03</v>
      </c>
      <c r="G5794">
        <v>0.61119999999999997</v>
      </c>
      <c r="H5794" t="s">
        <v>11</v>
      </c>
      <c r="I5794" t="s">
        <v>10</v>
      </c>
    </row>
    <row r="5795" spans="1:9" x14ac:dyDescent="0.25">
      <c r="A5795" t="str">
        <f t="shared" si="137"/>
        <v>89301000</v>
      </c>
      <c r="B5795" t="str">
        <f>"505711036"</f>
        <v>505711036</v>
      </c>
      <c r="C5795" s="1">
        <v>44959</v>
      </c>
      <c r="D5795" s="1">
        <v>44980</v>
      </c>
      <c r="E5795">
        <v>1</v>
      </c>
      <c r="F5795" t="str">
        <f>"04-K14-02"</f>
        <v>04-K14-02</v>
      </c>
      <c r="G5795">
        <v>1.5932999999999999</v>
      </c>
      <c r="H5795" t="s">
        <v>11</v>
      </c>
      <c r="I5795" t="s">
        <v>10</v>
      </c>
    </row>
    <row r="5796" spans="1:9" x14ac:dyDescent="0.25">
      <c r="A5796" t="str">
        <f t="shared" si="137"/>
        <v>89301000</v>
      </c>
      <c r="B5796" t="str">
        <f t="shared" ref="B5796:B5806" si="138">"505712050"</f>
        <v>505712050</v>
      </c>
      <c r="C5796" s="1">
        <v>45237</v>
      </c>
      <c r="D5796" s="1">
        <v>45271</v>
      </c>
      <c r="E5796">
        <v>4</v>
      </c>
      <c r="F5796" t="str">
        <f>"06-I05-04"</f>
        <v>06-I05-04</v>
      </c>
      <c r="G5796">
        <v>5.9969999999999999</v>
      </c>
      <c r="H5796" t="s">
        <v>12</v>
      </c>
      <c r="I5796" t="s">
        <v>10</v>
      </c>
    </row>
    <row r="5797" spans="1:9" x14ac:dyDescent="0.25">
      <c r="A5797" t="str">
        <f t="shared" si="137"/>
        <v>89301000</v>
      </c>
      <c r="B5797" t="str">
        <f t="shared" si="138"/>
        <v>505712050</v>
      </c>
      <c r="C5797" s="1">
        <v>45030</v>
      </c>
      <c r="D5797" s="1">
        <v>45033</v>
      </c>
      <c r="E5797">
        <v>1</v>
      </c>
      <c r="F5797" t="str">
        <f>"06-C02-03"</f>
        <v>06-C02-03</v>
      </c>
      <c r="G5797">
        <v>0.32650000000000001</v>
      </c>
      <c r="H5797" t="s">
        <v>11</v>
      </c>
      <c r="I5797" t="s">
        <v>10</v>
      </c>
    </row>
    <row r="5798" spans="1:9" x14ac:dyDescent="0.25">
      <c r="A5798" t="str">
        <f t="shared" si="137"/>
        <v>89301000</v>
      </c>
      <c r="B5798" t="str">
        <f t="shared" si="138"/>
        <v>505712050</v>
      </c>
      <c r="C5798" s="1">
        <v>45051</v>
      </c>
      <c r="D5798" s="1">
        <v>45054</v>
      </c>
      <c r="E5798">
        <v>1</v>
      </c>
      <c r="F5798" t="str">
        <f>"06-C02-03"</f>
        <v>06-C02-03</v>
      </c>
      <c r="G5798">
        <v>0.32650000000000001</v>
      </c>
      <c r="H5798" t="s">
        <v>11</v>
      </c>
      <c r="I5798" t="s">
        <v>10</v>
      </c>
    </row>
    <row r="5799" spans="1:9" x14ac:dyDescent="0.25">
      <c r="A5799" t="str">
        <f t="shared" si="137"/>
        <v>89301000</v>
      </c>
      <c r="B5799" t="str">
        <f t="shared" si="138"/>
        <v>505712050</v>
      </c>
      <c r="C5799" s="1">
        <v>45070</v>
      </c>
      <c r="D5799" s="1">
        <v>45073</v>
      </c>
      <c r="E5799">
        <v>1</v>
      </c>
      <c r="F5799" t="str">
        <f>"17-C06-03"</f>
        <v>17-C06-03</v>
      </c>
      <c r="G5799">
        <v>0.37809999999999999</v>
      </c>
      <c r="H5799" t="s">
        <v>11</v>
      </c>
      <c r="I5799" t="s">
        <v>10</v>
      </c>
    </row>
    <row r="5800" spans="1:9" x14ac:dyDescent="0.25">
      <c r="A5800" t="str">
        <f t="shared" si="137"/>
        <v>89301000</v>
      </c>
      <c r="B5800" t="str">
        <f t="shared" si="138"/>
        <v>505712050</v>
      </c>
      <c r="C5800" s="1">
        <v>45084</v>
      </c>
      <c r="D5800" s="1">
        <v>45087</v>
      </c>
      <c r="E5800">
        <v>1</v>
      </c>
      <c r="F5800" t="str">
        <f>"06-C02-03"</f>
        <v>06-C02-03</v>
      </c>
      <c r="G5800">
        <v>0.35160000000000002</v>
      </c>
      <c r="H5800" t="s">
        <v>11</v>
      </c>
      <c r="I5800" t="s">
        <v>10</v>
      </c>
    </row>
    <row r="5801" spans="1:9" x14ac:dyDescent="0.25">
      <c r="A5801" t="str">
        <f t="shared" si="137"/>
        <v>89301000</v>
      </c>
      <c r="B5801" t="str">
        <f t="shared" si="138"/>
        <v>505712050</v>
      </c>
      <c r="C5801" s="1">
        <v>45098</v>
      </c>
      <c r="D5801" s="1">
        <v>45101</v>
      </c>
      <c r="E5801">
        <v>1</v>
      </c>
      <c r="F5801" t="str">
        <f>"06-C02-03"</f>
        <v>06-C02-03</v>
      </c>
      <c r="G5801">
        <v>0.32650000000000001</v>
      </c>
      <c r="H5801" t="s">
        <v>11</v>
      </c>
      <c r="I5801" t="s">
        <v>10</v>
      </c>
    </row>
    <row r="5802" spans="1:9" x14ac:dyDescent="0.25">
      <c r="A5802" t="str">
        <f t="shared" si="137"/>
        <v>89301000</v>
      </c>
      <c r="B5802" t="str">
        <f t="shared" si="138"/>
        <v>505712050</v>
      </c>
      <c r="C5802" s="1">
        <v>45114</v>
      </c>
      <c r="D5802" s="1">
        <v>45116</v>
      </c>
      <c r="E5802">
        <v>1</v>
      </c>
      <c r="F5802" t="str">
        <f>"06-C02-03"</f>
        <v>06-C02-03</v>
      </c>
      <c r="G5802">
        <v>0.32650000000000001</v>
      </c>
      <c r="H5802" t="s">
        <v>11</v>
      </c>
      <c r="I5802" t="s">
        <v>10</v>
      </c>
    </row>
    <row r="5803" spans="1:9" x14ac:dyDescent="0.25">
      <c r="A5803" t="str">
        <f t="shared" si="137"/>
        <v>89301000</v>
      </c>
      <c r="B5803" t="str">
        <f t="shared" si="138"/>
        <v>505712050</v>
      </c>
      <c r="C5803" s="1">
        <v>45128</v>
      </c>
      <c r="D5803" s="1">
        <v>45139</v>
      </c>
      <c r="E5803">
        <v>1</v>
      </c>
      <c r="F5803" t="str">
        <f>"06-K14-01"</f>
        <v>06-K14-01</v>
      </c>
      <c r="G5803">
        <v>1.2667999999999999</v>
      </c>
      <c r="H5803" t="s">
        <v>11</v>
      </c>
      <c r="I5803" t="s">
        <v>10</v>
      </c>
    </row>
    <row r="5804" spans="1:9" x14ac:dyDescent="0.25">
      <c r="A5804" t="str">
        <f t="shared" si="137"/>
        <v>89301000</v>
      </c>
      <c r="B5804" t="str">
        <f t="shared" si="138"/>
        <v>505712050</v>
      </c>
      <c r="C5804" s="1">
        <v>45146</v>
      </c>
      <c r="D5804" s="1">
        <v>45148</v>
      </c>
      <c r="E5804">
        <v>1</v>
      </c>
      <c r="F5804" t="str">
        <f>"06-C02-03"</f>
        <v>06-C02-03</v>
      </c>
      <c r="G5804">
        <v>0.32650000000000001</v>
      </c>
      <c r="H5804" t="s">
        <v>11</v>
      </c>
      <c r="I5804" t="s">
        <v>10</v>
      </c>
    </row>
    <row r="5805" spans="1:9" x14ac:dyDescent="0.25">
      <c r="A5805" t="str">
        <f t="shared" si="137"/>
        <v>89301000</v>
      </c>
      <c r="B5805" t="str">
        <f t="shared" si="138"/>
        <v>505712050</v>
      </c>
      <c r="C5805" s="1">
        <v>45160</v>
      </c>
      <c r="D5805" s="1">
        <v>45162</v>
      </c>
      <c r="E5805">
        <v>1</v>
      </c>
      <c r="F5805" t="str">
        <f>"06-C02-03"</f>
        <v>06-C02-03</v>
      </c>
      <c r="G5805">
        <v>0.32650000000000001</v>
      </c>
      <c r="H5805" t="s">
        <v>11</v>
      </c>
      <c r="I5805" t="s">
        <v>10</v>
      </c>
    </row>
    <row r="5806" spans="1:9" x14ac:dyDescent="0.25">
      <c r="A5806" t="str">
        <f t="shared" si="137"/>
        <v>89301000</v>
      </c>
      <c r="B5806" t="str">
        <f t="shared" si="138"/>
        <v>505712050</v>
      </c>
      <c r="C5806" s="1">
        <v>45174</v>
      </c>
      <c r="D5806" s="1">
        <v>45176</v>
      </c>
      <c r="E5806">
        <v>1</v>
      </c>
      <c r="F5806" t="str">
        <f>"06-C02-03"</f>
        <v>06-C02-03</v>
      </c>
      <c r="G5806">
        <v>0.32650000000000001</v>
      </c>
      <c r="H5806" t="s">
        <v>11</v>
      </c>
      <c r="I5806" t="s">
        <v>10</v>
      </c>
    </row>
    <row r="5807" spans="1:9" x14ac:dyDescent="0.25">
      <c r="A5807" t="str">
        <f t="shared" si="137"/>
        <v>89301000</v>
      </c>
      <c r="B5807" t="str">
        <f>"505714323"</f>
        <v>505714323</v>
      </c>
      <c r="C5807" s="1">
        <v>44942</v>
      </c>
      <c r="D5807" s="1">
        <v>44944</v>
      </c>
      <c r="E5807">
        <v>1</v>
      </c>
      <c r="F5807" t="str">
        <f>"02-I06-04"</f>
        <v>02-I06-04</v>
      </c>
      <c r="G5807">
        <v>0.79630000000000001</v>
      </c>
      <c r="H5807" t="s">
        <v>12</v>
      </c>
      <c r="I5807" t="s">
        <v>10</v>
      </c>
    </row>
    <row r="5808" spans="1:9" x14ac:dyDescent="0.25">
      <c r="A5808" t="str">
        <f t="shared" si="137"/>
        <v>89301000</v>
      </c>
      <c r="B5808" t="str">
        <f>"505717153"</f>
        <v>505717153</v>
      </c>
      <c r="C5808" s="1">
        <v>45175</v>
      </c>
      <c r="D5808" s="1">
        <v>45177</v>
      </c>
      <c r="E5808">
        <v>1</v>
      </c>
      <c r="F5808" t="str">
        <f>"04-K07-03"</f>
        <v>04-K07-03</v>
      </c>
      <c r="G5808">
        <v>0.63570000000000004</v>
      </c>
      <c r="H5808" t="s">
        <v>11</v>
      </c>
      <c r="I5808" t="s">
        <v>10</v>
      </c>
    </row>
    <row r="5809" spans="1:9" x14ac:dyDescent="0.25">
      <c r="A5809" t="str">
        <f t="shared" si="137"/>
        <v>89301000</v>
      </c>
      <c r="B5809" t="str">
        <f>"505717351"</f>
        <v>505717351</v>
      </c>
      <c r="C5809" s="1">
        <v>45154</v>
      </c>
      <c r="D5809" s="1">
        <v>45156</v>
      </c>
      <c r="E5809">
        <v>1</v>
      </c>
      <c r="F5809" t="str">
        <f>"05-M05-02"</f>
        <v>05-M05-02</v>
      </c>
      <c r="G5809">
        <v>3.4817999999999998</v>
      </c>
      <c r="H5809" t="s">
        <v>14</v>
      </c>
      <c r="I5809" t="s">
        <v>10</v>
      </c>
    </row>
    <row r="5810" spans="1:9" x14ac:dyDescent="0.25">
      <c r="A5810" t="str">
        <f t="shared" si="137"/>
        <v>89301000</v>
      </c>
      <c r="B5810" t="str">
        <f>"505719046"</f>
        <v>505719046</v>
      </c>
      <c r="C5810" s="1">
        <v>45285</v>
      </c>
      <c r="D5810" s="1">
        <v>45289</v>
      </c>
      <c r="E5810">
        <v>1</v>
      </c>
      <c r="F5810" t="str">
        <f>"05-K13-02"</f>
        <v>05-K13-02</v>
      </c>
      <c r="G5810">
        <v>0.57220000000000004</v>
      </c>
      <c r="H5810" t="s">
        <v>11</v>
      </c>
      <c r="I5810" t="s">
        <v>10</v>
      </c>
    </row>
    <row r="5811" spans="1:9" x14ac:dyDescent="0.25">
      <c r="A5811" t="str">
        <f t="shared" si="137"/>
        <v>89301000</v>
      </c>
      <c r="B5811" t="str">
        <f>"505723074"</f>
        <v>505723074</v>
      </c>
      <c r="C5811" s="1">
        <v>45265</v>
      </c>
      <c r="D5811" s="1">
        <v>45271</v>
      </c>
      <c r="E5811">
        <v>1</v>
      </c>
      <c r="F5811" t="str">
        <f>"08-I06-04"</f>
        <v>08-I06-04</v>
      </c>
      <c r="G5811">
        <v>2.4180000000000001</v>
      </c>
      <c r="H5811" t="s">
        <v>9</v>
      </c>
      <c r="I5811" t="s">
        <v>10</v>
      </c>
    </row>
    <row r="5812" spans="1:9" x14ac:dyDescent="0.25">
      <c r="A5812" t="str">
        <f t="shared" si="137"/>
        <v>89301000</v>
      </c>
      <c r="B5812" t="str">
        <f>"505724071"</f>
        <v>505724071</v>
      </c>
      <c r="C5812" s="1">
        <v>45181</v>
      </c>
      <c r="D5812" s="1">
        <v>45182</v>
      </c>
      <c r="E5812">
        <v>1</v>
      </c>
      <c r="F5812" t="str">
        <f>"11-K05-00"</f>
        <v>11-K05-00</v>
      </c>
      <c r="G5812">
        <v>0.34339999999999998</v>
      </c>
      <c r="H5812" t="s">
        <v>11</v>
      </c>
      <c r="I5812" t="s">
        <v>10</v>
      </c>
    </row>
    <row r="5813" spans="1:9" x14ac:dyDescent="0.25">
      <c r="A5813" t="str">
        <f t="shared" si="137"/>
        <v>89301000</v>
      </c>
      <c r="B5813" t="str">
        <f>"505724071"</f>
        <v>505724071</v>
      </c>
      <c r="C5813" s="1">
        <v>45104</v>
      </c>
      <c r="D5813" s="1">
        <v>45112</v>
      </c>
      <c r="E5813">
        <v>1</v>
      </c>
      <c r="F5813" t="str">
        <f>"05-I18-04"</f>
        <v>05-I18-04</v>
      </c>
      <c r="G5813">
        <v>3.3858000000000001</v>
      </c>
      <c r="H5813" t="s">
        <v>12</v>
      </c>
      <c r="I5813" t="s">
        <v>10</v>
      </c>
    </row>
    <row r="5814" spans="1:9" x14ac:dyDescent="0.25">
      <c r="A5814" t="str">
        <f t="shared" si="137"/>
        <v>89301000</v>
      </c>
      <c r="B5814" t="str">
        <f>"505724071"</f>
        <v>505724071</v>
      </c>
      <c r="C5814" s="1">
        <v>44936</v>
      </c>
      <c r="D5814" s="1">
        <v>44938</v>
      </c>
      <c r="E5814">
        <v>1</v>
      </c>
      <c r="F5814" t="str">
        <f>"11-I14-02"</f>
        <v>11-I14-02</v>
      </c>
      <c r="G5814">
        <v>0.61839999999999995</v>
      </c>
      <c r="H5814" t="s">
        <v>9</v>
      </c>
      <c r="I5814" t="s">
        <v>10</v>
      </c>
    </row>
    <row r="5815" spans="1:9" x14ac:dyDescent="0.25">
      <c r="A5815" t="str">
        <f t="shared" si="137"/>
        <v>89301000</v>
      </c>
      <c r="B5815" t="str">
        <f>"505724071"</f>
        <v>505724071</v>
      </c>
      <c r="C5815" s="1">
        <v>45244</v>
      </c>
      <c r="D5815" s="1">
        <v>45245</v>
      </c>
      <c r="E5815">
        <v>1</v>
      </c>
      <c r="F5815" t="str">
        <f>"13-K15-01"</f>
        <v>13-K15-01</v>
      </c>
      <c r="G5815">
        <v>0.64419999999999999</v>
      </c>
      <c r="H5815" t="s">
        <v>11</v>
      </c>
      <c r="I5815" t="s">
        <v>10</v>
      </c>
    </row>
    <row r="5816" spans="1:9" x14ac:dyDescent="0.25">
      <c r="A5816" t="str">
        <f t="shared" si="137"/>
        <v>89301000</v>
      </c>
      <c r="B5816" t="str">
        <f>"505729071"</f>
        <v>505729071</v>
      </c>
      <c r="C5816" s="1">
        <v>45079</v>
      </c>
      <c r="D5816" s="1">
        <v>45080</v>
      </c>
      <c r="E5816">
        <v>1</v>
      </c>
      <c r="F5816" t="str">
        <f>"05-D01-08"</f>
        <v>05-D01-08</v>
      </c>
      <c r="G5816">
        <v>0.43159999999999998</v>
      </c>
      <c r="H5816" t="s">
        <v>11</v>
      </c>
      <c r="I5816" t="s">
        <v>10</v>
      </c>
    </row>
    <row r="5817" spans="1:9" x14ac:dyDescent="0.25">
      <c r="A5817" t="str">
        <f t="shared" si="137"/>
        <v>89301000</v>
      </c>
      <c r="B5817" t="str">
        <f>"505803131"</f>
        <v>505803131</v>
      </c>
      <c r="C5817" s="1">
        <v>45264</v>
      </c>
      <c r="D5817" s="1">
        <v>45265</v>
      </c>
      <c r="E5817">
        <v>1</v>
      </c>
      <c r="F5817" t="str">
        <f>"02-I06-04"</f>
        <v>02-I06-04</v>
      </c>
      <c r="G5817">
        <v>0.79630000000000001</v>
      </c>
      <c r="H5817" t="s">
        <v>12</v>
      </c>
      <c r="I5817" t="s">
        <v>10</v>
      </c>
    </row>
    <row r="5818" spans="1:9" x14ac:dyDescent="0.25">
      <c r="A5818" t="str">
        <f t="shared" si="137"/>
        <v>89301000</v>
      </c>
      <c r="B5818" t="str">
        <f>"505804220"</f>
        <v>505804220</v>
      </c>
      <c r="C5818" s="1">
        <v>45236</v>
      </c>
      <c r="D5818" s="1">
        <v>45240</v>
      </c>
      <c r="E5818">
        <v>1</v>
      </c>
      <c r="F5818" t="str">
        <f>"08-I06-05"</f>
        <v>08-I06-05</v>
      </c>
      <c r="G5818">
        <v>2.1507000000000001</v>
      </c>
      <c r="H5818" t="s">
        <v>9</v>
      </c>
      <c r="I5818" t="s">
        <v>10</v>
      </c>
    </row>
    <row r="5819" spans="1:9" x14ac:dyDescent="0.25">
      <c r="A5819" t="str">
        <f t="shared" si="137"/>
        <v>89301000</v>
      </c>
      <c r="B5819" t="str">
        <f>"505804220"</f>
        <v>505804220</v>
      </c>
      <c r="C5819" s="1">
        <v>45173</v>
      </c>
      <c r="D5819" s="1">
        <v>45174</v>
      </c>
      <c r="E5819">
        <v>1</v>
      </c>
      <c r="F5819" t="str">
        <f>"06-K11-00"</f>
        <v>06-K11-00</v>
      </c>
      <c r="G5819">
        <v>0.34200000000000003</v>
      </c>
      <c r="H5819" t="s">
        <v>11</v>
      </c>
      <c r="I5819" t="s">
        <v>10</v>
      </c>
    </row>
    <row r="5820" spans="1:9" x14ac:dyDescent="0.25">
      <c r="A5820" t="str">
        <f t="shared" si="137"/>
        <v>89301000</v>
      </c>
      <c r="B5820" t="str">
        <f>"505804264"</f>
        <v>505804264</v>
      </c>
      <c r="C5820" s="1">
        <v>45019</v>
      </c>
      <c r="D5820" s="1">
        <v>45022</v>
      </c>
      <c r="E5820">
        <v>1</v>
      </c>
      <c r="F5820" t="str">
        <f>"02-I06-04"</f>
        <v>02-I06-04</v>
      </c>
      <c r="G5820">
        <v>0.79630000000000001</v>
      </c>
      <c r="H5820" t="s">
        <v>12</v>
      </c>
      <c r="I5820" t="s">
        <v>10</v>
      </c>
    </row>
    <row r="5821" spans="1:9" x14ac:dyDescent="0.25">
      <c r="A5821" t="str">
        <f t="shared" si="137"/>
        <v>89301000</v>
      </c>
      <c r="B5821" t="str">
        <f>"505810019"</f>
        <v>505810019</v>
      </c>
      <c r="C5821" s="1">
        <v>45137</v>
      </c>
      <c r="D5821" s="1">
        <v>45150</v>
      </c>
      <c r="E5821">
        <v>8</v>
      </c>
      <c r="F5821" t="str">
        <f>"04-K08-03"</f>
        <v>04-K08-03</v>
      </c>
      <c r="G5821">
        <v>1.8479000000000001</v>
      </c>
      <c r="H5821" t="s">
        <v>11</v>
      </c>
      <c r="I5821" t="s">
        <v>10</v>
      </c>
    </row>
    <row r="5822" spans="1:9" x14ac:dyDescent="0.25">
      <c r="A5822" t="str">
        <f t="shared" si="137"/>
        <v>89301000</v>
      </c>
      <c r="B5822" t="str">
        <f>"505810019"</f>
        <v>505810019</v>
      </c>
      <c r="C5822" s="1">
        <v>44928</v>
      </c>
      <c r="D5822" s="1">
        <v>44935</v>
      </c>
      <c r="E5822">
        <v>1</v>
      </c>
      <c r="F5822" t="str">
        <f>"04-K07-03"</f>
        <v>04-K07-03</v>
      </c>
      <c r="G5822">
        <v>0.62139999999999995</v>
      </c>
      <c r="H5822" t="s">
        <v>11</v>
      </c>
      <c r="I5822" t="s">
        <v>10</v>
      </c>
    </row>
    <row r="5823" spans="1:9" x14ac:dyDescent="0.25">
      <c r="A5823" t="str">
        <f t="shared" si="137"/>
        <v>89301000</v>
      </c>
      <c r="B5823" t="str">
        <f>"505810019"</f>
        <v>505810019</v>
      </c>
      <c r="C5823" s="1">
        <v>44941</v>
      </c>
      <c r="D5823" s="1">
        <v>44965</v>
      </c>
      <c r="E5823">
        <v>2</v>
      </c>
      <c r="F5823" t="str">
        <f>"04-K02-03"</f>
        <v>04-K02-03</v>
      </c>
      <c r="G5823">
        <v>1.681</v>
      </c>
      <c r="H5823" t="s">
        <v>11</v>
      </c>
      <c r="I5823" t="s">
        <v>10</v>
      </c>
    </row>
    <row r="5824" spans="1:9" x14ac:dyDescent="0.25">
      <c r="A5824" t="str">
        <f t="shared" si="137"/>
        <v>89301000</v>
      </c>
      <c r="B5824" t="str">
        <f>"505812107"</f>
        <v>505812107</v>
      </c>
      <c r="C5824" s="1">
        <v>45204</v>
      </c>
      <c r="D5824" s="1">
        <v>45205</v>
      </c>
      <c r="E5824">
        <v>1</v>
      </c>
      <c r="F5824" t="str">
        <f>"01-I13-00"</f>
        <v>01-I13-00</v>
      </c>
      <c r="G5824">
        <v>0.38400000000000001</v>
      </c>
      <c r="H5824" t="s">
        <v>11</v>
      </c>
      <c r="I5824" t="s">
        <v>10</v>
      </c>
    </row>
    <row r="5825" spans="1:9" x14ac:dyDescent="0.25">
      <c r="A5825" t="str">
        <f t="shared" si="137"/>
        <v>89301000</v>
      </c>
      <c r="B5825" t="str">
        <f>"505818053"</f>
        <v>505818053</v>
      </c>
      <c r="C5825" s="1">
        <v>45275</v>
      </c>
      <c r="D5825" s="1">
        <v>45280</v>
      </c>
      <c r="E5825">
        <v>1</v>
      </c>
      <c r="F5825" t="str">
        <f>"04-K02-03"</f>
        <v>04-K02-03</v>
      </c>
      <c r="G5825">
        <v>1.298</v>
      </c>
      <c r="H5825" t="s">
        <v>11</v>
      </c>
      <c r="I5825" t="s">
        <v>10</v>
      </c>
    </row>
    <row r="5826" spans="1:9" x14ac:dyDescent="0.25">
      <c r="A5826" t="str">
        <f t="shared" si="137"/>
        <v>89301000</v>
      </c>
      <c r="B5826" t="str">
        <f>"505819345"</f>
        <v>505819345</v>
      </c>
      <c r="C5826" s="1">
        <v>44958</v>
      </c>
      <c r="D5826" s="1">
        <v>44959</v>
      </c>
      <c r="E5826">
        <v>1</v>
      </c>
      <c r="F5826" t="str">
        <f>"08-K04-03"</f>
        <v>08-K04-03</v>
      </c>
      <c r="G5826">
        <v>0.41799999999999998</v>
      </c>
      <c r="H5826" t="s">
        <v>11</v>
      </c>
      <c r="I5826" t="s">
        <v>10</v>
      </c>
    </row>
    <row r="5827" spans="1:9" x14ac:dyDescent="0.25">
      <c r="A5827" t="str">
        <f t="shared" si="137"/>
        <v>89301000</v>
      </c>
      <c r="B5827" t="str">
        <f>"505819345"</f>
        <v>505819345</v>
      </c>
      <c r="C5827" s="1">
        <v>45018</v>
      </c>
      <c r="D5827" s="1">
        <v>45021</v>
      </c>
      <c r="E5827">
        <v>1</v>
      </c>
      <c r="F5827" t="str">
        <f>"08-M03-05"</f>
        <v>08-M03-05</v>
      </c>
      <c r="G5827">
        <v>0.46810000000000002</v>
      </c>
      <c r="H5827" t="s">
        <v>11</v>
      </c>
      <c r="I5827" t="s">
        <v>10</v>
      </c>
    </row>
    <row r="5828" spans="1:9" x14ac:dyDescent="0.25">
      <c r="A5828" t="str">
        <f t="shared" si="137"/>
        <v>89301000</v>
      </c>
      <c r="B5828" t="str">
        <f>"505820075"</f>
        <v>505820075</v>
      </c>
      <c r="C5828" s="1">
        <v>45024</v>
      </c>
      <c r="D5828" s="1">
        <v>45029</v>
      </c>
      <c r="E5828">
        <v>1</v>
      </c>
      <c r="F5828" t="str">
        <f>"11-K01-04"</f>
        <v>11-K01-04</v>
      </c>
      <c r="G5828">
        <v>0.57130000000000003</v>
      </c>
      <c r="H5828" t="s">
        <v>11</v>
      </c>
      <c r="I5828" t="s">
        <v>10</v>
      </c>
    </row>
    <row r="5829" spans="1:9" x14ac:dyDescent="0.25">
      <c r="A5829" t="str">
        <f t="shared" si="137"/>
        <v>89301000</v>
      </c>
      <c r="B5829" t="str">
        <f>"505820075"</f>
        <v>505820075</v>
      </c>
      <c r="C5829" s="1">
        <v>45109</v>
      </c>
      <c r="D5829" s="1">
        <v>45117</v>
      </c>
      <c r="E5829">
        <v>1</v>
      </c>
      <c r="F5829" t="str">
        <f>"01-K10-03"</f>
        <v>01-K10-03</v>
      </c>
      <c r="G5829">
        <v>1.0348999999999999</v>
      </c>
      <c r="H5829" t="s">
        <v>11</v>
      </c>
      <c r="I5829" t="s">
        <v>10</v>
      </c>
    </row>
    <row r="5830" spans="1:9" x14ac:dyDescent="0.25">
      <c r="A5830" t="str">
        <f t="shared" si="137"/>
        <v>89301000</v>
      </c>
      <c r="B5830" t="str">
        <f>"505822068"</f>
        <v>505822068</v>
      </c>
      <c r="C5830" s="1">
        <v>45040</v>
      </c>
      <c r="D5830" s="1">
        <v>45042</v>
      </c>
      <c r="E5830">
        <v>1</v>
      </c>
      <c r="F5830" t="str">
        <f>"01-D01-03"</f>
        <v>01-D01-03</v>
      </c>
      <c r="G5830">
        <v>0.16200000000000001</v>
      </c>
      <c r="H5830" t="s">
        <v>11</v>
      </c>
      <c r="I5830" t="s">
        <v>10</v>
      </c>
    </row>
    <row r="5831" spans="1:9" x14ac:dyDescent="0.25">
      <c r="A5831" t="str">
        <f t="shared" si="137"/>
        <v>89301000</v>
      </c>
      <c r="B5831" t="str">
        <f>"505822068"</f>
        <v>505822068</v>
      </c>
      <c r="C5831" s="1">
        <v>44971</v>
      </c>
      <c r="D5831" s="1">
        <v>44972</v>
      </c>
      <c r="E5831">
        <v>1</v>
      </c>
      <c r="F5831" t="str">
        <f>"01-D01-03"</f>
        <v>01-D01-03</v>
      </c>
      <c r="G5831">
        <v>0.16200000000000001</v>
      </c>
      <c r="H5831" t="s">
        <v>11</v>
      </c>
      <c r="I5831" t="s">
        <v>10</v>
      </c>
    </row>
    <row r="5832" spans="1:9" x14ac:dyDescent="0.25">
      <c r="A5832" t="str">
        <f t="shared" si="137"/>
        <v>89301000</v>
      </c>
      <c r="B5832" t="str">
        <f t="shared" ref="B5832:B5837" si="139">"505826294"</f>
        <v>505826294</v>
      </c>
      <c r="C5832" s="1">
        <v>45076</v>
      </c>
      <c r="D5832" s="1">
        <v>45083</v>
      </c>
      <c r="E5832">
        <v>8</v>
      </c>
      <c r="F5832" t="str">
        <f>"04-K02-03"</f>
        <v>04-K02-03</v>
      </c>
      <c r="G5832">
        <v>1.298</v>
      </c>
      <c r="H5832" t="s">
        <v>11</v>
      </c>
      <c r="I5832" t="s">
        <v>10</v>
      </c>
    </row>
    <row r="5833" spans="1:9" x14ac:dyDescent="0.25">
      <c r="A5833" t="str">
        <f t="shared" si="137"/>
        <v>89301000</v>
      </c>
      <c r="B5833" t="str">
        <f t="shared" si="139"/>
        <v>505826294</v>
      </c>
      <c r="C5833" s="1">
        <v>44997</v>
      </c>
      <c r="D5833" s="1">
        <v>45006</v>
      </c>
      <c r="E5833">
        <v>1</v>
      </c>
      <c r="F5833" t="str">
        <f>"01-K04-01"</f>
        <v>01-K04-01</v>
      </c>
      <c r="G5833">
        <v>1.0985</v>
      </c>
      <c r="H5833" t="s">
        <v>11</v>
      </c>
      <c r="I5833" t="s">
        <v>10</v>
      </c>
    </row>
    <row r="5834" spans="1:9" x14ac:dyDescent="0.25">
      <c r="A5834" t="str">
        <f t="shared" si="137"/>
        <v>89301000</v>
      </c>
      <c r="B5834" t="str">
        <f t="shared" si="139"/>
        <v>505826294</v>
      </c>
      <c r="C5834" s="1">
        <v>44983</v>
      </c>
      <c r="D5834" s="1">
        <v>44991</v>
      </c>
      <c r="E5834">
        <v>1</v>
      </c>
      <c r="F5834" t="str">
        <f>"01-K03-06"</f>
        <v>01-K03-06</v>
      </c>
      <c r="G5834">
        <v>0.84740000000000004</v>
      </c>
      <c r="H5834" t="s">
        <v>11</v>
      </c>
      <c r="I5834" t="s">
        <v>10</v>
      </c>
    </row>
    <row r="5835" spans="1:9" x14ac:dyDescent="0.25">
      <c r="A5835" t="str">
        <f t="shared" si="137"/>
        <v>89301000</v>
      </c>
      <c r="B5835" t="str">
        <f t="shared" si="139"/>
        <v>505826294</v>
      </c>
      <c r="C5835" s="1">
        <v>44960</v>
      </c>
      <c r="D5835" s="1">
        <v>44965</v>
      </c>
      <c r="E5835">
        <v>1</v>
      </c>
      <c r="F5835" t="str">
        <f>"01-K03-06"</f>
        <v>01-K03-06</v>
      </c>
      <c r="G5835">
        <v>0.85660000000000003</v>
      </c>
      <c r="H5835" t="s">
        <v>11</v>
      </c>
      <c r="I5835" t="s">
        <v>10</v>
      </c>
    </row>
    <row r="5836" spans="1:9" x14ac:dyDescent="0.25">
      <c r="A5836" t="str">
        <f t="shared" ref="A5836:A5899" si="140">"89301000"</f>
        <v>89301000</v>
      </c>
      <c r="B5836" t="str">
        <f t="shared" si="139"/>
        <v>505826294</v>
      </c>
      <c r="C5836" s="1">
        <v>44930</v>
      </c>
      <c r="D5836" s="1">
        <v>44938</v>
      </c>
      <c r="E5836">
        <v>3</v>
      </c>
      <c r="F5836" t="str">
        <f>"01-I06-04"</f>
        <v>01-I06-04</v>
      </c>
      <c r="G5836">
        <v>3.6478999999999999</v>
      </c>
      <c r="H5836" t="s">
        <v>12</v>
      </c>
      <c r="I5836" t="s">
        <v>10</v>
      </c>
    </row>
    <row r="5837" spans="1:9" x14ac:dyDescent="0.25">
      <c r="A5837" t="str">
        <f t="shared" si="140"/>
        <v>89301000</v>
      </c>
      <c r="B5837" t="str">
        <f t="shared" si="139"/>
        <v>505826294</v>
      </c>
      <c r="C5837" s="1">
        <v>44938</v>
      </c>
      <c r="D5837" s="1">
        <v>44960</v>
      </c>
      <c r="E5837">
        <v>1</v>
      </c>
      <c r="F5837" t="str">
        <f>"24-M08-01"</f>
        <v>24-M08-01</v>
      </c>
      <c r="G5837">
        <v>2.0236999999999998</v>
      </c>
      <c r="H5837" t="s">
        <v>11</v>
      </c>
      <c r="I5837" t="s">
        <v>10</v>
      </c>
    </row>
    <row r="5838" spans="1:9" x14ac:dyDescent="0.25">
      <c r="A5838" t="str">
        <f t="shared" si="140"/>
        <v>89301000</v>
      </c>
      <c r="B5838" t="str">
        <f>"505827069"</f>
        <v>505827069</v>
      </c>
      <c r="C5838" s="1">
        <v>44984</v>
      </c>
      <c r="D5838" s="1">
        <v>44988</v>
      </c>
      <c r="E5838">
        <v>5</v>
      </c>
      <c r="F5838" t="str">
        <f>"08-I03-04"</f>
        <v>08-I03-04</v>
      </c>
      <c r="G5838">
        <v>4.0967000000000002</v>
      </c>
      <c r="H5838" t="s">
        <v>9</v>
      </c>
      <c r="I5838" t="s">
        <v>10</v>
      </c>
    </row>
    <row r="5839" spans="1:9" x14ac:dyDescent="0.25">
      <c r="A5839" t="str">
        <f t="shared" si="140"/>
        <v>89301000</v>
      </c>
      <c r="B5839" t="str">
        <f>"505828007"</f>
        <v>505828007</v>
      </c>
      <c r="C5839" s="1">
        <v>45093</v>
      </c>
      <c r="D5839" s="1">
        <v>45096</v>
      </c>
      <c r="E5839">
        <v>1</v>
      </c>
      <c r="F5839" t="str">
        <f>"17-I08-02"</f>
        <v>17-I08-02</v>
      </c>
      <c r="G5839">
        <v>1.1373</v>
      </c>
      <c r="H5839" t="s">
        <v>11</v>
      </c>
      <c r="I5839" t="s">
        <v>10</v>
      </c>
    </row>
    <row r="5840" spans="1:9" x14ac:dyDescent="0.25">
      <c r="A5840" t="str">
        <f t="shared" si="140"/>
        <v>89301000</v>
      </c>
      <c r="B5840" t="str">
        <f>"505829084"</f>
        <v>505829084</v>
      </c>
      <c r="C5840" s="1">
        <v>45088</v>
      </c>
      <c r="D5840" s="1">
        <v>45100</v>
      </c>
      <c r="E5840">
        <v>1</v>
      </c>
      <c r="F5840" t="str">
        <f>"04-K09-02"</f>
        <v>04-K09-02</v>
      </c>
      <c r="G5840">
        <v>1.155</v>
      </c>
      <c r="H5840" t="s">
        <v>11</v>
      </c>
      <c r="I5840" t="s">
        <v>10</v>
      </c>
    </row>
    <row r="5841" spans="1:9" x14ac:dyDescent="0.25">
      <c r="A5841" t="str">
        <f t="shared" si="140"/>
        <v>89301000</v>
      </c>
      <c r="B5841" t="str">
        <f>"505902168"</f>
        <v>505902168</v>
      </c>
      <c r="C5841" s="1">
        <v>45036</v>
      </c>
      <c r="D5841" s="1">
        <v>45049</v>
      </c>
      <c r="E5841">
        <v>1</v>
      </c>
      <c r="F5841" t="str">
        <f>"18-K01-06"</f>
        <v>18-K01-06</v>
      </c>
      <c r="G5841">
        <v>1.4659</v>
      </c>
      <c r="H5841" t="s">
        <v>11</v>
      </c>
      <c r="I5841" t="s">
        <v>10</v>
      </c>
    </row>
    <row r="5842" spans="1:9" x14ac:dyDescent="0.25">
      <c r="A5842" t="str">
        <f t="shared" si="140"/>
        <v>89301000</v>
      </c>
      <c r="B5842" t="str">
        <f>"505903064"</f>
        <v>505903064</v>
      </c>
      <c r="C5842" s="1">
        <v>44944</v>
      </c>
      <c r="D5842" s="1">
        <v>44952</v>
      </c>
      <c r="E5842">
        <v>2</v>
      </c>
      <c r="F5842" t="str">
        <f>"01-K12-01"</f>
        <v>01-K12-01</v>
      </c>
      <c r="G5842">
        <v>0.72709999999999997</v>
      </c>
      <c r="H5842" t="s">
        <v>11</v>
      </c>
      <c r="I5842" t="s">
        <v>10</v>
      </c>
    </row>
    <row r="5843" spans="1:9" x14ac:dyDescent="0.25">
      <c r="A5843" t="str">
        <f t="shared" si="140"/>
        <v>89301000</v>
      </c>
      <c r="B5843" t="str">
        <f>"505905039"</f>
        <v>505905039</v>
      </c>
      <c r="C5843" s="1">
        <v>45144</v>
      </c>
      <c r="D5843" s="1">
        <v>45148</v>
      </c>
      <c r="E5843">
        <v>1</v>
      </c>
      <c r="F5843" t="str">
        <f>"05-D01-06"</f>
        <v>05-D01-06</v>
      </c>
      <c r="G5843">
        <v>0.7571</v>
      </c>
      <c r="H5843" t="s">
        <v>11</v>
      </c>
      <c r="I5843" t="s">
        <v>10</v>
      </c>
    </row>
    <row r="5844" spans="1:9" x14ac:dyDescent="0.25">
      <c r="A5844" t="str">
        <f t="shared" si="140"/>
        <v>89301000</v>
      </c>
      <c r="B5844" t="str">
        <f>"505906205"</f>
        <v>505906205</v>
      </c>
      <c r="C5844" s="1">
        <v>45005</v>
      </c>
      <c r="D5844" s="1">
        <v>45008</v>
      </c>
      <c r="E5844">
        <v>1</v>
      </c>
      <c r="F5844" t="str">
        <f>"02-M01-02"</f>
        <v>02-M01-02</v>
      </c>
      <c r="G5844">
        <v>0.63149999999999995</v>
      </c>
      <c r="H5844" t="s">
        <v>11</v>
      </c>
      <c r="I5844" t="s">
        <v>10</v>
      </c>
    </row>
    <row r="5845" spans="1:9" x14ac:dyDescent="0.25">
      <c r="A5845" t="str">
        <f t="shared" si="140"/>
        <v>89301000</v>
      </c>
      <c r="B5845" t="str">
        <f>"505907227"</f>
        <v>505907227</v>
      </c>
      <c r="C5845" s="1">
        <v>44944</v>
      </c>
      <c r="D5845" s="1">
        <v>44944</v>
      </c>
      <c r="E5845">
        <v>1</v>
      </c>
      <c r="F5845" t="str">
        <f>"05-D01-02"</f>
        <v>05-D01-02</v>
      </c>
      <c r="G5845">
        <v>0.1414</v>
      </c>
      <c r="H5845" t="s">
        <v>11</v>
      </c>
      <c r="I5845" t="s">
        <v>10</v>
      </c>
    </row>
    <row r="5846" spans="1:9" x14ac:dyDescent="0.25">
      <c r="A5846" t="str">
        <f t="shared" si="140"/>
        <v>89301000</v>
      </c>
      <c r="B5846" t="str">
        <f>"505911133"</f>
        <v>505911133</v>
      </c>
      <c r="C5846" s="1">
        <v>45258</v>
      </c>
      <c r="D5846" s="1">
        <v>45261</v>
      </c>
      <c r="E5846">
        <v>1</v>
      </c>
      <c r="F5846" t="str">
        <f>"17-K03-01"</f>
        <v>17-K03-01</v>
      </c>
      <c r="G5846">
        <v>2.0066000000000002</v>
      </c>
      <c r="H5846" t="s">
        <v>11</v>
      </c>
      <c r="I5846" t="s">
        <v>10</v>
      </c>
    </row>
    <row r="5847" spans="1:9" x14ac:dyDescent="0.25">
      <c r="A5847" t="str">
        <f t="shared" si="140"/>
        <v>89301000</v>
      </c>
      <c r="B5847" t="str">
        <f>"505911133"</f>
        <v>505911133</v>
      </c>
      <c r="C5847" s="1">
        <v>45162</v>
      </c>
      <c r="D5847" s="1">
        <v>45182</v>
      </c>
      <c r="E5847">
        <v>1</v>
      </c>
      <c r="F5847" t="str">
        <f>"17-K03-01"</f>
        <v>17-K03-01</v>
      </c>
      <c r="G5847">
        <v>2.2014999999999998</v>
      </c>
      <c r="H5847" t="s">
        <v>11</v>
      </c>
      <c r="I5847" t="s">
        <v>10</v>
      </c>
    </row>
    <row r="5848" spans="1:9" x14ac:dyDescent="0.25">
      <c r="A5848" t="str">
        <f t="shared" si="140"/>
        <v>89301000</v>
      </c>
      <c r="B5848" t="str">
        <f>"505914268"</f>
        <v>505914268</v>
      </c>
      <c r="C5848" s="1">
        <v>45124</v>
      </c>
      <c r="D5848" s="1">
        <v>45126</v>
      </c>
      <c r="E5848">
        <v>1</v>
      </c>
      <c r="F5848" t="str">
        <f>"05-I14-04"</f>
        <v>05-I14-04</v>
      </c>
      <c r="G5848">
        <v>5.2220000000000004</v>
      </c>
      <c r="H5848" t="s">
        <v>12</v>
      </c>
      <c r="I5848" t="s">
        <v>10</v>
      </c>
    </row>
    <row r="5849" spans="1:9" x14ac:dyDescent="0.25">
      <c r="A5849" t="str">
        <f t="shared" si="140"/>
        <v>89301000</v>
      </c>
      <c r="B5849" t="str">
        <f>"505914268"</f>
        <v>505914268</v>
      </c>
      <c r="C5849" s="1">
        <v>45089</v>
      </c>
      <c r="D5849" s="1">
        <v>45090</v>
      </c>
      <c r="E5849">
        <v>1</v>
      </c>
      <c r="F5849" t="str">
        <f>"05-D01-06"</f>
        <v>05-D01-06</v>
      </c>
      <c r="G5849">
        <v>0.7571</v>
      </c>
      <c r="H5849" t="s">
        <v>11</v>
      </c>
      <c r="I5849" t="s">
        <v>10</v>
      </c>
    </row>
    <row r="5850" spans="1:9" x14ac:dyDescent="0.25">
      <c r="A5850" t="str">
        <f t="shared" si="140"/>
        <v>89301000</v>
      </c>
      <c r="B5850" t="str">
        <f>"505920201"</f>
        <v>505920201</v>
      </c>
      <c r="C5850" s="1">
        <v>45002</v>
      </c>
      <c r="D5850" s="1">
        <v>45007</v>
      </c>
      <c r="E5850">
        <v>5</v>
      </c>
      <c r="F5850" t="str">
        <f>"06-I12-02"</f>
        <v>06-I12-02</v>
      </c>
      <c r="G5850">
        <v>2.3982999999999999</v>
      </c>
      <c r="H5850" t="s">
        <v>11</v>
      </c>
      <c r="I5850" t="s">
        <v>10</v>
      </c>
    </row>
    <row r="5851" spans="1:9" x14ac:dyDescent="0.25">
      <c r="A5851" t="str">
        <f t="shared" si="140"/>
        <v>89301000</v>
      </c>
      <c r="B5851" t="str">
        <f>"505921258"</f>
        <v>505921258</v>
      </c>
      <c r="C5851" s="1">
        <v>44997</v>
      </c>
      <c r="D5851" s="1">
        <v>45002</v>
      </c>
      <c r="E5851">
        <v>1</v>
      </c>
      <c r="F5851" t="str">
        <f>"11-I07-01"</f>
        <v>11-I07-01</v>
      </c>
      <c r="G5851">
        <v>2.7482000000000002</v>
      </c>
      <c r="H5851" t="s">
        <v>9</v>
      </c>
      <c r="I5851" t="s">
        <v>10</v>
      </c>
    </row>
    <row r="5852" spans="1:9" x14ac:dyDescent="0.25">
      <c r="A5852" t="str">
        <f t="shared" si="140"/>
        <v>89301000</v>
      </c>
      <c r="B5852" t="str">
        <f>"505921258"</f>
        <v>505921258</v>
      </c>
      <c r="C5852" s="1">
        <v>44963</v>
      </c>
      <c r="D5852" s="1">
        <v>44967</v>
      </c>
      <c r="E5852">
        <v>1</v>
      </c>
      <c r="F5852" t="str">
        <f>"01-K04-02"</f>
        <v>01-K04-02</v>
      </c>
      <c r="G5852">
        <v>0.79990000000000006</v>
      </c>
      <c r="H5852" t="s">
        <v>11</v>
      </c>
      <c r="I5852" t="s">
        <v>10</v>
      </c>
    </row>
    <row r="5853" spans="1:9" x14ac:dyDescent="0.25">
      <c r="A5853" t="str">
        <f t="shared" si="140"/>
        <v>89301000</v>
      </c>
      <c r="B5853" t="str">
        <f>"505924319"</f>
        <v>505924319</v>
      </c>
      <c r="C5853" s="1">
        <v>45205</v>
      </c>
      <c r="D5853" s="1">
        <v>45208</v>
      </c>
      <c r="E5853">
        <v>1</v>
      </c>
      <c r="F5853" t="str">
        <f>"05-M06-04"</f>
        <v>05-M06-04</v>
      </c>
      <c r="G5853">
        <v>2.4176000000000002</v>
      </c>
      <c r="H5853" t="s">
        <v>12</v>
      </c>
      <c r="I5853" t="s">
        <v>10</v>
      </c>
    </row>
    <row r="5854" spans="1:9" x14ac:dyDescent="0.25">
      <c r="A5854" t="str">
        <f t="shared" si="140"/>
        <v>89301000</v>
      </c>
      <c r="B5854" t="str">
        <f>"505927215"</f>
        <v>505927215</v>
      </c>
      <c r="C5854" s="1">
        <v>45098</v>
      </c>
      <c r="D5854" s="1">
        <v>45105</v>
      </c>
      <c r="E5854">
        <v>1</v>
      </c>
      <c r="F5854" t="str">
        <f>"05-K13-01"</f>
        <v>05-K13-01</v>
      </c>
      <c r="G5854">
        <v>1.1911</v>
      </c>
      <c r="H5854" t="s">
        <v>11</v>
      </c>
      <c r="I5854" t="s">
        <v>10</v>
      </c>
    </row>
    <row r="5855" spans="1:9" x14ac:dyDescent="0.25">
      <c r="A5855" t="str">
        <f t="shared" si="140"/>
        <v>89301000</v>
      </c>
      <c r="B5855" t="str">
        <f>"505927215"</f>
        <v>505927215</v>
      </c>
      <c r="C5855" s="1">
        <v>45203</v>
      </c>
      <c r="D5855" s="1">
        <v>45211</v>
      </c>
      <c r="E5855">
        <v>1</v>
      </c>
      <c r="F5855" t="str">
        <f>"05-K13-01"</f>
        <v>05-K13-01</v>
      </c>
      <c r="G5855">
        <v>1.1911</v>
      </c>
      <c r="H5855" t="s">
        <v>11</v>
      </c>
      <c r="I5855" t="s">
        <v>10</v>
      </c>
    </row>
    <row r="5856" spans="1:9" x14ac:dyDescent="0.25">
      <c r="A5856" t="str">
        <f t="shared" si="140"/>
        <v>89301000</v>
      </c>
      <c r="B5856" t="str">
        <f>"506006088"</f>
        <v>506006088</v>
      </c>
      <c r="C5856" s="1">
        <v>44945</v>
      </c>
      <c r="D5856" s="1">
        <v>44950</v>
      </c>
      <c r="E5856">
        <v>1</v>
      </c>
      <c r="F5856" t="str">
        <f>"08-M03-05"</f>
        <v>08-M03-05</v>
      </c>
      <c r="G5856">
        <v>0.56310000000000004</v>
      </c>
      <c r="H5856" t="s">
        <v>11</v>
      </c>
      <c r="I5856" t="s">
        <v>10</v>
      </c>
    </row>
    <row r="5857" spans="1:9" x14ac:dyDescent="0.25">
      <c r="A5857" t="str">
        <f t="shared" si="140"/>
        <v>89301000</v>
      </c>
      <c r="B5857" t="str">
        <f>"506006089"</f>
        <v>506006089</v>
      </c>
      <c r="C5857" s="1">
        <v>44994</v>
      </c>
      <c r="D5857" s="1">
        <v>44997</v>
      </c>
      <c r="E5857">
        <v>1</v>
      </c>
      <c r="F5857" t="str">
        <f>"03-I12-04"</f>
        <v>03-I12-04</v>
      </c>
      <c r="G5857">
        <v>0.87470000000000003</v>
      </c>
      <c r="H5857" t="s">
        <v>12</v>
      </c>
      <c r="I5857" t="s">
        <v>10</v>
      </c>
    </row>
    <row r="5858" spans="1:9" x14ac:dyDescent="0.25">
      <c r="A5858" t="str">
        <f t="shared" si="140"/>
        <v>89301000</v>
      </c>
      <c r="B5858" t="str">
        <f>"506013207"</f>
        <v>506013207</v>
      </c>
      <c r="C5858" s="1">
        <v>44999</v>
      </c>
      <c r="D5858" s="1">
        <v>45007</v>
      </c>
      <c r="E5858">
        <v>1</v>
      </c>
      <c r="F5858" t="str">
        <f>"09-K07-02"</f>
        <v>09-K07-02</v>
      </c>
      <c r="G5858">
        <v>0.49120000000000003</v>
      </c>
      <c r="H5858" t="s">
        <v>11</v>
      </c>
      <c r="I5858" t="s">
        <v>10</v>
      </c>
    </row>
    <row r="5859" spans="1:9" x14ac:dyDescent="0.25">
      <c r="A5859" t="str">
        <f t="shared" si="140"/>
        <v>89301000</v>
      </c>
      <c r="B5859" t="str">
        <f>"506013207"</f>
        <v>506013207</v>
      </c>
      <c r="C5859" s="1">
        <v>45108</v>
      </c>
      <c r="D5859" s="1">
        <v>45117</v>
      </c>
      <c r="E5859">
        <v>1</v>
      </c>
      <c r="F5859" t="str">
        <f>"09-K07-02"</f>
        <v>09-K07-02</v>
      </c>
      <c r="G5859">
        <v>0.49120000000000003</v>
      </c>
      <c r="H5859" t="s">
        <v>11</v>
      </c>
      <c r="I5859" t="s">
        <v>10</v>
      </c>
    </row>
    <row r="5860" spans="1:9" x14ac:dyDescent="0.25">
      <c r="A5860" t="str">
        <f t="shared" si="140"/>
        <v>89301000</v>
      </c>
      <c r="B5860" t="str">
        <f>"506017166"</f>
        <v>506017166</v>
      </c>
      <c r="C5860" s="1">
        <v>44993</v>
      </c>
      <c r="D5860" s="1">
        <v>44994</v>
      </c>
      <c r="E5860">
        <v>1</v>
      </c>
      <c r="F5860" t="str">
        <f>"05-D01-03"</f>
        <v>05-D01-03</v>
      </c>
      <c r="G5860">
        <v>1.0057</v>
      </c>
      <c r="H5860" t="s">
        <v>11</v>
      </c>
      <c r="I5860" t="s">
        <v>10</v>
      </c>
    </row>
    <row r="5861" spans="1:9" x14ac:dyDescent="0.25">
      <c r="A5861" t="str">
        <f t="shared" si="140"/>
        <v>89301000</v>
      </c>
      <c r="B5861" t="str">
        <f>"506020165"</f>
        <v>506020165</v>
      </c>
      <c r="C5861" s="1">
        <v>45119</v>
      </c>
      <c r="D5861" s="1">
        <v>45124</v>
      </c>
      <c r="E5861">
        <v>1</v>
      </c>
      <c r="F5861" t="str">
        <f>"18-I01-02"</f>
        <v>18-I01-02</v>
      </c>
      <c r="G5861">
        <v>3.4251</v>
      </c>
      <c r="H5861" t="s">
        <v>11</v>
      </c>
      <c r="I5861" t="s">
        <v>10</v>
      </c>
    </row>
    <row r="5862" spans="1:9" x14ac:dyDescent="0.25">
      <c r="A5862" t="str">
        <f t="shared" si="140"/>
        <v>89301000</v>
      </c>
      <c r="B5862" t="str">
        <f>"506020165"</f>
        <v>506020165</v>
      </c>
      <c r="C5862" s="1">
        <v>45169</v>
      </c>
      <c r="D5862" s="1">
        <v>45175</v>
      </c>
      <c r="E5862">
        <v>1</v>
      </c>
      <c r="F5862" t="str">
        <f>"07-I11-02"</f>
        <v>07-I11-02</v>
      </c>
      <c r="G5862">
        <v>1.2623</v>
      </c>
      <c r="H5862" t="s">
        <v>11</v>
      </c>
      <c r="I5862" t="s">
        <v>10</v>
      </c>
    </row>
    <row r="5863" spans="1:9" x14ac:dyDescent="0.25">
      <c r="A5863" t="str">
        <f t="shared" si="140"/>
        <v>89301000</v>
      </c>
      <c r="B5863" t="str">
        <f>"506020165"</f>
        <v>506020165</v>
      </c>
      <c r="C5863" s="1">
        <v>45203</v>
      </c>
      <c r="D5863" s="1">
        <v>45209</v>
      </c>
      <c r="E5863">
        <v>4</v>
      </c>
      <c r="F5863" t="str">
        <f>"07-K07-02"</f>
        <v>07-K07-02</v>
      </c>
      <c r="G5863">
        <v>0.4839</v>
      </c>
      <c r="H5863" t="s">
        <v>11</v>
      </c>
      <c r="I5863" t="s">
        <v>10</v>
      </c>
    </row>
    <row r="5864" spans="1:9" x14ac:dyDescent="0.25">
      <c r="A5864" t="str">
        <f t="shared" si="140"/>
        <v>89301000</v>
      </c>
      <c r="B5864" t="str">
        <f>"506020165"</f>
        <v>506020165</v>
      </c>
      <c r="C5864" s="1">
        <v>45190</v>
      </c>
      <c r="D5864" s="1">
        <v>45194</v>
      </c>
      <c r="E5864">
        <v>1</v>
      </c>
      <c r="F5864" t="str">
        <f>"07-K07-02"</f>
        <v>07-K07-02</v>
      </c>
      <c r="G5864">
        <v>0.53069999999999995</v>
      </c>
      <c r="H5864" t="s">
        <v>11</v>
      </c>
      <c r="I5864" t="s">
        <v>10</v>
      </c>
    </row>
    <row r="5865" spans="1:9" x14ac:dyDescent="0.25">
      <c r="A5865" t="str">
        <f t="shared" si="140"/>
        <v>89301000</v>
      </c>
      <c r="B5865" t="str">
        <f>"506121217"</f>
        <v>506121217</v>
      </c>
      <c r="C5865" s="1">
        <v>45170</v>
      </c>
      <c r="D5865" s="1">
        <v>45175</v>
      </c>
      <c r="E5865">
        <v>1</v>
      </c>
      <c r="F5865" t="str">
        <f>"04-K02-04"</f>
        <v>04-K02-04</v>
      </c>
      <c r="G5865">
        <v>0.82099999999999995</v>
      </c>
      <c r="H5865" t="s">
        <v>11</v>
      </c>
      <c r="I5865" t="s">
        <v>10</v>
      </c>
    </row>
    <row r="5866" spans="1:9" x14ac:dyDescent="0.25">
      <c r="A5866" t="str">
        <f t="shared" si="140"/>
        <v>89301000</v>
      </c>
      <c r="B5866" t="str">
        <f>"506122161"</f>
        <v>506122161</v>
      </c>
      <c r="C5866" s="1">
        <v>45091</v>
      </c>
      <c r="D5866" s="1">
        <v>45093</v>
      </c>
      <c r="E5866">
        <v>1</v>
      </c>
      <c r="F5866" t="str">
        <f>"06-K04-03"</f>
        <v>06-K04-03</v>
      </c>
      <c r="G5866">
        <v>0.38019999999999998</v>
      </c>
      <c r="H5866" t="s">
        <v>11</v>
      </c>
      <c r="I5866" t="s">
        <v>10</v>
      </c>
    </row>
    <row r="5867" spans="1:9" x14ac:dyDescent="0.25">
      <c r="A5867" t="str">
        <f t="shared" si="140"/>
        <v>89301000</v>
      </c>
      <c r="B5867" t="str">
        <f>"506123270"</f>
        <v>506123270</v>
      </c>
      <c r="C5867" s="1">
        <v>45166</v>
      </c>
      <c r="D5867" s="1">
        <v>45169</v>
      </c>
      <c r="E5867">
        <v>1</v>
      </c>
      <c r="F5867" t="str">
        <f>"09-I06-04"</f>
        <v>09-I06-04</v>
      </c>
      <c r="G5867">
        <v>0.95069999999999999</v>
      </c>
      <c r="H5867" t="s">
        <v>12</v>
      </c>
      <c r="I5867" t="s">
        <v>10</v>
      </c>
    </row>
    <row r="5868" spans="1:9" x14ac:dyDescent="0.25">
      <c r="A5868" t="str">
        <f t="shared" si="140"/>
        <v>89301000</v>
      </c>
      <c r="B5868" t="str">
        <f>"506126054"</f>
        <v>506126054</v>
      </c>
      <c r="C5868" s="1">
        <v>44979</v>
      </c>
      <c r="D5868" s="1">
        <v>44980</v>
      </c>
      <c r="E5868">
        <v>1</v>
      </c>
      <c r="F5868" t="str">
        <f>"05-D01-08"</f>
        <v>05-D01-08</v>
      </c>
      <c r="G5868">
        <v>0.43159999999999998</v>
      </c>
      <c r="H5868" t="s">
        <v>11</v>
      </c>
      <c r="I5868" t="s">
        <v>10</v>
      </c>
    </row>
    <row r="5869" spans="1:9" x14ac:dyDescent="0.25">
      <c r="A5869" t="str">
        <f t="shared" si="140"/>
        <v>89301000</v>
      </c>
      <c r="B5869" t="str">
        <f>"506201189"</f>
        <v>506201189</v>
      </c>
      <c r="C5869" s="1">
        <v>45239</v>
      </c>
      <c r="D5869" s="1">
        <v>45242</v>
      </c>
      <c r="E5869">
        <v>1</v>
      </c>
      <c r="F5869" t="str">
        <f>"09-I06-04"</f>
        <v>09-I06-04</v>
      </c>
      <c r="G5869">
        <v>0.95069999999999999</v>
      </c>
      <c r="H5869" t="s">
        <v>12</v>
      </c>
      <c r="I5869" t="s">
        <v>10</v>
      </c>
    </row>
    <row r="5870" spans="1:9" x14ac:dyDescent="0.25">
      <c r="A5870" t="str">
        <f t="shared" si="140"/>
        <v>89301000</v>
      </c>
      <c r="B5870" t="str">
        <f>"506201189"</f>
        <v>506201189</v>
      </c>
      <c r="C5870" s="1">
        <v>45264</v>
      </c>
      <c r="D5870" s="1">
        <v>45269</v>
      </c>
      <c r="E5870">
        <v>1</v>
      </c>
      <c r="F5870" t="str">
        <f>"17-I10-02"</f>
        <v>17-I10-02</v>
      </c>
      <c r="G5870">
        <v>0.84730000000000005</v>
      </c>
      <c r="H5870" t="s">
        <v>11</v>
      </c>
      <c r="I5870" t="s">
        <v>10</v>
      </c>
    </row>
    <row r="5871" spans="1:9" x14ac:dyDescent="0.25">
      <c r="A5871" t="str">
        <f t="shared" si="140"/>
        <v>89301000</v>
      </c>
      <c r="B5871" t="str">
        <f>"506202124"</f>
        <v>506202124</v>
      </c>
      <c r="C5871" s="1">
        <v>45040</v>
      </c>
      <c r="D5871" s="1">
        <v>45046</v>
      </c>
      <c r="E5871">
        <v>1</v>
      </c>
      <c r="F5871" t="str">
        <f>"08-I03-06"</f>
        <v>08-I03-06</v>
      </c>
      <c r="G5871">
        <v>2.9211999999999998</v>
      </c>
      <c r="H5871" t="s">
        <v>9</v>
      </c>
      <c r="I5871" t="s">
        <v>10</v>
      </c>
    </row>
    <row r="5872" spans="1:9" x14ac:dyDescent="0.25">
      <c r="A5872" t="str">
        <f t="shared" si="140"/>
        <v>89301000</v>
      </c>
      <c r="B5872" t="str">
        <f>"506203240"</f>
        <v>506203240</v>
      </c>
      <c r="C5872" s="1">
        <v>44980</v>
      </c>
      <c r="D5872" s="1">
        <v>44986</v>
      </c>
      <c r="E5872">
        <v>1</v>
      </c>
      <c r="F5872" t="str">
        <f>"11-I08-03"</f>
        <v>11-I08-03</v>
      </c>
      <c r="G5872">
        <v>2.0529999999999999</v>
      </c>
      <c r="H5872" t="s">
        <v>9</v>
      </c>
      <c r="I5872" t="s">
        <v>10</v>
      </c>
    </row>
    <row r="5873" spans="1:9" x14ac:dyDescent="0.25">
      <c r="A5873" t="str">
        <f t="shared" si="140"/>
        <v>89301000</v>
      </c>
      <c r="B5873" t="str">
        <f>"506205218"</f>
        <v>506205218</v>
      </c>
      <c r="C5873" s="1">
        <v>45089</v>
      </c>
      <c r="D5873" s="1">
        <v>45093</v>
      </c>
      <c r="E5873">
        <v>1</v>
      </c>
      <c r="F5873" t="str">
        <f>"13-I11-03"</f>
        <v>13-I11-03</v>
      </c>
      <c r="G5873">
        <v>1.4332</v>
      </c>
      <c r="H5873" t="s">
        <v>9</v>
      </c>
      <c r="I5873" t="s">
        <v>10</v>
      </c>
    </row>
    <row r="5874" spans="1:9" x14ac:dyDescent="0.25">
      <c r="A5874" t="str">
        <f t="shared" si="140"/>
        <v>89301000</v>
      </c>
      <c r="B5874" t="str">
        <f>"506205218"</f>
        <v>506205218</v>
      </c>
      <c r="C5874" s="1">
        <v>44976</v>
      </c>
      <c r="D5874" s="1">
        <v>44977</v>
      </c>
      <c r="E5874">
        <v>1</v>
      </c>
      <c r="F5874" t="str">
        <f>"23-K01-00"</f>
        <v>23-K01-00</v>
      </c>
      <c r="G5874">
        <v>0.1401</v>
      </c>
      <c r="H5874" t="s">
        <v>11</v>
      </c>
      <c r="I5874" t="s">
        <v>10</v>
      </c>
    </row>
    <row r="5875" spans="1:9" x14ac:dyDescent="0.25">
      <c r="A5875" t="str">
        <f t="shared" si="140"/>
        <v>89301000</v>
      </c>
      <c r="B5875" t="str">
        <f>"506208051"</f>
        <v>506208051</v>
      </c>
      <c r="C5875" s="1">
        <v>45110</v>
      </c>
      <c r="D5875" s="1">
        <v>45120</v>
      </c>
      <c r="E5875">
        <v>1</v>
      </c>
      <c r="F5875" t="str">
        <f>"05-K13-01"</f>
        <v>05-K13-01</v>
      </c>
      <c r="G5875">
        <v>1.2131000000000001</v>
      </c>
      <c r="H5875" t="s">
        <v>11</v>
      </c>
      <c r="I5875" t="s">
        <v>10</v>
      </c>
    </row>
    <row r="5876" spans="1:9" x14ac:dyDescent="0.25">
      <c r="A5876" t="str">
        <f t="shared" si="140"/>
        <v>89301000</v>
      </c>
      <c r="B5876" t="str">
        <f>"506210302"</f>
        <v>506210302</v>
      </c>
      <c r="C5876" s="1">
        <v>45089</v>
      </c>
      <c r="D5876" s="1">
        <v>45090</v>
      </c>
      <c r="E5876">
        <v>1</v>
      </c>
      <c r="F5876" t="str">
        <f>"02-K03-00"</f>
        <v>02-K03-00</v>
      </c>
      <c r="G5876">
        <v>0.58779999999999999</v>
      </c>
      <c r="H5876" t="s">
        <v>11</v>
      </c>
      <c r="I5876" t="s">
        <v>10</v>
      </c>
    </row>
    <row r="5877" spans="1:9" x14ac:dyDescent="0.25">
      <c r="A5877" t="str">
        <f t="shared" si="140"/>
        <v>89301000</v>
      </c>
      <c r="B5877" t="str">
        <f>"506210302"</f>
        <v>506210302</v>
      </c>
      <c r="C5877" s="1">
        <v>45097</v>
      </c>
      <c r="D5877" s="1">
        <v>45098</v>
      </c>
      <c r="E5877">
        <v>1</v>
      </c>
      <c r="F5877" t="str">
        <f>"00-K01-02"</f>
        <v>00-K01-02</v>
      </c>
      <c r="G5877">
        <v>1.0307999999999999</v>
      </c>
      <c r="H5877" t="s">
        <v>12</v>
      </c>
      <c r="I5877" t="s">
        <v>10</v>
      </c>
    </row>
    <row r="5878" spans="1:9" x14ac:dyDescent="0.25">
      <c r="A5878" t="str">
        <f t="shared" si="140"/>
        <v>89301000</v>
      </c>
      <c r="B5878" t="str">
        <f>"506210302"</f>
        <v>506210302</v>
      </c>
      <c r="C5878" s="1">
        <v>45067</v>
      </c>
      <c r="D5878" s="1">
        <v>45071</v>
      </c>
      <c r="E5878">
        <v>1</v>
      </c>
      <c r="F5878" t="str">
        <f>"00-K01-02"</f>
        <v>00-K01-02</v>
      </c>
      <c r="G5878">
        <v>1.2081</v>
      </c>
      <c r="H5878" t="s">
        <v>12</v>
      </c>
      <c r="I5878" t="s">
        <v>10</v>
      </c>
    </row>
    <row r="5879" spans="1:9" x14ac:dyDescent="0.25">
      <c r="A5879" t="str">
        <f t="shared" si="140"/>
        <v>89301000</v>
      </c>
      <c r="B5879" t="str">
        <f>"506213311"</f>
        <v>506213311</v>
      </c>
      <c r="C5879" s="1">
        <v>45010</v>
      </c>
      <c r="D5879" s="1">
        <v>45021</v>
      </c>
      <c r="E5879">
        <v>1</v>
      </c>
      <c r="F5879" t="str">
        <f>"04-M01-06"</f>
        <v>04-M01-06</v>
      </c>
      <c r="G5879">
        <v>3.6739000000000002</v>
      </c>
      <c r="H5879" t="s">
        <v>11</v>
      </c>
      <c r="I5879" t="s">
        <v>10</v>
      </c>
    </row>
    <row r="5880" spans="1:9" x14ac:dyDescent="0.25">
      <c r="A5880" t="str">
        <f t="shared" si="140"/>
        <v>89301000</v>
      </c>
      <c r="B5880" t="str">
        <f>"506213311"</f>
        <v>506213311</v>
      </c>
      <c r="C5880" s="1">
        <v>44969</v>
      </c>
      <c r="D5880" s="1">
        <v>44977</v>
      </c>
      <c r="E5880">
        <v>1</v>
      </c>
      <c r="F5880" t="str">
        <f>"04-K08-02"</f>
        <v>04-K08-02</v>
      </c>
      <c r="G5880">
        <v>2.8220000000000001</v>
      </c>
      <c r="H5880" t="s">
        <v>11</v>
      </c>
      <c r="I5880" t="s">
        <v>10</v>
      </c>
    </row>
    <row r="5881" spans="1:9" x14ac:dyDescent="0.25">
      <c r="A5881" t="str">
        <f t="shared" si="140"/>
        <v>89301000</v>
      </c>
      <c r="B5881" t="str">
        <f>"506213311"</f>
        <v>506213311</v>
      </c>
      <c r="C5881" s="1">
        <v>44991</v>
      </c>
      <c r="D5881" s="1">
        <v>44994</v>
      </c>
      <c r="E5881">
        <v>1</v>
      </c>
      <c r="F5881" t="str">
        <f>"04-K08-03"</f>
        <v>04-K08-03</v>
      </c>
      <c r="G5881">
        <v>1.7977000000000001</v>
      </c>
      <c r="H5881" t="s">
        <v>11</v>
      </c>
      <c r="I5881" t="s">
        <v>10</v>
      </c>
    </row>
    <row r="5882" spans="1:9" x14ac:dyDescent="0.25">
      <c r="A5882" t="str">
        <f t="shared" si="140"/>
        <v>89301000</v>
      </c>
      <c r="B5882" t="str">
        <f>"506218324"</f>
        <v>506218324</v>
      </c>
      <c r="C5882" s="1">
        <v>45019</v>
      </c>
      <c r="D5882" s="1">
        <v>45020</v>
      </c>
      <c r="E5882">
        <v>1</v>
      </c>
      <c r="F5882" t="str">
        <f>"02-I13-02"</f>
        <v>02-I13-02</v>
      </c>
      <c r="G5882">
        <v>0.4259</v>
      </c>
      <c r="H5882" t="s">
        <v>11</v>
      </c>
      <c r="I5882" t="s">
        <v>10</v>
      </c>
    </row>
    <row r="5883" spans="1:9" x14ac:dyDescent="0.25">
      <c r="A5883" t="str">
        <f t="shared" si="140"/>
        <v>89301000</v>
      </c>
      <c r="B5883" t="str">
        <f>"506222202"</f>
        <v>506222202</v>
      </c>
      <c r="C5883" s="1">
        <v>45130</v>
      </c>
      <c r="D5883" s="1">
        <v>45135</v>
      </c>
      <c r="E5883">
        <v>3</v>
      </c>
      <c r="F5883" t="str">
        <f>"08-I05-04"</f>
        <v>08-I05-04</v>
      </c>
      <c r="G5883">
        <v>2.4445000000000001</v>
      </c>
      <c r="H5883" t="s">
        <v>12</v>
      </c>
      <c r="I5883" t="s">
        <v>10</v>
      </c>
    </row>
    <row r="5884" spans="1:9" x14ac:dyDescent="0.25">
      <c r="A5884" t="str">
        <f t="shared" si="140"/>
        <v>89301000</v>
      </c>
      <c r="B5884" t="str">
        <f>"506222202"</f>
        <v>506222202</v>
      </c>
      <c r="C5884" s="1">
        <v>45135</v>
      </c>
      <c r="D5884" s="1">
        <v>45149</v>
      </c>
      <c r="E5884">
        <v>1</v>
      </c>
      <c r="F5884" t="str">
        <f>"24-M07-02"</f>
        <v>24-M07-02</v>
      </c>
      <c r="G5884">
        <v>1.5729</v>
      </c>
      <c r="H5884" t="s">
        <v>11</v>
      </c>
      <c r="I5884" t="s">
        <v>10</v>
      </c>
    </row>
    <row r="5885" spans="1:9" x14ac:dyDescent="0.25">
      <c r="A5885" t="str">
        <f t="shared" si="140"/>
        <v>89301000</v>
      </c>
      <c r="B5885" t="str">
        <f>"506223391"</f>
        <v>506223391</v>
      </c>
      <c r="C5885" s="1">
        <v>45071</v>
      </c>
      <c r="D5885" s="1">
        <v>45083</v>
      </c>
      <c r="E5885">
        <v>1</v>
      </c>
      <c r="F5885" t="str">
        <f>"02-I06-01"</f>
        <v>02-I06-01</v>
      </c>
      <c r="G5885">
        <v>1.6951000000000001</v>
      </c>
      <c r="H5885" t="s">
        <v>12</v>
      </c>
      <c r="I5885" t="s">
        <v>10</v>
      </c>
    </row>
    <row r="5886" spans="1:9" x14ac:dyDescent="0.25">
      <c r="A5886" t="str">
        <f t="shared" si="140"/>
        <v>89301000</v>
      </c>
      <c r="B5886" t="str">
        <f>"506225294"</f>
        <v>506225294</v>
      </c>
      <c r="C5886" s="1">
        <v>45204</v>
      </c>
      <c r="D5886" s="1">
        <v>45208</v>
      </c>
      <c r="E5886">
        <v>1</v>
      </c>
      <c r="F5886" t="str">
        <f>"07-M02-04"</f>
        <v>07-M02-04</v>
      </c>
      <c r="G5886">
        <v>0.77339999999999998</v>
      </c>
      <c r="H5886" t="s">
        <v>12</v>
      </c>
      <c r="I5886" t="s">
        <v>10</v>
      </c>
    </row>
    <row r="5887" spans="1:9" x14ac:dyDescent="0.25">
      <c r="A5887" t="str">
        <f t="shared" si="140"/>
        <v>89301000</v>
      </c>
      <c r="B5887" t="str">
        <f>"506225294"</f>
        <v>506225294</v>
      </c>
      <c r="C5887" s="1">
        <v>45029</v>
      </c>
      <c r="D5887" s="1">
        <v>45032</v>
      </c>
      <c r="E5887">
        <v>1</v>
      </c>
      <c r="F5887" t="str">
        <f>"07-M02-04"</f>
        <v>07-M02-04</v>
      </c>
      <c r="G5887">
        <v>0.90629999999999999</v>
      </c>
      <c r="H5887" t="s">
        <v>12</v>
      </c>
      <c r="I5887" t="s">
        <v>10</v>
      </c>
    </row>
    <row r="5888" spans="1:9" x14ac:dyDescent="0.25">
      <c r="A5888" t="str">
        <f t="shared" si="140"/>
        <v>89301000</v>
      </c>
      <c r="B5888" t="str">
        <f>"506226167"</f>
        <v>506226167</v>
      </c>
      <c r="C5888" s="1">
        <v>45238</v>
      </c>
      <c r="D5888" s="1">
        <v>45238</v>
      </c>
      <c r="E5888">
        <v>1</v>
      </c>
      <c r="F5888" t="str">
        <f>"05-D01-08"</f>
        <v>05-D01-08</v>
      </c>
      <c r="G5888">
        <v>0.2303</v>
      </c>
      <c r="H5888" t="s">
        <v>11</v>
      </c>
      <c r="I5888" t="s">
        <v>10</v>
      </c>
    </row>
    <row r="5889" spans="1:9" x14ac:dyDescent="0.25">
      <c r="A5889" t="str">
        <f t="shared" si="140"/>
        <v>89301000</v>
      </c>
      <c r="B5889" t="str">
        <f>"506226167"</f>
        <v>506226167</v>
      </c>
      <c r="C5889" s="1">
        <v>44999</v>
      </c>
      <c r="D5889" s="1">
        <v>45000</v>
      </c>
      <c r="E5889">
        <v>1</v>
      </c>
      <c r="F5889" t="str">
        <f>"11-I14-02"</f>
        <v>11-I14-02</v>
      </c>
      <c r="G5889">
        <v>0.61839999999999995</v>
      </c>
      <c r="H5889" t="s">
        <v>9</v>
      </c>
      <c r="I5889" t="s">
        <v>10</v>
      </c>
    </row>
    <row r="5890" spans="1:9" x14ac:dyDescent="0.25">
      <c r="A5890" t="str">
        <f t="shared" si="140"/>
        <v>89301000</v>
      </c>
      <c r="B5890" t="str">
        <f>"506227270"</f>
        <v>506227270</v>
      </c>
      <c r="C5890" s="1">
        <v>45030</v>
      </c>
      <c r="D5890" s="1">
        <v>45030</v>
      </c>
      <c r="E5890">
        <v>1</v>
      </c>
      <c r="F5890" t="str">
        <f>"05-M06-08"</f>
        <v>05-M06-08</v>
      </c>
      <c r="G5890">
        <v>1.1012</v>
      </c>
      <c r="H5890" t="s">
        <v>12</v>
      </c>
      <c r="I5890" t="s">
        <v>10</v>
      </c>
    </row>
    <row r="5891" spans="1:9" x14ac:dyDescent="0.25">
      <c r="A5891" t="str">
        <f t="shared" si="140"/>
        <v>89301000</v>
      </c>
      <c r="B5891" t="str">
        <f>"506227270"</f>
        <v>506227270</v>
      </c>
      <c r="C5891" s="1">
        <v>45148</v>
      </c>
      <c r="D5891" s="1">
        <v>45149</v>
      </c>
      <c r="E5891">
        <v>1</v>
      </c>
      <c r="F5891" t="str">
        <f>"05-M05-02"</f>
        <v>05-M05-02</v>
      </c>
      <c r="G5891">
        <v>3.4817999999999998</v>
      </c>
      <c r="H5891" t="s">
        <v>14</v>
      </c>
      <c r="I5891" t="s">
        <v>10</v>
      </c>
    </row>
    <row r="5892" spans="1:9" x14ac:dyDescent="0.25">
      <c r="A5892" t="str">
        <f t="shared" si="140"/>
        <v>89301000</v>
      </c>
      <c r="B5892" t="str">
        <f>"506228029"</f>
        <v>506228029</v>
      </c>
      <c r="C5892" s="1">
        <v>45132</v>
      </c>
      <c r="D5892" s="1">
        <v>45133</v>
      </c>
      <c r="E5892">
        <v>1</v>
      </c>
      <c r="F5892" t="str">
        <f>"05-M06-08"</f>
        <v>05-M06-08</v>
      </c>
      <c r="G5892">
        <v>1.4228000000000001</v>
      </c>
      <c r="H5892" t="s">
        <v>12</v>
      </c>
      <c r="I5892" t="s">
        <v>10</v>
      </c>
    </row>
    <row r="5893" spans="1:9" x14ac:dyDescent="0.25">
      <c r="A5893" t="str">
        <f t="shared" si="140"/>
        <v>89301000</v>
      </c>
      <c r="B5893" t="str">
        <f>"506228029"</f>
        <v>506228029</v>
      </c>
      <c r="C5893" s="1">
        <v>45085</v>
      </c>
      <c r="D5893" s="1">
        <v>45089</v>
      </c>
      <c r="E5893">
        <v>1</v>
      </c>
      <c r="F5893" t="str">
        <f>"05-M06-06"</f>
        <v>05-M06-06</v>
      </c>
      <c r="G5893">
        <v>1.8264</v>
      </c>
      <c r="H5893" t="s">
        <v>12</v>
      </c>
      <c r="I5893" t="s">
        <v>10</v>
      </c>
    </row>
    <row r="5894" spans="1:9" x14ac:dyDescent="0.25">
      <c r="A5894" t="str">
        <f t="shared" si="140"/>
        <v>89301000</v>
      </c>
      <c r="B5894" t="str">
        <f>"510104067"</f>
        <v>510104067</v>
      </c>
      <c r="C5894" s="1">
        <v>45151</v>
      </c>
      <c r="D5894" s="1">
        <v>45160</v>
      </c>
      <c r="E5894">
        <v>3</v>
      </c>
      <c r="F5894" t="str">
        <f>"01-K10-01"</f>
        <v>01-K10-01</v>
      </c>
      <c r="G5894">
        <v>2.6547999999999998</v>
      </c>
      <c r="H5894" t="s">
        <v>11</v>
      </c>
      <c r="I5894" t="s">
        <v>10</v>
      </c>
    </row>
    <row r="5895" spans="1:9" x14ac:dyDescent="0.25">
      <c r="A5895" t="str">
        <f t="shared" si="140"/>
        <v>89301000</v>
      </c>
      <c r="B5895" t="str">
        <f>"510104067"</f>
        <v>510104067</v>
      </c>
      <c r="C5895" s="1">
        <v>45160</v>
      </c>
      <c r="D5895" s="1">
        <v>45169</v>
      </c>
      <c r="E5895">
        <v>1</v>
      </c>
      <c r="F5895" t="str">
        <f>"24-M06-01"</f>
        <v>24-M06-01</v>
      </c>
      <c r="G5895">
        <v>1.1990000000000001</v>
      </c>
      <c r="H5895" t="s">
        <v>11</v>
      </c>
      <c r="I5895" t="s">
        <v>10</v>
      </c>
    </row>
    <row r="5896" spans="1:9" x14ac:dyDescent="0.25">
      <c r="A5896" t="str">
        <f t="shared" si="140"/>
        <v>89301000</v>
      </c>
      <c r="B5896" t="str">
        <f>"510106165"</f>
        <v>510106165</v>
      </c>
      <c r="C5896" s="1">
        <v>45067</v>
      </c>
      <c r="D5896" s="1">
        <v>45073</v>
      </c>
      <c r="E5896">
        <v>1</v>
      </c>
      <c r="F5896" t="str">
        <f>"12-I02-01"</f>
        <v>12-I02-01</v>
      </c>
      <c r="G5896">
        <v>3.3855</v>
      </c>
      <c r="H5896" t="s">
        <v>9</v>
      </c>
      <c r="I5896" t="s">
        <v>10</v>
      </c>
    </row>
    <row r="5897" spans="1:9" x14ac:dyDescent="0.25">
      <c r="A5897" t="str">
        <f t="shared" si="140"/>
        <v>89301000</v>
      </c>
      <c r="B5897" t="str">
        <f>"510109112"</f>
        <v>510109112</v>
      </c>
      <c r="C5897" s="1">
        <v>45225</v>
      </c>
      <c r="D5897" s="1">
        <v>45226</v>
      </c>
      <c r="E5897">
        <v>1</v>
      </c>
      <c r="F5897" t="str">
        <f>"06-M01-05"</f>
        <v>06-M01-05</v>
      </c>
      <c r="G5897">
        <v>0.4178</v>
      </c>
      <c r="H5897" t="s">
        <v>11</v>
      </c>
      <c r="I5897" t="s">
        <v>10</v>
      </c>
    </row>
    <row r="5898" spans="1:9" x14ac:dyDescent="0.25">
      <c r="A5898" t="str">
        <f t="shared" si="140"/>
        <v>89301000</v>
      </c>
      <c r="B5898" t="str">
        <f>"510112207"</f>
        <v>510112207</v>
      </c>
      <c r="C5898" s="1">
        <v>45279</v>
      </c>
      <c r="D5898" s="1">
        <v>45282</v>
      </c>
      <c r="E5898">
        <v>5</v>
      </c>
      <c r="F5898" t="str">
        <f>"08-I03-06"</f>
        <v>08-I03-06</v>
      </c>
      <c r="G5898">
        <v>2.9211999999999998</v>
      </c>
      <c r="H5898" t="s">
        <v>9</v>
      </c>
      <c r="I5898" t="s">
        <v>10</v>
      </c>
    </row>
    <row r="5899" spans="1:9" x14ac:dyDescent="0.25">
      <c r="A5899" t="str">
        <f t="shared" si="140"/>
        <v>89301000</v>
      </c>
      <c r="B5899" t="str">
        <f>"510113342"</f>
        <v>510113342</v>
      </c>
      <c r="C5899" s="1">
        <v>45245</v>
      </c>
      <c r="D5899" s="1">
        <v>45254</v>
      </c>
      <c r="E5899">
        <v>1</v>
      </c>
      <c r="F5899" t="str">
        <f>"08-K08-00"</f>
        <v>08-K08-00</v>
      </c>
      <c r="G5899">
        <v>0.5272</v>
      </c>
      <c r="H5899" t="s">
        <v>11</v>
      </c>
      <c r="I5899" t="s">
        <v>10</v>
      </c>
    </row>
    <row r="5900" spans="1:9" x14ac:dyDescent="0.25">
      <c r="A5900" t="str">
        <f t="shared" ref="A5900:A5962" si="141">"89301000"</f>
        <v>89301000</v>
      </c>
      <c r="B5900" t="str">
        <f>"510118356"</f>
        <v>510118356</v>
      </c>
      <c r="C5900" s="1">
        <v>44975</v>
      </c>
      <c r="D5900" s="1">
        <v>44995</v>
      </c>
      <c r="E5900">
        <v>1</v>
      </c>
      <c r="F5900" t="str">
        <f>"08-I06-04"</f>
        <v>08-I06-04</v>
      </c>
      <c r="G5900">
        <v>3.0531000000000001</v>
      </c>
      <c r="H5900" t="s">
        <v>9</v>
      </c>
      <c r="I5900" t="s">
        <v>10</v>
      </c>
    </row>
    <row r="5901" spans="1:9" x14ac:dyDescent="0.25">
      <c r="A5901" t="str">
        <f t="shared" si="141"/>
        <v>89301000</v>
      </c>
      <c r="B5901" t="str">
        <f>"510120190"</f>
        <v>510120190</v>
      </c>
      <c r="C5901" s="1">
        <v>45019</v>
      </c>
      <c r="D5901" s="1">
        <v>45021</v>
      </c>
      <c r="E5901">
        <v>1</v>
      </c>
      <c r="F5901" t="str">
        <f>"04-K07-03"</f>
        <v>04-K07-03</v>
      </c>
      <c r="G5901">
        <v>0.61119999999999997</v>
      </c>
      <c r="H5901" t="s">
        <v>11</v>
      </c>
      <c r="I5901" t="s">
        <v>10</v>
      </c>
    </row>
    <row r="5902" spans="1:9" x14ac:dyDescent="0.25">
      <c r="A5902" t="str">
        <f t="shared" si="141"/>
        <v>89301000</v>
      </c>
      <c r="B5902" t="str">
        <f>"510120190"</f>
        <v>510120190</v>
      </c>
      <c r="C5902" s="1">
        <v>44971</v>
      </c>
      <c r="D5902" s="1">
        <v>44974</v>
      </c>
      <c r="E5902">
        <v>1</v>
      </c>
      <c r="F5902" t="str">
        <f>"04-M02-04"</f>
        <v>04-M02-04</v>
      </c>
      <c r="G5902">
        <v>0.82489999999999997</v>
      </c>
      <c r="H5902" t="s">
        <v>11</v>
      </c>
      <c r="I5902" t="s">
        <v>10</v>
      </c>
    </row>
    <row r="5903" spans="1:9" x14ac:dyDescent="0.25">
      <c r="A5903" t="str">
        <f t="shared" si="141"/>
        <v>89301000</v>
      </c>
      <c r="B5903" t="str">
        <f>"510122340"</f>
        <v>510122340</v>
      </c>
      <c r="C5903" s="1">
        <v>45175</v>
      </c>
      <c r="D5903" s="1">
        <v>45176</v>
      </c>
      <c r="E5903">
        <v>1</v>
      </c>
      <c r="F5903" t="str">
        <f>"11-K08-02"</f>
        <v>11-K08-02</v>
      </c>
      <c r="G5903">
        <v>0.50570000000000004</v>
      </c>
      <c r="H5903" t="s">
        <v>11</v>
      </c>
      <c r="I5903" t="s">
        <v>10</v>
      </c>
    </row>
    <row r="5904" spans="1:9" x14ac:dyDescent="0.25">
      <c r="A5904" t="str">
        <f t="shared" si="141"/>
        <v>89301000</v>
      </c>
      <c r="B5904" t="str">
        <f>"510124011"</f>
        <v>510124011</v>
      </c>
      <c r="C5904" s="1">
        <v>45075</v>
      </c>
      <c r="D5904" s="1">
        <v>45079</v>
      </c>
      <c r="E5904">
        <v>1</v>
      </c>
      <c r="F5904" t="str">
        <f>"08-I06-04"</f>
        <v>08-I06-04</v>
      </c>
      <c r="G5904">
        <v>2.3641999999999999</v>
      </c>
      <c r="H5904" t="s">
        <v>9</v>
      </c>
      <c r="I5904" t="s">
        <v>10</v>
      </c>
    </row>
    <row r="5905" spans="1:9" x14ac:dyDescent="0.25">
      <c r="A5905" t="str">
        <f t="shared" si="141"/>
        <v>89301000</v>
      </c>
      <c r="B5905" t="str">
        <f>"510124267"</f>
        <v>510124267</v>
      </c>
      <c r="C5905" s="1">
        <v>44931</v>
      </c>
      <c r="D5905" s="1">
        <v>44941</v>
      </c>
      <c r="E5905">
        <v>1</v>
      </c>
      <c r="F5905" t="str">
        <f>"11-M06-02"</f>
        <v>11-M06-02</v>
      </c>
      <c r="G5905">
        <v>1.123</v>
      </c>
      <c r="H5905" t="s">
        <v>12</v>
      </c>
      <c r="I5905" t="s">
        <v>10</v>
      </c>
    </row>
    <row r="5906" spans="1:9" x14ac:dyDescent="0.25">
      <c r="A5906" t="str">
        <f t="shared" si="141"/>
        <v>89301000</v>
      </c>
      <c r="B5906" t="str">
        <f>"510124267"</f>
        <v>510124267</v>
      </c>
      <c r="C5906" s="1">
        <v>45123</v>
      </c>
      <c r="D5906" s="1">
        <v>45157</v>
      </c>
      <c r="E5906">
        <v>8</v>
      </c>
      <c r="F5906" t="str">
        <f>"11-I01-01"</f>
        <v>11-I01-01</v>
      </c>
      <c r="G5906">
        <v>7.4363000000000001</v>
      </c>
      <c r="H5906" t="s">
        <v>14</v>
      </c>
      <c r="I5906" t="s">
        <v>10</v>
      </c>
    </row>
    <row r="5907" spans="1:9" x14ac:dyDescent="0.25">
      <c r="A5907" t="str">
        <f t="shared" si="141"/>
        <v>89301000</v>
      </c>
      <c r="B5907" t="str">
        <f>"510129341"</f>
        <v>510129341</v>
      </c>
      <c r="C5907" s="1">
        <v>45259</v>
      </c>
      <c r="D5907" s="1">
        <v>45260</v>
      </c>
      <c r="E5907">
        <v>1</v>
      </c>
      <c r="F5907" t="str">
        <f>"02-I06-04"</f>
        <v>02-I06-04</v>
      </c>
      <c r="G5907">
        <v>0.79630000000000001</v>
      </c>
      <c r="H5907" t="s">
        <v>12</v>
      </c>
      <c r="I5907" t="s">
        <v>10</v>
      </c>
    </row>
    <row r="5908" spans="1:9" x14ac:dyDescent="0.25">
      <c r="A5908" t="str">
        <f t="shared" si="141"/>
        <v>89301000</v>
      </c>
      <c r="B5908" t="str">
        <f>"510129341"</f>
        <v>510129341</v>
      </c>
      <c r="C5908" s="1">
        <v>45181</v>
      </c>
      <c r="D5908" s="1">
        <v>45182</v>
      </c>
      <c r="E5908">
        <v>1</v>
      </c>
      <c r="F5908" t="str">
        <f>"02-I06-04"</f>
        <v>02-I06-04</v>
      </c>
      <c r="G5908">
        <v>0.79630000000000001</v>
      </c>
      <c r="H5908" t="s">
        <v>12</v>
      </c>
      <c r="I5908" t="s">
        <v>10</v>
      </c>
    </row>
    <row r="5909" spans="1:9" x14ac:dyDescent="0.25">
      <c r="A5909" t="str">
        <f t="shared" si="141"/>
        <v>89301000</v>
      </c>
      <c r="B5909" t="str">
        <f>"510131338"</f>
        <v>510131338</v>
      </c>
      <c r="C5909" s="1">
        <v>44944</v>
      </c>
      <c r="D5909" s="1">
        <v>44949</v>
      </c>
      <c r="E5909">
        <v>1</v>
      </c>
      <c r="F5909" t="str">
        <f>"03-I18-01"</f>
        <v>03-I18-01</v>
      </c>
      <c r="G5909">
        <v>1.1496999999999999</v>
      </c>
      <c r="H5909" t="s">
        <v>9</v>
      </c>
      <c r="I5909" t="s">
        <v>10</v>
      </c>
    </row>
    <row r="5910" spans="1:9" x14ac:dyDescent="0.25">
      <c r="A5910" t="str">
        <f t="shared" si="141"/>
        <v>89301000</v>
      </c>
      <c r="B5910" t="str">
        <f>"510131373"</f>
        <v>510131373</v>
      </c>
      <c r="C5910" s="1">
        <v>45180</v>
      </c>
      <c r="D5910" s="1">
        <v>45181</v>
      </c>
      <c r="E5910">
        <v>1</v>
      </c>
      <c r="F5910" t="str">
        <f>"09-I13-04"</f>
        <v>09-I13-04</v>
      </c>
      <c r="G5910">
        <v>0.54139999999999999</v>
      </c>
      <c r="H5910" t="s">
        <v>11</v>
      </c>
      <c r="I5910" t="s">
        <v>10</v>
      </c>
    </row>
    <row r="5911" spans="1:9" x14ac:dyDescent="0.25">
      <c r="A5911" t="str">
        <f t="shared" si="141"/>
        <v>89301000</v>
      </c>
      <c r="B5911" t="str">
        <f>"510206066"</f>
        <v>510206066</v>
      </c>
      <c r="C5911" s="1">
        <v>45270</v>
      </c>
      <c r="D5911" s="1">
        <v>45281</v>
      </c>
      <c r="E5911">
        <v>1</v>
      </c>
      <c r="F5911" t="str">
        <f>"06-I07-03"</f>
        <v>06-I07-03</v>
      </c>
      <c r="G5911">
        <v>5.3734999999999999</v>
      </c>
      <c r="H5911" t="s">
        <v>12</v>
      </c>
      <c r="I5911" t="s">
        <v>10</v>
      </c>
    </row>
    <row r="5912" spans="1:9" x14ac:dyDescent="0.25">
      <c r="A5912" t="str">
        <f t="shared" si="141"/>
        <v>89301000</v>
      </c>
      <c r="B5912" t="str">
        <f>"510208101"</f>
        <v>510208101</v>
      </c>
      <c r="C5912" s="1">
        <v>45204</v>
      </c>
      <c r="D5912" s="1">
        <v>45209</v>
      </c>
      <c r="E5912">
        <v>4</v>
      </c>
      <c r="F5912" t="str">
        <f>"25-K01-02"</f>
        <v>25-K01-02</v>
      </c>
      <c r="G5912">
        <v>2.3247</v>
      </c>
      <c r="H5912" t="s">
        <v>14</v>
      </c>
      <c r="I5912" t="s">
        <v>10</v>
      </c>
    </row>
    <row r="5913" spans="1:9" x14ac:dyDescent="0.25">
      <c r="A5913" t="str">
        <f t="shared" si="141"/>
        <v>89301000</v>
      </c>
      <c r="B5913" t="str">
        <f>"510208152"</f>
        <v>510208152</v>
      </c>
      <c r="C5913" s="1">
        <v>45031</v>
      </c>
      <c r="D5913" s="1">
        <v>45031</v>
      </c>
      <c r="E5913">
        <v>1</v>
      </c>
      <c r="F5913" t="str">
        <f>"05-D01-08"</f>
        <v>05-D01-08</v>
      </c>
      <c r="G5913">
        <v>0.2303</v>
      </c>
      <c r="H5913" t="s">
        <v>11</v>
      </c>
      <c r="I5913" t="s">
        <v>10</v>
      </c>
    </row>
    <row r="5914" spans="1:9" x14ac:dyDescent="0.25">
      <c r="A5914" t="str">
        <f t="shared" si="141"/>
        <v>89301000</v>
      </c>
      <c r="B5914" t="str">
        <f>"510211046"</f>
        <v>510211046</v>
      </c>
      <c r="C5914" s="1">
        <v>45060</v>
      </c>
      <c r="D5914" s="1">
        <v>45065</v>
      </c>
      <c r="E5914">
        <v>1</v>
      </c>
      <c r="F5914" t="str">
        <f>"11-M04-03"</f>
        <v>11-M04-03</v>
      </c>
      <c r="G5914">
        <v>0.95069999999999999</v>
      </c>
      <c r="H5914" t="s">
        <v>11</v>
      </c>
      <c r="I5914" t="s">
        <v>10</v>
      </c>
    </row>
    <row r="5915" spans="1:9" x14ac:dyDescent="0.25">
      <c r="A5915" t="str">
        <f t="shared" si="141"/>
        <v>89301000</v>
      </c>
      <c r="B5915" t="str">
        <f>"510211046"</f>
        <v>510211046</v>
      </c>
      <c r="C5915" s="1">
        <v>45132</v>
      </c>
      <c r="D5915" s="1">
        <v>45153</v>
      </c>
      <c r="E5915">
        <v>4</v>
      </c>
      <c r="F5915" t="str">
        <f>"04-R02-03"</f>
        <v>04-R02-03</v>
      </c>
      <c r="G5915">
        <v>3.3451</v>
      </c>
      <c r="H5915" t="s">
        <v>11</v>
      </c>
      <c r="I5915" t="s">
        <v>10</v>
      </c>
    </row>
    <row r="5916" spans="1:9" x14ac:dyDescent="0.25">
      <c r="A5916" t="str">
        <f t="shared" si="141"/>
        <v>89301000</v>
      </c>
      <c r="B5916" t="str">
        <f>"510211046"</f>
        <v>510211046</v>
      </c>
      <c r="C5916" s="1">
        <v>45181</v>
      </c>
      <c r="D5916" s="1">
        <v>45188</v>
      </c>
      <c r="E5916">
        <v>1</v>
      </c>
      <c r="F5916" t="str">
        <f>"11-K08-02"</f>
        <v>11-K08-02</v>
      </c>
      <c r="G5916">
        <v>0.51959999999999995</v>
      </c>
      <c r="H5916" t="s">
        <v>11</v>
      </c>
      <c r="I5916" t="s">
        <v>10</v>
      </c>
    </row>
    <row r="5917" spans="1:9" x14ac:dyDescent="0.25">
      <c r="A5917" t="str">
        <f t="shared" si="141"/>
        <v>89301000</v>
      </c>
      <c r="B5917" t="str">
        <f>"510211046"</f>
        <v>510211046</v>
      </c>
      <c r="C5917" s="1">
        <v>45255</v>
      </c>
      <c r="D5917" s="1">
        <v>45259</v>
      </c>
      <c r="E5917">
        <v>1</v>
      </c>
      <c r="F5917" t="str">
        <f>"11-K01-02"</f>
        <v>11-K01-02</v>
      </c>
      <c r="G5917">
        <v>0.86480000000000001</v>
      </c>
      <c r="H5917" t="s">
        <v>11</v>
      </c>
      <c r="I5917" t="s">
        <v>10</v>
      </c>
    </row>
    <row r="5918" spans="1:9" x14ac:dyDescent="0.25">
      <c r="A5918" t="str">
        <f t="shared" si="141"/>
        <v>89301000</v>
      </c>
      <c r="B5918" t="str">
        <f>"510211106"</f>
        <v>510211106</v>
      </c>
      <c r="C5918" s="1">
        <v>45091</v>
      </c>
      <c r="D5918" s="1">
        <v>45091</v>
      </c>
      <c r="E5918">
        <v>1</v>
      </c>
      <c r="F5918" t="str">
        <f>"04-K15-03"</f>
        <v>04-K15-03</v>
      </c>
      <c r="G5918">
        <v>0.25459999999999999</v>
      </c>
      <c r="H5918" t="s">
        <v>11</v>
      </c>
      <c r="I5918" t="s">
        <v>10</v>
      </c>
    </row>
    <row r="5919" spans="1:9" x14ac:dyDescent="0.25">
      <c r="A5919" t="str">
        <f t="shared" si="141"/>
        <v>89301000</v>
      </c>
      <c r="B5919" t="str">
        <f>"510224340"</f>
        <v>510224340</v>
      </c>
      <c r="C5919" s="1">
        <v>45140</v>
      </c>
      <c r="D5919" s="1">
        <v>45142</v>
      </c>
      <c r="E5919">
        <v>1</v>
      </c>
      <c r="F5919" t="str">
        <f>"02-I06-03"</f>
        <v>02-I06-03</v>
      </c>
      <c r="G5919">
        <v>0.99260000000000004</v>
      </c>
      <c r="H5919" t="s">
        <v>12</v>
      </c>
      <c r="I5919" t="s">
        <v>10</v>
      </c>
    </row>
    <row r="5920" spans="1:9" x14ac:dyDescent="0.25">
      <c r="A5920" t="str">
        <f t="shared" si="141"/>
        <v>89301000</v>
      </c>
      <c r="B5920" t="str">
        <f>"510308082"</f>
        <v>510308082</v>
      </c>
      <c r="C5920" s="1">
        <v>45081</v>
      </c>
      <c r="D5920" s="1">
        <v>45083</v>
      </c>
      <c r="E5920">
        <v>1</v>
      </c>
      <c r="F5920" t="str">
        <f>"01-K03-08"</f>
        <v>01-K03-08</v>
      </c>
      <c r="G5920">
        <v>0.38290000000000002</v>
      </c>
      <c r="H5920" t="s">
        <v>11</v>
      </c>
      <c r="I5920" t="s">
        <v>10</v>
      </c>
    </row>
    <row r="5921" spans="1:9" x14ac:dyDescent="0.25">
      <c r="A5921" t="str">
        <f t="shared" si="141"/>
        <v>89301000</v>
      </c>
      <c r="B5921" t="str">
        <f>"510317094"</f>
        <v>510317094</v>
      </c>
      <c r="C5921" s="1">
        <v>45039</v>
      </c>
      <c r="D5921" s="1">
        <v>45044</v>
      </c>
      <c r="E5921">
        <v>1</v>
      </c>
      <c r="F5921" t="str">
        <f>"07-I10-06"</f>
        <v>07-I10-06</v>
      </c>
      <c r="G5921">
        <v>0.98419999999999996</v>
      </c>
      <c r="H5921" t="s">
        <v>12</v>
      </c>
      <c r="I5921" t="s">
        <v>10</v>
      </c>
    </row>
    <row r="5922" spans="1:9" x14ac:dyDescent="0.25">
      <c r="A5922" t="str">
        <f t="shared" si="141"/>
        <v>89301000</v>
      </c>
      <c r="B5922" t="str">
        <f>"510322142"</f>
        <v>510322142</v>
      </c>
      <c r="C5922" s="1">
        <v>44958</v>
      </c>
      <c r="D5922" s="1">
        <v>44959</v>
      </c>
      <c r="E5922">
        <v>1</v>
      </c>
      <c r="F5922" t="str">
        <f>"05-M06-08"</f>
        <v>05-M06-08</v>
      </c>
      <c r="G5922">
        <v>1.4228000000000001</v>
      </c>
      <c r="H5922" t="s">
        <v>12</v>
      </c>
      <c r="I5922" t="s">
        <v>10</v>
      </c>
    </row>
    <row r="5923" spans="1:9" x14ac:dyDescent="0.25">
      <c r="A5923" t="str">
        <f t="shared" si="141"/>
        <v>89301000</v>
      </c>
      <c r="B5923" t="str">
        <f>"510324375"</f>
        <v>510324375</v>
      </c>
      <c r="C5923" s="1">
        <v>44981</v>
      </c>
      <c r="D5923" s="1">
        <v>44981</v>
      </c>
      <c r="E5923">
        <v>1</v>
      </c>
      <c r="F5923" t="str">
        <f>"05-I14-03"</f>
        <v>05-I14-03</v>
      </c>
      <c r="G5923">
        <v>5.6817000000000002</v>
      </c>
      <c r="H5923" t="s">
        <v>12</v>
      </c>
      <c r="I5923" t="s">
        <v>10</v>
      </c>
    </row>
    <row r="5924" spans="1:9" x14ac:dyDescent="0.25">
      <c r="A5924" t="str">
        <f t="shared" si="141"/>
        <v>89301000</v>
      </c>
      <c r="B5924" t="str">
        <f>"510325316"</f>
        <v>510325316</v>
      </c>
      <c r="C5924" s="1">
        <v>44928</v>
      </c>
      <c r="D5924" s="1">
        <v>44930</v>
      </c>
      <c r="E5924">
        <v>1</v>
      </c>
      <c r="F5924" t="str">
        <f>"01-D01-03"</f>
        <v>01-D01-03</v>
      </c>
      <c r="G5924">
        <v>0.16200000000000001</v>
      </c>
      <c r="H5924" t="s">
        <v>11</v>
      </c>
      <c r="I5924" t="s">
        <v>10</v>
      </c>
    </row>
    <row r="5925" spans="1:9" x14ac:dyDescent="0.25">
      <c r="A5925" t="str">
        <f t="shared" si="141"/>
        <v>89301000</v>
      </c>
      <c r="B5925" t="str">
        <f>"510326052"</f>
        <v>510326052</v>
      </c>
      <c r="C5925" s="1">
        <v>45103</v>
      </c>
      <c r="D5925" s="1">
        <v>45105</v>
      </c>
      <c r="E5925">
        <v>4</v>
      </c>
      <c r="F5925" t="str">
        <f>"08-I03-04"</f>
        <v>08-I03-04</v>
      </c>
      <c r="G5925">
        <v>4.1120999999999999</v>
      </c>
      <c r="H5925" t="s">
        <v>9</v>
      </c>
      <c r="I5925" t="s">
        <v>10</v>
      </c>
    </row>
    <row r="5926" spans="1:9" x14ac:dyDescent="0.25">
      <c r="A5926" t="str">
        <f t="shared" si="141"/>
        <v>89301000</v>
      </c>
      <c r="B5926" t="str">
        <f>"510326052"</f>
        <v>510326052</v>
      </c>
      <c r="C5926" s="1">
        <v>45007</v>
      </c>
      <c r="D5926" s="1">
        <v>45028</v>
      </c>
      <c r="E5926">
        <v>1</v>
      </c>
      <c r="F5926" t="str">
        <f>"06-I12-03"</f>
        <v>06-I12-03</v>
      </c>
      <c r="G5926">
        <v>2.2955000000000001</v>
      </c>
      <c r="H5926" t="s">
        <v>11</v>
      </c>
      <c r="I5926" t="s">
        <v>10</v>
      </c>
    </row>
    <row r="5927" spans="1:9" x14ac:dyDescent="0.25">
      <c r="A5927" t="str">
        <f t="shared" si="141"/>
        <v>89301000</v>
      </c>
      <c r="B5927" t="str">
        <f>"510329147"</f>
        <v>510329147</v>
      </c>
      <c r="C5927" s="1">
        <v>45268</v>
      </c>
      <c r="D5927" s="1">
        <v>45268</v>
      </c>
      <c r="E5927">
        <v>1</v>
      </c>
      <c r="F5927" t="str">
        <f>"05-D01-08"</f>
        <v>05-D01-08</v>
      </c>
      <c r="G5927">
        <v>0.2303</v>
      </c>
      <c r="H5927" t="s">
        <v>11</v>
      </c>
      <c r="I5927" t="s">
        <v>10</v>
      </c>
    </row>
    <row r="5928" spans="1:9" x14ac:dyDescent="0.25">
      <c r="A5928" t="str">
        <f t="shared" si="141"/>
        <v>89301000</v>
      </c>
      <c r="B5928" t="str">
        <f>"510330015"</f>
        <v>510330015</v>
      </c>
      <c r="C5928" s="1">
        <v>45023</v>
      </c>
      <c r="D5928" s="1">
        <v>45034</v>
      </c>
      <c r="E5928">
        <v>1</v>
      </c>
      <c r="F5928" t="str">
        <f>"04-K02-02"</f>
        <v>04-K02-02</v>
      </c>
      <c r="G5928">
        <v>2.8616999999999999</v>
      </c>
      <c r="H5928" t="s">
        <v>11</v>
      </c>
      <c r="I5928" t="s">
        <v>10</v>
      </c>
    </row>
    <row r="5929" spans="1:9" x14ac:dyDescent="0.25">
      <c r="A5929" t="str">
        <f t="shared" si="141"/>
        <v>89301000</v>
      </c>
      <c r="B5929" t="str">
        <f>"510408048"</f>
        <v>510408048</v>
      </c>
      <c r="C5929" s="1">
        <v>45067</v>
      </c>
      <c r="D5929" s="1">
        <v>45083</v>
      </c>
      <c r="E5929">
        <v>1</v>
      </c>
      <c r="F5929" t="str">
        <f>"18-K01-02"</f>
        <v>18-K01-02</v>
      </c>
      <c r="G5929">
        <v>2.8258999999999999</v>
      </c>
      <c r="H5929" t="s">
        <v>11</v>
      </c>
      <c r="I5929" t="s">
        <v>10</v>
      </c>
    </row>
    <row r="5930" spans="1:9" x14ac:dyDescent="0.25">
      <c r="A5930" t="str">
        <f t="shared" si="141"/>
        <v>89301000</v>
      </c>
      <c r="B5930" t="str">
        <f t="shared" ref="B5930:B5936" si="142">"510410045"</f>
        <v>510410045</v>
      </c>
      <c r="C5930" s="1">
        <v>45029</v>
      </c>
      <c r="D5930" s="1">
        <v>45041</v>
      </c>
      <c r="E5930">
        <v>1</v>
      </c>
      <c r="F5930" t="str">
        <f>"07-M02-04"</f>
        <v>07-M02-04</v>
      </c>
      <c r="G5930">
        <v>0.84619999999999995</v>
      </c>
      <c r="H5930" t="s">
        <v>12</v>
      </c>
      <c r="I5930" t="s">
        <v>10</v>
      </c>
    </row>
    <row r="5931" spans="1:9" x14ac:dyDescent="0.25">
      <c r="A5931" t="str">
        <f t="shared" si="141"/>
        <v>89301000</v>
      </c>
      <c r="B5931" t="str">
        <f t="shared" si="142"/>
        <v>510410045</v>
      </c>
      <c r="C5931" s="1">
        <v>45055</v>
      </c>
      <c r="D5931" s="1">
        <v>45077</v>
      </c>
      <c r="E5931">
        <v>1</v>
      </c>
      <c r="F5931" t="str">
        <f>"07-M02-04"</f>
        <v>07-M02-04</v>
      </c>
      <c r="G5931">
        <v>1.5741000000000001</v>
      </c>
      <c r="H5931" t="s">
        <v>12</v>
      </c>
      <c r="I5931" t="s">
        <v>10</v>
      </c>
    </row>
    <row r="5932" spans="1:9" x14ac:dyDescent="0.25">
      <c r="A5932" t="str">
        <f t="shared" si="141"/>
        <v>89301000</v>
      </c>
      <c r="B5932" t="str">
        <f t="shared" si="142"/>
        <v>510410045</v>
      </c>
      <c r="C5932" s="1">
        <v>45120</v>
      </c>
      <c r="D5932" s="1">
        <v>45124</v>
      </c>
      <c r="E5932">
        <v>1</v>
      </c>
      <c r="F5932" t="str">
        <f>"07-K04-04"</f>
        <v>07-K04-04</v>
      </c>
      <c r="G5932">
        <v>0.61050000000000004</v>
      </c>
      <c r="H5932" t="s">
        <v>11</v>
      </c>
      <c r="I5932" t="s">
        <v>10</v>
      </c>
    </row>
    <row r="5933" spans="1:9" x14ac:dyDescent="0.25">
      <c r="A5933" t="str">
        <f t="shared" si="141"/>
        <v>89301000</v>
      </c>
      <c r="B5933" t="str">
        <f t="shared" si="142"/>
        <v>510410045</v>
      </c>
      <c r="C5933" s="1">
        <v>45181</v>
      </c>
      <c r="D5933" s="1">
        <v>45222</v>
      </c>
      <c r="E5933">
        <v>1</v>
      </c>
      <c r="F5933" t="str">
        <f>"07-M02-04"</f>
        <v>07-M02-04</v>
      </c>
      <c r="G5933">
        <v>2.9571999999999998</v>
      </c>
      <c r="H5933" t="s">
        <v>12</v>
      </c>
      <c r="I5933" t="s">
        <v>10</v>
      </c>
    </row>
    <row r="5934" spans="1:9" x14ac:dyDescent="0.25">
      <c r="A5934" t="str">
        <f t="shared" si="141"/>
        <v>89301000</v>
      </c>
      <c r="B5934" t="str">
        <f t="shared" si="142"/>
        <v>510410045</v>
      </c>
      <c r="C5934" s="1">
        <v>45236</v>
      </c>
      <c r="D5934" s="1">
        <v>45240</v>
      </c>
      <c r="E5934">
        <v>1</v>
      </c>
      <c r="F5934" t="str">
        <f>"07-K04-03"</f>
        <v>07-K04-03</v>
      </c>
      <c r="G5934">
        <v>1.0526</v>
      </c>
      <c r="H5934" t="s">
        <v>11</v>
      </c>
      <c r="I5934" t="s">
        <v>10</v>
      </c>
    </row>
    <row r="5935" spans="1:9" x14ac:dyDescent="0.25">
      <c r="A5935" t="str">
        <f t="shared" si="141"/>
        <v>89301000</v>
      </c>
      <c r="B5935" t="str">
        <f t="shared" si="142"/>
        <v>510410045</v>
      </c>
      <c r="C5935" s="1">
        <v>44940</v>
      </c>
      <c r="D5935" s="1">
        <v>44958</v>
      </c>
      <c r="E5935">
        <v>1</v>
      </c>
      <c r="F5935" t="str">
        <f>"07-M02-01"</f>
        <v>07-M02-01</v>
      </c>
      <c r="G5935">
        <v>2.5592000000000001</v>
      </c>
      <c r="H5935" t="s">
        <v>12</v>
      </c>
      <c r="I5935" t="s">
        <v>10</v>
      </c>
    </row>
    <row r="5936" spans="1:9" x14ac:dyDescent="0.25">
      <c r="A5936" t="str">
        <f t="shared" si="141"/>
        <v>89301000</v>
      </c>
      <c r="B5936" t="str">
        <f t="shared" si="142"/>
        <v>510410045</v>
      </c>
      <c r="C5936" s="1">
        <v>44929</v>
      </c>
      <c r="D5936" s="1">
        <v>44937</v>
      </c>
      <c r="E5936">
        <v>1</v>
      </c>
      <c r="F5936" t="str">
        <f>"07-M02-02"</f>
        <v>07-M02-02</v>
      </c>
      <c r="G5936">
        <v>2.0733000000000001</v>
      </c>
      <c r="H5936" t="s">
        <v>12</v>
      </c>
      <c r="I5936" t="s">
        <v>10</v>
      </c>
    </row>
    <row r="5937" spans="1:9" x14ac:dyDescent="0.25">
      <c r="A5937" t="str">
        <f t="shared" si="141"/>
        <v>89301000</v>
      </c>
      <c r="B5937" t="str">
        <f>"510411022"</f>
        <v>510411022</v>
      </c>
      <c r="C5937" s="1">
        <v>44935</v>
      </c>
      <c r="D5937" s="1">
        <v>44937</v>
      </c>
      <c r="E5937">
        <v>1</v>
      </c>
      <c r="F5937" t="str">
        <f>"04-K07-03"</f>
        <v>04-K07-03</v>
      </c>
      <c r="G5937">
        <v>0.61119999999999997</v>
      </c>
      <c r="H5937" t="s">
        <v>11</v>
      </c>
      <c r="I5937" t="s">
        <v>10</v>
      </c>
    </row>
    <row r="5938" spans="1:9" x14ac:dyDescent="0.25">
      <c r="A5938" t="str">
        <f t="shared" si="141"/>
        <v>89301000</v>
      </c>
      <c r="B5938" t="str">
        <f>"510411327"</f>
        <v>510411327</v>
      </c>
      <c r="C5938" s="1">
        <v>45036</v>
      </c>
      <c r="D5938" s="1">
        <v>45051</v>
      </c>
      <c r="E5938">
        <v>1</v>
      </c>
      <c r="F5938" t="str">
        <f>"06-M01-03"</f>
        <v>06-M01-03</v>
      </c>
      <c r="G5938">
        <v>1.2194</v>
      </c>
      <c r="H5938" t="s">
        <v>11</v>
      </c>
      <c r="I5938" t="s">
        <v>10</v>
      </c>
    </row>
    <row r="5939" spans="1:9" x14ac:dyDescent="0.25">
      <c r="A5939" t="str">
        <f t="shared" si="141"/>
        <v>89301000</v>
      </c>
      <c r="B5939" t="str">
        <f>"510414372"</f>
        <v>510414372</v>
      </c>
      <c r="C5939" s="1">
        <v>45245</v>
      </c>
      <c r="D5939" s="1">
        <v>45249</v>
      </c>
      <c r="E5939">
        <v>1</v>
      </c>
      <c r="F5939" t="str">
        <f>"06-I16-04"</f>
        <v>06-I16-04</v>
      </c>
      <c r="G5939">
        <v>0.68920000000000003</v>
      </c>
      <c r="H5939" t="s">
        <v>9</v>
      </c>
      <c r="I5939" t="s">
        <v>10</v>
      </c>
    </row>
    <row r="5940" spans="1:9" x14ac:dyDescent="0.25">
      <c r="A5940" t="str">
        <f t="shared" si="141"/>
        <v>89301000</v>
      </c>
      <c r="B5940" t="str">
        <f>"510414372"</f>
        <v>510414372</v>
      </c>
      <c r="C5940" s="1">
        <v>45120</v>
      </c>
      <c r="D5940" s="1">
        <v>45121</v>
      </c>
      <c r="E5940">
        <v>1</v>
      </c>
      <c r="F5940" t="str">
        <f>"06-M01-05"</f>
        <v>06-M01-05</v>
      </c>
      <c r="G5940">
        <v>0.4178</v>
      </c>
      <c r="H5940" t="s">
        <v>11</v>
      </c>
      <c r="I5940" t="s">
        <v>10</v>
      </c>
    </row>
    <row r="5941" spans="1:9" x14ac:dyDescent="0.25">
      <c r="A5941" t="str">
        <f t="shared" si="141"/>
        <v>89301000</v>
      </c>
      <c r="B5941" t="str">
        <f>"510421111"</f>
        <v>510421111</v>
      </c>
      <c r="C5941" s="1">
        <v>45155</v>
      </c>
      <c r="D5941" s="1">
        <v>45163</v>
      </c>
      <c r="E5941">
        <v>1</v>
      </c>
      <c r="F5941" t="str">
        <f>"03-I03-02"</f>
        <v>03-I03-02</v>
      </c>
      <c r="G5941">
        <v>5.4272999999999998</v>
      </c>
      <c r="H5941" t="s">
        <v>14</v>
      </c>
      <c r="I5941" t="s">
        <v>10</v>
      </c>
    </row>
    <row r="5942" spans="1:9" x14ac:dyDescent="0.25">
      <c r="A5942" t="str">
        <f t="shared" si="141"/>
        <v>89301000</v>
      </c>
      <c r="B5942" t="str">
        <f>"510421369"</f>
        <v>510421369</v>
      </c>
      <c r="C5942" s="1">
        <v>45265</v>
      </c>
      <c r="D5942" s="1">
        <v>45281</v>
      </c>
      <c r="E5942">
        <v>1</v>
      </c>
      <c r="F5942" t="str">
        <f>"18-K02-03"</f>
        <v>18-K02-03</v>
      </c>
      <c r="G5942">
        <v>0.9234</v>
      </c>
      <c r="H5942" t="s">
        <v>11</v>
      </c>
      <c r="I5942" t="s">
        <v>10</v>
      </c>
    </row>
    <row r="5943" spans="1:9" x14ac:dyDescent="0.25">
      <c r="A5943" t="str">
        <f t="shared" si="141"/>
        <v>89301000</v>
      </c>
      <c r="B5943" t="str">
        <f>"510421369"</f>
        <v>510421369</v>
      </c>
      <c r="C5943" s="1">
        <v>45225</v>
      </c>
      <c r="D5943" s="1">
        <v>45236</v>
      </c>
      <c r="E5943">
        <v>1</v>
      </c>
      <c r="F5943" t="str">
        <f>"05-I16-04"</f>
        <v>05-I16-04</v>
      </c>
      <c r="G5943">
        <v>6.2375999999999996</v>
      </c>
      <c r="H5943" t="s">
        <v>14</v>
      </c>
      <c r="I5943" t="s">
        <v>10</v>
      </c>
    </row>
    <row r="5944" spans="1:9" x14ac:dyDescent="0.25">
      <c r="A5944" t="str">
        <f t="shared" si="141"/>
        <v>89301000</v>
      </c>
      <c r="B5944" t="str">
        <f>"510423040"</f>
        <v>510423040</v>
      </c>
      <c r="C5944" s="1">
        <v>45081</v>
      </c>
      <c r="D5944" s="1">
        <v>45090</v>
      </c>
      <c r="E5944">
        <v>1</v>
      </c>
      <c r="F5944" t="str">
        <f>"03-I07-01"</f>
        <v>03-I07-01</v>
      </c>
      <c r="G5944">
        <v>4.0044000000000004</v>
      </c>
      <c r="H5944" t="s">
        <v>12</v>
      </c>
      <c r="I5944" t="s">
        <v>10</v>
      </c>
    </row>
    <row r="5945" spans="1:9" x14ac:dyDescent="0.25">
      <c r="A5945" t="str">
        <f t="shared" si="141"/>
        <v>89301000</v>
      </c>
      <c r="B5945" t="str">
        <f t="shared" ref="B5945:B5952" si="143">"510424080"</f>
        <v>510424080</v>
      </c>
      <c r="C5945" s="1">
        <v>45139</v>
      </c>
      <c r="D5945" s="1">
        <v>45148</v>
      </c>
      <c r="E5945">
        <v>1</v>
      </c>
      <c r="F5945" t="str">
        <f>"06-I13-02"</f>
        <v>06-I13-02</v>
      </c>
      <c r="G5945">
        <v>2.1128999999999998</v>
      </c>
      <c r="H5945" t="s">
        <v>11</v>
      </c>
      <c r="I5945" t="s">
        <v>10</v>
      </c>
    </row>
    <row r="5946" spans="1:9" x14ac:dyDescent="0.25">
      <c r="A5946" t="str">
        <f t="shared" si="141"/>
        <v>89301000</v>
      </c>
      <c r="B5946" t="str">
        <f t="shared" si="143"/>
        <v>510424080</v>
      </c>
      <c r="C5946" s="1">
        <v>45273</v>
      </c>
      <c r="D5946" s="1">
        <v>45275</v>
      </c>
      <c r="E5946">
        <v>1</v>
      </c>
      <c r="F5946" t="str">
        <f>"06-C02-03"</f>
        <v>06-C02-03</v>
      </c>
      <c r="G5946">
        <v>0.32650000000000001</v>
      </c>
      <c r="H5946" t="s">
        <v>11</v>
      </c>
      <c r="I5946" t="s">
        <v>10</v>
      </c>
    </row>
    <row r="5947" spans="1:9" x14ac:dyDescent="0.25">
      <c r="A5947" t="str">
        <f t="shared" si="141"/>
        <v>89301000</v>
      </c>
      <c r="B5947" t="str">
        <f t="shared" si="143"/>
        <v>510424080</v>
      </c>
      <c r="C5947" s="1">
        <v>45188</v>
      </c>
      <c r="D5947" s="1">
        <v>45191</v>
      </c>
      <c r="E5947">
        <v>1</v>
      </c>
      <c r="F5947" t="str">
        <f>"06-C02-01"</f>
        <v>06-C02-01</v>
      </c>
      <c r="G5947">
        <v>0.31909999999999999</v>
      </c>
      <c r="H5947" t="s">
        <v>11</v>
      </c>
      <c r="I5947" t="s">
        <v>10</v>
      </c>
    </row>
    <row r="5948" spans="1:9" x14ac:dyDescent="0.25">
      <c r="A5948" t="str">
        <f t="shared" si="141"/>
        <v>89301000</v>
      </c>
      <c r="B5948" t="str">
        <f t="shared" si="143"/>
        <v>510424080</v>
      </c>
      <c r="C5948" s="1">
        <v>45233</v>
      </c>
      <c r="D5948" s="1">
        <v>45235</v>
      </c>
      <c r="E5948">
        <v>1</v>
      </c>
      <c r="F5948" t="str">
        <f>"06-C02-03"</f>
        <v>06-C02-03</v>
      </c>
      <c r="G5948">
        <v>0.32650000000000001</v>
      </c>
      <c r="H5948" t="s">
        <v>11</v>
      </c>
      <c r="I5948" t="s">
        <v>10</v>
      </c>
    </row>
    <row r="5949" spans="1:9" x14ac:dyDescent="0.25">
      <c r="A5949" t="str">
        <f t="shared" si="141"/>
        <v>89301000</v>
      </c>
      <c r="B5949" t="str">
        <f t="shared" si="143"/>
        <v>510424080</v>
      </c>
      <c r="C5949" s="1">
        <v>45217</v>
      </c>
      <c r="D5949" s="1">
        <v>45221</v>
      </c>
      <c r="E5949">
        <v>1</v>
      </c>
      <c r="F5949" t="str">
        <f>"06-C02-03"</f>
        <v>06-C02-03</v>
      </c>
      <c r="G5949">
        <v>0.32650000000000001</v>
      </c>
      <c r="H5949" t="s">
        <v>11</v>
      </c>
      <c r="I5949" t="s">
        <v>10</v>
      </c>
    </row>
    <row r="5950" spans="1:9" x14ac:dyDescent="0.25">
      <c r="A5950" t="str">
        <f t="shared" si="141"/>
        <v>89301000</v>
      </c>
      <c r="B5950" t="str">
        <f t="shared" si="143"/>
        <v>510424080</v>
      </c>
      <c r="C5950" s="1">
        <v>45202</v>
      </c>
      <c r="D5950" s="1">
        <v>45204</v>
      </c>
      <c r="E5950">
        <v>1</v>
      </c>
      <c r="F5950" t="str">
        <f>"06-C02-01"</f>
        <v>06-C02-01</v>
      </c>
      <c r="G5950">
        <v>0.31909999999999999</v>
      </c>
      <c r="H5950" t="s">
        <v>11</v>
      </c>
      <c r="I5950" t="s">
        <v>10</v>
      </c>
    </row>
    <row r="5951" spans="1:9" x14ac:dyDescent="0.25">
      <c r="A5951" t="str">
        <f t="shared" si="141"/>
        <v>89301000</v>
      </c>
      <c r="B5951" t="str">
        <f t="shared" si="143"/>
        <v>510424080</v>
      </c>
      <c r="C5951" s="1">
        <v>45162</v>
      </c>
      <c r="D5951" s="1">
        <v>45181</v>
      </c>
      <c r="E5951">
        <v>1</v>
      </c>
      <c r="F5951" t="str">
        <f>"18-K01-06"</f>
        <v>18-K01-06</v>
      </c>
      <c r="G5951">
        <v>1.4659</v>
      </c>
      <c r="H5951" t="s">
        <v>11</v>
      </c>
      <c r="I5951" t="s">
        <v>10</v>
      </c>
    </row>
    <row r="5952" spans="1:9" x14ac:dyDescent="0.25">
      <c r="A5952" t="str">
        <f t="shared" si="141"/>
        <v>89301000</v>
      </c>
      <c r="B5952" t="str">
        <f t="shared" si="143"/>
        <v>510424080</v>
      </c>
      <c r="C5952" s="1">
        <v>45251</v>
      </c>
      <c r="D5952" s="1">
        <v>45258</v>
      </c>
      <c r="E5952">
        <v>1</v>
      </c>
      <c r="F5952" t="str">
        <f>"06-K14-02"</f>
        <v>06-K14-02</v>
      </c>
      <c r="G5952">
        <v>0.7631</v>
      </c>
      <c r="H5952" t="s">
        <v>11</v>
      </c>
      <c r="I5952" t="s">
        <v>10</v>
      </c>
    </row>
    <row r="5953" spans="1:9" x14ac:dyDescent="0.25">
      <c r="A5953" t="str">
        <f t="shared" si="141"/>
        <v>89301000</v>
      </c>
      <c r="B5953" t="str">
        <f>"510504103"</f>
        <v>510504103</v>
      </c>
      <c r="C5953" s="1">
        <v>45132</v>
      </c>
      <c r="D5953" s="1">
        <v>45135</v>
      </c>
      <c r="E5953">
        <v>1</v>
      </c>
      <c r="F5953" t="str">
        <f>"01-I09-02"</f>
        <v>01-I09-02</v>
      </c>
      <c r="G5953">
        <v>1.5277000000000001</v>
      </c>
      <c r="H5953" t="s">
        <v>12</v>
      </c>
      <c r="I5953" t="s">
        <v>10</v>
      </c>
    </row>
    <row r="5954" spans="1:9" x14ac:dyDescent="0.25">
      <c r="A5954" t="str">
        <f t="shared" si="141"/>
        <v>89301000</v>
      </c>
      <c r="B5954" t="str">
        <f>"510504103"</f>
        <v>510504103</v>
      </c>
      <c r="C5954" s="1">
        <v>45085</v>
      </c>
      <c r="D5954" s="1">
        <v>45096</v>
      </c>
      <c r="E5954">
        <v>1</v>
      </c>
      <c r="F5954" t="str">
        <f>"01-K10-03"</f>
        <v>01-K10-03</v>
      </c>
      <c r="G5954">
        <v>1.0443</v>
      </c>
      <c r="H5954" t="s">
        <v>11</v>
      </c>
      <c r="I5954" t="s">
        <v>10</v>
      </c>
    </row>
    <row r="5955" spans="1:9" x14ac:dyDescent="0.25">
      <c r="A5955" t="str">
        <f t="shared" si="141"/>
        <v>89301000</v>
      </c>
      <c r="B5955" t="str">
        <f t="shared" ref="B5955:B5961" si="144">"510506255"</f>
        <v>510506255</v>
      </c>
      <c r="C5955" s="1">
        <v>45042</v>
      </c>
      <c r="D5955" s="1">
        <v>45048</v>
      </c>
      <c r="E5955">
        <v>1</v>
      </c>
      <c r="F5955" t="str">
        <f>"08-C04-02"</f>
        <v>08-C04-02</v>
      </c>
      <c r="G5955">
        <v>0.28699999999999998</v>
      </c>
      <c r="H5955" t="s">
        <v>11</v>
      </c>
      <c r="I5955" t="s">
        <v>10</v>
      </c>
    </row>
    <row r="5956" spans="1:9" x14ac:dyDescent="0.25">
      <c r="A5956" t="str">
        <f t="shared" si="141"/>
        <v>89301000</v>
      </c>
      <c r="B5956" t="str">
        <f t="shared" si="144"/>
        <v>510506255</v>
      </c>
      <c r="C5956" s="1">
        <v>44987</v>
      </c>
      <c r="D5956" s="1">
        <v>44988</v>
      </c>
      <c r="E5956">
        <v>1</v>
      </c>
      <c r="F5956" t="str">
        <f>"08-K01-03"</f>
        <v>08-K01-03</v>
      </c>
      <c r="G5956">
        <v>0.59189999999999998</v>
      </c>
      <c r="H5956" t="s">
        <v>11</v>
      </c>
      <c r="I5956" t="s">
        <v>10</v>
      </c>
    </row>
    <row r="5957" spans="1:9" x14ac:dyDescent="0.25">
      <c r="A5957" t="str">
        <f t="shared" si="141"/>
        <v>89301000</v>
      </c>
      <c r="B5957" t="str">
        <f t="shared" si="144"/>
        <v>510506255</v>
      </c>
      <c r="C5957" s="1">
        <v>45147</v>
      </c>
      <c r="D5957" s="1">
        <v>45149</v>
      </c>
      <c r="E5957">
        <v>1</v>
      </c>
      <c r="F5957" t="str">
        <f>"08-C04-02"</f>
        <v>08-C04-02</v>
      </c>
      <c r="G5957">
        <v>0.28699999999999998</v>
      </c>
      <c r="H5957" t="s">
        <v>11</v>
      </c>
      <c r="I5957" t="s">
        <v>10</v>
      </c>
    </row>
    <row r="5958" spans="1:9" x14ac:dyDescent="0.25">
      <c r="A5958" t="str">
        <f t="shared" si="141"/>
        <v>89301000</v>
      </c>
      <c r="B5958" t="str">
        <f t="shared" si="144"/>
        <v>510506255</v>
      </c>
      <c r="C5958" s="1">
        <v>45068</v>
      </c>
      <c r="D5958" s="1">
        <v>45069</v>
      </c>
      <c r="E5958">
        <v>1</v>
      </c>
      <c r="F5958" t="str">
        <f>"08-C04-02"</f>
        <v>08-C04-02</v>
      </c>
      <c r="G5958">
        <v>0.28699999999999998</v>
      </c>
      <c r="H5958" t="s">
        <v>11</v>
      </c>
      <c r="I5958" t="s">
        <v>10</v>
      </c>
    </row>
    <row r="5959" spans="1:9" x14ac:dyDescent="0.25">
      <c r="A5959" t="str">
        <f t="shared" si="141"/>
        <v>89301000</v>
      </c>
      <c r="B5959" t="str">
        <f t="shared" si="144"/>
        <v>510506255</v>
      </c>
      <c r="C5959" s="1">
        <v>45089</v>
      </c>
      <c r="D5959" s="1">
        <v>45090</v>
      </c>
      <c r="E5959">
        <v>1</v>
      </c>
      <c r="F5959" t="str">
        <f>"08-C04-02"</f>
        <v>08-C04-02</v>
      </c>
      <c r="G5959">
        <v>0.28699999999999998</v>
      </c>
      <c r="H5959" t="s">
        <v>11</v>
      </c>
      <c r="I5959" t="s">
        <v>10</v>
      </c>
    </row>
    <row r="5960" spans="1:9" x14ac:dyDescent="0.25">
      <c r="A5960" t="str">
        <f t="shared" si="141"/>
        <v>89301000</v>
      </c>
      <c r="B5960" t="str">
        <f t="shared" si="144"/>
        <v>510506255</v>
      </c>
      <c r="C5960" s="1">
        <v>45106</v>
      </c>
      <c r="D5960" s="1">
        <v>45107</v>
      </c>
      <c r="E5960">
        <v>1</v>
      </c>
      <c r="F5960" t="str">
        <f>"08-C04-02"</f>
        <v>08-C04-02</v>
      </c>
      <c r="G5960">
        <v>0.28699999999999998</v>
      </c>
      <c r="H5960" t="s">
        <v>11</v>
      </c>
      <c r="I5960" t="s">
        <v>10</v>
      </c>
    </row>
    <row r="5961" spans="1:9" x14ac:dyDescent="0.25">
      <c r="A5961" t="str">
        <f t="shared" si="141"/>
        <v>89301000</v>
      </c>
      <c r="B5961" t="str">
        <f t="shared" si="144"/>
        <v>510506255</v>
      </c>
      <c r="C5961" s="1">
        <v>45127</v>
      </c>
      <c r="D5961" s="1">
        <v>45128</v>
      </c>
      <c r="E5961">
        <v>1</v>
      </c>
      <c r="F5961" t="str">
        <f>"08-C04-02"</f>
        <v>08-C04-02</v>
      </c>
      <c r="G5961">
        <v>0.28699999999999998</v>
      </c>
      <c r="H5961" t="s">
        <v>11</v>
      </c>
      <c r="I5961" t="s">
        <v>10</v>
      </c>
    </row>
    <row r="5962" spans="1:9" x14ac:dyDescent="0.25">
      <c r="A5962" t="str">
        <f t="shared" si="141"/>
        <v>89301000</v>
      </c>
      <c r="B5962" t="str">
        <f>"510507008"</f>
        <v>510507008</v>
      </c>
      <c r="C5962" s="1">
        <v>45279</v>
      </c>
      <c r="D5962" s="1">
        <v>45288</v>
      </c>
      <c r="E5962">
        <v>5</v>
      </c>
      <c r="F5962" t="str">
        <f>"00-M01-03"</f>
        <v>00-M01-03</v>
      </c>
      <c r="G5962">
        <v>9.9257000000000009</v>
      </c>
      <c r="H5962" t="s">
        <v>11</v>
      </c>
      <c r="I5962" t="s">
        <v>10</v>
      </c>
    </row>
    <row r="5963" spans="1:9" x14ac:dyDescent="0.25">
      <c r="A5963" t="str">
        <f t="shared" ref="A5963:A6025" si="145">"89301000"</f>
        <v>89301000</v>
      </c>
      <c r="B5963" t="str">
        <f>"510508071"</f>
        <v>510508071</v>
      </c>
      <c r="C5963" s="1">
        <v>45002</v>
      </c>
      <c r="D5963" s="1">
        <v>45005</v>
      </c>
      <c r="E5963">
        <v>1</v>
      </c>
      <c r="F5963" t="str">
        <f>"04-K15-03"</f>
        <v>04-K15-03</v>
      </c>
      <c r="G5963">
        <v>0.48670000000000002</v>
      </c>
      <c r="H5963" t="s">
        <v>11</v>
      </c>
      <c r="I5963" t="s">
        <v>10</v>
      </c>
    </row>
    <row r="5964" spans="1:9" x14ac:dyDescent="0.25">
      <c r="A5964" t="str">
        <f t="shared" si="145"/>
        <v>89301000</v>
      </c>
      <c r="B5964" t="str">
        <f>"510512134"</f>
        <v>510512134</v>
      </c>
      <c r="C5964" s="1">
        <v>44938</v>
      </c>
      <c r="D5964" s="1">
        <v>44939</v>
      </c>
      <c r="E5964">
        <v>1</v>
      </c>
      <c r="F5964" t="str">
        <f>"05-I25-02"</f>
        <v>05-I25-02</v>
      </c>
      <c r="G5964">
        <v>2.9415</v>
      </c>
      <c r="H5964" t="s">
        <v>12</v>
      </c>
      <c r="I5964" t="s">
        <v>10</v>
      </c>
    </row>
    <row r="5965" spans="1:9" x14ac:dyDescent="0.25">
      <c r="A5965" t="str">
        <f t="shared" si="145"/>
        <v>89301000</v>
      </c>
      <c r="B5965" t="str">
        <f>"510516088"</f>
        <v>510516088</v>
      </c>
      <c r="C5965" s="1">
        <v>44952</v>
      </c>
      <c r="D5965" s="1">
        <v>44953</v>
      </c>
      <c r="E5965">
        <v>1</v>
      </c>
      <c r="F5965" t="str">
        <f>"05-M06-08"</f>
        <v>05-M06-08</v>
      </c>
      <c r="G5965">
        <v>1.4228000000000001</v>
      </c>
      <c r="H5965" t="s">
        <v>12</v>
      </c>
      <c r="I5965" t="s">
        <v>10</v>
      </c>
    </row>
    <row r="5966" spans="1:9" x14ac:dyDescent="0.25">
      <c r="A5966" t="str">
        <f t="shared" si="145"/>
        <v>89301000</v>
      </c>
      <c r="B5966" t="str">
        <f>"510516088"</f>
        <v>510516088</v>
      </c>
      <c r="C5966" s="1">
        <v>44980</v>
      </c>
      <c r="D5966" s="1">
        <v>44981</v>
      </c>
      <c r="E5966">
        <v>1</v>
      </c>
      <c r="F5966" t="str">
        <f>"05-I14-04"</f>
        <v>05-I14-04</v>
      </c>
      <c r="G5966">
        <v>5.2220000000000004</v>
      </c>
      <c r="H5966" t="s">
        <v>12</v>
      </c>
      <c r="I5966" t="s">
        <v>10</v>
      </c>
    </row>
    <row r="5967" spans="1:9" x14ac:dyDescent="0.25">
      <c r="A5967" t="str">
        <f t="shared" si="145"/>
        <v>89301000</v>
      </c>
      <c r="B5967" t="str">
        <f>"510516333"</f>
        <v>510516333</v>
      </c>
      <c r="C5967" s="1">
        <v>45272</v>
      </c>
      <c r="D5967" s="1">
        <v>45280</v>
      </c>
      <c r="E5967">
        <v>1</v>
      </c>
      <c r="F5967" t="str">
        <f>"01-C01-03"</f>
        <v>01-C01-03</v>
      </c>
      <c r="G5967">
        <v>1.7826</v>
      </c>
      <c r="H5967" t="s">
        <v>11</v>
      </c>
      <c r="I5967" t="s">
        <v>10</v>
      </c>
    </row>
    <row r="5968" spans="1:9" x14ac:dyDescent="0.25">
      <c r="A5968" t="str">
        <f t="shared" si="145"/>
        <v>89301000</v>
      </c>
      <c r="B5968" t="str">
        <f>"510516333"</f>
        <v>510516333</v>
      </c>
      <c r="C5968" s="1">
        <v>45013</v>
      </c>
      <c r="D5968" s="1">
        <v>45021</v>
      </c>
      <c r="E5968">
        <v>1</v>
      </c>
      <c r="F5968" t="str">
        <f>"01-C01-03"</f>
        <v>01-C01-03</v>
      </c>
      <c r="G5968">
        <v>1.7826</v>
      </c>
      <c r="H5968" t="s">
        <v>11</v>
      </c>
      <c r="I5968" t="s">
        <v>10</v>
      </c>
    </row>
    <row r="5969" spans="1:9" x14ac:dyDescent="0.25">
      <c r="A5969" t="str">
        <f t="shared" si="145"/>
        <v>89301000</v>
      </c>
      <c r="B5969" t="str">
        <f>"510516333"</f>
        <v>510516333</v>
      </c>
      <c r="C5969" s="1">
        <v>45147</v>
      </c>
      <c r="D5969" s="1">
        <v>45149</v>
      </c>
      <c r="E5969">
        <v>1</v>
      </c>
      <c r="F5969" t="str">
        <f>"01-C01-03"</f>
        <v>01-C01-03</v>
      </c>
      <c r="G5969">
        <v>1.66</v>
      </c>
      <c r="H5969" t="s">
        <v>11</v>
      </c>
      <c r="I5969" t="s">
        <v>10</v>
      </c>
    </row>
    <row r="5970" spans="1:9" x14ac:dyDescent="0.25">
      <c r="A5970" t="str">
        <f t="shared" si="145"/>
        <v>89301000</v>
      </c>
      <c r="B5970" t="str">
        <f>"510518121"</f>
        <v>510518121</v>
      </c>
      <c r="C5970" s="1">
        <v>45259</v>
      </c>
      <c r="D5970" s="1">
        <v>45275</v>
      </c>
      <c r="E5970">
        <v>1</v>
      </c>
      <c r="F5970" t="str">
        <f>"24-M07-02"</f>
        <v>24-M07-02</v>
      </c>
      <c r="G5970">
        <v>1.5729</v>
      </c>
      <c r="H5970" t="s">
        <v>11</v>
      </c>
      <c r="I5970" t="s">
        <v>10</v>
      </c>
    </row>
    <row r="5971" spans="1:9" x14ac:dyDescent="0.25">
      <c r="A5971" t="str">
        <f t="shared" si="145"/>
        <v>89301000</v>
      </c>
      <c r="B5971" t="str">
        <f>"510518121"</f>
        <v>510518121</v>
      </c>
      <c r="C5971" s="1">
        <v>45253</v>
      </c>
      <c r="D5971" s="1">
        <v>45259</v>
      </c>
      <c r="E5971">
        <v>3</v>
      </c>
      <c r="F5971" t="str">
        <f>"08-I05-04"</f>
        <v>08-I05-04</v>
      </c>
      <c r="G5971">
        <v>2.4445000000000001</v>
      </c>
      <c r="H5971" t="s">
        <v>12</v>
      </c>
      <c r="I5971" t="s">
        <v>10</v>
      </c>
    </row>
    <row r="5972" spans="1:9" x14ac:dyDescent="0.25">
      <c r="A5972" t="str">
        <f t="shared" si="145"/>
        <v>89301000</v>
      </c>
      <c r="B5972" t="str">
        <f>"510520212"</f>
        <v>510520212</v>
      </c>
      <c r="C5972" s="1">
        <v>45031</v>
      </c>
      <c r="D5972" s="1">
        <v>45036</v>
      </c>
      <c r="E5972">
        <v>1</v>
      </c>
      <c r="F5972" t="str">
        <f>"05-K01-02"</f>
        <v>05-K01-02</v>
      </c>
      <c r="G5972">
        <v>0.91720000000000002</v>
      </c>
      <c r="H5972" t="s">
        <v>11</v>
      </c>
      <c r="I5972" t="s">
        <v>10</v>
      </c>
    </row>
    <row r="5973" spans="1:9" x14ac:dyDescent="0.25">
      <c r="A5973" t="str">
        <f t="shared" si="145"/>
        <v>89301000</v>
      </c>
      <c r="B5973" t="str">
        <f>"510520212"</f>
        <v>510520212</v>
      </c>
      <c r="C5973" s="1">
        <v>45050</v>
      </c>
      <c r="D5973" s="1">
        <v>45085</v>
      </c>
      <c r="E5973">
        <v>1</v>
      </c>
      <c r="F5973" t="str">
        <f>"17-K07-01"</f>
        <v>17-K07-01</v>
      </c>
      <c r="G5973">
        <v>4.92</v>
      </c>
      <c r="H5973" t="s">
        <v>11</v>
      </c>
      <c r="I5973" t="s">
        <v>10</v>
      </c>
    </row>
    <row r="5974" spans="1:9" x14ac:dyDescent="0.25">
      <c r="A5974" t="str">
        <f t="shared" si="145"/>
        <v>89301000</v>
      </c>
      <c r="B5974" t="str">
        <f>"510520212"</f>
        <v>510520212</v>
      </c>
      <c r="C5974" s="1">
        <v>44959</v>
      </c>
      <c r="D5974" s="1">
        <v>44964</v>
      </c>
      <c r="E5974">
        <v>1</v>
      </c>
      <c r="F5974" t="str">
        <f>"04-M02-04"</f>
        <v>04-M02-04</v>
      </c>
      <c r="G5974">
        <v>0.82489999999999997</v>
      </c>
      <c r="H5974" t="s">
        <v>11</v>
      </c>
      <c r="I5974" t="s">
        <v>10</v>
      </c>
    </row>
    <row r="5975" spans="1:9" x14ac:dyDescent="0.25">
      <c r="A5975" t="str">
        <f t="shared" si="145"/>
        <v>89301000</v>
      </c>
      <c r="B5975" t="str">
        <f>"510531093"</f>
        <v>510531093</v>
      </c>
      <c r="C5975" s="1">
        <v>45232</v>
      </c>
      <c r="D5975" s="1">
        <v>45234</v>
      </c>
      <c r="E5975">
        <v>1</v>
      </c>
      <c r="F5975" t="str">
        <f>"07-M02-04"</f>
        <v>07-M02-04</v>
      </c>
      <c r="G5975">
        <v>0.81320000000000003</v>
      </c>
      <c r="H5975" t="s">
        <v>12</v>
      </c>
      <c r="I5975" t="s">
        <v>10</v>
      </c>
    </row>
    <row r="5976" spans="1:9" x14ac:dyDescent="0.25">
      <c r="A5976" t="str">
        <f t="shared" si="145"/>
        <v>89301000</v>
      </c>
      <c r="B5976" t="str">
        <f>"510531093"</f>
        <v>510531093</v>
      </c>
      <c r="C5976" s="1">
        <v>45188</v>
      </c>
      <c r="D5976" s="1">
        <v>45196</v>
      </c>
      <c r="E5976">
        <v>1</v>
      </c>
      <c r="F5976" t="str">
        <f>"06-I07-05"</f>
        <v>06-I07-05</v>
      </c>
      <c r="G5976">
        <v>2.7919999999999998</v>
      </c>
      <c r="H5976" t="s">
        <v>12</v>
      </c>
      <c r="I5976" t="s">
        <v>10</v>
      </c>
    </row>
    <row r="5977" spans="1:9" x14ac:dyDescent="0.25">
      <c r="A5977" t="str">
        <f t="shared" si="145"/>
        <v>89301000</v>
      </c>
      <c r="B5977" t="str">
        <f>"510531093"</f>
        <v>510531093</v>
      </c>
      <c r="C5977" s="1">
        <v>45070</v>
      </c>
      <c r="D5977" s="1">
        <v>45072</v>
      </c>
      <c r="E5977">
        <v>1</v>
      </c>
      <c r="F5977" t="str">
        <f>"07-M02-04"</f>
        <v>07-M02-04</v>
      </c>
      <c r="G5977">
        <v>0.77339999999999998</v>
      </c>
      <c r="H5977" t="s">
        <v>12</v>
      </c>
      <c r="I5977" t="s">
        <v>10</v>
      </c>
    </row>
    <row r="5978" spans="1:9" x14ac:dyDescent="0.25">
      <c r="A5978" t="str">
        <f t="shared" si="145"/>
        <v>89301000</v>
      </c>
      <c r="B5978" t="str">
        <f>"510531093"</f>
        <v>510531093</v>
      </c>
      <c r="C5978" s="1">
        <v>45035</v>
      </c>
      <c r="D5978" s="1">
        <v>45037</v>
      </c>
      <c r="E5978">
        <v>1</v>
      </c>
      <c r="F5978" t="str">
        <f>"07-M02-04"</f>
        <v>07-M02-04</v>
      </c>
      <c r="G5978">
        <v>0.77339999999999998</v>
      </c>
      <c r="H5978" t="s">
        <v>12</v>
      </c>
      <c r="I5978" t="s">
        <v>10</v>
      </c>
    </row>
    <row r="5979" spans="1:9" x14ac:dyDescent="0.25">
      <c r="A5979" t="str">
        <f t="shared" si="145"/>
        <v>89301000</v>
      </c>
      <c r="B5979" t="str">
        <f>"5105600522"</f>
        <v>5105600522</v>
      </c>
      <c r="C5979" s="1">
        <v>44944</v>
      </c>
      <c r="D5979" s="1">
        <v>44949</v>
      </c>
      <c r="E5979">
        <v>1</v>
      </c>
      <c r="F5979" t="str">
        <f>"05-I14-02"</f>
        <v>05-I14-02</v>
      </c>
      <c r="G5979">
        <v>6.4595000000000002</v>
      </c>
      <c r="H5979" t="s">
        <v>12</v>
      </c>
      <c r="I5979" t="s">
        <v>10</v>
      </c>
    </row>
    <row r="5980" spans="1:9" x14ac:dyDescent="0.25">
      <c r="A5980" t="str">
        <f t="shared" si="145"/>
        <v>89301000</v>
      </c>
      <c r="B5980" t="str">
        <f>"5105600522"</f>
        <v>5105600522</v>
      </c>
      <c r="C5980" s="1">
        <v>45194</v>
      </c>
      <c r="D5980" s="1">
        <v>45196</v>
      </c>
      <c r="E5980">
        <v>1</v>
      </c>
      <c r="F5980" t="str">
        <f>"05-M09-00"</f>
        <v>05-M09-00</v>
      </c>
      <c r="G5980">
        <v>1.2278</v>
      </c>
      <c r="H5980" t="s">
        <v>11</v>
      </c>
      <c r="I5980" t="s">
        <v>10</v>
      </c>
    </row>
    <row r="5981" spans="1:9" x14ac:dyDescent="0.25">
      <c r="A5981" t="str">
        <f t="shared" si="145"/>
        <v>89301000</v>
      </c>
      <c r="B5981" t="str">
        <f>"510603124"</f>
        <v>510603124</v>
      </c>
      <c r="C5981" s="1">
        <v>45016</v>
      </c>
      <c r="D5981" s="1">
        <v>45029</v>
      </c>
      <c r="E5981">
        <v>4</v>
      </c>
      <c r="F5981" t="str">
        <f>"10-I05-01"</f>
        <v>10-I05-01</v>
      </c>
      <c r="G5981">
        <v>4.0898000000000003</v>
      </c>
      <c r="H5981" t="s">
        <v>11</v>
      </c>
      <c r="I5981" t="s">
        <v>10</v>
      </c>
    </row>
    <row r="5982" spans="1:9" x14ac:dyDescent="0.25">
      <c r="A5982" t="str">
        <f t="shared" si="145"/>
        <v>89301000</v>
      </c>
      <c r="B5982" t="str">
        <f>"510603124"</f>
        <v>510603124</v>
      </c>
      <c r="C5982" s="1">
        <v>44935</v>
      </c>
      <c r="D5982" s="1">
        <v>44939</v>
      </c>
      <c r="E5982">
        <v>2</v>
      </c>
      <c r="F5982" t="str">
        <f>"11-K01-02"</f>
        <v>11-K01-02</v>
      </c>
      <c r="G5982">
        <v>0.86480000000000001</v>
      </c>
      <c r="H5982" t="s">
        <v>11</v>
      </c>
      <c r="I5982" t="s">
        <v>10</v>
      </c>
    </row>
    <row r="5983" spans="1:9" x14ac:dyDescent="0.25">
      <c r="A5983" t="str">
        <f t="shared" si="145"/>
        <v>89301000</v>
      </c>
      <c r="B5983" t="str">
        <f>"510610030"</f>
        <v>510610030</v>
      </c>
      <c r="C5983" s="1">
        <v>45117</v>
      </c>
      <c r="D5983" s="1">
        <v>45122</v>
      </c>
      <c r="E5983">
        <v>1</v>
      </c>
      <c r="F5983" t="str">
        <f>"12-I02-01"</f>
        <v>12-I02-01</v>
      </c>
      <c r="G5983">
        <v>3.3855</v>
      </c>
      <c r="H5983" t="s">
        <v>9</v>
      </c>
      <c r="I5983" t="s">
        <v>10</v>
      </c>
    </row>
    <row r="5984" spans="1:9" x14ac:dyDescent="0.25">
      <c r="A5984" t="str">
        <f t="shared" si="145"/>
        <v>89301000</v>
      </c>
      <c r="B5984" t="str">
        <f>"510612068"</f>
        <v>510612068</v>
      </c>
      <c r="C5984" s="1">
        <v>45179</v>
      </c>
      <c r="D5984" s="1">
        <v>45187</v>
      </c>
      <c r="E5984">
        <v>1</v>
      </c>
      <c r="F5984" t="str">
        <f>"12-I03-04"</f>
        <v>12-I03-04</v>
      </c>
      <c r="G5984">
        <v>1.7635000000000001</v>
      </c>
      <c r="H5984" t="s">
        <v>9</v>
      </c>
      <c r="I5984" t="s">
        <v>10</v>
      </c>
    </row>
    <row r="5985" spans="1:9" x14ac:dyDescent="0.25">
      <c r="A5985" t="str">
        <f t="shared" si="145"/>
        <v>89301000</v>
      </c>
      <c r="B5985" t="str">
        <f>"510612102"</f>
        <v>510612102</v>
      </c>
      <c r="C5985" s="1">
        <v>45194</v>
      </c>
      <c r="D5985" s="1">
        <v>45198</v>
      </c>
      <c r="E5985">
        <v>4</v>
      </c>
      <c r="F5985" t="str">
        <f>"18-K02-03"</f>
        <v>18-K02-03</v>
      </c>
      <c r="G5985">
        <v>0.9234</v>
      </c>
      <c r="H5985" t="s">
        <v>11</v>
      </c>
      <c r="I5985" t="s">
        <v>10</v>
      </c>
    </row>
    <row r="5986" spans="1:9" x14ac:dyDescent="0.25">
      <c r="A5986" t="str">
        <f t="shared" si="145"/>
        <v>89301000</v>
      </c>
      <c r="B5986" t="str">
        <f>"510613047"</f>
        <v>510613047</v>
      </c>
      <c r="C5986" s="1">
        <v>44922</v>
      </c>
      <c r="D5986" s="1">
        <v>44929</v>
      </c>
      <c r="E5986">
        <v>1</v>
      </c>
      <c r="F5986" t="str">
        <f>"05-K07-05"</f>
        <v>05-K07-05</v>
      </c>
      <c r="G5986">
        <v>0.74719999999999998</v>
      </c>
      <c r="H5986" t="s">
        <v>11</v>
      </c>
      <c r="I5986" t="s">
        <v>10</v>
      </c>
    </row>
    <row r="5987" spans="1:9" x14ac:dyDescent="0.25">
      <c r="A5987" t="str">
        <f t="shared" si="145"/>
        <v>89301000</v>
      </c>
      <c r="B5987" t="str">
        <f>"510613128"</f>
        <v>510613128</v>
      </c>
      <c r="C5987" s="1">
        <v>45006</v>
      </c>
      <c r="D5987" s="1">
        <v>45006</v>
      </c>
      <c r="E5987">
        <v>1</v>
      </c>
      <c r="F5987" t="str">
        <f>"05-M06-08"</f>
        <v>05-M06-08</v>
      </c>
      <c r="G5987">
        <v>1.1012</v>
      </c>
      <c r="H5987" t="s">
        <v>12</v>
      </c>
      <c r="I5987" t="s">
        <v>10</v>
      </c>
    </row>
    <row r="5988" spans="1:9" x14ac:dyDescent="0.25">
      <c r="A5988" t="str">
        <f t="shared" si="145"/>
        <v>89301000</v>
      </c>
      <c r="B5988" t="str">
        <f>"510614175"</f>
        <v>510614175</v>
      </c>
      <c r="C5988" s="1">
        <v>45195</v>
      </c>
      <c r="D5988" s="1">
        <v>45195</v>
      </c>
      <c r="E5988">
        <v>1</v>
      </c>
      <c r="F5988" t="str">
        <f>"05-D01-08"</f>
        <v>05-D01-08</v>
      </c>
      <c r="G5988">
        <v>0.2303</v>
      </c>
      <c r="H5988" t="s">
        <v>11</v>
      </c>
      <c r="I5988" t="s">
        <v>10</v>
      </c>
    </row>
    <row r="5989" spans="1:9" x14ac:dyDescent="0.25">
      <c r="A5989" t="str">
        <f t="shared" si="145"/>
        <v>89301000</v>
      </c>
      <c r="B5989" t="str">
        <f>"510616311"</f>
        <v>510616311</v>
      </c>
      <c r="C5989" s="1">
        <v>44929</v>
      </c>
      <c r="D5989" s="1">
        <v>44946</v>
      </c>
      <c r="E5989">
        <v>1</v>
      </c>
      <c r="F5989" t="str">
        <f>"04-I02-04"</f>
        <v>04-I02-04</v>
      </c>
      <c r="G5989">
        <v>3.5145</v>
      </c>
      <c r="H5989" t="s">
        <v>14</v>
      </c>
      <c r="I5989" t="s">
        <v>10</v>
      </c>
    </row>
    <row r="5990" spans="1:9" x14ac:dyDescent="0.25">
      <c r="A5990" t="str">
        <f t="shared" si="145"/>
        <v>89301000</v>
      </c>
      <c r="B5990" t="str">
        <f>"510620098"</f>
        <v>510620098</v>
      </c>
      <c r="C5990" s="1">
        <v>45045</v>
      </c>
      <c r="D5990" s="1">
        <v>45055</v>
      </c>
      <c r="E5990">
        <v>1</v>
      </c>
      <c r="F5990" t="str">
        <f>"05-K05-02"</f>
        <v>05-K05-02</v>
      </c>
      <c r="G5990">
        <v>0.92349999999999999</v>
      </c>
      <c r="H5990" t="s">
        <v>11</v>
      </c>
      <c r="I5990" t="s">
        <v>10</v>
      </c>
    </row>
    <row r="5991" spans="1:9" x14ac:dyDescent="0.25">
      <c r="A5991" t="str">
        <f t="shared" si="145"/>
        <v>89301000</v>
      </c>
      <c r="B5991" t="str">
        <f>"510620244"</f>
        <v>510620244</v>
      </c>
      <c r="C5991" s="1">
        <v>45160</v>
      </c>
      <c r="D5991" s="1">
        <v>45180</v>
      </c>
      <c r="E5991">
        <v>1</v>
      </c>
      <c r="F5991" t="str">
        <f>"17-K03-02"</f>
        <v>17-K03-02</v>
      </c>
      <c r="G5991">
        <v>1.7519</v>
      </c>
      <c r="H5991" t="s">
        <v>11</v>
      </c>
      <c r="I5991" t="s">
        <v>10</v>
      </c>
    </row>
    <row r="5992" spans="1:9" x14ac:dyDescent="0.25">
      <c r="A5992" t="str">
        <f t="shared" si="145"/>
        <v>89301000</v>
      </c>
      <c r="B5992" t="str">
        <f>"510622045"</f>
        <v>510622045</v>
      </c>
      <c r="C5992" s="1">
        <v>45176</v>
      </c>
      <c r="D5992" s="1">
        <v>45182</v>
      </c>
      <c r="E5992">
        <v>1</v>
      </c>
      <c r="F5992" t="str">
        <f>"12-I02-01"</f>
        <v>12-I02-01</v>
      </c>
      <c r="G5992">
        <v>3.3855</v>
      </c>
      <c r="H5992" t="s">
        <v>9</v>
      </c>
      <c r="I5992" t="s">
        <v>10</v>
      </c>
    </row>
    <row r="5993" spans="1:9" x14ac:dyDescent="0.25">
      <c r="A5993" t="str">
        <f t="shared" si="145"/>
        <v>89301000</v>
      </c>
      <c r="B5993" t="str">
        <f>"510622173"</f>
        <v>510622173</v>
      </c>
      <c r="C5993" s="1">
        <v>45189</v>
      </c>
      <c r="D5993" s="1">
        <v>45194</v>
      </c>
      <c r="E5993">
        <v>5</v>
      </c>
      <c r="F5993" t="str">
        <f>"05-M06-06"</f>
        <v>05-M06-06</v>
      </c>
      <c r="G5993">
        <v>1.8264</v>
      </c>
      <c r="H5993" t="s">
        <v>12</v>
      </c>
      <c r="I5993" t="s">
        <v>10</v>
      </c>
    </row>
    <row r="5994" spans="1:9" x14ac:dyDescent="0.25">
      <c r="A5994" t="str">
        <f t="shared" si="145"/>
        <v>89301000</v>
      </c>
      <c r="B5994" t="str">
        <f>"510627093"</f>
        <v>510627093</v>
      </c>
      <c r="C5994" s="1">
        <v>45096</v>
      </c>
      <c r="D5994" s="1">
        <v>45100</v>
      </c>
      <c r="E5994">
        <v>1</v>
      </c>
      <c r="F5994" t="str">
        <f>"08-K08-00"</f>
        <v>08-K08-00</v>
      </c>
      <c r="G5994">
        <v>0.5272</v>
      </c>
      <c r="H5994" t="s">
        <v>11</v>
      </c>
      <c r="I5994" t="s">
        <v>10</v>
      </c>
    </row>
    <row r="5995" spans="1:9" x14ac:dyDescent="0.25">
      <c r="A5995" t="str">
        <f t="shared" si="145"/>
        <v>89301000</v>
      </c>
      <c r="B5995" t="str">
        <f>"510701076"</f>
        <v>510701076</v>
      </c>
      <c r="C5995" s="1">
        <v>45150</v>
      </c>
      <c r="D5995" s="1">
        <v>45155</v>
      </c>
      <c r="E5995">
        <v>5</v>
      </c>
      <c r="F5995" t="str">
        <f>"00-M01-03"</f>
        <v>00-M01-03</v>
      </c>
      <c r="G5995">
        <v>9.2279</v>
      </c>
      <c r="H5995" t="s">
        <v>11</v>
      </c>
      <c r="I5995" t="s">
        <v>10</v>
      </c>
    </row>
    <row r="5996" spans="1:9" x14ac:dyDescent="0.25">
      <c r="A5996" t="str">
        <f t="shared" si="145"/>
        <v>89301000</v>
      </c>
      <c r="B5996" t="str">
        <f>"510709160"</f>
        <v>510709160</v>
      </c>
      <c r="C5996" s="1">
        <v>44995</v>
      </c>
      <c r="D5996" s="1">
        <v>44998</v>
      </c>
      <c r="E5996">
        <v>1</v>
      </c>
      <c r="F5996" t="str">
        <f>"05-D01-08"</f>
        <v>05-D01-08</v>
      </c>
      <c r="G5996">
        <v>0.43159999999999998</v>
      </c>
      <c r="H5996" t="s">
        <v>11</v>
      </c>
      <c r="I5996" t="s">
        <v>10</v>
      </c>
    </row>
    <row r="5997" spans="1:9" x14ac:dyDescent="0.25">
      <c r="A5997" t="str">
        <f t="shared" si="145"/>
        <v>89301000</v>
      </c>
      <c r="B5997" t="str">
        <f>"510716117"</f>
        <v>510716117</v>
      </c>
      <c r="C5997" s="1">
        <v>45098</v>
      </c>
      <c r="D5997" s="1">
        <v>45105</v>
      </c>
      <c r="E5997">
        <v>1</v>
      </c>
      <c r="F5997" t="str">
        <f>"06-I13-02"</f>
        <v>06-I13-02</v>
      </c>
      <c r="G5997">
        <v>2.1128999999999998</v>
      </c>
      <c r="H5997" t="s">
        <v>11</v>
      </c>
      <c r="I5997" t="s">
        <v>10</v>
      </c>
    </row>
    <row r="5998" spans="1:9" x14ac:dyDescent="0.25">
      <c r="A5998" t="str">
        <f t="shared" si="145"/>
        <v>89301000</v>
      </c>
      <c r="B5998" t="str">
        <f>"510716117"</f>
        <v>510716117</v>
      </c>
      <c r="C5998" s="1">
        <v>45159</v>
      </c>
      <c r="D5998" s="1">
        <v>45163</v>
      </c>
      <c r="E5998">
        <v>1</v>
      </c>
      <c r="F5998" t="str">
        <f>"06-R01-08"</f>
        <v>06-R01-08</v>
      </c>
      <c r="G5998">
        <v>1.1569</v>
      </c>
      <c r="H5998" t="s">
        <v>11</v>
      </c>
      <c r="I5998" t="s">
        <v>10</v>
      </c>
    </row>
    <row r="5999" spans="1:9" x14ac:dyDescent="0.25">
      <c r="A5999" t="str">
        <f t="shared" si="145"/>
        <v>89301000</v>
      </c>
      <c r="B5999" t="str">
        <f>"510719083"</f>
        <v>510719083</v>
      </c>
      <c r="C5999" s="1">
        <v>45019</v>
      </c>
      <c r="D5999" s="1">
        <v>45027</v>
      </c>
      <c r="E5999">
        <v>1</v>
      </c>
      <c r="F5999" t="str">
        <f>"05-I24-04"</f>
        <v>05-I24-04</v>
      </c>
      <c r="G5999">
        <v>2.1032000000000002</v>
      </c>
      <c r="H5999" t="s">
        <v>12</v>
      </c>
      <c r="I5999" t="s">
        <v>10</v>
      </c>
    </row>
    <row r="6000" spans="1:9" x14ac:dyDescent="0.25">
      <c r="A6000" t="str">
        <f t="shared" si="145"/>
        <v>89301000</v>
      </c>
      <c r="B6000" t="str">
        <f>"510724033"</f>
        <v>510724033</v>
      </c>
      <c r="C6000" s="1">
        <v>45050</v>
      </c>
      <c r="D6000" s="1">
        <v>45054</v>
      </c>
      <c r="E6000">
        <v>1</v>
      </c>
      <c r="F6000" t="str">
        <f>"07-I10-06"</f>
        <v>07-I10-06</v>
      </c>
      <c r="G6000">
        <v>0.98419999999999996</v>
      </c>
      <c r="H6000" t="s">
        <v>12</v>
      </c>
      <c r="I6000" t="s">
        <v>10</v>
      </c>
    </row>
    <row r="6001" spans="1:9" x14ac:dyDescent="0.25">
      <c r="A6001" t="str">
        <f t="shared" si="145"/>
        <v>89301000</v>
      </c>
      <c r="B6001" t="str">
        <f>"510728043"</f>
        <v>510728043</v>
      </c>
      <c r="C6001" s="1">
        <v>45008</v>
      </c>
      <c r="D6001" s="1">
        <v>45014</v>
      </c>
      <c r="E6001">
        <v>1</v>
      </c>
      <c r="F6001" t="str">
        <f>"12-I03-01"</f>
        <v>12-I03-01</v>
      </c>
      <c r="G6001">
        <v>2.6934999999999998</v>
      </c>
      <c r="H6001" t="s">
        <v>9</v>
      </c>
      <c r="I6001" t="s">
        <v>10</v>
      </c>
    </row>
    <row r="6002" spans="1:9" x14ac:dyDescent="0.25">
      <c r="A6002" t="str">
        <f t="shared" si="145"/>
        <v>89301000</v>
      </c>
      <c r="B6002" t="str">
        <f>"510729035"</f>
        <v>510729035</v>
      </c>
      <c r="C6002" s="1">
        <v>45116</v>
      </c>
      <c r="D6002" s="1">
        <v>45125</v>
      </c>
      <c r="E6002">
        <v>1</v>
      </c>
      <c r="F6002" t="str">
        <f>"12-I03-04"</f>
        <v>12-I03-04</v>
      </c>
      <c r="G6002">
        <v>1.8426</v>
      </c>
      <c r="H6002" t="s">
        <v>9</v>
      </c>
      <c r="I6002" t="s">
        <v>10</v>
      </c>
    </row>
    <row r="6003" spans="1:9" x14ac:dyDescent="0.25">
      <c r="A6003" t="str">
        <f t="shared" si="145"/>
        <v>89301000</v>
      </c>
      <c r="B6003" t="str">
        <f>"510730112"</f>
        <v>510730112</v>
      </c>
      <c r="C6003" s="1">
        <v>45189</v>
      </c>
      <c r="D6003" s="1">
        <v>45191</v>
      </c>
      <c r="E6003">
        <v>1</v>
      </c>
      <c r="F6003" t="str">
        <f>"05-I14-03"</f>
        <v>05-I14-03</v>
      </c>
      <c r="G6003">
        <v>6.0362</v>
      </c>
      <c r="H6003" t="s">
        <v>12</v>
      </c>
      <c r="I6003" t="s">
        <v>10</v>
      </c>
    </row>
    <row r="6004" spans="1:9" x14ac:dyDescent="0.25">
      <c r="A6004" t="str">
        <f t="shared" si="145"/>
        <v>89301000</v>
      </c>
      <c r="B6004" t="str">
        <f>"510806257"</f>
        <v>510806257</v>
      </c>
      <c r="C6004" s="1">
        <v>45097</v>
      </c>
      <c r="D6004" s="1">
        <v>45107</v>
      </c>
      <c r="E6004">
        <v>1</v>
      </c>
      <c r="F6004" t="str">
        <f>"24-M06-02"</f>
        <v>24-M06-02</v>
      </c>
      <c r="G6004">
        <v>1.0699000000000001</v>
      </c>
      <c r="H6004" t="s">
        <v>11</v>
      </c>
      <c r="I6004" t="s">
        <v>10</v>
      </c>
    </row>
    <row r="6005" spans="1:9" x14ac:dyDescent="0.25">
      <c r="A6005" t="str">
        <f t="shared" si="145"/>
        <v>89301000</v>
      </c>
      <c r="B6005" t="str">
        <f>"510806257"</f>
        <v>510806257</v>
      </c>
      <c r="C6005" s="1">
        <v>45083</v>
      </c>
      <c r="D6005" s="1">
        <v>45097</v>
      </c>
      <c r="E6005">
        <v>3</v>
      </c>
      <c r="F6005" t="str">
        <f>"08-K08-00"</f>
        <v>08-K08-00</v>
      </c>
      <c r="G6005">
        <v>0.68769999999999998</v>
      </c>
      <c r="H6005" t="s">
        <v>11</v>
      </c>
      <c r="I6005" t="s">
        <v>10</v>
      </c>
    </row>
    <row r="6006" spans="1:9" x14ac:dyDescent="0.25">
      <c r="A6006" t="str">
        <f t="shared" si="145"/>
        <v>89301000</v>
      </c>
      <c r="B6006" t="str">
        <f>"510810040"</f>
        <v>510810040</v>
      </c>
      <c r="C6006" s="1">
        <v>44962</v>
      </c>
      <c r="D6006" s="1">
        <v>44964</v>
      </c>
      <c r="E6006">
        <v>1</v>
      </c>
      <c r="F6006" t="str">
        <f>"05-M10-00"</f>
        <v>05-M10-00</v>
      </c>
      <c r="G6006">
        <v>0.20369999999999999</v>
      </c>
      <c r="H6006" t="s">
        <v>11</v>
      </c>
      <c r="I6006" t="s">
        <v>10</v>
      </c>
    </row>
    <row r="6007" spans="1:9" x14ac:dyDescent="0.25">
      <c r="A6007" t="str">
        <f t="shared" si="145"/>
        <v>89301000</v>
      </c>
      <c r="B6007" t="str">
        <f>"510815111"</f>
        <v>510815111</v>
      </c>
      <c r="C6007" s="1">
        <v>45010</v>
      </c>
      <c r="D6007" s="1">
        <v>45016</v>
      </c>
      <c r="E6007">
        <v>1</v>
      </c>
      <c r="F6007" t="str">
        <f>"01-C02-01"</f>
        <v>01-C02-01</v>
      </c>
      <c r="G6007">
        <v>2.5163000000000002</v>
      </c>
      <c r="H6007" t="s">
        <v>11</v>
      </c>
      <c r="I6007" t="s">
        <v>10</v>
      </c>
    </row>
    <row r="6008" spans="1:9" x14ac:dyDescent="0.25">
      <c r="A6008" t="str">
        <f t="shared" si="145"/>
        <v>89301000</v>
      </c>
      <c r="B6008" t="str">
        <f>"510818246"</f>
        <v>510818246</v>
      </c>
      <c r="C6008" s="1">
        <v>45223</v>
      </c>
      <c r="D6008" s="1">
        <v>45224</v>
      </c>
      <c r="E6008">
        <v>1</v>
      </c>
      <c r="F6008" t="str">
        <f>"01-K04-02"</f>
        <v>01-K04-02</v>
      </c>
      <c r="G6008">
        <v>0.5333</v>
      </c>
      <c r="H6008" t="s">
        <v>11</v>
      </c>
      <c r="I6008" t="s">
        <v>10</v>
      </c>
    </row>
    <row r="6009" spans="1:9" x14ac:dyDescent="0.25">
      <c r="A6009" t="str">
        <f t="shared" si="145"/>
        <v>89301000</v>
      </c>
      <c r="B6009" t="str">
        <f>"510818246"</f>
        <v>510818246</v>
      </c>
      <c r="C6009" s="1">
        <v>45201</v>
      </c>
      <c r="D6009" s="1">
        <v>45210</v>
      </c>
      <c r="E6009">
        <v>1</v>
      </c>
      <c r="F6009" t="str">
        <f>"01-K04-02"</f>
        <v>01-K04-02</v>
      </c>
      <c r="G6009">
        <v>0.79990000000000006</v>
      </c>
      <c r="H6009" t="s">
        <v>11</v>
      </c>
      <c r="I6009" t="s">
        <v>10</v>
      </c>
    </row>
    <row r="6010" spans="1:9" x14ac:dyDescent="0.25">
      <c r="A6010" t="str">
        <f t="shared" si="145"/>
        <v>89301000</v>
      </c>
      <c r="B6010" t="str">
        <f>"510819165"</f>
        <v>510819165</v>
      </c>
      <c r="C6010" s="1">
        <v>45049</v>
      </c>
      <c r="D6010" s="1">
        <v>45061</v>
      </c>
      <c r="E6010">
        <v>1</v>
      </c>
      <c r="F6010" t="str">
        <f>"05-I12-01"</f>
        <v>05-I12-01</v>
      </c>
      <c r="G6010">
        <v>9.9133999999999993</v>
      </c>
      <c r="H6010" t="s">
        <v>14</v>
      </c>
      <c r="I6010" t="s">
        <v>10</v>
      </c>
    </row>
    <row r="6011" spans="1:9" x14ac:dyDescent="0.25">
      <c r="A6011" t="str">
        <f t="shared" si="145"/>
        <v>89301000</v>
      </c>
      <c r="B6011" t="str">
        <f>"510819165"</f>
        <v>510819165</v>
      </c>
      <c r="C6011" s="1">
        <v>45022</v>
      </c>
      <c r="D6011" s="1">
        <v>45023</v>
      </c>
      <c r="E6011">
        <v>1</v>
      </c>
      <c r="F6011" t="str">
        <f>"05-D01-06"</f>
        <v>05-D01-06</v>
      </c>
      <c r="G6011">
        <v>0.7571</v>
      </c>
      <c r="H6011" t="s">
        <v>11</v>
      </c>
      <c r="I6011" t="s">
        <v>10</v>
      </c>
    </row>
    <row r="6012" spans="1:9" x14ac:dyDescent="0.25">
      <c r="A6012" t="str">
        <f t="shared" si="145"/>
        <v>89301000</v>
      </c>
      <c r="B6012" t="str">
        <f>"510819165"</f>
        <v>510819165</v>
      </c>
      <c r="C6012" s="1">
        <v>45173</v>
      </c>
      <c r="D6012" s="1">
        <v>45194</v>
      </c>
      <c r="E6012">
        <v>5</v>
      </c>
      <c r="F6012" t="str">
        <f>"06-I12-01"</f>
        <v>06-I12-01</v>
      </c>
      <c r="G6012">
        <v>5.3933</v>
      </c>
      <c r="H6012" t="s">
        <v>11</v>
      </c>
      <c r="I6012" t="s">
        <v>10</v>
      </c>
    </row>
    <row r="6013" spans="1:9" x14ac:dyDescent="0.25">
      <c r="A6013" t="str">
        <f t="shared" si="145"/>
        <v>89301000</v>
      </c>
      <c r="B6013" t="str">
        <f>"510819165"</f>
        <v>510819165</v>
      </c>
      <c r="C6013" s="1">
        <v>45133</v>
      </c>
      <c r="D6013" s="1">
        <v>45135</v>
      </c>
      <c r="E6013">
        <v>5</v>
      </c>
      <c r="F6013" t="str">
        <f>"05-I21-02"</f>
        <v>05-I21-02</v>
      </c>
      <c r="G6013">
        <v>0.9869</v>
      </c>
      <c r="H6013" t="s">
        <v>12</v>
      </c>
      <c r="I6013" t="s">
        <v>10</v>
      </c>
    </row>
    <row r="6014" spans="1:9" x14ac:dyDescent="0.25">
      <c r="A6014" t="str">
        <f t="shared" si="145"/>
        <v>89301000</v>
      </c>
      <c r="B6014" t="str">
        <f>"510819165"</f>
        <v>510819165</v>
      </c>
      <c r="C6014" s="1">
        <v>45281</v>
      </c>
      <c r="D6014" s="1">
        <v>45285</v>
      </c>
      <c r="E6014">
        <v>1</v>
      </c>
      <c r="F6014" t="str">
        <f>"05-M09-00"</f>
        <v>05-M09-00</v>
      </c>
      <c r="G6014">
        <v>1.2278</v>
      </c>
      <c r="H6014" t="s">
        <v>11</v>
      </c>
      <c r="I6014" t="s">
        <v>10</v>
      </c>
    </row>
    <row r="6015" spans="1:9" x14ac:dyDescent="0.25">
      <c r="A6015" t="str">
        <f t="shared" si="145"/>
        <v>89301000</v>
      </c>
      <c r="B6015" t="str">
        <f>"510820039"</f>
        <v>510820039</v>
      </c>
      <c r="C6015" s="1">
        <v>44988</v>
      </c>
      <c r="D6015" s="1">
        <v>45006</v>
      </c>
      <c r="E6015">
        <v>1</v>
      </c>
      <c r="F6015" t="str">
        <f>"01-K10-03"</f>
        <v>01-K10-03</v>
      </c>
      <c r="G6015">
        <v>1.3548</v>
      </c>
      <c r="H6015" t="s">
        <v>11</v>
      </c>
      <c r="I6015" t="s">
        <v>10</v>
      </c>
    </row>
    <row r="6016" spans="1:9" x14ac:dyDescent="0.25">
      <c r="A6016" t="str">
        <f t="shared" si="145"/>
        <v>89301000</v>
      </c>
      <c r="B6016" t="str">
        <f>"510821044"</f>
        <v>510821044</v>
      </c>
      <c r="C6016" s="1">
        <v>45035</v>
      </c>
      <c r="D6016" s="1">
        <v>45053</v>
      </c>
      <c r="E6016">
        <v>1</v>
      </c>
      <c r="F6016" t="str">
        <f>"06-I16-01"</f>
        <v>06-I16-01</v>
      </c>
      <c r="G6016">
        <v>1.9761</v>
      </c>
      <c r="H6016" t="s">
        <v>9</v>
      </c>
      <c r="I6016" t="s">
        <v>10</v>
      </c>
    </row>
    <row r="6017" spans="1:9" x14ac:dyDescent="0.25">
      <c r="A6017" t="str">
        <f t="shared" si="145"/>
        <v>89301000</v>
      </c>
      <c r="B6017" t="str">
        <f>"510822012"</f>
        <v>510822012</v>
      </c>
      <c r="C6017" s="1">
        <v>45255</v>
      </c>
      <c r="D6017" s="1">
        <v>45268</v>
      </c>
      <c r="E6017">
        <v>1</v>
      </c>
      <c r="F6017" t="str">
        <f>"11-I11-01"</f>
        <v>11-I11-01</v>
      </c>
      <c r="G6017">
        <v>3.5011999999999999</v>
      </c>
      <c r="H6017" t="s">
        <v>11</v>
      </c>
      <c r="I6017" t="s">
        <v>10</v>
      </c>
    </row>
    <row r="6018" spans="1:9" x14ac:dyDescent="0.25">
      <c r="A6018" t="str">
        <f t="shared" si="145"/>
        <v>89301000</v>
      </c>
      <c r="B6018" t="str">
        <f>"510823083"</f>
        <v>510823083</v>
      </c>
      <c r="C6018" s="1">
        <v>45061</v>
      </c>
      <c r="D6018" s="1">
        <v>45072</v>
      </c>
      <c r="E6018">
        <v>1</v>
      </c>
      <c r="F6018" t="str">
        <f>"24-M06-02"</f>
        <v>24-M06-02</v>
      </c>
      <c r="G6018">
        <v>1.0699000000000001</v>
      </c>
      <c r="H6018" t="s">
        <v>11</v>
      </c>
      <c r="I6018" t="s">
        <v>10</v>
      </c>
    </row>
    <row r="6019" spans="1:9" x14ac:dyDescent="0.25">
      <c r="A6019" t="str">
        <f t="shared" si="145"/>
        <v>89301000</v>
      </c>
      <c r="B6019" t="str">
        <f>"510823083"</f>
        <v>510823083</v>
      </c>
      <c r="C6019" s="1">
        <v>45055</v>
      </c>
      <c r="D6019" s="1">
        <v>45061</v>
      </c>
      <c r="E6019">
        <v>3</v>
      </c>
      <c r="F6019" t="str">
        <f>"08-I06-04"</f>
        <v>08-I06-04</v>
      </c>
      <c r="G6019">
        <v>2.4180000000000001</v>
      </c>
      <c r="H6019" t="s">
        <v>9</v>
      </c>
      <c r="I6019" t="s">
        <v>10</v>
      </c>
    </row>
    <row r="6020" spans="1:9" x14ac:dyDescent="0.25">
      <c r="A6020" t="str">
        <f t="shared" si="145"/>
        <v>89301000</v>
      </c>
      <c r="B6020" t="str">
        <f>"510828131"</f>
        <v>510828131</v>
      </c>
      <c r="C6020" s="1">
        <v>45088</v>
      </c>
      <c r="D6020" s="1">
        <v>45096</v>
      </c>
      <c r="E6020">
        <v>5</v>
      </c>
      <c r="F6020" t="str">
        <f>"04-K06-03"</f>
        <v>04-K06-03</v>
      </c>
      <c r="G6020">
        <v>0.63190000000000002</v>
      </c>
      <c r="H6020" t="s">
        <v>11</v>
      </c>
      <c r="I6020" t="s">
        <v>10</v>
      </c>
    </row>
    <row r="6021" spans="1:9" x14ac:dyDescent="0.25">
      <c r="A6021" t="str">
        <f t="shared" si="145"/>
        <v>89301000</v>
      </c>
      <c r="B6021" t="str">
        <f>"510828131"</f>
        <v>510828131</v>
      </c>
      <c r="C6021" s="1">
        <v>45060</v>
      </c>
      <c r="D6021" s="1">
        <v>45063</v>
      </c>
      <c r="E6021">
        <v>1</v>
      </c>
      <c r="F6021" t="str">
        <f>"11-K14-03"</f>
        <v>11-K14-03</v>
      </c>
      <c r="G6021">
        <v>0.31240000000000001</v>
      </c>
      <c r="H6021" t="s">
        <v>11</v>
      </c>
      <c r="I6021" t="s">
        <v>10</v>
      </c>
    </row>
    <row r="6022" spans="1:9" x14ac:dyDescent="0.25">
      <c r="A6022" t="str">
        <f t="shared" si="145"/>
        <v>89301000</v>
      </c>
      <c r="B6022" t="str">
        <f>"510831173"</f>
        <v>510831173</v>
      </c>
      <c r="C6022" s="1">
        <v>44951</v>
      </c>
      <c r="D6022" s="1">
        <v>44953</v>
      </c>
      <c r="E6022">
        <v>1</v>
      </c>
      <c r="F6022" t="str">
        <f>"04-K09-03"</f>
        <v>04-K09-03</v>
      </c>
      <c r="G6022">
        <v>0.629</v>
      </c>
      <c r="H6022" t="s">
        <v>11</v>
      </c>
      <c r="I6022" t="s">
        <v>10</v>
      </c>
    </row>
    <row r="6023" spans="1:9" x14ac:dyDescent="0.25">
      <c r="A6023" t="str">
        <f t="shared" si="145"/>
        <v>89301000</v>
      </c>
      <c r="B6023" t="str">
        <f>"510831173"</f>
        <v>510831173</v>
      </c>
      <c r="C6023" s="1">
        <v>44959</v>
      </c>
      <c r="D6023" s="1">
        <v>44966</v>
      </c>
      <c r="E6023">
        <v>1</v>
      </c>
      <c r="F6023" t="str">
        <f>"04-I02-04"</f>
        <v>04-I02-04</v>
      </c>
      <c r="G6023">
        <v>3.0272999999999999</v>
      </c>
      <c r="H6023" t="s">
        <v>14</v>
      </c>
      <c r="I6023" t="s">
        <v>10</v>
      </c>
    </row>
    <row r="6024" spans="1:9" x14ac:dyDescent="0.25">
      <c r="A6024" t="str">
        <f t="shared" si="145"/>
        <v>89301000</v>
      </c>
      <c r="B6024" t="str">
        <f>"510903135"</f>
        <v>510903135</v>
      </c>
      <c r="C6024" s="1">
        <v>45012</v>
      </c>
      <c r="D6024" s="1">
        <v>45014</v>
      </c>
      <c r="E6024">
        <v>1</v>
      </c>
      <c r="F6024" t="str">
        <f>"06-K10-03"</f>
        <v>06-K10-03</v>
      </c>
      <c r="G6024">
        <v>0.42630000000000001</v>
      </c>
      <c r="H6024" t="s">
        <v>11</v>
      </c>
      <c r="I6024" t="s">
        <v>10</v>
      </c>
    </row>
    <row r="6025" spans="1:9" x14ac:dyDescent="0.25">
      <c r="A6025" t="str">
        <f t="shared" si="145"/>
        <v>89301000</v>
      </c>
      <c r="B6025" t="str">
        <f>"510906017"</f>
        <v>510906017</v>
      </c>
      <c r="C6025" s="1">
        <v>45030</v>
      </c>
      <c r="D6025" s="1">
        <v>45035</v>
      </c>
      <c r="E6025">
        <v>4</v>
      </c>
      <c r="F6025" t="str">
        <f>"04-M02-04"</f>
        <v>04-M02-04</v>
      </c>
      <c r="G6025">
        <v>0.95</v>
      </c>
      <c r="H6025" t="s">
        <v>11</v>
      </c>
      <c r="I6025" t="s">
        <v>10</v>
      </c>
    </row>
    <row r="6026" spans="1:9" x14ac:dyDescent="0.25">
      <c r="A6026" t="str">
        <f t="shared" ref="A6026:A6089" si="146">"89301000"</f>
        <v>89301000</v>
      </c>
      <c r="B6026" t="str">
        <f>"510912006"</f>
        <v>510912006</v>
      </c>
      <c r="C6026" s="1">
        <v>45096</v>
      </c>
      <c r="D6026" s="1">
        <v>45106</v>
      </c>
      <c r="E6026">
        <v>1</v>
      </c>
      <c r="F6026" t="str">
        <f>"06-I07-05"</f>
        <v>06-I07-05</v>
      </c>
      <c r="G6026">
        <v>2.7919999999999998</v>
      </c>
      <c r="H6026" t="s">
        <v>12</v>
      </c>
      <c r="I6026" t="s">
        <v>10</v>
      </c>
    </row>
    <row r="6027" spans="1:9" x14ac:dyDescent="0.25">
      <c r="A6027" t="str">
        <f t="shared" si="146"/>
        <v>89301000</v>
      </c>
      <c r="B6027" t="str">
        <f>"510917229"</f>
        <v>510917229</v>
      </c>
      <c r="C6027" s="1">
        <v>45181</v>
      </c>
      <c r="D6027" s="1">
        <v>45183</v>
      </c>
      <c r="E6027">
        <v>1</v>
      </c>
      <c r="F6027" t="str">
        <f>"05-M05-02"</f>
        <v>05-M05-02</v>
      </c>
      <c r="G6027">
        <v>3.5567000000000002</v>
      </c>
      <c r="H6027" t="s">
        <v>14</v>
      </c>
      <c r="I6027" t="s">
        <v>10</v>
      </c>
    </row>
    <row r="6028" spans="1:9" x14ac:dyDescent="0.25">
      <c r="A6028" t="str">
        <f t="shared" si="146"/>
        <v>89301000</v>
      </c>
      <c r="B6028" t="str">
        <f>"510920253"</f>
        <v>510920253</v>
      </c>
      <c r="C6028" s="1">
        <v>45258</v>
      </c>
      <c r="D6028" s="1">
        <v>45264</v>
      </c>
      <c r="E6028">
        <v>4</v>
      </c>
      <c r="F6028" t="str">
        <f>"08-I05-05"</f>
        <v>08-I05-05</v>
      </c>
      <c r="G6028">
        <v>2.2633000000000001</v>
      </c>
      <c r="H6028" t="s">
        <v>12</v>
      </c>
      <c r="I6028" t="s">
        <v>10</v>
      </c>
    </row>
    <row r="6029" spans="1:9" x14ac:dyDescent="0.25">
      <c r="A6029" t="str">
        <f t="shared" si="146"/>
        <v>89301000</v>
      </c>
      <c r="B6029" t="str">
        <f>"510924056"</f>
        <v>510924056</v>
      </c>
      <c r="C6029" s="1">
        <v>45194</v>
      </c>
      <c r="D6029" s="1">
        <v>45198</v>
      </c>
      <c r="E6029">
        <v>1</v>
      </c>
      <c r="F6029" t="str">
        <f>"08-I03-06"</f>
        <v>08-I03-06</v>
      </c>
      <c r="G6029">
        <v>2.9159000000000002</v>
      </c>
      <c r="H6029" t="s">
        <v>9</v>
      </c>
      <c r="I6029" t="s">
        <v>10</v>
      </c>
    </row>
    <row r="6030" spans="1:9" x14ac:dyDescent="0.25">
      <c r="A6030" t="str">
        <f t="shared" si="146"/>
        <v>89301000</v>
      </c>
      <c r="B6030" t="str">
        <f>"510926048"</f>
        <v>510926048</v>
      </c>
      <c r="C6030" s="1">
        <v>45041</v>
      </c>
      <c r="D6030" s="1">
        <v>45041</v>
      </c>
      <c r="E6030">
        <v>1</v>
      </c>
      <c r="F6030" t="str">
        <f>"05-I25-02"</f>
        <v>05-I25-02</v>
      </c>
      <c r="G6030">
        <v>2.5337999999999998</v>
      </c>
      <c r="H6030" t="s">
        <v>12</v>
      </c>
      <c r="I6030" t="s">
        <v>10</v>
      </c>
    </row>
    <row r="6031" spans="1:9" x14ac:dyDescent="0.25">
      <c r="A6031" t="str">
        <f t="shared" si="146"/>
        <v>89301000</v>
      </c>
      <c r="B6031" t="str">
        <f>"510927214"</f>
        <v>510927214</v>
      </c>
      <c r="C6031" s="1">
        <v>45273</v>
      </c>
      <c r="D6031" s="1">
        <v>45280</v>
      </c>
      <c r="E6031">
        <v>1</v>
      </c>
      <c r="F6031" t="str">
        <f>"01-K12-01"</f>
        <v>01-K12-01</v>
      </c>
      <c r="G6031">
        <v>0.72709999999999997</v>
      </c>
      <c r="H6031" t="s">
        <v>11</v>
      </c>
      <c r="I6031" t="s">
        <v>10</v>
      </c>
    </row>
    <row r="6032" spans="1:9" x14ac:dyDescent="0.25">
      <c r="A6032" t="str">
        <f t="shared" si="146"/>
        <v>89301000</v>
      </c>
      <c r="B6032" t="str">
        <f>"510930197"</f>
        <v>510930197</v>
      </c>
      <c r="C6032" s="1">
        <v>45172</v>
      </c>
      <c r="D6032" s="1">
        <v>45175</v>
      </c>
      <c r="E6032">
        <v>1</v>
      </c>
      <c r="F6032" t="str">
        <f>"03-K04-01"</f>
        <v>03-K04-01</v>
      </c>
      <c r="G6032">
        <v>0.46479999999999999</v>
      </c>
      <c r="H6032" t="s">
        <v>11</v>
      </c>
      <c r="I6032" t="s">
        <v>10</v>
      </c>
    </row>
    <row r="6033" spans="1:9" x14ac:dyDescent="0.25">
      <c r="A6033" t="str">
        <f t="shared" si="146"/>
        <v>89301000</v>
      </c>
      <c r="B6033" t="str">
        <f>"511007252"</f>
        <v>511007252</v>
      </c>
      <c r="C6033" s="1">
        <v>45212</v>
      </c>
      <c r="D6033" s="1">
        <v>45212</v>
      </c>
      <c r="E6033">
        <v>1</v>
      </c>
      <c r="F6033" t="str">
        <f>"05-D01-08"</f>
        <v>05-D01-08</v>
      </c>
      <c r="G6033">
        <v>0.2303</v>
      </c>
      <c r="H6033" t="s">
        <v>11</v>
      </c>
      <c r="I6033" t="s">
        <v>10</v>
      </c>
    </row>
    <row r="6034" spans="1:9" x14ac:dyDescent="0.25">
      <c r="A6034" t="str">
        <f t="shared" si="146"/>
        <v>89301000</v>
      </c>
      <c r="B6034" t="str">
        <f>"511019175"</f>
        <v>511019175</v>
      </c>
      <c r="C6034" s="1">
        <v>44927</v>
      </c>
      <c r="D6034" s="1">
        <v>44929</v>
      </c>
      <c r="E6034">
        <v>1</v>
      </c>
      <c r="F6034" t="str">
        <f>"05-I25-04"</f>
        <v>05-I25-04</v>
      </c>
      <c r="G6034">
        <v>1.2108000000000001</v>
      </c>
      <c r="H6034" t="s">
        <v>12</v>
      </c>
      <c r="I6034" t="s">
        <v>10</v>
      </c>
    </row>
    <row r="6035" spans="1:9" x14ac:dyDescent="0.25">
      <c r="A6035" t="str">
        <f t="shared" si="146"/>
        <v>89301000</v>
      </c>
      <c r="B6035" t="str">
        <f>"511019175"</f>
        <v>511019175</v>
      </c>
      <c r="C6035" s="1">
        <v>45175</v>
      </c>
      <c r="D6035" s="1">
        <v>45176</v>
      </c>
      <c r="E6035">
        <v>1</v>
      </c>
      <c r="F6035" t="str">
        <f>"06-M01-02"</f>
        <v>06-M01-02</v>
      </c>
      <c r="G6035">
        <v>1.2206999999999999</v>
      </c>
      <c r="H6035" t="s">
        <v>11</v>
      </c>
      <c r="I6035" t="s">
        <v>10</v>
      </c>
    </row>
    <row r="6036" spans="1:9" x14ac:dyDescent="0.25">
      <c r="A6036" t="str">
        <f t="shared" si="146"/>
        <v>89301000</v>
      </c>
      <c r="B6036" t="str">
        <f>"511019175"</f>
        <v>511019175</v>
      </c>
      <c r="C6036" s="1">
        <v>44959</v>
      </c>
      <c r="D6036" s="1">
        <v>44964</v>
      </c>
      <c r="E6036">
        <v>1</v>
      </c>
      <c r="F6036" t="str">
        <f>"07-K05-02"</f>
        <v>07-K05-02</v>
      </c>
      <c r="G6036">
        <v>0.64410000000000001</v>
      </c>
      <c r="H6036" t="s">
        <v>11</v>
      </c>
      <c r="I6036" t="s">
        <v>10</v>
      </c>
    </row>
    <row r="6037" spans="1:9" x14ac:dyDescent="0.25">
      <c r="A6037" t="str">
        <f t="shared" si="146"/>
        <v>89301000</v>
      </c>
      <c r="B6037" t="str">
        <f>"511020196"</f>
        <v>511020196</v>
      </c>
      <c r="C6037" s="1">
        <v>45173</v>
      </c>
      <c r="D6037" s="1">
        <v>45175</v>
      </c>
      <c r="E6037">
        <v>1</v>
      </c>
      <c r="F6037" t="str">
        <f>"11-M06-03"</f>
        <v>11-M06-03</v>
      </c>
      <c r="G6037">
        <v>0.61150000000000004</v>
      </c>
      <c r="H6037" t="s">
        <v>12</v>
      </c>
      <c r="I6037" t="s">
        <v>10</v>
      </c>
    </row>
    <row r="6038" spans="1:9" x14ac:dyDescent="0.25">
      <c r="A6038" t="str">
        <f t="shared" si="146"/>
        <v>89301000</v>
      </c>
      <c r="B6038" t="str">
        <f>"511021339"</f>
        <v>511021339</v>
      </c>
      <c r="C6038" s="1">
        <v>45098</v>
      </c>
      <c r="D6038" s="1">
        <v>45105</v>
      </c>
      <c r="E6038">
        <v>1</v>
      </c>
      <c r="F6038" t="str">
        <f>"07-K03-02"</f>
        <v>07-K03-02</v>
      </c>
      <c r="G6038">
        <v>0.48620000000000002</v>
      </c>
      <c r="H6038" t="s">
        <v>11</v>
      </c>
      <c r="I6038" t="s">
        <v>10</v>
      </c>
    </row>
    <row r="6039" spans="1:9" x14ac:dyDescent="0.25">
      <c r="A6039" t="str">
        <f t="shared" si="146"/>
        <v>89301000</v>
      </c>
      <c r="B6039" t="str">
        <f>"511021339"</f>
        <v>511021339</v>
      </c>
      <c r="C6039" s="1">
        <v>45244</v>
      </c>
      <c r="D6039" s="1">
        <v>45247</v>
      </c>
      <c r="E6039">
        <v>1</v>
      </c>
      <c r="F6039" t="str">
        <f>"07-I10-06"</f>
        <v>07-I10-06</v>
      </c>
      <c r="G6039">
        <v>0.98419999999999996</v>
      </c>
      <c r="H6039" t="s">
        <v>12</v>
      </c>
      <c r="I6039" t="s">
        <v>10</v>
      </c>
    </row>
    <row r="6040" spans="1:9" x14ac:dyDescent="0.25">
      <c r="A6040" t="str">
        <f t="shared" si="146"/>
        <v>89301000</v>
      </c>
      <c r="B6040" t="str">
        <f>"511022227"</f>
        <v>511022227</v>
      </c>
      <c r="C6040" s="1">
        <v>45125</v>
      </c>
      <c r="D6040" s="1">
        <v>45126</v>
      </c>
      <c r="E6040">
        <v>7</v>
      </c>
      <c r="F6040" t="str">
        <f>"01-K11-03"</f>
        <v>01-K11-03</v>
      </c>
      <c r="G6040">
        <v>1.1012999999999999</v>
      </c>
      <c r="H6040" t="s">
        <v>11</v>
      </c>
      <c r="I6040" t="s">
        <v>10</v>
      </c>
    </row>
    <row r="6041" spans="1:9" x14ac:dyDescent="0.25">
      <c r="A6041" t="str">
        <f t="shared" si="146"/>
        <v>89301000</v>
      </c>
      <c r="B6041" t="str">
        <f>"511025033"</f>
        <v>511025033</v>
      </c>
      <c r="C6041" s="1">
        <v>44993</v>
      </c>
      <c r="D6041" s="1">
        <v>44995</v>
      </c>
      <c r="E6041">
        <v>1</v>
      </c>
      <c r="F6041" t="str">
        <f>"09-I10-02"</f>
        <v>09-I10-02</v>
      </c>
      <c r="G6041">
        <v>0.87580000000000002</v>
      </c>
      <c r="H6041" t="s">
        <v>12</v>
      </c>
      <c r="I6041" t="s">
        <v>10</v>
      </c>
    </row>
    <row r="6042" spans="1:9" x14ac:dyDescent="0.25">
      <c r="A6042" t="str">
        <f t="shared" si="146"/>
        <v>89301000</v>
      </c>
      <c r="B6042" t="str">
        <f>"511025178"</f>
        <v>511025178</v>
      </c>
      <c r="C6042" s="1">
        <v>45260</v>
      </c>
      <c r="D6042" s="1">
        <v>45264</v>
      </c>
      <c r="E6042">
        <v>4</v>
      </c>
      <c r="F6042" t="str">
        <f>"08-I06-04"</f>
        <v>08-I06-04</v>
      </c>
      <c r="G6042">
        <v>2.4089999999999998</v>
      </c>
      <c r="H6042" t="s">
        <v>9</v>
      </c>
      <c r="I6042" t="s">
        <v>10</v>
      </c>
    </row>
    <row r="6043" spans="1:9" x14ac:dyDescent="0.25">
      <c r="A6043" t="str">
        <f t="shared" si="146"/>
        <v>89301000</v>
      </c>
      <c r="B6043" t="str">
        <f>"511028213"</f>
        <v>511028213</v>
      </c>
      <c r="C6043" s="1">
        <v>45222</v>
      </c>
      <c r="D6043" s="1">
        <v>45268</v>
      </c>
      <c r="E6043">
        <v>1</v>
      </c>
      <c r="F6043" t="str">
        <f>"06-R01-01"</f>
        <v>06-R01-01</v>
      </c>
      <c r="G6043">
        <v>5.7748999999999997</v>
      </c>
      <c r="H6043" t="s">
        <v>11</v>
      </c>
      <c r="I6043" t="s">
        <v>10</v>
      </c>
    </row>
    <row r="6044" spans="1:9" x14ac:dyDescent="0.25">
      <c r="A6044" t="str">
        <f t="shared" si="146"/>
        <v>89301000</v>
      </c>
      <c r="B6044" t="str">
        <f>"511111222"</f>
        <v>511111222</v>
      </c>
      <c r="C6044" s="1">
        <v>44963</v>
      </c>
      <c r="D6044" s="1">
        <v>44964</v>
      </c>
      <c r="E6044">
        <v>5</v>
      </c>
      <c r="F6044" t="str">
        <f>"04-K06-01"</f>
        <v>04-K06-01</v>
      </c>
      <c r="G6044">
        <v>0.88300000000000001</v>
      </c>
      <c r="H6044" t="s">
        <v>11</v>
      </c>
      <c r="I6044" t="s">
        <v>10</v>
      </c>
    </row>
    <row r="6045" spans="1:9" x14ac:dyDescent="0.25">
      <c r="A6045" t="str">
        <f t="shared" si="146"/>
        <v>89301000</v>
      </c>
      <c r="B6045" t="str">
        <f>"511111222"</f>
        <v>511111222</v>
      </c>
      <c r="C6045" s="1">
        <v>44974</v>
      </c>
      <c r="D6045" s="1">
        <v>44984</v>
      </c>
      <c r="E6045">
        <v>4</v>
      </c>
      <c r="F6045" t="str">
        <f>"04-K06-02"</f>
        <v>04-K06-02</v>
      </c>
      <c r="G6045">
        <v>0.99870000000000003</v>
      </c>
      <c r="H6045" t="s">
        <v>11</v>
      </c>
      <c r="I6045" t="s">
        <v>10</v>
      </c>
    </row>
    <row r="6046" spans="1:9" x14ac:dyDescent="0.25">
      <c r="A6046" t="str">
        <f t="shared" si="146"/>
        <v>89301000</v>
      </c>
      <c r="B6046" t="str">
        <f>"511115049"</f>
        <v>511115049</v>
      </c>
      <c r="C6046" s="1">
        <v>45097</v>
      </c>
      <c r="D6046" s="1">
        <v>45103</v>
      </c>
      <c r="E6046">
        <v>1</v>
      </c>
      <c r="F6046" t="str">
        <f>"01-I06-05"</f>
        <v>01-I06-05</v>
      </c>
      <c r="G6046">
        <v>2.6970999999999998</v>
      </c>
      <c r="H6046" t="s">
        <v>12</v>
      </c>
      <c r="I6046" t="s">
        <v>10</v>
      </c>
    </row>
    <row r="6047" spans="1:9" x14ac:dyDescent="0.25">
      <c r="A6047" t="str">
        <f t="shared" si="146"/>
        <v>89301000</v>
      </c>
      <c r="B6047" t="str">
        <f>"511118260"</f>
        <v>511118260</v>
      </c>
      <c r="C6047" s="1">
        <v>44984</v>
      </c>
      <c r="D6047" s="1">
        <v>44985</v>
      </c>
      <c r="E6047">
        <v>1</v>
      </c>
      <c r="F6047" t="str">
        <f>"04-K10-02"</f>
        <v>04-K10-02</v>
      </c>
      <c r="G6047">
        <v>0.40129999999999999</v>
      </c>
      <c r="H6047" t="s">
        <v>11</v>
      </c>
      <c r="I6047" t="s">
        <v>10</v>
      </c>
    </row>
    <row r="6048" spans="1:9" x14ac:dyDescent="0.25">
      <c r="A6048" t="str">
        <f t="shared" si="146"/>
        <v>89301000</v>
      </c>
      <c r="B6048" t="str">
        <f>"511120035"</f>
        <v>511120035</v>
      </c>
      <c r="C6048" s="1">
        <v>45278</v>
      </c>
      <c r="D6048" s="1">
        <v>45281</v>
      </c>
      <c r="E6048">
        <v>1</v>
      </c>
      <c r="F6048" t="str">
        <f>"08-I04-02"</f>
        <v>08-I04-02</v>
      </c>
      <c r="G6048">
        <v>1.6229</v>
      </c>
      <c r="H6048" t="s">
        <v>14</v>
      </c>
      <c r="I6048" t="s">
        <v>10</v>
      </c>
    </row>
    <row r="6049" spans="1:9" x14ac:dyDescent="0.25">
      <c r="A6049" t="str">
        <f t="shared" si="146"/>
        <v>89301000</v>
      </c>
      <c r="B6049" t="str">
        <f>"511121178"</f>
        <v>511121178</v>
      </c>
      <c r="C6049" s="1">
        <v>45124</v>
      </c>
      <c r="D6049" s="1">
        <v>45126</v>
      </c>
      <c r="E6049">
        <v>1</v>
      </c>
      <c r="F6049" t="str">
        <f>"01-I08-04"</f>
        <v>01-I08-04</v>
      </c>
      <c r="G6049">
        <v>1.4927999999999999</v>
      </c>
      <c r="H6049" t="s">
        <v>14</v>
      </c>
      <c r="I6049" t="s">
        <v>10</v>
      </c>
    </row>
    <row r="6050" spans="1:9" x14ac:dyDescent="0.25">
      <c r="A6050" t="str">
        <f t="shared" si="146"/>
        <v>89301000</v>
      </c>
      <c r="B6050" t="str">
        <f>"511205003"</f>
        <v>511205003</v>
      </c>
      <c r="C6050" s="1">
        <v>45045</v>
      </c>
      <c r="D6050" s="1">
        <v>45050</v>
      </c>
      <c r="E6050">
        <v>1</v>
      </c>
      <c r="F6050" t="str">
        <f>"05-D01-04"</f>
        <v>05-D01-04</v>
      </c>
      <c r="G6050">
        <v>2.6101999999999999</v>
      </c>
      <c r="H6050" t="s">
        <v>11</v>
      </c>
      <c r="I6050" t="s">
        <v>10</v>
      </c>
    </row>
    <row r="6051" spans="1:9" x14ac:dyDescent="0.25">
      <c r="A6051" t="str">
        <f t="shared" si="146"/>
        <v>89301000</v>
      </c>
      <c r="B6051" t="str">
        <f>"511205003"</f>
        <v>511205003</v>
      </c>
      <c r="C6051" s="1">
        <v>45081</v>
      </c>
      <c r="D6051" s="1">
        <v>45083</v>
      </c>
      <c r="E6051">
        <v>1</v>
      </c>
      <c r="F6051" t="str">
        <f>"05-I14-03"</f>
        <v>05-I14-03</v>
      </c>
      <c r="G6051">
        <v>6.0362</v>
      </c>
      <c r="H6051" t="s">
        <v>12</v>
      </c>
      <c r="I6051" t="s">
        <v>10</v>
      </c>
    </row>
    <row r="6052" spans="1:9" x14ac:dyDescent="0.25">
      <c r="A6052" t="str">
        <f t="shared" si="146"/>
        <v>89301000</v>
      </c>
      <c r="B6052" t="str">
        <f>"511205303"</f>
        <v>511205303</v>
      </c>
      <c r="C6052" s="1">
        <v>45007</v>
      </c>
      <c r="D6052" s="1">
        <v>45012</v>
      </c>
      <c r="E6052">
        <v>1</v>
      </c>
      <c r="F6052" t="str">
        <f>"04-K09-02"</f>
        <v>04-K09-02</v>
      </c>
      <c r="G6052">
        <v>1.155</v>
      </c>
      <c r="H6052" t="s">
        <v>11</v>
      </c>
      <c r="I6052" t="s">
        <v>10</v>
      </c>
    </row>
    <row r="6053" spans="1:9" x14ac:dyDescent="0.25">
      <c r="A6053" t="str">
        <f t="shared" si="146"/>
        <v>89301000</v>
      </c>
      <c r="B6053" t="str">
        <f>"511210100"</f>
        <v>511210100</v>
      </c>
      <c r="C6053" s="1">
        <v>45012</v>
      </c>
      <c r="D6053" s="1">
        <v>45016</v>
      </c>
      <c r="E6053">
        <v>1</v>
      </c>
      <c r="F6053" t="str">
        <f>"01-M02-00"</f>
        <v>01-M02-00</v>
      </c>
      <c r="G6053">
        <v>5.3973000000000004</v>
      </c>
      <c r="H6053" t="s">
        <v>12</v>
      </c>
      <c r="I6053" t="s">
        <v>10</v>
      </c>
    </row>
    <row r="6054" spans="1:9" x14ac:dyDescent="0.25">
      <c r="A6054" t="str">
        <f t="shared" si="146"/>
        <v>89301000</v>
      </c>
      <c r="B6054" t="str">
        <f>"511216390"</f>
        <v>511216390</v>
      </c>
      <c r="C6054" s="1">
        <v>45145</v>
      </c>
      <c r="D6054" s="1">
        <v>45148</v>
      </c>
      <c r="E6054">
        <v>1</v>
      </c>
      <c r="F6054" t="str">
        <f>"01-I01-02"</f>
        <v>01-I01-02</v>
      </c>
      <c r="G6054">
        <v>8.2134999999999998</v>
      </c>
      <c r="H6054" t="s">
        <v>14</v>
      </c>
      <c r="I6054" t="s">
        <v>10</v>
      </c>
    </row>
    <row r="6055" spans="1:9" x14ac:dyDescent="0.25">
      <c r="A6055" t="str">
        <f t="shared" si="146"/>
        <v>89301000</v>
      </c>
      <c r="B6055" t="str">
        <f>"511217213"</f>
        <v>511217213</v>
      </c>
      <c r="C6055" s="1">
        <v>45034</v>
      </c>
      <c r="D6055" s="1">
        <v>45038</v>
      </c>
      <c r="E6055">
        <v>1</v>
      </c>
      <c r="F6055" t="str">
        <f>"03-I12-03"</f>
        <v>03-I12-03</v>
      </c>
      <c r="G6055">
        <v>0.99050000000000005</v>
      </c>
      <c r="H6055" t="s">
        <v>12</v>
      </c>
      <c r="I6055" t="s">
        <v>10</v>
      </c>
    </row>
    <row r="6056" spans="1:9" x14ac:dyDescent="0.25">
      <c r="A6056" t="str">
        <f t="shared" si="146"/>
        <v>89301000</v>
      </c>
      <c r="B6056" t="str">
        <f>"511224314"</f>
        <v>511224314</v>
      </c>
      <c r="C6056" s="1">
        <v>45265</v>
      </c>
      <c r="D6056" s="1">
        <v>45268</v>
      </c>
      <c r="E6056">
        <v>1</v>
      </c>
      <c r="F6056" t="str">
        <f>"06-K14-02"</f>
        <v>06-K14-02</v>
      </c>
      <c r="G6056">
        <v>0.61380000000000001</v>
      </c>
      <c r="H6056" t="s">
        <v>11</v>
      </c>
      <c r="I6056" t="s">
        <v>10</v>
      </c>
    </row>
    <row r="6057" spans="1:9" x14ac:dyDescent="0.25">
      <c r="A6057" t="str">
        <f t="shared" si="146"/>
        <v>89301000</v>
      </c>
      <c r="B6057" t="str">
        <f>"511226037"</f>
        <v>511226037</v>
      </c>
      <c r="C6057" s="1">
        <v>45095</v>
      </c>
      <c r="D6057" s="1">
        <v>45099</v>
      </c>
      <c r="E6057">
        <v>1</v>
      </c>
      <c r="F6057" t="str">
        <f>"05-I24-04"</f>
        <v>05-I24-04</v>
      </c>
      <c r="G6057">
        <v>2.1032000000000002</v>
      </c>
      <c r="H6057" t="s">
        <v>12</v>
      </c>
      <c r="I6057" t="s">
        <v>10</v>
      </c>
    </row>
    <row r="6058" spans="1:9" x14ac:dyDescent="0.25">
      <c r="A6058" t="str">
        <f t="shared" si="146"/>
        <v>89301000</v>
      </c>
      <c r="B6058" t="str">
        <f>"511226305"</f>
        <v>511226305</v>
      </c>
      <c r="C6058" s="1">
        <v>44967</v>
      </c>
      <c r="D6058" s="1">
        <v>44970</v>
      </c>
      <c r="E6058">
        <v>1</v>
      </c>
      <c r="F6058" t="str">
        <f>"01-D01-03"</f>
        <v>01-D01-03</v>
      </c>
      <c r="G6058">
        <v>0.21060000000000001</v>
      </c>
      <c r="H6058" t="s">
        <v>11</v>
      </c>
      <c r="I6058" t="s">
        <v>10</v>
      </c>
    </row>
    <row r="6059" spans="1:9" x14ac:dyDescent="0.25">
      <c r="A6059" t="str">
        <f t="shared" si="146"/>
        <v>89301000</v>
      </c>
      <c r="B6059" t="str">
        <f>"511228209"</f>
        <v>511228209</v>
      </c>
      <c r="C6059" s="1">
        <v>45088</v>
      </c>
      <c r="D6059" s="1">
        <v>45093</v>
      </c>
      <c r="E6059">
        <v>1</v>
      </c>
      <c r="F6059" t="str">
        <f>"04-K05-03"</f>
        <v>04-K05-03</v>
      </c>
      <c r="G6059">
        <v>0.74039999999999995</v>
      </c>
      <c r="H6059" t="s">
        <v>11</v>
      </c>
      <c r="I6059" t="s">
        <v>10</v>
      </c>
    </row>
    <row r="6060" spans="1:9" x14ac:dyDescent="0.25">
      <c r="A6060" t="str">
        <f t="shared" si="146"/>
        <v>89301000</v>
      </c>
      <c r="B6060" t="str">
        <f>"511230161"</f>
        <v>511230161</v>
      </c>
      <c r="C6060" s="1">
        <v>45067</v>
      </c>
      <c r="D6060" s="1">
        <v>45072</v>
      </c>
      <c r="E6060">
        <v>4</v>
      </c>
      <c r="F6060" t="str">
        <f>"08-I06-04"</f>
        <v>08-I06-04</v>
      </c>
      <c r="G6060">
        <v>2.4180000000000001</v>
      </c>
      <c r="H6060" t="s">
        <v>9</v>
      </c>
      <c r="I6060" t="s">
        <v>10</v>
      </c>
    </row>
    <row r="6061" spans="1:9" x14ac:dyDescent="0.25">
      <c r="A6061" t="str">
        <f t="shared" si="146"/>
        <v>89301000</v>
      </c>
      <c r="B6061" t="str">
        <f>"511230224"</f>
        <v>511230224</v>
      </c>
      <c r="C6061" s="1">
        <v>45088</v>
      </c>
      <c r="D6061" s="1">
        <v>45100</v>
      </c>
      <c r="E6061">
        <v>1</v>
      </c>
      <c r="F6061" t="str">
        <f>"12-K05-02"</f>
        <v>12-K05-02</v>
      </c>
      <c r="G6061">
        <v>0.70050000000000001</v>
      </c>
      <c r="H6061" t="s">
        <v>11</v>
      </c>
      <c r="I6061" t="s">
        <v>10</v>
      </c>
    </row>
    <row r="6062" spans="1:9" x14ac:dyDescent="0.25">
      <c r="A6062" t="str">
        <f t="shared" si="146"/>
        <v>89301000</v>
      </c>
      <c r="B6062" t="str">
        <f>"515101479"</f>
        <v>515101479</v>
      </c>
      <c r="C6062" s="1">
        <v>44959</v>
      </c>
      <c r="D6062" s="1">
        <v>44966</v>
      </c>
      <c r="E6062">
        <v>4</v>
      </c>
      <c r="F6062" t="str">
        <f>"08-I06-04"</f>
        <v>08-I06-04</v>
      </c>
      <c r="G6062">
        <v>2.4180000000000001</v>
      </c>
      <c r="H6062" t="s">
        <v>9</v>
      </c>
      <c r="I6062" t="s">
        <v>10</v>
      </c>
    </row>
    <row r="6063" spans="1:9" x14ac:dyDescent="0.25">
      <c r="A6063" t="str">
        <f t="shared" si="146"/>
        <v>89301000</v>
      </c>
      <c r="B6063" t="str">
        <f>"515104060"</f>
        <v>515104060</v>
      </c>
      <c r="C6063" s="1">
        <v>45266</v>
      </c>
      <c r="D6063" s="1">
        <v>45271</v>
      </c>
      <c r="E6063">
        <v>4</v>
      </c>
      <c r="F6063" t="str">
        <f>"08-I06-04"</f>
        <v>08-I06-04</v>
      </c>
      <c r="G6063">
        <v>2.4180000000000001</v>
      </c>
      <c r="H6063" t="s">
        <v>9</v>
      </c>
      <c r="I6063" t="s">
        <v>10</v>
      </c>
    </row>
    <row r="6064" spans="1:9" x14ac:dyDescent="0.25">
      <c r="A6064" t="str">
        <f t="shared" si="146"/>
        <v>89301000</v>
      </c>
      <c r="B6064" t="str">
        <f>"515105047"</f>
        <v>515105047</v>
      </c>
      <c r="C6064" s="1">
        <v>44989</v>
      </c>
      <c r="D6064" s="1">
        <v>44995</v>
      </c>
      <c r="E6064">
        <v>1</v>
      </c>
      <c r="F6064" t="str">
        <f>"06-I17-02"</f>
        <v>06-I17-02</v>
      </c>
      <c r="G6064">
        <v>1.0106999999999999</v>
      </c>
      <c r="H6064" t="s">
        <v>12</v>
      </c>
      <c r="I6064" t="s">
        <v>10</v>
      </c>
    </row>
    <row r="6065" spans="1:9" x14ac:dyDescent="0.25">
      <c r="A6065" t="str">
        <f t="shared" si="146"/>
        <v>89301000</v>
      </c>
      <c r="B6065" t="str">
        <f>"515110056"</f>
        <v>515110056</v>
      </c>
      <c r="C6065" s="1">
        <v>44992</v>
      </c>
      <c r="D6065" s="1">
        <v>45002</v>
      </c>
      <c r="E6065">
        <v>1</v>
      </c>
      <c r="F6065" t="str">
        <f>"06-I17-03"</f>
        <v>06-I17-03</v>
      </c>
      <c r="G6065">
        <v>1.0799000000000001</v>
      </c>
      <c r="H6065" t="s">
        <v>12</v>
      </c>
      <c r="I6065" t="s">
        <v>10</v>
      </c>
    </row>
    <row r="6066" spans="1:9" x14ac:dyDescent="0.25">
      <c r="A6066" t="str">
        <f t="shared" si="146"/>
        <v>89301000</v>
      </c>
      <c r="B6066" t="str">
        <f>"515110056"</f>
        <v>515110056</v>
      </c>
      <c r="C6066" s="1">
        <v>45056</v>
      </c>
      <c r="D6066" s="1">
        <v>45059</v>
      </c>
      <c r="E6066">
        <v>1</v>
      </c>
      <c r="F6066" t="str">
        <f>"06-C02-01"</f>
        <v>06-C02-01</v>
      </c>
      <c r="G6066">
        <v>0.31909999999999999</v>
      </c>
      <c r="H6066" t="s">
        <v>11</v>
      </c>
      <c r="I6066" t="s">
        <v>10</v>
      </c>
    </row>
    <row r="6067" spans="1:9" x14ac:dyDescent="0.25">
      <c r="A6067" t="str">
        <f t="shared" si="146"/>
        <v>89301000</v>
      </c>
      <c r="B6067" t="str">
        <f>"515118159"</f>
        <v>515118159</v>
      </c>
      <c r="C6067" s="1">
        <v>44958</v>
      </c>
      <c r="D6067" s="1">
        <v>44963</v>
      </c>
      <c r="E6067">
        <v>1</v>
      </c>
      <c r="F6067" t="str">
        <f>"01-I06-04"</f>
        <v>01-I06-04</v>
      </c>
      <c r="G6067">
        <v>3.6478999999999999</v>
      </c>
      <c r="H6067" t="s">
        <v>12</v>
      </c>
      <c r="I6067" t="s">
        <v>10</v>
      </c>
    </row>
    <row r="6068" spans="1:9" x14ac:dyDescent="0.25">
      <c r="A6068" t="str">
        <f t="shared" si="146"/>
        <v>89301000</v>
      </c>
      <c r="B6068" t="str">
        <f>"515128158"</f>
        <v>515128158</v>
      </c>
      <c r="C6068" s="1">
        <v>45049</v>
      </c>
      <c r="D6068" s="1">
        <v>45052</v>
      </c>
      <c r="E6068">
        <v>1</v>
      </c>
      <c r="F6068" t="str">
        <f>"08-I22-02"</f>
        <v>08-I22-02</v>
      </c>
      <c r="G6068">
        <v>1.131</v>
      </c>
      <c r="H6068" t="s">
        <v>12</v>
      </c>
      <c r="I6068" t="s">
        <v>10</v>
      </c>
    </row>
    <row r="6069" spans="1:9" x14ac:dyDescent="0.25">
      <c r="A6069" t="str">
        <f t="shared" si="146"/>
        <v>89301000</v>
      </c>
      <c r="B6069" t="str">
        <f>"515215374"</f>
        <v>515215374</v>
      </c>
      <c r="C6069" s="1">
        <v>45061</v>
      </c>
      <c r="D6069" s="1">
        <v>45062</v>
      </c>
      <c r="E6069">
        <v>1</v>
      </c>
      <c r="F6069" t="str">
        <f>"05-D01-08"</f>
        <v>05-D01-08</v>
      </c>
      <c r="G6069">
        <v>0.43159999999999998</v>
      </c>
      <c r="H6069" t="s">
        <v>11</v>
      </c>
      <c r="I6069" t="s">
        <v>10</v>
      </c>
    </row>
    <row r="6070" spans="1:9" x14ac:dyDescent="0.25">
      <c r="A6070" t="str">
        <f t="shared" si="146"/>
        <v>89301000</v>
      </c>
      <c r="B6070" t="str">
        <f>"515224124"</f>
        <v>515224124</v>
      </c>
      <c r="C6070" s="1">
        <v>45176</v>
      </c>
      <c r="D6070" s="1">
        <v>45222</v>
      </c>
      <c r="E6070">
        <v>2</v>
      </c>
      <c r="F6070" t="str">
        <f>"10-I02-01"</f>
        <v>10-I02-01</v>
      </c>
      <c r="G6070">
        <v>5.3244999999999996</v>
      </c>
      <c r="H6070" t="s">
        <v>12</v>
      </c>
      <c r="I6070" t="s">
        <v>10</v>
      </c>
    </row>
    <row r="6071" spans="1:9" x14ac:dyDescent="0.25">
      <c r="A6071" t="str">
        <f t="shared" si="146"/>
        <v>89301000</v>
      </c>
      <c r="B6071" t="str">
        <f>"515225052"</f>
        <v>515225052</v>
      </c>
      <c r="C6071" s="1">
        <v>45068</v>
      </c>
      <c r="D6071" s="1">
        <v>45075</v>
      </c>
      <c r="E6071">
        <v>4</v>
      </c>
      <c r="F6071" t="str">
        <f>"08-I05-05"</f>
        <v>08-I05-05</v>
      </c>
      <c r="G6071">
        <v>2.2633000000000001</v>
      </c>
      <c r="H6071" t="s">
        <v>12</v>
      </c>
      <c r="I6071" t="s">
        <v>10</v>
      </c>
    </row>
    <row r="6072" spans="1:9" x14ac:dyDescent="0.25">
      <c r="A6072" t="str">
        <f t="shared" si="146"/>
        <v>89301000</v>
      </c>
      <c r="B6072" t="str">
        <f>"515225052"</f>
        <v>515225052</v>
      </c>
      <c r="C6072" s="1">
        <v>44941</v>
      </c>
      <c r="D6072" s="1">
        <v>44949</v>
      </c>
      <c r="E6072">
        <v>4</v>
      </c>
      <c r="F6072" t="str">
        <f>"08-I05-05"</f>
        <v>08-I05-05</v>
      </c>
      <c r="G6072">
        <v>2.2633000000000001</v>
      </c>
      <c r="H6072" t="s">
        <v>12</v>
      </c>
      <c r="I6072" t="s">
        <v>10</v>
      </c>
    </row>
    <row r="6073" spans="1:9" x14ac:dyDescent="0.25">
      <c r="A6073" t="str">
        <f t="shared" si="146"/>
        <v>89301000</v>
      </c>
      <c r="B6073" t="str">
        <f>"515227078"</f>
        <v>515227078</v>
      </c>
      <c r="C6073" s="1">
        <v>44974</v>
      </c>
      <c r="D6073" s="1">
        <v>44978</v>
      </c>
      <c r="E6073">
        <v>1</v>
      </c>
      <c r="F6073" t="str">
        <f>"04-K05-03"</f>
        <v>04-K05-03</v>
      </c>
      <c r="G6073">
        <v>0.74039999999999995</v>
      </c>
      <c r="H6073" t="s">
        <v>11</v>
      </c>
      <c r="I6073" t="s">
        <v>10</v>
      </c>
    </row>
    <row r="6074" spans="1:9" x14ac:dyDescent="0.25">
      <c r="A6074" t="str">
        <f t="shared" si="146"/>
        <v>89301000</v>
      </c>
      <c r="B6074" t="str">
        <f>"515227301"</f>
        <v>515227301</v>
      </c>
      <c r="C6074" s="1">
        <v>45088</v>
      </c>
      <c r="D6074" s="1">
        <v>45091</v>
      </c>
      <c r="E6074">
        <v>1</v>
      </c>
      <c r="F6074" t="str">
        <f>"13-I14-03"</f>
        <v>13-I14-03</v>
      </c>
      <c r="G6074">
        <v>0.87760000000000005</v>
      </c>
      <c r="H6074" t="s">
        <v>9</v>
      </c>
      <c r="I6074" t="s">
        <v>10</v>
      </c>
    </row>
    <row r="6075" spans="1:9" x14ac:dyDescent="0.25">
      <c r="A6075" t="str">
        <f t="shared" si="146"/>
        <v>89301000</v>
      </c>
      <c r="B6075" t="str">
        <f>"515302052"</f>
        <v>515302052</v>
      </c>
      <c r="C6075" s="1">
        <v>45070</v>
      </c>
      <c r="D6075" s="1">
        <v>45071</v>
      </c>
      <c r="E6075">
        <v>5</v>
      </c>
      <c r="F6075" t="str">
        <f>"03-K02-01"</f>
        <v>03-K02-01</v>
      </c>
      <c r="G6075">
        <v>0.81859999999999999</v>
      </c>
      <c r="H6075" t="s">
        <v>11</v>
      </c>
      <c r="I6075" t="s">
        <v>10</v>
      </c>
    </row>
    <row r="6076" spans="1:9" x14ac:dyDescent="0.25">
      <c r="A6076" t="str">
        <f t="shared" si="146"/>
        <v>89301000</v>
      </c>
      <c r="B6076" t="str">
        <f>"515305392"</f>
        <v>515305392</v>
      </c>
      <c r="C6076" s="1">
        <v>45091</v>
      </c>
      <c r="D6076" s="1">
        <v>45096</v>
      </c>
      <c r="E6076">
        <v>1</v>
      </c>
      <c r="F6076" t="str">
        <f>"01-K10-03"</f>
        <v>01-K10-03</v>
      </c>
      <c r="G6076">
        <v>1.0348999999999999</v>
      </c>
      <c r="H6076" t="s">
        <v>11</v>
      </c>
      <c r="I6076" t="s">
        <v>10</v>
      </c>
    </row>
    <row r="6077" spans="1:9" x14ac:dyDescent="0.25">
      <c r="A6077" t="str">
        <f t="shared" si="146"/>
        <v>89301000</v>
      </c>
      <c r="B6077" t="str">
        <f>"515306091"</f>
        <v>515306091</v>
      </c>
      <c r="C6077" s="1">
        <v>44942</v>
      </c>
      <c r="D6077" s="1">
        <v>44946</v>
      </c>
      <c r="E6077">
        <v>1</v>
      </c>
      <c r="F6077" t="str">
        <f>"04-K05-03"</f>
        <v>04-K05-03</v>
      </c>
      <c r="G6077">
        <v>0.74039999999999995</v>
      </c>
      <c r="H6077" t="s">
        <v>11</v>
      </c>
      <c r="I6077" t="s">
        <v>10</v>
      </c>
    </row>
    <row r="6078" spans="1:9" x14ac:dyDescent="0.25">
      <c r="A6078" t="str">
        <f t="shared" si="146"/>
        <v>89301000</v>
      </c>
      <c r="B6078" t="str">
        <f>"515312081"</f>
        <v>515312081</v>
      </c>
      <c r="C6078" s="1">
        <v>45204</v>
      </c>
      <c r="D6078" s="1">
        <v>45209</v>
      </c>
      <c r="E6078">
        <v>1</v>
      </c>
      <c r="F6078" t="str">
        <f>"08-I06-04"</f>
        <v>08-I06-04</v>
      </c>
      <c r="G6078">
        <v>2.4180000000000001</v>
      </c>
      <c r="H6078" t="s">
        <v>9</v>
      </c>
      <c r="I6078" t="s">
        <v>10</v>
      </c>
    </row>
    <row r="6079" spans="1:9" x14ac:dyDescent="0.25">
      <c r="A6079" t="str">
        <f t="shared" si="146"/>
        <v>89301000</v>
      </c>
      <c r="B6079" t="str">
        <f>"515318021"</f>
        <v>515318021</v>
      </c>
      <c r="C6079" s="1">
        <v>45104</v>
      </c>
      <c r="D6079" s="1">
        <v>45110</v>
      </c>
      <c r="E6079">
        <v>1</v>
      </c>
      <c r="F6079" t="str">
        <f>"06-I12-03"</f>
        <v>06-I12-03</v>
      </c>
      <c r="G6079">
        <v>1.9540999999999999</v>
      </c>
      <c r="H6079" t="s">
        <v>11</v>
      </c>
      <c r="I6079" t="s">
        <v>10</v>
      </c>
    </row>
    <row r="6080" spans="1:9" x14ac:dyDescent="0.25">
      <c r="A6080" t="str">
        <f t="shared" si="146"/>
        <v>89301000</v>
      </c>
      <c r="B6080" t="str">
        <f>"515323097"</f>
        <v>515323097</v>
      </c>
      <c r="C6080" s="1">
        <v>45105</v>
      </c>
      <c r="D6080" s="1">
        <v>45111</v>
      </c>
      <c r="E6080">
        <v>1</v>
      </c>
      <c r="F6080" t="str">
        <f>"05-K07-05"</f>
        <v>05-K07-05</v>
      </c>
      <c r="G6080">
        <v>0.74719999999999998</v>
      </c>
      <c r="H6080" t="s">
        <v>11</v>
      </c>
      <c r="I6080" t="s">
        <v>10</v>
      </c>
    </row>
    <row r="6081" spans="1:9" x14ac:dyDescent="0.25">
      <c r="A6081" t="str">
        <f t="shared" si="146"/>
        <v>89301000</v>
      </c>
      <c r="B6081" t="str">
        <f>"515323097"</f>
        <v>515323097</v>
      </c>
      <c r="C6081" s="1">
        <v>45124</v>
      </c>
      <c r="D6081" s="1">
        <v>45134</v>
      </c>
      <c r="E6081">
        <v>1</v>
      </c>
      <c r="F6081" t="str">
        <f>"05-K14-01"</f>
        <v>05-K14-01</v>
      </c>
      <c r="G6081">
        <v>1.1436999999999999</v>
      </c>
      <c r="H6081" t="s">
        <v>11</v>
      </c>
      <c r="I6081" t="s">
        <v>10</v>
      </c>
    </row>
    <row r="6082" spans="1:9" x14ac:dyDescent="0.25">
      <c r="A6082" t="str">
        <f t="shared" si="146"/>
        <v>89301000</v>
      </c>
      <c r="B6082" t="str">
        <f>"515323097"</f>
        <v>515323097</v>
      </c>
      <c r="C6082" s="1">
        <v>45148</v>
      </c>
      <c r="D6082" s="1">
        <v>45148</v>
      </c>
      <c r="E6082">
        <v>1</v>
      </c>
      <c r="F6082" t="str">
        <f>"05-D01-08"</f>
        <v>05-D01-08</v>
      </c>
      <c r="G6082">
        <v>0.2303</v>
      </c>
      <c r="H6082" t="s">
        <v>11</v>
      </c>
      <c r="I6082" t="s">
        <v>10</v>
      </c>
    </row>
    <row r="6083" spans="1:9" x14ac:dyDescent="0.25">
      <c r="A6083" t="str">
        <f t="shared" si="146"/>
        <v>89301000</v>
      </c>
      <c r="B6083" t="str">
        <f>"515326041"</f>
        <v>515326041</v>
      </c>
      <c r="C6083" s="1">
        <v>45212</v>
      </c>
      <c r="D6083" s="1">
        <v>45219</v>
      </c>
      <c r="E6083">
        <v>1</v>
      </c>
      <c r="F6083" t="str">
        <f>"11-K03-01"</f>
        <v>11-K03-01</v>
      </c>
      <c r="G6083">
        <v>1.2496</v>
      </c>
      <c r="H6083" t="s">
        <v>11</v>
      </c>
      <c r="I6083" t="s">
        <v>10</v>
      </c>
    </row>
    <row r="6084" spans="1:9" x14ac:dyDescent="0.25">
      <c r="A6084" t="str">
        <f t="shared" si="146"/>
        <v>89301000</v>
      </c>
      <c r="B6084" t="str">
        <f>"515326041"</f>
        <v>515326041</v>
      </c>
      <c r="C6084" s="1">
        <v>45176</v>
      </c>
      <c r="D6084" s="1">
        <v>45208</v>
      </c>
      <c r="E6084">
        <v>1</v>
      </c>
      <c r="F6084" t="str">
        <f>"00-I05-02"</f>
        <v>00-I05-02</v>
      </c>
      <c r="G6084">
        <v>10.079700000000001</v>
      </c>
      <c r="H6084" t="s">
        <v>14</v>
      </c>
      <c r="I6084" t="s">
        <v>10</v>
      </c>
    </row>
    <row r="6085" spans="1:9" x14ac:dyDescent="0.25">
      <c r="A6085" t="str">
        <f t="shared" si="146"/>
        <v>89301000</v>
      </c>
      <c r="B6085" t="str">
        <f>"515326041"</f>
        <v>515326041</v>
      </c>
      <c r="C6085" s="1">
        <v>45231</v>
      </c>
      <c r="D6085" s="1">
        <v>45236</v>
      </c>
      <c r="E6085">
        <v>1</v>
      </c>
      <c r="F6085" t="str">
        <f>"11-K03-02"</f>
        <v>11-K03-02</v>
      </c>
      <c r="G6085">
        <v>0.622</v>
      </c>
      <c r="H6085" t="s">
        <v>11</v>
      </c>
      <c r="I6085" t="s">
        <v>10</v>
      </c>
    </row>
    <row r="6086" spans="1:9" x14ac:dyDescent="0.25">
      <c r="A6086" t="str">
        <f t="shared" si="146"/>
        <v>89301000</v>
      </c>
      <c r="B6086" t="str">
        <f>"515329132"</f>
        <v>515329132</v>
      </c>
      <c r="C6086" s="1">
        <v>44970</v>
      </c>
      <c r="D6086" s="1">
        <v>44978</v>
      </c>
      <c r="E6086">
        <v>1</v>
      </c>
      <c r="F6086" t="str">
        <f>"17-K03-01"</f>
        <v>17-K03-01</v>
      </c>
      <c r="G6086">
        <v>2.0066000000000002</v>
      </c>
      <c r="H6086" t="s">
        <v>11</v>
      </c>
      <c r="I6086" t="s">
        <v>10</v>
      </c>
    </row>
    <row r="6087" spans="1:9" x14ac:dyDescent="0.25">
      <c r="A6087" t="str">
        <f t="shared" si="146"/>
        <v>89301000</v>
      </c>
      <c r="B6087" t="str">
        <f>"515330049"</f>
        <v>515330049</v>
      </c>
      <c r="C6087" s="1">
        <v>44964</v>
      </c>
      <c r="D6087" s="1">
        <v>44971</v>
      </c>
      <c r="E6087">
        <v>1</v>
      </c>
      <c r="F6087" t="str">
        <f>"07-M02-04"</f>
        <v>07-M02-04</v>
      </c>
      <c r="G6087">
        <v>0.84350000000000003</v>
      </c>
      <c r="H6087" t="s">
        <v>12</v>
      </c>
      <c r="I6087" t="s">
        <v>10</v>
      </c>
    </row>
    <row r="6088" spans="1:9" x14ac:dyDescent="0.25">
      <c r="A6088" t="str">
        <f t="shared" si="146"/>
        <v>89301000</v>
      </c>
      <c r="B6088" t="str">
        <f>"515330049"</f>
        <v>515330049</v>
      </c>
      <c r="C6088" s="1">
        <v>45055</v>
      </c>
      <c r="D6088" s="1">
        <v>45056</v>
      </c>
      <c r="E6088">
        <v>1</v>
      </c>
      <c r="F6088" t="str">
        <f>"07-M02-04"</f>
        <v>07-M02-04</v>
      </c>
      <c r="G6088">
        <v>0.77339999999999998</v>
      </c>
      <c r="H6088" t="s">
        <v>12</v>
      </c>
      <c r="I6088" t="s">
        <v>10</v>
      </c>
    </row>
    <row r="6089" spans="1:9" x14ac:dyDescent="0.25">
      <c r="A6089" t="str">
        <f t="shared" si="146"/>
        <v>89301000</v>
      </c>
      <c r="B6089" t="str">
        <f>"515331142"</f>
        <v>515331142</v>
      </c>
      <c r="C6089" s="1">
        <v>45209</v>
      </c>
      <c r="D6089" s="1">
        <v>45211</v>
      </c>
      <c r="E6089">
        <v>1</v>
      </c>
      <c r="F6089" t="str">
        <f>"01-I13-00"</f>
        <v>01-I13-00</v>
      </c>
      <c r="G6089">
        <v>0.38400000000000001</v>
      </c>
      <c r="H6089" t="s">
        <v>11</v>
      </c>
      <c r="I6089" t="s">
        <v>10</v>
      </c>
    </row>
    <row r="6090" spans="1:9" x14ac:dyDescent="0.25">
      <c r="A6090" t="str">
        <f t="shared" ref="A6090:A6153" si="147">"89301000"</f>
        <v>89301000</v>
      </c>
      <c r="B6090" t="str">
        <f>"515402118"</f>
        <v>515402118</v>
      </c>
      <c r="C6090" s="1">
        <v>45203</v>
      </c>
      <c r="D6090" s="1">
        <v>45205</v>
      </c>
      <c r="E6090">
        <v>1</v>
      </c>
      <c r="F6090" t="str">
        <f>"06-C02-01"</f>
        <v>06-C02-01</v>
      </c>
      <c r="G6090">
        <v>0.31909999999999999</v>
      </c>
      <c r="H6090" t="s">
        <v>11</v>
      </c>
      <c r="I6090" t="s">
        <v>10</v>
      </c>
    </row>
    <row r="6091" spans="1:9" x14ac:dyDescent="0.25">
      <c r="A6091" t="str">
        <f t="shared" si="147"/>
        <v>89301000</v>
      </c>
      <c r="B6091" t="str">
        <f>"515402118"</f>
        <v>515402118</v>
      </c>
      <c r="C6091" s="1">
        <v>45232</v>
      </c>
      <c r="D6091" s="1">
        <v>45234</v>
      </c>
      <c r="E6091">
        <v>1</v>
      </c>
      <c r="F6091" t="str">
        <f>"06-C02-01"</f>
        <v>06-C02-01</v>
      </c>
      <c r="G6091">
        <v>0.31909999999999999</v>
      </c>
      <c r="H6091" t="s">
        <v>11</v>
      </c>
      <c r="I6091" t="s">
        <v>10</v>
      </c>
    </row>
    <row r="6092" spans="1:9" x14ac:dyDescent="0.25">
      <c r="A6092" t="str">
        <f t="shared" si="147"/>
        <v>89301000</v>
      </c>
      <c r="B6092" t="str">
        <f>"515402118"</f>
        <v>515402118</v>
      </c>
      <c r="C6092" s="1">
        <v>45218</v>
      </c>
      <c r="D6092" s="1">
        <v>45220</v>
      </c>
      <c r="E6092">
        <v>1</v>
      </c>
      <c r="F6092" t="str">
        <f>"06-C02-01"</f>
        <v>06-C02-01</v>
      </c>
      <c r="G6092">
        <v>0.31909999999999999</v>
      </c>
      <c r="H6092" t="s">
        <v>11</v>
      </c>
      <c r="I6092" t="s">
        <v>10</v>
      </c>
    </row>
    <row r="6093" spans="1:9" x14ac:dyDescent="0.25">
      <c r="A6093" t="str">
        <f t="shared" si="147"/>
        <v>89301000</v>
      </c>
      <c r="B6093" t="str">
        <f>"515402401"</f>
        <v>515402401</v>
      </c>
      <c r="C6093" s="1">
        <v>45274</v>
      </c>
      <c r="D6093" s="1">
        <v>45280</v>
      </c>
      <c r="E6093">
        <v>1</v>
      </c>
      <c r="F6093" t="str">
        <f>"04-K06-03"</f>
        <v>04-K06-03</v>
      </c>
      <c r="G6093">
        <v>0.62519999999999998</v>
      </c>
      <c r="H6093" t="s">
        <v>11</v>
      </c>
      <c r="I6093" t="s">
        <v>10</v>
      </c>
    </row>
    <row r="6094" spans="1:9" x14ac:dyDescent="0.25">
      <c r="A6094" t="str">
        <f t="shared" si="147"/>
        <v>89301000</v>
      </c>
      <c r="B6094" t="str">
        <f>"515402401"</f>
        <v>515402401</v>
      </c>
      <c r="C6094" s="1">
        <v>45255</v>
      </c>
      <c r="D6094" s="1">
        <v>45258</v>
      </c>
      <c r="E6094">
        <v>1</v>
      </c>
      <c r="F6094" t="str">
        <f>"04-K06-03"</f>
        <v>04-K06-03</v>
      </c>
      <c r="G6094">
        <v>0.62519999999999998</v>
      </c>
      <c r="H6094" t="s">
        <v>11</v>
      </c>
      <c r="I6094" t="s">
        <v>10</v>
      </c>
    </row>
    <row r="6095" spans="1:9" x14ac:dyDescent="0.25">
      <c r="A6095" t="str">
        <f t="shared" si="147"/>
        <v>89301000</v>
      </c>
      <c r="B6095" t="str">
        <f>"515402401"</f>
        <v>515402401</v>
      </c>
      <c r="C6095" s="1">
        <v>44927</v>
      </c>
      <c r="D6095" s="1">
        <v>44930</v>
      </c>
      <c r="E6095">
        <v>4</v>
      </c>
      <c r="F6095" t="str">
        <f>"04-K06-03"</f>
        <v>04-K06-03</v>
      </c>
      <c r="G6095">
        <v>0.62519999999999998</v>
      </c>
      <c r="H6095" t="s">
        <v>11</v>
      </c>
      <c r="I6095" t="s">
        <v>10</v>
      </c>
    </row>
    <row r="6096" spans="1:9" x14ac:dyDescent="0.25">
      <c r="A6096" t="str">
        <f t="shared" si="147"/>
        <v>89301000</v>
      </c>
      <c r="B6096" t="str">
        <f>"515405170"</f>
        <v>515405170</v>
      </c>
      <c r="C6096" s="1">
        <v>45172</v>
      </c>
      <c r="D6096" s="1">
        <v>45177</v>
      </c>
      <c r="E6096">
        <v>1</v>
      </c>
      <c r="F6096" t="str">
        <f>"11-I08-03"</f>
        <v>11-I08-03</v>
      </c>
      <c r="G6096">
        <v>2.0529999999999999</v>
      </c>
      <c r="H6096" t="s">
        <v>9</v>
      </c>
      <c r="I6096" t="s">
        <v>10</v>
      </c>
    </row>
    <row r="6097" spans="1:9" x14ac:dyDescent="0.25">
      <c r="A6097" t="str">
        <f t="shared" si="147"/>
        <v>89301000</v>
      </c>
      <c r="B6097" t="str">
        <f>"515406054"</f>
        <v>515406054</v>
      </c>
      <c r="C6097" s="1">
        <v>45124</v>
      </c>
      <c r="D6097" s="1">
        <v>45132</v>
      </c>
      <c r="E6097">
        <v>1</v>
      </c>
      <c r="F6097" t="str">
        <f>"13-I04-04"</f>
        <v>13-I04-04</v>
      </c>
      <c r="G6097">
        <v>2.0017</v>
      </c>
      <c r="H6097" t="s">
        <v>14</v>
      </c>
      <c r="I6097" t="s">
        <v>10</v>
      </c>
    </row>
    <row r="6098" spans="1:9" x14ac:dyDescent="0.25">
      <c r="A6098" t="str">
        <f t="shared" si="147"/>
        <v>89301000</v>
      </c>
      <c r="B6098" t="str">
        <f>"515406054"</f>
        <v>515406054</v>
      </c>
      <c r="C6098" s="1">
        <v>45054</v>
      </c>
      <c r="D6098" s="1">
        <v>45056</v>
      </c>
      <c r="E6098">
        <v>1</v>
      </c>
      <c r="F6098" t="str">
        <f>"13-I19-00"</f>
        <v>13-I19-00</v>
      </c>
      <c r="G6098">
        <v>0.28249999999999997</v>
      </c>
      <c r="H6098" t="s">
        <v>11</v>
      </c>
      <c r="I6098" t="s">
        <v>10</v>
      </c>
    </row>
    <row r="6099" spans="1:9" x14ac:dyDescent="0.25">
      <c r="A6099" t="str">
        <f t="shared" si="147"/>
        <v>89301000</v>
      </c>
      <c r="B6099" t="str">
        <f>"515406355"</f>
        <v>515406355</v>
      </c>
      <c r="C6099" s="1">
        <v>45067</v>
      </c>
      <c r="D6099" s="1">
        <v>45072</v>
      </c>
      <c r="E6099">
        <v>1</v>
      </c>
      <c r="F6099" t="str">
        <f>"13-I11-03"</f>
        <v>13-I11-03</v>
      </c>
      <c r="G6099">
        <v>1.4332</v>
      </c>
      <c r="H6099" t="s">
        <v>9</v>
      </c>
      <c r="I6099" t="s">
        <v>10</v>
      </c>
    </row>
    <row r="6100" spans="1:9" x14ac:dyDescent="0.25">
      <c r="A6100" t="str">
        <f t="shared" si="147"/>
        <v>89301000</v>
      </c>
      <c r="B6100" t="str">
        <f>"515424121"</f>
        <v>515424121</v>
      </c>
      <c r="C6100" s="1">
        <v>45142</v>
      </c>
      <c r="D6100" s="1">
        <v>45143</v>
      </c>
      <c r="E6100">
        <v>1</v>
      </c>
      <c r="F6100" t="str">
        <f>"05-D01-06"</f>
        <v>05-D01-06</v>
      </c>
      <c r="G6100">
        <v>0.7571</v>
      </c>
      <c r="H6100" t="s">
        <v>11</v>
      </c>
      <c r="I6100" t="s">
        <v>10</v>
      </c>
    </row>
    <row r="6101" spans="1:9" x14ac:dyDescent="0.25">
      <c r="A6101" t="str">
        <f t="shared" si="147"/>
        <v>89301000</v>
      </c>
      <c r="B6101" t="str">
        <f>"515424121"</f>
        <v>515424121</v>
      </c>
      <c r="C6101" s="1">
        <v>45152</v>
      </c>
      <c r="D6101" s="1">
        <v>45152</v>
      </c>
      <c r="E6101">
        <v>1</v>
      </c>
      <c r="F6101" t="str">
        <f>"05-I14-04"</f>
        <v>05-I14-04</v>
      </c>
      <c r="G6101">
        <v>4.9752000000000001</v>
      </c>
      <c r="H6101" t="s">
        <v>12</v>
      </c>
      <c r="I6101" t="s">
        <v>10</v>
      </c>
    </row>
    <row r="6102" spans="1:9" x14ac:dyDescent="0.25">
      <c r="A6102" t="str">
        <f t="shared" si="147"/>
        <v>89301000</v>
      </c>
      <c r="B6102" t="str">
        <f>"515425044"</f>
        <v>515425044</v>
      </c>
      <c r="C6102" s="1">
        <v>45108</v>
      </c>
      <c r="D6102" s="1">
        <v>45133</v>
      </c>
      <c r="E6102">
        <v>1</v>
      </c>
      <c r="F6102" t="str">
        <f>"01-K02-02"</f>
        <v>01-K02-02</v>
      </c>
      <c r="G6102">
        <v>2.0105</v>
      </c>
      <c r="H6102" t="s">
        <v>11</v>
      </c>
      <c r="I6102" t="s">
        <v>10</v>
      </c>
    </row>
    <row r="6103" spans="1:9" x14ac:dyDescent="0.25">
      <c r="A6103" t="str">
        <f t="shared" si="147"/>
        <v>89301000</v>
      </c>
      <c r="B6103" t="str">
        <f>"515425044"</f>
        <v>515425044</v>
      </c>
      <c r="C6103" s="1">
        <v>45142</v>
      </c>
      <c r="D6103" s="1">
        <v>45201</v>
      </c>
      <c r="E6103">
        <v>1</v>
      </c>
      <c r="F6103" t="str">
        <f>"08-K03-01"</f>
        <v>08-K03-01</v>
      </c>
      <c r="G6103">
        <v>4.1868999999999996</v>
      </c>
      <c r="H6103" t="s">
        <v>11</v>
      </c>
      <c r="I6103" t="s">
        <v>10</v>
      </c>
    </row>
    <row r="6104" spans="1:9" x14ac:dyDescent="0.25">
      <c r="A6104" t="str">
        <f t="shared" si="147"/>
        <v>89301000</v>
      </c>
      <c r="B6104" t="str">
        <f>"515506086"</f>
        <v>515506086</v>
      </c>
      <c r="C6104" s="1">
        <v>45176</v>
      </c>
      <c r="D6104" s="1">
        <v>45216</v>
      </c>
      <c r="E6104">
        <v>1</v>
      </c>
      <c r="F6104" t="str">
        <f>"17-C01-02"</f>
        <v>17-C01-02</v>
      </c>
      <c r="G6104">
        <v>15.4831</v>
      </c>
      <c r="H6104" t="s">
        <v>11</v>
      </c>
      <c r="I6104" t="s">
        <v>10</v>
      </c>
    </row>
    <row r="6105" spans="1:9" x14ac:dyDescent="0.25">
      <c r="A6105" t="str">
        <f t="shared" si="147"/>
        <v>89301000</v>
      </c>
      <c r="B6105" t="str">
        <f>"515506086"</f>
        <v>515506086</v>
      </c>
      <c r="C6105" s="1">
        <v>45263</v>
      </c>
      <c r="D6105" s="1">
        <v>45273</v>
      </c>
      <c r="E6105">
        <v>1</v>
      </c>
      <c r="F6105" t="str">
        <f>"17-K01-01"</f>
        <v>17-K01-01</v>
      </c>
      <c r="G6105">
        <v>4.5839999999999996</v>
      </c>
      <c r="H6105" t="s">
        <v>11</v>
      </c>
      <c r="I6105" t="s">
        <v>10</v>
      </c>
    </row>
    <row r="6106" spans="1:9" x14ac:dyDescent="0.25">
      <c r="A6106" t="str">
        <f t="shared" si="147"/>
        <v>89301000</v>
      </c>
      <c r="B6106" t="str">
        <f>"515511045"</f>
        <v>515511045</v>
      </c>
      <c r="C6106" s="1">
        <v>44992</v>
      </c>
      <c r="D6106" s="1">
        <v>44999</v>
      </c>
      <c r="E6106">
        <v>1</v>
      </c>
      <c r="F6106" t="str">
        <f>"06-I05-01"</f>
        <v>06-I05-01</v>
      </c>
      <c r="G6106">
        <v>3.8811</v>
      </c>
      <c r="H6106" t="s">
        <v>12</v>
      </c>
      <c r="I6106" t="s">
        <v>10</v>
      </c>
    </row>
    <row r="6107" spans="1:9" x14ac:dyDescent="0.25">
      <c r="A6107" t="str">
        <f t="shared" si="147"/>
        <v>89301000</v>
      </c>
      <c r="B6107" t="str">
        <f t="shared" ref="B6107:B6116" si="148">"515513047"</f>
        <v>515513047</v>
      </c>
      <c r="C6107" s="1">
        <v>45133</v>
      </c>
      <c r="D6107" s="1">
        <v>45137</v>
      </c>
      <c r="E6107">
        <v>1</v>
      </c>
      <c r="F6107" t="str">
        <f>"06-C02-01"</f>
        <v>06-C02-01</v>
      </c>
      <c r="G6107">
        <v>0.31909999999999999</v>
      </c>
      <c r="H6107" t="s">
        <v>11</v>
      </c>
      <c r="I6107" t="s">
        <v>10</v>
      </c>
    </row>
    <row r="6108" spans="1:9" x14ac:dyDescent="0.25">
      <c r="A6108" t="str">
        <f t="shared" si="147"/>
        <v>89301000</v>
      </c>
      <c r="B6108" t="str">
        <f t="shared" si="148"/>
        <v>515513047</v>
      </c>
      <c r="C6108" s="1">
        <v>45119</v>
      </c>
      <c r="D6108" s="1">
        <v>45122</v>
      </c>
      <c r="E6108">
        <v>1</v>
      </c>
      <c r="F6108" t="str">
        <f>"06-C02-01"</f>
        <v>06-C02-01</v>
      </c>
      <c r="G6108">
        <v>0.31909999999999999</v>
      </c>
      <c r="H6108" t="s">
        <v>11</v>
      </c>
      <c r="I6108" t="s">
        <v>10</v>
      </c>
    </row>
    <row r="6109" spans="1:9" x14ac:dyDescent="0.25">
      <c r="A6109" t="str">
        <f t="shared" si="147"/>
        <v>89301000</v>
      </c>
      <c r="B6109" t="str">
        <f t="shared" si="148"/>
        <v>515513047</v>
      </c>
      <c r="C6109" s="1">
        <v>45078</v>
      </c>
      <c r="D6109" s="1">
        <v>45081</v>
      </c>
      <c r="E6109">
        <v>1</v>
      </c>
      <c r="F6109" t="str">
        <f>"07-C01-02"</f>
        <v>07-C01-02</v>
      </c>
      <c r="G6109">
        <v>0.3483</v>
      </c>
      <c r="H6109" t="s">
        <v>11</v>
      </c>
      <c r="I6109" t="s">
        <v>10</v>
      </c>
    </row>
    <row r="6110" spans="1:9" x14ac:dyDescent="0.25">
      <c r="A6110" t="str">
        <f t="shared" si="147"/>
        <v>89301000</v>
      </c>
      <c r="B6110" t="str">
        <f t="shared" si="148"/>
        <v>515513047</v>
      </c>
      <c r="C6110" s="1">
        <v>45042</v>
      </c>
      <c r="D6110" s="1">
        <v>45044</v>
      </c>
      <c r="E6110">
        <v>1</v>
      </c>
      <c r="F6110" t="str">
        <f>"06-C02-01"</f>
        <v>06-C02-01</v>
      </c>
      <c r="G6110">
        <v>0.31909999999999999</v>
      </c>
      <c r="H6110" t="s">
        <v>11</v>
      </c>
      <c r="I6110" t="s">
        <v>10</v>
      </c>
    </row>
    <row r="6111" spans="1:9" x14ac:dyDescent="0.25">
      <c r="A6111" t="str">
        <f t="shared" si="147"/>
        <v>89301000</v>
      </c>
      <c r="B6111" t="str">
        <f t="shared" si="148"/>
        <v>515513047</v>
      </c>
      <c r="C6111" s="1">
        <v>45028</v>
      </c>
      <c r="D6111" s="1">
        <v>45031</v>
      </c>
      <c r="E6111">
        <v>1</v>
      </c>
      <c r="F6111" t="str">
        <f>"06-C02-01"</f>
        <v>06-C02-01</v>
      </c>
      <c r="G6111">
        <v>0.31909999999999999</v>
      </c>
      <c r="H6111" t="s">
        <v>11</v>
      </c>
      <c r="I6111" t="s">
        <v>10</v>
      </c>
    </row>
    <row r="6112" spans="1:9" x14ac:dyDescent="0.25">
      <c r="A6112" t="str">
        <f t="shared" si="147"/>
        <v>89301000</v>
      </c>
      <c r="B6112" t="str">
        <f t="shared" si="148"/>
        <v>515513047</v>
      </c>
      <c r="C6112" s="1">
        <v>45000</v>
      </c>
      <c r="D6112" s="1">
        <v>45001</v>
      </c>
      <c r="E6112">
        <v>1</v>
      </c>
      <c r="F6112" t="str">
        <f>"06-K14-01"</f>
        <v>06-K14-01</v>
      </c>
      <c r="G6112">
        <v>0.58199999999999996</v>
      </c>
      <c r="H6112" t="s">
        <v>11</v>
      </c>
      <c r="I6112" t="s">
        <v>10</v>
      </c>
    </row>
    <row r="6113" spans="1:9" x14ac:dyDescent="0.25">
      <c r="A6113" t="str">
        <f t="shared" si="147"/>
        <v>89301000</v>
      </c>
      <c r="B6113" t="str">
        <f t="shared" si="148"/>
        <v>515513047</v>
      </c>
      <c r="C6113" s="1">
        <v>44986</v>
      </c>
      <c r="D6113" s="1">
        <v>44988</v>
      </c>
      <c r="E6113">
        <v>1</v>
      </c>
      <c r="F6113" t="str">
        <f>"06-C02-01"</f>
        <v>06-C02-01</v>
      </c>
      <c r="G6113">
        <v>0.31909999999999999</v>
      </c>
      <c r="H6113" t="s">
        <v>11</v>
      </c>
      <c r="I6113" t="s">
        <v>10</v>
      </c>
    </row>
    <row r="6114" spans="1:9" x14ac:dyDescent="0.25">
      <c r="A6114" t="str">
        <f t="shared" si="147"/>
        <v>89301000</v>
      </c>
      <c r="B6114" t="str">
        <f t="shared" si="148"/>
        <v>515513047</v>
      </c>
      <c r="C6114" s="1">
        <v>44930</v>
      </c>
      <c r="D6114" s="1">
        <v>44931</v>
      </c>
      <c r="E6114">
        <v>1</v>
      </c>
      <c r="F6114" t="str">
        <f>"06-K14-02"</f>
        <v>06-K14-02</v>
      </c>
      <c r="G6114">
        <v>0.61380000000000001</v>
      </c>
      <c r="H6114" t="s">
        <v>11</v>
      </c>
      <c r="I6114" t="s">
        <v>10</v>
      </c>
    </row>
    <row r="6115" spans="1:9" x14ac:dyDescent="0.25">
      <c r="A6115" t="str">
        <f t="shared" si="147"/>
        <v>89301000</v>
      </c>
      <c r="B6115" t="str">
        <f t="shared" si="148"/>
        <v>515513047</v>
      </c>
      <c r="C6115" s="1">
        <v>45148</v>
      </c>
      <c r="D6115" s="1">
        <v>45150</v>
      </c>
      <c r="E6115">
        <v>1</v>
      </c>
      <c r="F6115" t="str">
        <f>"06-C02-01"</f>
        <v>06-C02-01</v>
      </c>
      <c r="G6115">
        <v>0.31909999999999999</v>
      </c>
      <c r="H6115" t="s">
        <v>11</v>
      </c>
      <c r="I6115" t="s">
        <v>10</v>
      </c>
    </row>
    <row r="6116" spans="1:9" x14ac:dyDescent="0.25">
      <c r="A6116" t="str">
        <f t="shared" si="147"/>
        <v>89301000</v>
      </c>
      <c r="B6116" t="str">
        <f t="shared" si="148"/>
        <v>515513047</v>
      </c>
      <c r="C6116" s="1">
        <v>45093</v>
      </c>
      <c r="D6116" s="1">
        <v>45100</v>
      </c>
      <c r="E6116">
        <v>1</v>
      </c>
      <c r="F6116" t="str">
        <f>"06-C02-01"</f>
        <v>06-C02-01</v>
      </c>
      <c r="G6116">
        <v>0.48249999999999998</v>
      </c>
      <c r="H6116" t="s">
        <v>11</v>
      </c>
      <c r="I6116" t="s">
        <v>10</v>
      </c>
    </row>
    <row r="6117" spans="1:9" x14ac:dyDescent="0.25">
      <c r="A6117" t="str">
        <f t="shared" si="147"/>
        <v>89301000</v>
      </c>
      <c r="B6117" t="str">
        <f>"515515152"</f>
        <v>515515152</v>
      </c>
      <c r="C6117" s="1">
        <v>45223</v>
      </c>
      <c r="D6117" s="1">
        <v>45226</v>
      </c>
      <c r="E6117">
        <v>1</v>
      </c>
      <c r="F6117" t="str">
        <f>"05-I30-01"</f>
        <v>05-I30-01</v>
      </c>
      <c r="G6117">
        <v>0.60309999999999997</v>
      </c>
      <c r="H6117" t="s">
        <v>12</v>
      </c>
      <c r="I6117" t="s">
        <v>10</v>
      </c>
    </row>
    <row r="6118" spans="1:9" x14ac:dyDescent="0.25">
      <c r="A6118" t="str">
        <f t="shared" si="147"/>
        <v>89301000</v>
      </c>
      <c r="B6118" t="str">
        <f>"515516064"</f>
        <v>515516064</v>
      </c>
      <c r="C6118" s="1">
        <v>45194</v>
      </c>
      <c r="D6118" s="1">
        <v>45233</v>
      </c>
      <c r="E6118">
        <v>1</v>
      </c>
      <c r="F6118" t="str">
        <f>"06-R01-01"</f>
        <v>06-R01-01</v>
      </c>
      <c r="G6118">
        <v>5.7748999999999997</v>
      </c>
      <c r="H6118" t="s">
        <v>11</v>
      </c>
      <c r="I6118" t="s">
        <v>10</v>
      </c>
    </row>
    <row r="6119" spans="1:9" x14ac:dyDescent="0.25">
      <c r="A6119" t="str">
        <f t="shared" si="147"/>
        <v>89301000</v>
      </c>
      <c r="B6119" t="str">
        <f>"515516337"</f>
        <v>515516337</v>
      </c>
      <c r="C6119" s="1">
        <v>44928</v>
      </c>
      <c r="D6119" s="1">
        <v>44931</v>
      </c>
      <c r="E6119">
        <v>1</v>
      </c>
      <c r="F6119" t="str">
        <f>"01-D01-02"</f>
        <v>01-D01-02</v>
      </c>
      <c r="G6119">
        <v>0.4461</v>
      </c>
      <c r="H6119" t="s">
        <v>11</v>
      </c>
      <c r="I6119" t="s">
        <v>10</v>
      </c>
    </row>
    <row r="6120" spans="1:9" x14ac:dyDescent="0.25">
      <c r="A6120" t="str">
        <f t="shared" si="147"/>
        <v>89301000</v>
      </c>
      <c r="B6120" t="str">
        <f>"515519059"</f>
        <v>515519059</v>
      </c>
      <c r="C6120" s="1">
        <v>45215</v>
      </c>
      <c r="D6120" s="1">
        <v>45229</v>
      </c>
      <c r="E6120">
        <v>4</v>
      </c>
      <c r="F6120" t="str">
        <f>"24-M06-02"</f>
        <v>24-M06-02</v>
      </c>
      <c r="G6120">
        <v>1.0699000000000001</v>
      </c>
      <c r="H6120" t="s">
        <v>11</v>
      </c>
      <c r="I6120" t="s">
        <v>10</v>
      </c>
    </row>
    <row r="6121" spans="1:9" x14ac:dyDescent="0.25">
      <c r="A6121" t="str">
        <f t="shared" si="147"/>
        <v>89301000</v>
      </c>
      <c r="B6121" t="str">
        <f>"515519059"</f>
        <v>515519059</v>
      </c>
      <c r="C6121" s="1">
        <v>45211</v>
      </c>
      <c r="D6121" s="1">
        <v>45215</v>
      </c>
      <c r="E6121">
        <v>3</v>
      </c>
      <c r="F6121" t="str">
        <f>"08-I06-04"</f>
        <v>08-I06-04</v>
      </c>
      <c r="G6121">
        <v>2.3563999999999998</v>
      </c>
      <c r="H6121" t="s">
        <v>9</v>
      </c>
      <c r="I6121" t="s">
        <v>10</v>
      </c>
    </row>
    <row r="6122" spans="1:9" x14ac:dyDescent="0.25">
      <c r="A6122" t="str">
        <f t="shared" si="147"/>
        <v>89301000</v>
      </c>
      <c r="B6122" t="str">
        <f>"515520132"</f>
        <v>515520132</v>
      </c>
      <c r="C6122" s="1">
        <v>45052</v>
      </c>
      <c r="D6122" s="1">
        <v>45053</v>
      </c>
      <c r="E6122">
        <v>5</v>
      </c>
      <c r="F6122" t="str">
        <f>"01-I08-03"</f>
        <v>01-I08-03</v>
      </c>
      <c r="G6122">
        <v>1.8957999999999999</v>
      </c>
      <c r="H6122" t="s">
        <v>14</v>
      </c>
      <c r="I6122" t="s">
        <v>10</v>
      </c>
    </row>
    <row r="6123" spans="1:9" x14ac:dyDescent="0.25">
      <c r="A6123" t="str">
        <f t="shared" si="147"/>
        <v>89301000</v>
      </c>
      <c r="B6123" t="str">
        <f>"515521270"</f>
        <v>515521270</v>
      </c>
      <c r="C6123" s="1">
        <v>44941</v>
      </c>
      <c r="D6123" s="1">
        <v>44943</v>
      </c>
      <c r="E6123">
        <v>1</v>
      </c>
      <c r="F6123" t="str">
        <f>"05-M05-03"</f>
        <v>05-M05-03</v>
      </c>
      <c r="G6123">
        <v>2.0312999999999999</v>
      </c>
      <c r="H6123" t="s">
        <v>14</v>
      </c>
      <c r="I6123" t="s">
        <v>10</v>
      </c>
    </row>
    <row r="6124" spans="1:9" x14ac:dyDescent="0.25">
      <c r="A6124" t="str">
        <f t="shared" si="147"/>
        <v>89301000</v>
      </c>
      <c r="B6124" t="str">
        <f>"515524047"</f>
        <v>515524047</v>
      </c>
      <c r="C6124" s="1">
        <v>45098</v>
      </c>
      <c r="D6124" s="1">
        <v>45101</v>
      </c>
      <c r="E6124">
        <v>1</v>
      </c>
      <c r="F6124" t="str">
        <f>"05-M07-06"</f>
        <v>05-M07-06</v>
      </c>
      <c r="G6124">
        <v>1.2264999999999999</v>
      </c>
      <c r="H6124" t="s">
        <v>12</v>
      </c>
      <c r="I6124" t="s">
        <v>10</v>
      </c>
    </row>
    <row r="6125" spans="1:9" x14ac:dyDescent="0.25">
      <c r="A6125" t="str">
        <f t="shared" si="147"/>
        <v>89301000</v>
      </c>
      <c r="B6125" t="str">
        <f>"515602047"</f>
        <v>515602047</v>
      </c>
      <c r="C6125" s="1">
        <v>45030</v>
      </c>
      <c r="D6125" s="1">
        <v>45036</v>
      </c>
      <c r="E6125">
        <v>1</v>
      </c>
      <c r="F6125" t="str">
        <f>"08-K02-01"</f>
        <v>08-K02-01</v>
      </c>
      <c r="G6125">
        <v>1.2603</v>
      </c>
      <c r="H6125" t="s">
        <v>11</v>
      </c>
      <c r="I6125" t="s">
        <v>10</v>
      </c>
    </row>
    <row r="6126" spans="1:9" x14ac:dyDescent="0.25">
      <c r="A6126" t="str">
        <f t="shared" si="147"/>
        <v>89301000</v>
      </c>
      <c r="B6126" t="str">
        <f>"515602047"</f>
        <v>515602047</v>
      </c>
      <c r="C6126" s="1">
        <v>45188</v>
      </c>
      <c r="D6126" s="1">
        <v>45240</v>
      </c>
      <c r="E6126">
        <v>1</v>
      </c>
      <c r="F6126" t="str">
        <f>"07-M02-01"</f>
        <v>07-M02-01</v>
      </c>
      <c r="G6126">
        <v>5.8090000000000002</v>
      </c>
      <c r="H6126" t="s">
        <v>12</v>
      </c>
      <c r="I6126" t="s">
        <v>10</v>
      </c>
    </row>
    <row r="6127" spans="1:9" x14ac:dyDescent="0.25">
      <c r="A6127" t="str">
        <f t="shared" si="147"/>
        <v>89301000</v>
      </c>
      <c r="B6127" t="str">
        <f>"515604179"</f>
        <v>515604179</v>
      </c>
      <c r="C6127" s="1">
        <v>45008</v>
      </c>
      <c r="D6127" s="1">
        <v>45010</v>
      </c>
      <c r="E6127">
        <v>1</v>
      </c>
      <c r="F6127" t="str">
        <f>"03-I22-02"</f>
        <v>03-I22-02</v>
      </c>
      <c r="G6127">
        <v>0.49159999999999998</v>
      </c>
      <c r="H6127" t="s">
        <v>11</v>
      </c>
      <c r="I6127" t="s">
        <v>10</v>
      </c>
    </row>
    <row r="6128" spans="1:9" x14ac:dyDescent="0.25">
      <c r="A6128" t="str">
        <f t="shared" si="147"/>
        <v>89301000</v>
      </c>
      <c r="B6128" t="str">
        <f>"515604275"</f>
        <v>515604275</v>
      </c>
      <c r="C6128" s="1">
        <v>44927</v>
      </c>
      <c r="D6128" s="1">
        <v>44935</v>
      </c>
      <c r="E6128">
        <v>4</v>
      </c>
      <c r="F6128" t="str">
        <f>"08-I06-04"</f>
        <v>08-I06-04</v>
      </c>
      <c r="G6128">
        <v>2.3529</v>
      </c>
      <c r="H6128" t="s">
        <v>9</v>
      </c>
      <c r="I6128" t="s">
        <v>10</v>
      </c>
    </row>
    <row r="6129" spans="1:9" x14ac:dyDescent="0.25">
      <c r="A6129" t="str">
        <f t="shared" si="147"/>
        <v>89301000</v>
      </c>
      <c r="B6129" t="str">
        <f>"515605087"</f>
        <v>515605087</v>
      </c>
      <c r="C6129" s="1">
        <v>45141</v>
      </c>
      <c r="D6129" s="1">
        <v>45147</v>
      </c>
      <c r="E6129">
        <v>1</v>
      </c>
      <c r="F6129" t="str">
        <f>"04-K07-03"</f>
        <v>04-K07-03</v>
      </c>
      <c r="G6129">
        <v>0.61119999999999997</v>
      </c>
      <c r="H6129" t="s">
        <v>11</v>
      </c>
      <c r="I6129" t="s">
        <v>10</v>
      </c>
    </row>
    <row r="6130" spans="1:9" x14ac:dyDescent="0.25">
      <c r="A6130" t="str">
        <f t="shared" si="147"/>
        <v>89301000</v>
      </c>
      <c r="B6130" t="str">
        <f>"515605087"</f>
        <v>515605087</v>
      </c>
      <c r="C6130" s="1">
        <v>45240</v>
      </c>
      <c r="D6130" s="1">
        <v>45246</v>
      </c>
      <c r="E6130">
        <v>1</v>
      </c>
      <c r="F6130" t="str">
        <f>"04-K07-03"</f>
        <v>04-K07-03</v>
      </c>
      <c r="G6130">
        <v>0.62139999999999995</v>
      </c>
      <c r="H6130" t="s">
        <v>11</v>
      </c>
      <c r="I6130" t="s">
        <v>10</v>
      </c>
    </row>
    <row r="6131" spans="1:9" x14ac:dyDescent="0.25">
      <c r="A6131" t="str">
        <f t="shared" si="147"/>
        <v>89301000</v>
      </c>
      <c r="B6131" t="str">
        <f>"515605087"</f>
        <v>515605087</v>
      </c>
      <c r="C6131" s="1">
        <v>45201</v>
      </c>
      <c r="D6131" s="1">
        <v>45208</v>
      </c>
      <c r="E6131">
        <v>1</v>
      </c>
      <c r="F6131" t="str">
        <f>"04-K07-03"</f>
        <v>04-K07-03</v>
      </c>
      <c r="G6131">
        <v>0.61119999999999997</v>
      </c>
      <c r="H6131" t="s">
        <v>11</v>
      </c>
      <c r="I6131" t="s">
        <v>10</v>
      </c>
    </row>
    <row r="6132" spans="1:9" x14ac:dyDescent="0.25">
      <c r="A6132" t="str">
        <f t="shared" si="147"/>
        <v>89301000</v>
      </c>
      <c r="B6132" t="str">
        <f>"515605087"</f>
        <v>515605087</v>
      </c>
      <c r="C6132" s="1">
        <v>45043</v>
      </c>
      <c r="D6132" s="1">
        <v>45049</v>
      </c>
      <c r="E6132">
        <v>1</v>
      </c>
      <c r="F6132" t="str">
        <f>"04-K07-03"</f>
        <v>04-K07-03</v>
      </c>
      <c r="G6132">
        <v>0.61119999999999997</v>
      </c>
      <c r="H6132" t="s">
        <v>11</v>
      </c>
      <c r="I6132" t="s">
        <v>10</v>
      </c>
    </row>
    <row r="6133" spans="1:9" x14ac:dyDescent="0.25">
      <c r="A6133" t="str">
        <f t="shared" si="147"/>
        <v>89301000</v>
      </c>
      <c r="B6133" t="str">
        <f>"515610046"</f>
        <v>515610046</v>
      </c>
      <c r="C6133" s="1">
        <v>45070</v>
      </c>
      <c r="D6133" s="1">
        <v>45077</v>
      </c>
      <c r="E6133">
        <v>4</v>
      </c>
      <c r="F6133" t="str">
        <f>"08-I05-05"</f>
        <v>08-I05-05</v>
      </c>
      <c r="G6133">
        <v>2.2633000000000001</v>
      </c>
      <c r="H6133" t="s">
        <v>12</v>
      </c>
      <c r="I6133" t="s">
        <v>10</v>
      </c>
    </row>
    <row r="6134" spans="1:9" x14ac:dyDescent="0.25">
      <c r="A6134" t="str">
        <f t="shared" si="147"/>
        <v>89301000</v>
      </c>
      <c r="B6134" t="str">
        <f>"515611057"</f>
        <v>515611057</v>
      </c>
      <c r="C6134" s="1">
        <v>45273</v>
      </c>
      <c r="D6134" s="1">
        <v>45278</v>
      </c>
      <c r="E6134">
        <v>1</v>
      </c>
      <c r="F6134" t="str">
        <f>"08-K08-00"</f>
        <v>08-K08-00</v>
      </c>
      <c r="G6134">
        <v>0.5272</v>
      </c>
      <c r="H6134" t="s">
        <v>11</v>
      </c>
      <c r="I6134" t="s">
        <v>10</v>
      </c>
    </row>
    <row r="6135" spans="1:9" x14ac:dyDescent="0.25">
      <c r="A6135" t="str">
        <f t="shared" si="147"/>
        <v>89301000</v>
      </c>
      <c r="B6135" t="str">
        <f>"515613185"</f>
        <v>515613185</v>
      </c>
      <c r="C6135" s="1">
        <v>45239</v>
      </c>
      <c r="D6135" s="1">
        <v>45243</v>
      </c>
      <c r="E6135">
        <v>1</v>
      </c>
      <c r="F6135" t="str">
        <f>"09-I06-04"</f>
        <v>09-I06-04</v>
      </c>
      <c r="G6135">
        <v>0.95069999999999999</v>
      </c>
      <c r="H6135" t="s">
        <v>12</v>
      </c>
      <c r="I6135" t="s">
        <v>10</v>
      </c>
    </row>
    <row r="6136" spans="1:9" x14ac:dyDescent="0.25">
      <c r="A6136" t="str">
        <f t="shared" si="147"/>
        <v>89301000</v>
      </c>
      <c r="B6136" t="str">
        <f>"515615065"</f>
        <v>515615065</v>
      </c>
      <c r="C6136" s="1">
        <v>45201</v>
      </c>
      <c r="D6136" s="1">
        <v>45204</v>
      </c>
      <c r="E6136">
        <v>1</v>
      </c>
      <c r="F6136" t="str">
        <f>"05-M06-06"</f>
        <v>05-M06-06</v>
      </c>
      <c r="G6136">
        <v>1.8264</v>
      </c>
      <c r="H6136" t="s">
        <v>12</v>
      </c>
      <c r="I6136" t="s">
        <v>10</v>
      </c>
    </row>
    <row r="6137" spans="1:9" x14ac:dyDescent="0.25">
      <c r="A6137" t="str">
        <f t="shared" si="147"/>
        <v>89301000</v>
      </c>
      <c r="B6137" t="str">
        <f>"515616109"</f>
        <v>515616109</v>
      </c>
      <c r="C6137" s="1">
        <v>45019</v>
      </c>
      <c r="D6137" s="1">
        <v>45037</v>
      </c>
      <c r="E6137">
        <v>1</v>
      </c>
      <c r="F6137" t="str">
        <f>"24-M08-02"</f>
        <v>24-M08-02</v>
      </c>
      <c r="G6137">
        <v>2.0236999999999998</v>
      </c>
      <c r="H6137" t="s">
        <v>11</v>
      </c>
      <c r="I6137" t="s">
        <v>10</v>
      </c>
    </row>
    <row r="6138" spans="1:9" x14ac:dyDescent="0.25">
      <c r="A6138" t="str">
        <f t="shared" si="147"/>
        <v>89301000</v>
      </c>
      <c r="B6138" t="str">
        <f>"515616109"</f>
        <v>515616109</v>
      </c>
      <c r="C6138" s="1">
        <v>45011</v>
      </c>
      <c r="D6138" s="1">
        <v>45019</v>
      </c>
      <c r="E6138">
        <v>3</v>
      </c>
      <c r="F6138" t="str">
        <f>"08-I06-04"</f>
        <v>08-I06-04</v>
      </c>
      <c r="G6138">
        <v>2.3527</v>
      </c>
      <c r="H6138" t="s">
        <v>9</v>
      </c>
      <c r="I6138" t="s">
        <v>10</v>
      </c>
    </row>
    <row r="6139" spans="1:9" x14ac:dyDescent="0.25">
      <c r="A6139" t="str">
        <f t="shared" si="147"/>
        <v>89301000</v>
      </c>
      <c r="B6139" t="str">
        <f>"515617012"</f>
        <v>515617012</v>
      </c>
      <c r="C6139" s="1">
        <v>45221</v>
      </c>
      <c r="D6139" s="1">
        <v>45231</v>
      </c>
      <c r="E6139">
        <v>1</v>
      </c>
      <c r="F6139" t="str">
        <f>"11-K07-01"</f>
        <v>11-K07-01</v>
      </c>
      <c r="G6139">
        <v>1.1374</v>
      </c>
      <c r="H6139" t="s">
        <v>11</v>
      </c>
      <c r="I6139" t="s">
        <v>10</v>
      </c>
    </row>
    <row r="6140" spans="1:9" x14ac:dyDescent="0.25">
      <c r="A6140" t="str">
        <f t="shared" si="147"/>
        <v>89301000</v>
      </c>
      <c r="B6140" t="str">
        <f>"515617012"</f>
        <v>515617012</v>
      </c>
      <c r="C6140" s="1">
        <v>45004</v>
      </c>
      <c r="D6140" s="1">
        <v>45012</v>
      </c>
      <c r="E6140">
        <v>1</v>
      </c>
      <c r="F6140" t="str">
        <f>"11-K07-02"</f>
        <v>11-K07-02</v>
      </c>
      <c r="G6140">
        <v>0.57999999999999996</v>
      </c>
      <c r="H6140" t="s">
        <v>11</v>
      </c>
      <c r="I6140" t="s">
        <v>10</v>
      </c>
    </row>
    <row r="6141" spans="1:9" x14ac:dyDescent="0.25">
      <c r="A6141" t="str">
        <f t="shared" si="147"/>
        <v>89301000</v>
      </c>
      <c r="B6141" t="str">
        <f>"515617012"</f>
        <v>515617012</v>
      </c>
      <c r="C6141" s="1">
        <v>45016</v>
      </c>
      <c r="D6141" s="1">
        <v>45028</v>
      </c>
      <c r="E6141">
        <v>1</v>
      </c>
      <c r="F6141" t="str">
        <f>"11-K07-01"</f>
        <v>11-K07-01</v>
      </c>
      <c r="G6141">
        <v>1.1374</v>
      </c>
      <c r="H6141" t="s">
        <v>11</v>
      </c>
      <c r="I6141" t="s">
        <v>10</v>
      </c>
    </row>
    <row r="6142" spans="1:9" x14ac:dyDescent="0.25">
      <c r="A6142" t="str">
        <f t="shared" si="147"/>
        <v>89301000</v>
      </c>
      <c r="B6142" t="str">
        <f>"515617328"</f>
        <v>515617328</v>
      </c>
      <c r="C6142" s="1">
        <v>45217</v>
      </c>
      <c r="D6142" s="1">
        <v>45221</v>
      </c>
      <c r="E6142">
        <v>1</v>
      </c>
      <c r="F6142" t="str">
        <f>"10-I13-02"</f>
        <v>10-I13-02</v>
      </c>
      <c r="G6142">
        <v>1.1124000000000001</v>
      </c>
      <c r="H6142" t="s">
        <v>9</v>
      </c>
      <c r="I6142" t="s">
        <v>10</v>
      </c>
    </row>
    <row r="6143" spans="1:9" x14ac:dyDescent="0.25">
      <c r="A6143" t="str">
        <f t="shared" si="147"/>
        <v>89301000</v>
      </c>
      <c r="B6143" t="str">
        <f>"515623078"</f>
        <v>515623078</v>
      </c>
      <c r="C6143" s="1">
        <v>44999</v>
      </c>
      <c r="D6143" s="1">
        <v>45003</v>
      </c>
      <c r="E6143">
        <v>1</v>
      </c>
      <c r="F6143" t="str">
        <f>"06-I17-02"</f>
        <v>06-I17-02</v>
      </c>
      <c r="G6143">
        <v>1.0106999999999999</v>
      </c>
      <c r="H6143" t="s">
        <v>12</v>
      </c>
      <c r="I6143" t="s">
        <v>10</v>
      </c>
    </row>
    <row r="6144" spans="1:9" x14ac:dyDescent="0.25">
      <c r="A6144" t="str">
        <f t="shared" si="147"/>
        <v>89301000</v>
      </c>
      <c r="B6144" t="str">
        <f>"515624330"</f>
        <v>515624330</v>
      </c>
      <c r="C6144" s="1">
        <v>45245</v>
      </c>
      <c r="D6144" s="1">
        <v>45246</v>
      </c>
      <c r="E6144">
        <v>1</v>
      </c>
      <c r="F6144" t="str">
        <f>"06-I01-02"</f>
        <v>06-I01-02</v>
      </c>
      <c r="G6144">
        <v>6.1265000000000001</v>
      </c>
      <c r="H6144" t="s">
        <v>9</v>
      </c>
      <c r="I6144" t="s">
        <v>10</v>
      </c>
    </row>
    <row r="6145" spans="1:9" x14ac:dyDescent="0.25">
      <c r="A6145" t="str">
        <f t="shared" si="147"/>
        <v>89301000</v>
      </c>
      <c r="B6145" t="str">
        <f>"515624330"</f>
        <v>515624330</v>
      </c>
      <c r="C6145" s="1">
        <v>45231</v>
      </c>
      <c r="D6145" s="1">
        <v>45233</v>
      </c>
      <c r="E6145">
        <v>1</v>
      </c>
      <c r="F6145" t="str">
        <f>"06-I01-03"</f>
        <v>06-I01-03</v>
      </c>
      <c r="G6145">
        <v>2.0472999999999999</v>
      </c>
      <c r="H6145" t="s">
        <v>9</v>
      </c>
      <c r="I6145" t="s">
        <v>10</v>
      </c>
    </row>
    <row r="6146" spans="1:9" x14ac:dyDescent="0.25">
      <c r="A6146" t="str">
        <f t="shared" si="147"/>
        <v>89301000</v>
      </c>
      <c r="B6146" t="str">
        <f>"515701190"</f>
        <v>515701190</v>
      </c>
      <c r="C6146" s="1">
        <v>45061</v>
      </c>
      <c r="D6146" s="1">
        <v>45069</v>
      </c>
      <c r="E6146">
        <v>8</v>
      </c>
      <c r="F6146" t="str">
        <f>"05-K07-03"</f>
        <v>05-K07-03</v>
      </c>
      <c r="G6146">
        <v>1.8048</v>
      </c>
      <c r="H6146" t="s">
        <v>11</v>
      </c>
      <c r="I6146" t="s">
        <v>10</v>
      </c>
    </row>
    <row r="6147" spans="1:9" x14ac:dyDescent="0.25">
      <c r="A6147" t="str">
        <f t="shared" si="147"/>
        <v>89301000</v>
      </c>
      <c r="B6147" t="str">
        <f>"515701190"</f>
        <v>515701190</v>
      </c>
      <c r="C6147" s="1">
        <v>44967</v>
      </c>
      <c r="D6147" s="1">
        <v>44986</v>
      </c>
      <c r="E6147">
        <v>2</v>
      </c>
      <c r="F6147" t="str">
        <f>"05-K07-04"</f>
        <v>05-K07-04</v>
      </c>
      <c r="G6147">
        <v>1.1395999999999999</v>
      </c>
      <c r="H6147" t="s">
        <v>11</v>
      </c>
      <c r="I6147" t="s">
        <v>10</v>
      </c>
    </row>
    <row r="6148" spans="1:9" x14ac:dyDescent="0.25">
      <c r="A6148" t="str">
        <f t="shared" si="147"/>
        <v>89301000</v>
      </c>
      <c r="B6148" t="str">
        <f>"515701190"</f>
        <v>515701190</v>
      </c>
      <c r="C6148" s="1">
        <v>44992</v>
      </c>
      <c r="D6148" s="1">
        <v>45042</v>
      </c>
      <c r="E6148">
        <v>2</v>
      </c>
      <c r="F6148" t="str">
        <f>"05-K07-04"</f>
        <v>05-K07-04</v>
      </c>
      <c r="G6148">
        <v>3.1535000000000002</v>
      </c>
      <c r="H6148" t="s">
        <v>11</v>
      </c>
      <c r="I6148" t="s">
        <v>10</v>
      </c>
    </row>
    <row r="6149" spans="1:9" x14ac:dyDescent="0.25">
      <c r="A6149" t="str">
        <f t="shared" si="147"/>
        <v>89301000</v>
      </c>
      <c r="B6149" t="str">
        <f>"515702176"</f>
        <v>515702176</v>
      </c>
      <c r="C6149" s="1">
        <v>45236</v>
      </c>
      <c r="D6149" s="1">
        <v>45238</v>
      </c>
      <c r="E6149">
        <v>1</v>
      </c>
      <c r="F6149" t="str">
        <f>"01-D01-03"</f>
        <v>01-D01-03</v>
      </c>
      <c r="G6149">
        <v>0.16200000000000001</v>
      </c>
      <c r="H6149" t="s">
        <v>11</v>
      </c>
      <c r="I6149" t="s">
        <v>10</v>
      </c>
    </row>
    <row r="6150" spans="1:9" x14ac:dyDescent="0.25">
      <c r="A6150" t="str">
        <f t="shared" si="147"/>
        <v>89301000</v>
      </c>
      <c r="B6150" t="str">
        <f>"515703309"</f>
        <v>515703309</v>
      </c>
      <c r="C6150" s="1">
        <v>45014</v>
      </c>
      <c r="D6150" s="1">
        <v>45016</v>
      </c>
      <c r="E6150">
        <v>1</v>
      </c>
      <c r="F6150" t="str">
        <f>"05-D01-06"</f>
        <v>05-D01-06</v>
      </c>
      <c r="G6150">
        <v>0.7571</v>
      </c>
      <c r="H6150" t="s">
        <v>11</v>
      </c>
      <c r="I6150" t="s">
        <v>10</v>
      </c>
    </row>
    <row r="6151" spans="1:9" x14ac:dyDescent="0.25">
      <c r="A6151" t="str">
        <f t="shared" si="147"/>
        <v>89301000</v>
      </c>
      <c r="B6151" t="str">
        <f>"515703309"</f>
        <v>515703309</v>
      </c>
      <c r="C6151" s="1">
        <v>45069</v>
      </c>
      <c r="D6151" s="1">
        <v>45077</v>
      </c>
      <c r="E6151">
        <v>1</v>
      </c>
      <c r="F6151" t="str">
        <f>"05-I12-03"</f>
        <v>05-I12-03</v>
      </c>
      <c r="G6151">
        <v>6.7502000000000004</v>
      </c>
      <c r="H6151" t="s">
        <v>14</v>
      </c>
      <c r="I6151" t="s">
        <v>10</v>
      </c>
    </row>
    <row r="6152" spans="1:9" x14ac:dyDescent="0.25">
      <c r="A6152" t="str">
        <f t="shared" si="147"/>
        <v>89301000</v>
      </c>
      <c r="B6152" t="str">
        <f>"515705003"</f>
        <v>515705003</v>
      </c>
      <c r="C6152" s="1">
        <v>45021</v>
      </c>
      <c r="D6152" s="1">
        <v>45025</v>
      </c>
      <c r="E6152">
        <v>1</v>
      </c>
      <c r="F6152" t="str">
        <f>"10-I13-02"</f>
        <v>10-I13-02</v>
      </c>
      <c r="G6152">
        <v>1.1124000000000001</v>
      </c>
      <c r="H6152" t="s">
        <v>9</v>
      </c>
      <c r="I6152" t="s">
        <v>10</v>
      </c>
    </row>
    <row r="6153" spans="1:9" x14ac:dyDescent="0.25">
      <c r="A6153" t="str">
        <f t="shared" si="147"/>
        <v>89301000</v>
      </c>
      <c r="B6153" t="str">
        <f>"515706051"</f>
        <v>515706051</v>
      </c>
      <c r="C6153" s="1">
        <v>45013</v>
      </c>
      <c r="D6153" s="1">
        <v>45014</v>
      </c>
      <c r="E6153">
        <v>5</v>
      </c>
      <c r="F6153" t="str">
        <f>"05-D01-06"</f>
        <v>05-D01-06</v>
      </c>
      <c r="G6153">
        <v>0.7571</v>
      </c>
      <c r="H6153" t="s">
        <v>11</v>
      </c>
      <c r="I6153" t="s">
        <v>10</v>
      </c>
    </row>
    <row r="6154" spans="1:9" x14ac:dyDescent="0.25">
      <c r="A6154" t="str">
        <f t="shared" ref="A6154:A6217" si="149">"89301000"</f>
        <v>89301000</v>
      </c>
      <c r="B6154" t="str">
        <f>"515709217"</f>
        <v>515709217</v>
      </c>
      <c r="C6154" s="1">
        <v>45062</v>
      </c>
      <c r="D6154" s="1">
        <v>45063</v>
      </c>
      <c r="E6154">
        <v>1</v>
      </c>
      <c r="F6154" t="str">
        <f>"10-K12-03"</f>
        <v>10-K12-03</v>
      </c>
      <c r="G6154">
        <v>0.5091</v>
      </c>
      <c r="H6154" t="s">
        <v>11</v>
      </c>
      <c r="I6154" t="s">
        <v>10</v>
      </c>
    </row>
    <row r="6155" spans="1:9" x14ac:dyDescent="0.25">
      <c r="A6155" t="str">
        <f t="shared" si="149"/>
        <v>89301000</v>
      </c>
      <c r="B6155" t="str">
        <f>"515713017"</f>
        <v>515713017</v>
      </c>
      <c r="C6155" s="1">
        <v>45254</v>
      </c>
      <c r="D6155" s="1">
        <v>45255</v>
      </c>
      <c r="E6155">
        <v>8</v>
      </c>
      <c r="F6155" t="str">
        <f>"06-I12-03"</f>
        <v>06-I12-03</v>
      </c>
      <c r="G6155">
        <v>1.3220000000000001</v>
      </c>
      <c r="H6155" t="s">
        <v>11</v>
      </c>
      <c r="I6155" t="s">
        <v>10</v>
      </c>
    </row>
    <row r="6156" spans="1:9" x14ac:dyDescent="0.25">
      <c r="A6156" t="str">
        <f t="shared" si="149"/>
        <v>89301000</v>
      </c>
      <c r="B6156" t="str">
        <f>"515718063"</f>
        <v>515718063</v>
      </c>
      <c r="C6156" s="1">
        <v>45071</v>
      </c>
      <c r="D6156" s="1">
        <v>45082</v>
      </c>
      <c r="E6156">
        <v>1</v>
      </c>
      <c r="F6156" t="str">
        <f>"09-K02-00"</f>
        <v>09-K02-00</v>
      </c>
      <c r="G6156">
        <v>0.99539999999999995</v>
      </c>
      <c r="H6156" t="s">
        <v>11</v>
      </c>
      <c r="I6156" t="s">
        <v>10</v>
      </c>
    </row>
    <row r="6157" spans="1:9" x14ac:dyDescent="0.25">
      <c r="A6157" t="str">
        <f t="shared" si="149"/>
        <v>89301000</v>
      </c>
      <c r="B6157" t="str">
        <f>"515721065"</f>
        <v>515721065</v>
      </c>
      <c r="C6157" s="1">
        <v>45154</v>
      </c>
      <c r="D6157" s="1">
        <v>45156</v>
      </c>
      <c r="E6157">
        <v>1</v>
      </c>
      <c r="F6157" t="str">
        <f>"08-I25-02"</f>
        <v>08-I25-02</v>
      </c>
      <c r="G6157">
        <v>0.55279999999999996</v>
      </c>
      <c r="H6157" t="s">
        <v>11</v>
      </c>
      <c r="I6157" t="s">
        <v>10</v>
      </c>
    </row>
    <row r="6158" spans="1:9" x14ac:dyDescent="0.25">
      <c r="A6158" t="str">
        <f t="shared" si="149"/>
        <v>89301000</v>
      </c>
      <c r="B6158" t="str">
        <f>"515723261"</f>
        <v>515723261</v>
      </c>
      <c r="C6158" s="1">
        <v>45082</v>
      </c>
      <c r="D6158" s="1">
        <v>45086</v>
      </c>
      <c r="E6158">
        <v>4</v>
      </c>
      <c r="F6158" t="str">
        <f>"08-I06-04"</f>
        <v>08-I06-04</v>
      </c>
      <c r="G6158">
        <v>2.4180000000000001</v>
      </c>
      <c r="H6158" t="s">
        <v>9</v>
      </c>
      <c r="I6158" t="s">
        <v>10</v>
      </c>
    </row>
    <row r="6159" spans="1:9" x14ac:dyDescent="0.25">
      <c r="A6159" t="str">
        <f t="shared" si="149"/>
        <v>89301000</v>
      </c>
      <c r="B6159" t="str">
        <f>"515724064"</f>
        <v>515724064</v>
      </c>
      <c r="C6159" s="1">
        <v>45204</v>
      </c>
      <c r="D6159" s="1">
        <v>45205</v>
      </c>
      <c r="E6159">
        <v>1</v>
      </c>
      <c r="F6159" t="str">
        <f>"19-K02-03"</f>
        <v>19-K02-03</v>
      </c>
      <c r="G6159">
        <v>0.47970000000000002</v>
      </c>
      <c r="H6159" t="s">
        <v>15</v>
      </c>
      <c r="I6159" t="s">
        <v>10</v>
      </c>
    </row>
    <row r="6160" spans="1:9" x14ac:dyDescent="0.25">
      <c r="A6160" t="str">
        <f t="shared" si="149"/>
        <v>89301000</v>
      </c>
      <c r="B6160" t="str">
        <f>"515724064"</f>
        <v>515724064</v>
      </c>
      <c r="C6160" s="1">
        <v>45167</v>
      </c>
      <c r="D6160" s="1">
        <v>45175</v>
      </c>
      <c r="E6160">
        <v>4</v>
      </c>
      <c r="F6160" t="str">
        <f>"08-I05-05"</f>
        <v>08-I05-05</v>
      </c>
      <c r="G6160">
        <v>2.2633000000000001</v>
      </c>
      <c r="H6160" t="s">
        <v>12</v>
      </c>
      <c r="I6160" t="s">
        <v>10</v>
      </c>
    </row>
    <row r="6161" spans="1:9" x14ac:dyDescent="0.25">
      <c r="A6161" t="str">
        <f t="shared" si="149"/>
        <v>89301000</v>
      </c>
      <c r="B6161" t="str">
        <f>"515725021"</f>
        <v>515725021</v>
      </c>
      <c r="C6161" s="1">
        <v>45051</v>
      </c>
      <c r="D6161" s="1">
        <v>45062</v>
      </c>
      <c r="E6161">
        <v>1</v>
      </c>
      <c r="F6161" t="str">
        <f>"04-K09-03"</f>
        <v>04-K09-03</v>
      </c>
      <c r="G6161">
        <v>0.629</v>
      </c>
      <c r="H6161" t="s">
        <v>11</v>
      </c>
      <c r="I6161" t="s">
        <v>10</v>
      </c>
    </row>
    <row r="6162" spans="1:9" x14ac:dyDescent="0.25">
      <c r="A6162" t="str">
        <f t="shared" si="149"/>
        <v>89301000</v>
      </c>
      <c r="B6162" t="str">
        <f>"515725021"</f>
        <v>515725021</v>
      </c>
      <c r="C6162" s="1">
        <v>44951</v>
      </c>
      <c r="D6162" s="1">
        <v>44964</v>
      </c>
      <c r="E6162">
        <v>1</v>
      </c>
      <c r="F6162" t="str">
        <f>"04-K09-03"</f>
        <v>04-K09-03</v>
      </c>
      <c r="G6162">
        <v>0.71889999999999998</v>
      </c>
      <c r="H6162" t="s">
        <v>11</v>
      </c>
      <c r="I6162" t="s">
        <v>10</v>
      </c>
    </row>
    <row r="6163" spans="1:9" x14ac:dyDescent="0.25">
      <c r="A6163" t="str">
        <f t="shared" si="149"/>
        <v>89301000</v>
      </c>
      <c r="B6163" t="str">
        <f>"515725021"</f>
        <v>515725021</v>
      </c>
      <c r="C6163" s="1">
        <v>44913</v>
      </c>
      <c r="D6163" s="1">
        <v>44930</v>
      </c>
      <c r="E6163">
        <v>5</v>
      </c>
      <c r="F6163" t="str">
        <f>"01-I06-01"</f>
        <v>01-I06-01</v>
      </c>
      <c r="G6163">
        <v>8.0641999999999996</v>
      </c>
      <c r="H6163" t="s">
        <v>12</v>
      </c>
      <c r="I6163" t="s">
        <v>10</v>
      </c>
    </row>
    <row r="6164" spans="1:9" x14ac:dyDescent="0.25">
      <c r="A6164" t="str">
        <f t="shared" si="149"/>
        <v>89301000</v>
      </c>
      <c r="B6164" t="str">
        <f>"515725160"</f>
        <v>515725160</v>
      </c>
      <c r="C6164" s="1">
        <v>44977</v>
      </c>
      <c r="D6164" s="1">
        <v>44984</v>
      </c>
      <c r="E6164">
        <v>1</v>
      </c>
      <c r="F6164" t="str">
        <f>"13-I13-02"</f>
        <v>13-I13-02</v>
      </c>
      <c r="G6164">
        <v>0.94840000000000002</v>
      </c>
      <c r="H6164" t="s">
        <v>12</v>
      </c>
      <c r="I6164" t="s">
        <v>10</v>
      </c>
    </row>
    <row r="6165" spans="1:9" x14ac:dyDescent="0.25">
      <c r="A6165" t="str">
        <f t="shared" si="149"/>
        <v>89301000</v>
      </c>
      <c r="B6165" t="str">
        <f>"515729143"</f>
        <v>515729143</v>
      </c>
      <c r="C6165" s="1">
        <v>45194</v>
      </c>
      <c r="D6165" s="1">
        <v>45197</v>
      </c>
      <c r="E6165">
        <v>1</v>
      </c>
      <c r="F6165" t="str">
        <f>"11-M05-02"</f>
        <v>11-M05-02</v>
      </c>
      <c r="G6165">
        <v>0.6694</v>
      </c>
      <c r="H6165" t="s">
        <v>12</v>
      </c>
      <c r="I6165" t="s">
        <v>10</v>
      </c>
    </row>
    <row r="6166" spans="1:9" x14ac:dyDescent="0.25">
      <c r="A6166" t="str">
        <f t="shared" si="149"/>
        <v>89301000</v>
      </c>
      <c r="B6166" t="str">
        <f>"515729143"</f>
        <v>515729143</v>
      </c>
      <c r="C6166" s="1">
        <v>45077</v>
      </c>
      <c r="D6166" s="1">
        <v>45078</v>
      </c>
      <c r="E6166">
        <v>1</v>
      </c>
      <c r="F6166" t="str">
        <f>"11-M05-02"</f>
        <v>11-M05-02</v>
      </c>
      <c r="G6166">
        <v>0.6694</v>
      </c>
      <c r="H6166" t="s">
        <v>12</v>
      </c>
      <c r="I6166" t="s">
        <v>10</v>
      </c>
    </row>
    <row r="6167" spans="1:9" x14ac:dyDescent="0.25">
      <c r="A6167" t="str">
        <f t="shared" si="149"/>
        <v>89301000</v>
      </c>
      <c r="B6167" t="str">
        <f>"515729346"</f>
        <v>515729346</v>
      </c>
      <c r="C6167" s="1">
        <v>45041</v>
      </c>
      <c r="D6167" s="1">
        <v>45047</v>
      </c>
      <c r="E6167">
        <v>1</v>
      </c>
      <c r="F6167" t="str">
        <f>"07-K04-03"</f>
        <v>07-K04-03</v>
      </c>
      <c r="G6167">
        <v>1.274</v>
      </c>
      <c r="H6167" t="s">
        <v>11</v>
      </c>
      <c r="I6167" t="s">
        <v>10</v>
      </c>
    </row>
    <row r="6168" spans="1:9" x14ac:dyDescent="0.25">
      <c r="A6168" t="str">
        <f t="shared" si="149"/>
        <v>89301000</v>
      </c>
      <c r="B6168" t="str">
        <f>"515729346"</f>
        <v>515729346</v>
      </c>
      <c r="C6168" s="1">
        <v>44951</v>
      </c>
      <c r="D6168" s="1">
        <v>44954</v>
      </c>
      <c r="E6168">
        <v>1</v>
      </c>
      <c r="F6168" t="str">
        <f>"07-M02-04"</f>
        <v>07-M02-04</v>
      </c>
      <c r="G6168">
        <v>0.77339999999999998</v>
      </c>
      <c r="H6168" t="s">
        <v>12</v>
      </c>
      <c r="I6168" t="s">
        <v>10</v>
      </c>
    </row>
    <row r="6169" spans="1:9" x14ac:dyDescent="0.25">
      <c r="A6169" t="str">
        <f t="shared" si="149"/>
        <v>89301000</v>
      </c>
      <c r="B6169" t="str">
        <f>"515808099"</f>
        <v>515808099</v>
      </c>
      <c r="C6169" s="1">
        <v>45213</v>
      </c>
      <c r="D6169" s="1">
        <v>45219</v>
      </c>
      <c r="E6169">
        <v>5</v>
      </c>
      <c r="F6169" t="str">
        <f>"01-M02-00"</f>
        <v>01-M02-00</v>
      </c>
      <c r="G6169">
        <v>5.3973000000000004</v>
      </c>
      <c r="H6169" t="s">
        <v>12</v>
      </c>
      <c r="I6169" t="s">
        <v>10</v>
      </c>
    </row>
    <row r="6170" spans="1:9" x14ac:dyDescent="0.25">
      <c r="A6170" t="str">
        <f t="shared" si="149"/>
        <v>89301000</v>
      </c>
      <c r="B6170" t="str">
        <f>"515817093"</f>
        <v>515817093</v>
      </c>
      <c r="C6170" s="1">
        <v>45008</v>
      </c>
      <c r="D6170" s="1">
        <v>45015</v>
      </c>
      <c r="E6170">
        <v>1</v>
      </c>
      <c r="F6170" t="str">
        <f>"08-I05-05"</f>
        <v>08-I05-05</v>
      </c>
      <c r="G6170">
        <v>2.2633000000000001</v>
      </c>
      <c r="H6170" t="s">
        <v>12</v>
      </c>
      <c r="I6170" t="s">
        <v>10</v>
      </c>
    </row>
    <row r="6171" spans="1:9" x14ac:dyDescent="0.25">
      <c r="A6171" t="str">
        <f t="shared" si="149"/>
        <v>89301000</v>
      </c>
      <c r="B6171" t="str">
        <f>"515907203"</f>
        <v>515907203</v>
      </c>
      <c r="C6171" s="1">
        <v>44946</v>
      </c>
      <c r="D6171" s="1">
        <v>44953</v>
      </c>
      <c r="E6171">
        <v>1</v>
      </c>
      <c r="F6171" t="str">
        <f>"11-K01-04"</f>
        <v>11-K01-04</v>
      </c>
      <c r="G6171">
        <v>0.57130000000000003</v>
      </c>
      <c r="H6171" t="s">
        <v>11</v>
      </c>
      <c r="I6171" t="s">
        <v>10</v>
      </c>
    </row>
    <row r="6172" spans="1:9" x14ac:dyDescent="0.25">
      <c r="A6172" t="str">
        <f t="shared" si="149"/>
        <v>89301000</v>
      </c>
      <c r="B6172" t="str">
        <f>"515907203"</f>
        <v>515907203</v>
      </c>
      <c r="C6172" s="1">
        <v>45092</v>
      </c>
      <c r="D6172" s="1">
        <v>45099</v>
      </c>
      <c r="E6172">
        <v>1</v>
      </c>
      <c r="F6172" t="str">
        <f>"06-I13-03"</f>
        <v>06-I13-03</v>
      </c>
      <c r="G6172">
        <v>1.5217000000000001</v>
      </c>
      <c r="H6172" t="s">
        <v>11</v>
      </c>
      <c r="I6172" t="s">
        <v>10</v>
      </c>
    </row>
    <row r="6173" spans="1:9" x14ac:dyDescent="0.25">
      <c r="A6173" t="str">
        <f t="shared" si="149"/>
        <v>89301000</v>
      </c>
      <c r="B6173" t="str">
        <f>"515907203"</f>
        <v>515907203</v>
      </c>
      <c r="C6173" s="1">
        <v>45004</v>
      </c>
      <c r="D6173" s="1">
        <v>45027</v>
      </c>
      <c r="E6173">
        <v>1</v>
      </c>
      <c r="F6173" t="str">
        <f>"06-I07-03"</f>
        <v>06-I07-03</v>
      </c>
      <c r="G6173">
        <v>5.3734999999999999</v>
      </c>
      <c r="H6173" t="s">
        <v>12</v>
      </c>
      <c r="I6173" t="s">
        <v>10</v>
      </c>
    </row>
    <row r="6174" spans="1:9" x14ac:dyDescent="0.25">
      <c r="A6174" t="str">
        <f t="shared" si="149"/>
        <v>89301000</v>
      </c>
      <c r="B6174" t="str">
        <f>"515908123"</f>
        <v>515908123</v>
      </c>
      <c r="C6174" s="1">
        <v>45152</v>
      </c>
      <c r="D6174" s="1">
        <v>45154</v>
      </c>
      <c r="E6174">
        <v>5</v>
      </c>
      <c r="F6174" t="str">
        <f>"04-K02-02"</f>
        <v>04-K02-02</v>
      </c>
      <c r="G6174">
        <v>1.7983</v>
      </c>
      <c r="H6174" t="s">
        <v>11</v>
      </c>
      <c r="I6174" t="s">
        <v>10</v>
      </c>
    </row>
    <row r="6175" spans="1:9" x14ac:dyDescent="0.25">
      <c r="A6175" t="str">
        <f t="shared" si="149"/>
        <v>89301000</v>
      </c>
      <c r="B6175" t="str">
        <f>"515908123"</f>
        <v>515908123</v>
      </c>
      <c r="C6175" s="1">
        <v>45161</v>
      </c>
      <c r="D6175" s="1">
        <v>45167</v>
      </c>
      <c r="E6175">
        <v>1</v>
      </c>
      <c r="F6175" t="str">
        <f>"05-K07-03"</f>
        <v>05-K07-03</v>
      </c>
      <c r="G6175">
        <v>1.8048</v>
      </c>
      <c r="H6175" t="s">
        <v>11</v>
      </c>
      <c r="I6175" t="s">
        <v>10</v>
      </c>
    </row>
    <row r="6176" spans="1:9" x14ac:dyDescent="0.25">
      <c r="A6176" t="str">
        <f t="shared" si="149"/>
        <v>89301000</v>
      </c>
      <c r="B6176" t="str">
        <f>"515913145"</f>
        <v>515913145</v>
      </c>
      <c r="C6176" s="1">
        <v>45245</v>
      </c>
      <c r="D6176" s="1">
        <v>45247</v>
      </c>
      <c r="E6176">
        <v>1</v>
      </c>
      <c r="F6176" t="str">
        <f>"05-M05-02"</f>
        <v>05-M05-02</v>
      </c>
      <c r="G6176">
        <v>3.4817999999999998</v>
      </c>
      <c r="H6176" t="s">
        <v>14</v>
      </c>
      <c r="I6176" t="s">
        <v>10</v>
      </c>
    </row>
    <row r="6177" spans="1:9" x14ac:dyDescent="0.25">
      <c r="A6177" t="str">
        <f t="shared" si="149"/>
        <v>89301000</v>
      </c>
      <c r="B6177" t="str">
        <f>"515913289"</f>
        <v>515913289</v>
      </c>
      <c r="C6177" s="1">
        <v>45148</v>
      </c>
      <c r="D6177" s="1">
        <v>45150</v>
      </c>
      <c r="E6177">
        <v>1</v>
      </c>
      <c r="F6177" t="str">
        <f>"05-M05-02"</f>
        <v>05-M05-02</v>
      </c>
      <c r="G6177">
        <v>3.4817999999999998</v>
      </c>
      <c r="H6177" t="s">
        <v>14</v>
      </c>
      <c r="I6177" t="s">
        <v>10</v>
      </c>
    </row>
    <row r="6178" spans="1:9" x14ac:dyDescent="0.25">
      <c r="A6178" t="str">
        <f t="shared" si="149"/>
        <v>89301000</v>
      </c>
      <c r="B6178" t="str">
        <f>"515917205"</f>
        <v>515917205</v>
      </c>
      <c r="C6178" s="1">
        <v>44943</v>
      </c>
      <c r="D6178" s="1">
        <v>44946</v>
      </c>
      <c r="E6178">
        <v>1</v>
      </c>
      <c r="F6178" t="str">
        <f>"05-D01-04"</f>
        <v>05-D01-04</v>
      </c>
      <c r="G6178">
        <v>2.6101999999999999</v>
      </c>
      <c r="H6178" t="s">
        <v>11</v>
      </c>
      <c r="I6178" t="s">
        <v>10</v>
      </c>
    </row>
    <row r="6179" spans="1:9" x14ac:dyDescent="0.25">
      <c r="A6179" t="str">
        <f t="shared" si="149"/>
        <v>89301000</v>
      </c>
      <c r="B6179" t="str">
        <f>"515920238"</f>
        <v>515920238</v>
      </c>
      <c r="C6179" s="1">
        <v>45265</v>
      </c>
      <c r="D6179" s="1">
        <v>45271</v>
      </c>
      <c r="E6179">
        <v>4</v>
      </c>
      <c r="F6179" t="str">
        <f>"08-I05-05"</f>
        <v>08-I05-05</v>
      </c>
      <c r="G6179">
        <v>2.2633000000000001</v>
      </c>
      <c r="H6179" t="s">
        <v>12</v>
      </c>
      <c r="I6179" t="s">
        <v>10</v>
      </c>
    </row>
    <row r="6180" spans="1:9" x14ac:dyDescent="0.25">
      <c r="A6180" t="str">
        <f t="shared" si="149"/>
        <v>89301000</v>
      </c>
      <c r="B6180" t="str">
        <f>"515925066"</f>
        <v>515925066</v>
      </c>
      <c r="C6180" s="1">
        <v>45257</v>
      </c>
      <c r="D6180" s="1">
        <v>45273</v>
      </c>
      <c r="E6180">
        <v>4</v>
      </c>
      <c r="F6180" t="str">
        <f>"05-K04-01"</f>
        <v>05-K04-01</v>
      </c>
      <c r="G6180">
        <v>0.93830000000000002</v>
      </c>
      <c r="H6180" t="s">
        <v>11</v>
      </c>
      <c r="I6180" t="s">
        <v>10</v>
      </c>
    </row>
    <row r="6181" spans="1:9" x14ac:dyDescent="0.25">
      <c r="A6181" t="str">
        <f t="shared" si="149"/>
        <v>89301000</v>
      </c>
      <c r="B6181" t="str">
        <f>"515925318"</f>
        <v>515925318</v>
      </c>
      <c r="C6181" s="1">
        <v>44965</v>
      </c>
      <c r="D6181" s="1">
        <v>44970</v>
      </c>
      <c r="E6181">
        <v>1</v>
      </c>
      <c r="F6181" t="str">
        <f>"02-I02-01"</f>
        <v>02-I02-01</v>
      </c>
      <c r="G6181">
        <v>1.2369000000000001</v>
      </c>
      <c r="H6181" t="s">
        <v>12</v>
      </c>
      <c r="I6181" t="s">
        <v>10</v>
      </c>
    </row>
    <row r="6182" spans="1:9" x14ac:dyDescent="0.25">
      <c r="A6182" t="str">
        <f t="shared" si="149"/>
        <v>89301000</v>
      </c>
      <c r="B6182" t="str">
        <f>"515925318"</f>
        <v>515925318</v>
      </c>
      <c r="C6182" s="1">
        <v>45202</v>
      </c>
      <c r="D6182" s="1">
        <v>45205</v>
      </c>
      <c r="E6182">
        <v>1</v>
      </c>
      <c r="F6182" t="str">
        <f>"02-I02-01"</f>
        <v>02-I02-01</v>
      </c>
      <c r="G6182">
        <v>1.2369000000000001</v>
      </c>
      <c r="H6182" t="s">
        <v>12</v>
      </c>
      <c r="I6182" t="s">
        <v>10</v>
      </c>
    </row>
    <row r="6183" spans="1:9" x14ac:dyDescent="0.25">
      <c r="A6183" t="str">
        <f t="shared" si="149"/>
        <v>89301000</v>
      </c>
      <c r="B6183" t="str">
        <f>"515928173"</f>
        <v>515928173</v>
      </c>
      <c r="C6183" s="1">
        <v>44959</v>
      </c>
      <c r="D6183" s="1">
        <v>44962</v>
      </c>
      <c r="E6183">
        <v>1</v>
      </c>
      <c r="F6183" t="str">
        <f>"08-M03-05"</f>
        <v>08-M03-05</v>
      </c>
      <c r="G6183">
        <v>0.46810000000000002</v>
      </c>
      <c r="H6183" t="s">
        <v>11</v>
      </c>
      <c r="I6183" t="s">
        <v>10</v>
      </c>
    </row>
    <row r="6184" spans="1:9" x14ac:dyDescent="0.25">
      <c r="A6184" t="str">
        <f t="shared" si="149"/>
        <v>89301000</v>
      </c>
      <c r="B6184" t="str">
        <f>"516001116"</f>
        <v>516001116</v>
      </c>
      <c r="C6184" s="1">
        <v>45265</v>
      </c>
      <c r="D6184" s="1">
        <v>45265</v>
      </c>
      <c r="E6184">
        <v>1</v>
      </c>
      <c r="F6184" t="str">
        <f>"05-D01-08"</f>
        <v>05-D01-08</v>
      </c>
      <c r="G6184">
        <v>0.2303</v>
      </c>
      <c r="H6184" t="s">
        <v>11</v>
      </c>
      <c r="I6184" t="s">
        <v>10</v>
      </c>
    </row>
    <row r="6185" spans="1:9" x14ac:dyDescent="0.25">
      <c r="A6185" t="str">
        <f t="shared" si="149"/>
        <v>89301000</v>
      </c>
      <c r="B6185" t="str">
        <f>"516004112"</f>
        <v>516004112</v>
      </c>
      <c r="C6185" s="1">
        <v>45078</v>
      </c>
      <c r="D6185" s="1">
        <v>45080</v>
      </c>
      <c r="E6185">
        <v>1</v>
      </c>
      <c r="F6185" t="str">
        <f>"05-K05-05"</f>
        <v>05-K05-05</v>
      </c>
      <c r="G6185">
        <v>0.35659999999999997</v>
      </c>
      <c r="H6185" t="s">
        <v>11</v>
      </c>
      <c r="I6185" t="s">
        <v>10</v>
      </c>
    </row>
    <row r="6186" spans="1:9" x14ac:dyDescent="0.25">
      <c r="A6186" t="str">
        <f t="shared" si="149"/>
        <v>89301000</v>
      </c>
      <c r="B6186" t="str">
        <f>"516006237"</f>
        <v>516006237</v>
      </c>
      <c r="C6186" s="1">
        <v>45208</v>
      </c>
      <c r="D6186" s="1">
        <v>45211</v>
      </c>
      <c r="E6186">
        <v>1</v>
      </c>
      <c r="F6186" t="str">
        <f>"11-I14-02"</f>
        <v>11-I14-02</v>
      </c>
      <c r="G6186">
        <v>0.61839999999999995</v>
      </c>
      <c r="H6186" t="s">
        <v>9</v>
      </c>
      <c r="I6186" t="s">
        <v>10</v>
      </c>
    </row>
    <row r="6187" spans="1:9" x14ac:dyDescent="0.25">
      <c r="A6187" t="str">
        <f t="shared" si="149"/>
        <v>89301000</v>
      </c>
      <c r="B6187" t="str">
        <f>"516007144"</f>
        <v>516007144</v>
      </c>
      <c r="C6187" s="1">
        <v>45188</v>
      </c>
      <c r="D6187" s="1">
        <v>45194</v>
      </c>
      <c r="E6187">
        <v>4</v>
      </c>
      <c r="F6187" t="str">
        <f>"08-I13-05"</f>
        <v>08-I13-05</v>
      </c>
      <c r="G6187">
        <v>2.343</v>
      </c>
      <c r="H6187" t="s">
        <v>12</v>
      </c>
      <c r="I6187" t="s">
        <v>10</v>
      </c>
    </row>
    <row r="6188" spans="1:9" x14ac:dyDescent="0.25">
      <c r="A6188" t="str">
        <f t="shared" si="149"/>
        <v>89301000</v>
      </c>
      <c r="B6188" t="str">
        <f>"516007144"</f>
        <v>516007144</v>
      </c>
      <c r="C6188" s="1">
        <v>45076</v>
      </c>
      <c r="D6188" s="1">
        <v>45083</v>
      </c>
      <c r="E6188">
        <v>1</v>
      </c>
      <c r="F6188" t="str">
        <f>"10-K12-02"</f>
        <v>10-K12-02</v>
      </c>
      <c r="G6188">
        <v>0.873</v>
      </c>
      <c r="H6188" t="s">
        <v>11</v>
      </c>
      <c r="I6188" t="s">
        <v>10</v>
      </c>
    </row>
    <row r="6189" spans="1:9" x14ac:dyDescent="0.25">
      <c r="A6189" t="str">
        <f t="shared" si="149"/>
        <v>89301000</v>
      </c>
      <c r="B6189" t="str">
        <f>"516009099"</f>
        <v>516009099</v>
      </c>
      <c r="C6189" s="1">
        <v>45041</v>
      </c>
      <c r="D6189" s="1">
        <v>45042</v>
      </c>
      <c r="E6189">
        <v>1</v>
      </c>
      <c r="F6189" t="str">
        <f>"05-K12-02"</f>
        <v>05-K12-02</v>
      </c>
      <c r="G6189">
        <v>0.52070000000000005</v>
      </c>
      <c r="H6189" t="s">
        <v>11</v>
      </c>
      <c r="I6189" t="s">
        <v>10</v>
      </c>
    </row>
    <row r="6190" spans="1:9" x14ac:dyDescent="0.25">
      <c r="A6190" t="str">
        <f t="shared" si="149"/>
        <v>89301000</v>
      </c>
      <c r="B6190" t="str">
        <f>"516015010"</f>
        <v>516015010</v>
      </c>
      <c r="C6190" s="1">
        <v>45245</v>
      </c>
      <c r="D6190" s="1">
        <v>45247</v>
      </c>
      <c r="E6190">
        <v>1</v>
      </c>
      <c r="F6190" t="str">
        <f>"05-M05-02"</f>
        <v>05-M05-02</v>
      </c>
      <c r="G6190">
        <v>3.4817999999999998</v>
      </c>
      <c r="H6190" t="s">
        <v>14</v>
      </c>
      <c r="I6190" t="s">
        <v>10</v>
      </c>
    </row>
    <row r="6191" spans="1:9" x14ac:dyDescent="0.25">
      <c r="A6191" t="str">
        <f t="shared" si="149"/>
        <v>89301000</v>
      </c>
      <c r="B6191" t="str">
        <f>"516015010"</f>
        <v>516015010</v>
      </c>
      <c r="C6191" s="1">
        <v>45063</v>
      </c>
      <c r="D6191" s="1">
        <v>45065</v>
      </c>
      <c r="E6191">
        <v>1</v>
      </c>
      <c r="F6191" t="str">
        <f>"05-M05-02"</f>
        <v>05-M05-02</v>
      </c>
      <c r="G6191">
        <v>3.4817999999999998</v>
      </c>
      <c r="H6191" t="s">
        <v>14</v>
      </c>
      <c r="I6191" t="s">
        <v>10</v>
      </c>
    </row>
    <row r="6192" spans="1:9" x14ac:dyDescent="0.25">
      <c r="A6192" t="str">
        <f t="shared" si="149"/>
        <v>89301000</v>
      </c>
      <c r="B6192" t="str">
        <f>"516015010"</f>
        <v>516015010</v>
      </c>
      <c r="C6192" s="1">
        <v>45079</v>
      </c>
      <c r="D6192" s="1">
        <v>45083</v>
      </c>
      <c r="E6192">
        <v>1</v>
      </c>
      <c r="F6192" t="str">
        <f>"05-K05-05"</f>
        <v>05-K05-05</v>
      </c>
      <c r="G6192">
        <v>0.3579</v>
      </c>
      <c r="H6192" t="s">
        <v>11</v>
      </c>
      <c r="I6192" t="s">
        <v>10</v>
      </c>
    </row>
    <row r="6193" spans="1:9" x14ac:dyDescent="0.25">
      <c r="A6193" t="str">
        <f t="shared" si="149"/>
        <v>89301000</v>
      </c>
      <c r="B6193" t="str">
        <f>"516017027"</f>
        <v>516017027</v>
      </c>
      <c r="C6193" s="1">
        <v>44979</v>
      </c>
      <c r="D6193" s="1">
        <v>44984</v>
      </c>
      <c r="E6193">
        <v>1</v>
      </c>
      <c r="F6193" t="str">
        <f>"08-I04-02"</f>
        <v>08-I04-02</v>
      </c>
      <c r="G6193">
        <v>1.6229</v>
      </c>
      <c r="H6193" t="s">
        <v>14</v>
      </c>
      <c r="I6193" t="s">
        <v>10</v>
      </c>
    </row>
    <row r="6194" spans="1:9" x14ac:dyDescent="0.25">
      <c r="A6194" t="str">
        <f t="shared" si="149"/>
        <v>89301000</v>
      </c>
      <c r="B6194" t="str">
        <f>"516025047"</f>
        <v>516025047</v>
      </c>
      <c r="C6194" s="1">
        <v>45059</v>
      </c>
      <c r="D6194" s="1">
        <v>45068</v>
      </c>
      <c r="E6194">
        <v>1</v>
      </c>
      <c r="F6194" t="str">
        <f>"18-K02-01"</f>
        <v>18-K02-01</v>
      </c>
      <c r="G6194">
        <v>1.7989999999999999</v>
      </c>
      <c r="H6194" t="s">
        <v>11</v>
      </c>
      <c r="I6194" t="s">
        <v>10</v>
      </c>
    </row>
    <row r="6195" spans="1:9" x14ac:dyDescent="0.25">
      <c r="A6195" t="str">
        <f t="shared" si="149"/>
        <v>89301000</v>
      </c>
      <c r="B6195" t="str">
        <f>"516025148"</f>
        <v>516025148</v>
      </c>
      <c r="C6195" s="1">
        <v>44943</v>
      </c>
      <c r="D6195" s="1">
        <v>44947</v>
      </c>
      <c r="E6195">
        <v>1</v>
      </c>
      <c r="F6195" t="str">
        <f>"13-I11-03"</f>
        <v>13-I11-03</v>
      </c>
      <c r="G6195">
        <v>1.4332</v>
      </c>
      <c r="H6195" t="s">
        <v>9</v>
      </c>
      <c r="I6195" t="s">
        <v>10</v>
      </c>
    </row>
    <row r="6196" spans="1:9" x14ac:dyDescent="0.25">
      <c r="A6196" t="str">
        <f t="shared" si="149"/>
        <v>89301000</v>
      </c>
      <c r="B6196" t="str">
        <f>"516025168"</f>
        <v>516025168</v>
      </c>
      <c r="C6196" s="1">
        <v>45183</v>
      </c>
      <c r="D6196" s="1">
        <v>45184</v>
      </c>
      <c r="E6196">
        <v>1</v>
      </c>
      <c r="F6196" t="str">
        <f>"13-K04-00"</f>
        <v>13-K04-00</v>
      </c>
      <c r="G6196">
        <v>0.46960000000000002</v>
      </c>
      <c r="H6196" t="s">
        <v>11</v>
      </c>
      <c r="I6196" t="s">
        <v>10</v>
      </c>
    </row>
    <row r="6197" spans="1:9" x14ac:dyDescent="0.25">
      <c r="A6197" t="str">
        <f t="shared" si="149"/>
        <v>89301000</v>
      </c>
      <c r="B6197" t="str">
        <f>"516029173"</f>
        <v>516029173</v>
      </c>
      <c r="C6197" s="1">
        <v>45160</v>
      </c>
      <c r="D6197" s="1">
        <v>45163</v>
      </c>
      <c r="E6197">
        <v>1</v>
      </c>
      <c r="F6197" t="str">
        <f>"05-M07-06"</f>
        <v>05-M07-06</v>
      </c>
      <c r="G6197">
        <v>1.2264999999999999</v>
      </c>
      <c r="H6197" t="s">
        <v>12</v>
      </c>
      <c r="I6197" t="s">
        <v>10</v>
      </c>
    </row>
    <row r="6198" spans="1:9" x14ac:dyDescent="0.25">
      <c r="A6198" t="str">
        <f t="shared" si="149"/>
        <v>89301000</v>
      </c>
      <c r="B6198" t="str">
        <f>"516029273"</f>
        <v>516029273</v>
      </c>
      <c r="C6198" s="1">
        <v>44991</v>
      </c>
      <c r="D6198" s="1">
        <v>44998</v>
      </c>
      <c r="E6198">
        <v>3</v>
      </c>
      <c r="F6198" t="str">
        <f>"08-I05-04"</f>
        <v>08-I05-04</v>
      </c>
      <c r="G6198">
        <v>2.4445000000000001</v>
      </c>
      <c r="H6198" t="s">
        <v>12</v>
      </c>
      <c r="I6198" t="s">
        <v>10</v>
      </c>
    </row>
    <row r="6199" spans="1:9" x14ac:dyDescent="0.25">
      <c r="A6199" t="str">
        <f t="shared" si="149"/>
        <v>89301000</v>
      </c>
      <c r="B6199" t="str">
        <f>"516029273"</f>
        <v>516029273</v>
      </c>
      <c r="C6199" s="1">
        <v>44998</v>
      </c>
      <c r="D6199" s="1">
        <v>45007</v>
      </c>
      <c r="E6199">
        <v>1</v>
      </c>
      <c r="F6199" t="str">
        <f>"24-M06-02"</f>
        <v>24-M06-02</v>
      </c>
      <c r="G6199">
        <v>1.0699000000000001</v>
      </c>
      <c r="H6199" t="s">
        <v>11</v>
      </c>
      <c r="I6199" t="s">
        <v>10</v>
      </c>
    </row>
    <row r="6200" spans="1:9" x14ac:dyDescent="0.25">
      <c r="A6200" t="str">
        <f t="shared" si="149"/>
        <v>89301000</v>
      </c>
      <c r="B6200" t="str">
        <f>"516031175"</f>
        <v>516031175</v>
      </c>
      <c r="C6200" s="1">
        <v>45204</v>
      </c>
      <c r="D6200" s="1">
        <v>45206</v>
      </c>
      <c r="E6200">
        <v>1</v>
      </c>
      <c r="F6200" t="str">
        <f>"05-I25-01"</f>
        <v>05-I25-01</v>
      </c>
      <c r="G6200">
        <v>3.6394000000000002</v>
      </c>
      <c r="H6200" t="s">
        <v>12</v>
      </c>
      <c r="I6200" t="s">
        <v>10</v>
      </c>
    </row>
    <row r="6201" spans="1:9" x14ac:dyDescent="0.25">
      <c r="A6201" t="str">
        <f t="shared" si="149"/>
        <v>89301000</v>
      </c>
      <c r="B6201" t="str">
        <f>"516103077"</f>
        <v>516103077</v>
      </c>
      <c r="C6201" s="1">
        <v>45250</v>
      </c>
      <c r="D6201" s="1">
        <v>45259</v>
      </c>
      <c r="E6201">
        <v>1</v>
      </c>
      <c r="F6201" t="str">
        <f>"20-K03-01"</f>
        <v>20-K03-01</v>
      </c>
      <c r="G6201">
        <v>1.2786</v>
      </c>
      <c r="H6201" t="s">
        <v>11</v>
      </c>
      <c r="I6201" t="s">
        <v>10</v>
      </c>
    </row>
    <row r="6202" spans="1:9" x14ac:dyDescent="0.25">
      <c r="A6202" t="str">
        <f t="shared" si="149"/>
        <v>89301000</v>
      </c>
      <c r="B6202" t="str">
        <f>"516103313"</f>
        <v>516103313</v>
      </c>
      <c r="C6202" s="1">
        <v>45057</v>
      </c>
      <c r="D6202" s="1">
        <v>45059</v>
      </c>
      <c r="E6202">
        <v>1</v>
      </c>
      <c r="F6202" t="str">
        <f>"05-I14-03"</f>
        <v>05-I14-03</v>
      </c>
      <c r="G6202">
        <v>6.0362</v>
      </c>
      <c r="H6202" t="s">
        <v>12</v>
      </c>
      <c r="I6202" t="s">
        <v>10</v>
      </c>
    </row>
    <row r="6203" spans="1:9" x14ac:dyDescent="0.25">
      <c r="A6203" t="str">
        <f t="shared" si="149"/>
        <v>89301000</v>
      </c>
      <c r="B6203" t="str">
        <f>"516103313"</f>
        <v>516103313</v>
      </c>
      <c r="C6203" s="1">
        <v>45034</v>
      </c>
      <c r="D6203" s="1">
        <v>45035</v>
      </c>
      <c r="E6203">
        <v>1</v>
      </c>
      <c r="F6203" t="str">
        <f>"05-D01-06"</f>
        <v>05-D01-06</v>
      </c>
      <c r="G6203">
        <v>0.7571</v>
      </c>
      <c r="H6203" t="s">
        <v>11</v>
      </c>
      <c r="I6203" t="s">
        <v>10</v>
      </c>
    </row>
    <row r="6204" spans="1:9" x14ac:dyDescent="0.25">
      <c r="A6204" t="str">
        <f t="shared" si="149"/>
        <v>89301000</v>
      </c>
      <c r="B6204" t="str">
        <f>"516105102"</f>
        <v>516105102</v>
      </c>
      <c r="C6204" s="1">
        <v>45166</v>
      </c>
      <c r="D6204" s="1">
        <v>45166</v>
      </c>
      <c r="E6204">
        <v>1</v>
      </c>
      <c r="F6204" t="str">
        <f>"05-M06-08"</f>
        <v>05-M06-08</v>
      </c>
      <c r="G6204">
        <v>1.1012</v>
      </c>
      <c r="H6204" t="s">
        <v>12</v>
      </c>
      <c r="I6204" t="s">
        <v>10</v>
      </c>
    </row>
    <row r="6205" spans="1:9" x14ac:dyDescent="0.25">
      <c r="A6205" t="str">
        <f t="shared" si="149"/>
        <v>89301000</v>
      </c>
      <c r="B6205" t="str">
        <f>"516107207"</f>
        <v>516107207</v>
      </c>
      <c r="C6205" s="1">
        <v>45104</v>
      </c>
      <c r="D6205" s="1">
        <v>45108</v>
      </c>
      <c r="E6205">
        <v>1</v>
      </c>
      <c r="F6205" t="str">
        <f>"08-I03-07"</f>
        <v>08-I03-07</v>
      </c>
      <c r="G6205">
        <v>2.4535999999999998</v>
      </c>
      <c r="H6205" t="s">
        <v>9</v>
      </c>
      <c r="I6205" t="s">
        <v>10</v>
      </c>
    </row>
    <row r="6206" spans="1:9" x14ac:dyDescent="0.25">
      <c r="A6206" t="str">
        <f t="shared" si="149"/>
        <v>89301000</v>
      </c>
      <c r="B6206" t="str">
        <f>"516109067"</f>
        <v>516109067</v>
      </c>
      <c r="C6206" s="1">
        <v>45260</v>
      </c>
      <c r="D6206" s="1">
        <v>45262</v>
      </c>
      <c r="E6206">
        <v>1</v>
      </c>
      <c r="F6206" t="str">
        <f>"09-I10-02"</f>
        <v>09-I10-02</v>
      </c>
      <c r="G6206">
        <v>0.87580000000000002</v>
      </c>
      <c r="H6206" t="s">
        <v>12</v>
      </c>
      <c r="I6206" t="s">
        <v>10</v>
      </c>
    </row>
    <row r="6207" spans="1:9" x14ac:dyDescent="0.25">
      <c r="A6207" t="str">
        <f t="shared" si="149"/>
        <v>89301000</v>
      </c>
      <c r="B6207" t="str">
        <f>"516109136"</f>
        <v>516109136</v>
      </c>
      <c r="C6207" s="1">
        <v>45149</v>
      </c>
      <c r="D6207" s="1">
        <v>45152</v>
      </c>
      <c r="E6207">
        <v>1</v>
      </c>
      <c r="F6207" t="str">
        <f>"05-D01-08"</f>
        <v>05-D01-08</v>
      </c>
      <c r="G6207">
        <v>0.43159999999999998</v>
      </c>
      <c r="H6207" t="s">
        <v>11</v>
      </c>
      <c r="I6207" t="s">
        <v>10</v>
      </c>
    </row>
    <row r="6208" spans="1:9" x14ac:dyDescent="0.25">
      <c r="A6208" t="str">
        <f t="shared" si="149"/>
        <v>89301000</v>
      </c>
      <c r="B6208" t="str">
        <f>"516110220"</f>
        <v>516110220</v>
      </c>
      <c r="C6208" s="1">
        <v>44926</v>
      </c>
      <c r="D6208" s="1">
        <v>44931</v>
      </c>
      <c r="E6208">
        <v>1</v>
      </c>
      <c r="F6208" t="str">
        <f>"03-I23-01"</f>
        <v>03-I23-01</v>
      </c>
      <c r="G6208">
        <v>1.0173000000000001</v>
      </c>
      <c r="H6208" t="s">
        <v>11</v>
      </c>
      <c r="I6208" t="s">
        <v>10</v>
      </c>
    </row>
    <row r="6209" spans="1:9" x14ac:dyDescent="0.25">
      <c r="A6209" t="str">
        <f t="shared" si="149"/>
        <v>89301000</v>
      </c>
      <c r="B6209" t="str">
        <f>"516110220"</f>
        <v>516110220</v>
      </c>
      <c r="C6209" s="1">
        <v>44949</v>
      </c>
      <c r="D6209" s="1">
        <v>44977</v>
      </c>
      <c r="E6209">
        <v>1</v>
      </c>
      <c r="F6209" t="str">
        <f>"05-I16-06"</f>
        <v>05-I16-06</v>
      </c>
      <c r="G6209">
        <v>9.0515000000000008</v>
      </c>
      <c r="H6209" t="s">
        <v>14</v>
      </c>
      <c r="I6209" t="s">
        <v>10</v>
      </c>
    </row>
    <row r="6210" spans="1:9" x14ac:dyDescent="0.25">
      <c r="A6210" t="str">
        <f t="shared" si="149"/>
        <v>89301000</v>
      </c>
      <c r="B6210" t="str">
        <f>"516114118"</f>
        <v>516114118</v>
      </c>
      <c r="C6210" s="1">
        <v>45264</v>
      </c>
      <c r="D6210" s="1">
        <v>45272</v>
      </c>
      <c r="E6210">
        <v>1</v>
      </c>
      <c r="F6210" t="str">
        <f>"01-D01-02"</f>
        <v>01-D01-02</v>
      </c>
      <c r="G6210">
        <v>0.51300000000000001</v>
      </c>
      <c r="H6210" t="s">
        <v>11</v>
      </c>
      <c r="I6210" t="s">
        <v>10</v>
      </c>
    </row>
    <row r="6211" spans="1:9" x14ac:dyDescent="0.25">
      <c r="A6211" t="str">
        <f t="shared" si="149"/>
        <v>89301000</v>
      </c>
      <c r="B6211" t="str">
        <f>"516116061"</f>
        <v>516116061</v>
      </c>
      <c r="C6211" s="1">
        <v>45179</v>
      </c>
      <c r="D6211" s="1">
        <v>45181</v>
      </c>
      <c r="E6211">
        <v>1</v>
      </c>
      <c r="F6211" t="str">
        <f>"05-I14-03"</f>
        <v>05-I14-03</v>
      </c>
      <c r="G6211">
        <v>6.0362</v>
      </c>
      <c r="H6211" t="s">
        <v>12</v>
      </c>
      <c r="I6211" t="s">
        <v>10</v>
      </c>
    </row>
    <row r="6212" spans="1:9" x14ac:dyDescent="0.25">
      <c r="A6212" t="str">
        <f t="shared" si="149"/>
        <v>89301000</v>
      </c>
      <c r="B6212" t="str">
        <f>"516116061"</f>
        <v>516116061</v>
      </c>
      <c r="C6212" s="1">
        <v>45161</v>
      </c>
      <c r="D6212" s="1">
        <v>45162</v>
      </c>
      <c r="E6212">
        <v>1</v>
      </c>
      <c r="F6212" t="str">
        <f>"05-D01-08"</f>
        <v>05-D01-08</v>
      </c>
      <c r="G6212">
        <v>0.43159999999999998</v>
      </c>
      <c r="H6212" t="s">
        <v>11</v>
      </c>
      <c r="I6212" t="s">
        <v>10</v>
      </c>
    </row>
    <row r="6213" spans="1:9" x14ac:dyDescent="0.25">
      <c r="A6213" t="str">
        <f t="shared" si="149"/>
        <v>89301000</v>
      </c>
      <c r="B6213" t="str">
        <f>"516116201"</f>
        <v>516116201</v>
      </c>
      <c r="C6213" s="1">
        <v>45153</v>
      </c>
      <c r="D6213" s="1">
        <v>45161</v>
      </c>
      <c r="E6213">
        <v>2</v>
      </c>
      <c r="F6213" t="str">
        <f>"07-K04-03"</f>
        <v>07-K04-03</v>
      </c>
      <c r="G6213">
        <v>0.93859999999999999</v>
      </c>
      <c r="H6213" t="s">
        <v>11</v>
      </c>
      <c r="I6213" t="s">
        <v>10</v>
      </c>
    </row>
    <row r="6214" spans="1:9" x14ac:dyDescent="0.25">
      <c r="A6214" t="str">
        <f t="shared" si="149"/>
        <v>89301000</v>
      </c>
      <c r="B6214" t="str">
        <f>"516116256"</f>
        <v>516116256</v>
      </c>
      <c r="C6214" s="1">
        <v>45044</v>
      </c>
      <c r="D6214" s="1">
        <v>45049</v>
      </c>
      <c r="E6214">
        <v>1</v>
      </c>
      <c r="F6214" t="str">
        <f>"04-K07-03"</f>
        <v>04-K07-03</v>
      </c>
      <c r="G6214">
        <v>0.61119999999999997</v>
      </c>
      <c r="H6214" t="s">
        <v>11</v>
      </c>
      <c r="I6214" t="s">
        <v>10</v>
      </c>
    </row>
    <row r="6215" spans="1:9" x14ac:dyDescent="0.25">
      <c r="A6215" t="str">
        <f t="shared" si="149"/>
        <v>89301000</v>
      </c>
      <c r="B6215" t="str">
        <f>"516116256"</f>
        <v>516116256</v>
      </c>
      <c r="C6215" s="1">
        <v>45084</v>
      </c>
      <c r="D6215" s="1">
        <v>45089</v>
      </c>
      <c r="E6215">
        <v>1</v>
      </c>
      <c r="F6215" t="str">
        <f>"04-K07-03"</f>
        <v>04-K07-03</v>
      </c>
      <c r="G6215">
        <v>0.61119999999999997</v>
      </c>
      <c r="H6215" t="s">
        <v>11</v>
      </c>
      <c r="I6215" t="s">
        <v>10</v>
      </c>
    </row>
    <row r="6216" spans="1:9" x14ac:dyDescent="0.25">
      <c r="A6216" t="str">
        <f t="shared" si="149"/>
        <v>89301000</v>
      </c>
      <c r="B6216" t="str">
        <f>"516125200"</f>
        <v>516125200</v>
      </c>
      <c r="C6216" s="1">
        <v>44995</v>
      </c>
      <c r="D6216" s="1">
        <v>45001</v>
      </c>
      <c r="E6216">
        <v>1</v>
      </c>
      <c r="F6216" t="str">
        <f>"01-K08-02"</f>
        <v>01-K08-02</v>
      </c>
      <c r="G6216">
        <v>0.60619999999999996</v>
      </c>
      <c r="H6216" t="s">
        <v>11</v>
      </c>
      <c r="I6216" t="s">
        <v>10</v>
      </c>
    </row>
    <row r="6217" spans="1:9" x14ac:dyDescent="0.25">
      <c r="A6217" t="str">
        <f t="shared" si="149"/>
        <v>89301000</v>
      </c>
      <c r="B6217" t="str">
        <f>"516125307"</f>
        <v>516125307</v>
      </c>
      <c r="C6217" s="1">
        <v>45082</v>
      </c>
      <c r="D6217" s="1">
        <v>45091</v>
      </c>
      <c r="E6217">
        <v>1</v>
      </c>
      <c r="F6217" t="str">
        <f>"11-I07-01"</f>
        <v>11-I07-01</v>
      </c>
      <c r="G6217">
        <v>2.9701</v>
      </c>
      <c r="H6217" t="s">
        <v>9</v>
      </c>
      <c r="I6217" t="s">
        <v>10</v>
      </c>
    </row>
    <row r="6218" spans="1:9" x14ac:dyDescent="0.25">
      <c r="A6218" t="str">
        <f t="shared" ref="A6218:A6281" si="150">"89301000"</f>
        <v>89301000</v>
      </c>
      <c r="B6218" t="str">
        <f>"516129184"</f>
        <v>516129184</v>
      </c>
      <c r="C6218" s="1">
        <v>44974</v>
      </c>
      <c r="D6218" s="1">
        <v>44975</v>
      </c>
      <c r="E6218">
        <v>1</v>
      </c>
      <c r="F6218" t="str">
        <f>"05-K07-04"</f>
        <v>05-K07-04</v>
      </c>
      <c r="G6218">
        <v>0.70650000000000002</v>
      </c>
      <c r="H6218" t="s">
        <v>11</v>
      </c>
      <c r="I6218" t="s">
        <v>10</v>
      </c>
    </row>
    <row r="6219" spans="1:9" x14ac:dyDescent="0.25">
      <c r="A6219" t="str">
        <f t="shared" si="150"/>
        <v>89301000</v>
      </c>
      <c r="B6219" t="str">
        <f>"516129184"</f>
        <v>516129184</v>
      </c>
      <c r="C6219" s="1">
        <v>44932</v>
      </c>
      <c r="D6219" s="1">
        <v>44936</v>
      </c>
      <c r="E6219">
        <v>1</v>
      </c>
      <c r="F6219" t="str">
        <f>"16-K02-02"</f>
        <v>16-K02-02</v>
      </c>
      <c r="G6219">
        <v>0.76349999999999996</v>
      </c>
      <c r="H6219" t="s">
        <v>11</v>
      </c>
      <c r="I6219" t="s">
        <v>10</v>
      </c>
    </row>
    <row r="6220" spans="1:9" x14ac:dyDescent="0.25">
      <c r="A6220" t="str">
        <f t="shared" si="150"/>
        <v>89301000</v>
      </c>
      <c r="B6220" t="str">
        <f>"516129184"</f>
        <v>516129184</v>
      </c>
      <c r="C6220" s="1">
        <v>45082</v>
      </c>
      <c r="D6220" s="1">
        <v>45089</v>
      </c>
      <c r="E6220">
        <v>1</v>
      </c>
      <c r="F6220" t="str">
        <f>"06-K11-00"</f>
        <v>06-K11-00</v>
      </c>
      <c r="G6220">
        <v>0.46589999999999998</v>
      </c>
      <c r="H6220" t="s">
        <v>11</v>
      </c>
      <c r="I6220" t="s">
        <v>10</v>
      </c>
    </row>
    <row r="6221" spans="1:9" x14ac:dyDescent="0.25">
      <c r="A6221" t="str">
        <f t="shared" si="150"/>
        <v>89301000</v>
      </c>
      <c r="B6221" t="str">
        <f>"516129184"</f>
        <v>516129184</v>
      </c>
      <c r="C6221" s="1">
        <v>45160</v>
      </c>
      <c r="D6221" s="1">
        <v>45164</v>
      </c>
      <c r="E6221">
        <v>1</v>
      </c>
      <c r="F6221" t="str">
        <f>"06-I22-02"</f>
        <v>06-I22-02</v>
      </c>
      <c r="G6221">
        <v>0.41810000000000003</v>
      </c>
      <c r="H6221" t="s">
        <v>12</v>
      </c>
      <c r="I6221" t="s">
        <v>10</v>
      </c>
    </row>
    <row r="6222" spans="1:9" x14ac:dyDescent="0.25">
      <c r="A6222" t="str">
        <f t="shared" si="150"/>
        <v>89301000</v>
      </c>
      <c r="B6222" t="str">
        <f>"516129220"</f>
        <v>516129220</v>
      </c>
      <c r="C6222" s="1">
        <v>45135</v>
      </c>
      <c r="D6222" s="1">
        <v>45137</v>
      </c>
      <c r="E6222">
        <v>1</v>
      </c>
      <c r="F6222" t="str">
        <f>"06-K20-03"</f>
        <v>06-K20-03</v>
      </c>
      <c r="G6222">
        <v>0.41199999999999998</v>
      </c>
      <c r="H6222" t="s">
        <v>11</v>
      </c>
      <c r="I6222" t="s">
        <v>10</v>
      </c>
    </row>
    <row r="6223" spans="1:9" x14ac:dyDescent="0.25">
      <c r="A6223" t="str">
        <f t="shared" si="150"/>
        <v>89301000</v>
      </c>
      <c r="B6223" t="str">
        <f>"516129220"</f>
        <v>516129220</v>
      </c>
      <c r="C6223" s="1">
        <v>44923</v>
      </c>
      <c r="D6223" s="1">
        <v>44952</v>
      </c>
      <c r="E6223">
        <v>2</v>
      </c>
      <c r="F6223" t="str">
        <f>"01-K04-01"</f>
        <v>01-K04-01</v>
      </c>
      <c r="G6223">
        <v>1.5924</v>
      </c>
      <c r="H6223" t="s">
        <v>11</v>
      </c>
      <c r="I6223" t="s">
        <v>10</v>
      </c>
    </row>
    <row r="6224" spans="1:9" x14ac:dyDescent="0.25">
      <c r="A6224" t="str">
        <f t="shared" si="150"/>
        <v>89301000</v>
      </c>
      <c r="B6224" t="str">
        <f>"516217255"</f>
        <v>516217255</v>
      </c>
      <c r="C6224" s="1">
        <v>45048</v>
      </c>
      <c r="D6224" s="1">
        <v>45057</v>
      </c>
      <c r="E6224">
        <v>4</v>
      </c>
      <c r="F6224" t="str">
        <f>"05-I11-04"</f>
        <v>05-I11-04</v>
      </c>
      <c r="G6224">
        <v>6.915</v>
      </c>
      <c r="H6224" t="s">
        <v>14</v>
      </c>
      <c r="I6224" t="s">
        <v>10</v>
      </c>
    </row>
    <row r="6225" spans="1:9" x14ac:dyDescent="0.25">
      <c r="A6225" t="str">
        <f t="shared" si="150"/>
        <v>89301000</v>
      </c>
      <c r="B6225" t="str">
        <f>"516217255"</f>
        <v>516217255</v>
      </c>
      <c r="C6225" s="1">
        <v>45014</v>
      </c>
      <c r="D6225" s="1">
        <v>45015</v>
      </c>
      <c r="E6225">
        <v>1</v>
      </c>
      <c r="F6225" t="str">
        <f>"05-D01-06"</f>
        <v>05-D01-06</v>
      </c>
      <c r="G6225">
        <v>0.7571</v>
      </c>
      <c r="H6225" t="s">
        <v>11</v>
      </c>
      <c r="I6225" t="s">
        <v>10</v>
      </c>
    </row>
    <row r="6226" spans="1:9" x14ac:dyDescent="0.25">
      <c r="A6226" t="str">
        <f t="shared" si="150"/>
        <v>89301000</v>
      </c>
      <c r="B6226" t="str">
        <f>"516218222"</f>
        <v>516218222</v>
      </c>
      <c r="C6226" s="1">
        <v>45259</v>
      </c>
      <c r="D6226" s="1">
        <v>45260</v>
      </c>
      <c r="E6226">
        <v>1</v>
      </c>
      <c r="F6226" t="str">
        <f>"06-K07-02"</f>
        <v>06-K07-02</v>
      </c>
      <c r="G6226">
        <v>0.42059999999999997</v>
      </c>
      <c r="H6226" t="s">
        <v>11</v>
      </c>
      <c r="I6226" t="s">
        <v>10</v>
      </c>
    </row>
    <row r="6227" spans="1:9" x14ac:dyDescent="0.25">
      <c r="A6227" t="str">
        <f t="shared" si="150"/>
        <v>89301000</v>
      </c>
      <c r="B6227" t="str">
        <f>"516227196"</f>
        <v>516227196</v>
      </c>
      <c r="C6227" s="1">
        <v>45051</v>
      </c>
      <c r="D6227" s="1">
        <v>45057</v>
      </c>
      <c r="E6227">
        <v>1</v>
      </c>
      <c r="F6227" t="str">
        <f>"05-K12-02"</f>
        <v>05-K12-02</v>
      </c>
      <c r="G6227">
        <v>0.50290000000000001</v>
      </c>
      <c r="H6227" t="s">
        <v>11</v>
      </c>
      <c r="I6227" t="s">
        <v>10</v>
      </c>
    </row>
    <row r="6228" spans="1:9" x14ac:dyDescent="0.25">
      <c r="A6228" t="str">
        <f t="shared" si="150"/>
        <v>89301000</v>
      </c>
      <c r="B6228" t="str">
        <f>"520108208"</f>
        <v>520108208</v>
      </c>
      <c r="C6228" s="1">
        <v>44942</v>
      </c>
      <c r="D6228" s="1">
        <v>44949</v>
      </c>
      <c r="E6228">
        <v>1</v>
      </c>
      <c r="F6228" t="str">
        <f>"01-I09-02"</f>
        <v>01-I09-02</v>
      </c>
      <c r="G6228">
        <v>1.5277000000000001</v>
      </c>
      <c r="H6228" t="s">
        <v>12</v>
      </c>
      <c r="I6228" t="s">
        <v>10</v>
      </c>
    </row>
    <row r="6229" spans="1:9" x14ac:dyDescent="0.25">
      <c r="A6229" t="str">
        <f t="shared" si="150"/>
        <v>89301000</v>
      </c>
      <c r="B6229" t="str">
        <f>"520111114"</f>
        <v>520111114</v>
      </c>
      <c r="C6229" s="1">
        <v>45036</v>
      </c>
      <c r="D6229" s="1">
        <v>45037</v>
      </c>
      <c r="E6229">
        <v>1</v>
      </c>
      <c r="F6229" t="str">
        <f>"02-I13-02"</f>
        <v>02-I13-02</v>
      </c>
      <c r="G6229">
        <v>0.4259</v>
      </c>
      <c r="H6229" t="s">
        <v>11</v>
      </c>
      <c r="I6229" t="s">
        <v>10</v>
      </c>
    </row>
    <row r="6230" spans="1:9" x14ac:dyDescent="0.25">
      <c r="A6230" t="str">
        <f t="shared" si="150"/>
        <v>89301000</v>
      </c>
      <c r="B6230" t="str">
        <f>"520114123"</f>
        <v>520114123</v>
      </c>
      <c r="C6230" s="1">
        <v>45049</v>
      </c>
      <c r="D6230" s="1">
        <v>45051</v>
      </c>
      <c r="E6230">
        <v>1</v>
      </c>
      <c r="F6230" t="str">
        <f>"07-M02-04"</f>
        <v>07-M02-04</v>
      </c>
      <c r="G6230">
        <v>0.77339999999999998</v>
      </c>
      <c r="H6230" t="s">
        <v>12</v>
      </c>
      <c r="I6230" t="s">
        <v>10</v>
      </c>
    </row>
    <row r="6231" spans="1:9" x14ac:dyDescent="0.25">
      <c r="A6231" t="str">
        <f t="shared" si="150"/>
        <v>89301000</v>
      </c>
      <c r="B6231" t="str">
        <f>"520114123"</f>
        <v>520114123</v>
      </c>
      <c r="C6231" s="1">
        <v>45000</v>
      </c>
      <c r="D6231" s="1">
        <v>45013</v>
      </c>
      <c r="E6231">
        <v>1</v>
      </c>
      <c r="F6231" t="str">
        <f>"07-I10-03"</f>
        <v>07-I10-03</v>
      </c>
      <c r="G6231">
        <v>2.3422999999999998</v>
      </c>
      <c r="H6231" t="s">
        <v>12</v>
      </c>
      <c r="I6231" t="s">
        <v>10</v>
      </c>
    </row>
    <row r="6232" spans="1:9" x14ac:dyDescent="0.25">
      <c r="A6232" t="str">
        <f t="shared" si="150"/>
        <v>89301000</v>
      </c>
      <c r="B6232" t="str">
        <f>"520120279"</f>
        <v>520120279</v>
      </c>
      <c r="C6232" s="1">
        <v>45217</v>
      </c>
      <c r="D6232" s="1">
        <v>45220</v>
      </c>
      <c r="E6232">
        <v>1</v>
      </c>
      <c r="F6232" t="str">
        <f>"05-M07-06"</f>
        <v>05-M07-06</v>
      </c>
      <c r="G6232">
        <v>1.2445999999999999</v>
      </c>
      <c r="H6232" t="s">
        <v>12</v>
      </c>
      <c r="I6232" t="s">
        <v>10</v>
      </c>
    </row>
    <row r="6233" spans="1:9" x14ac:dyDescent="0.25">
      <c r="A6233" t="str">
        <f t="shared" si="150"/>
        <v>89301000</v>
      </c>
      <c r="B6233" t="str">
        <f>"520126333"</f>
        <v>520126333</v>
      </c>
      <c r="C6233" s="1">
        <v>45279</v>
      </c>
      <c r="D6233" s="1">
        <v>45280</v>
      </c>
      <c r="E6233">
        <v>1</v>
      </c>
      <c r="F6233" t="str">
        <f>"01-D01-03"</f>
        <v>01-D01-03</v>
      </c>
      <c r="G6233">
        <v>0.16200000000000001</v>
      </c>
      <c r="H6233" t="s">
        <v>11</v>
      </c>
      <c r="I6233" t="s">
        <v>10</v>
      </c>
    </row>
    <row r="6234" spans="1:9" x14ac:dyDescent="0.25">
      <c r="A6234" t="str">
        <f t="shared" si="150"/>
        <v>89301000</v>
      </c>
      <c r="B6234" t="str">
        <f>"520127163"</f>
        <v>520127163</v>
      </c>
      <c r="C6234" s="1">
        <v>45219</v>
      </c>
      <c r="D6234" s="1">
        <v>45220</v>
      </c>
      <c r="E6234">
        <v>1</v>
      </c>
      <c r="F6234" t="str">
        <f>"05-D01-06"</f>
        <v>05-D01-06</v>
      </c>
      <c r="G6234">
        <v>0.7571</v>
      </c>
      <c r="H6234" t="s">
        <v>11</v>
      </c>
      <c r="I6234" t="s">
        <v>10</v>
      </c>
    </row>
    <row r="6235" spans="1:9" x14ac:dyDescent="0.25">
      <c r="A6235" t="str">
        <f t="shared" si="150"/>
        <v>89301000</v>
      </c>
      <c r="B6235" t="str">
        <f>"520127163"</f>
        <v>520127163</v>
      </c>
      <c r="C6235" s="1">
        <v>45188</v>
      </c>
      <c r="D6235" s="1">
        <v>45190</v>
      </c>
      <c r="E6235">
        <v>1</v>
      </c>
      <c r="F6235" t="str">
        <f>"05-I14-04"</f>
        <v>05-I14-04</v>
      </c>
      <c r="G6235">
        <v>5.2220000000000004</v>
      </c>
      <c r="H6235" t="s">
        <v>12</v>
      </c>
      <c r="I6235" t="s">
        <v>10</v>
      </c>
    </row>
    <row r="6236" spans="1:9" x14ac:dyDescent="0.25">
      <c r="A6236" t="str">
        <f t="shared" si="150"/>
        <v>89301000</v>
      </c>
      <c r="B6236" t="str">
        <f>"520131350"</f>
        <v>520131350</v>
      </c>
      <c r="C6236" s="1">
        <v>44975</v>
      </c>
      <c r="D6236" s="1">
        <v>44981</v>
      </c>
      <c r="E6236">
        <v>1</v>
      </c>
      <c r="F6236" t="str">
        <f>"06-K13-02"</f>
        <v>06-K13-02</v>
      </c>
      <c r="G6236">
        <v>0.66739999999999999</v>
      </c>
      <c r="H6236" t="s">
        <v>11</v>
      </c>
      <c r="I6236" t="s">
        <v>10</v>
      </c>
    </row>
    <row r="6237" spans="1:9" x14ac:dyDescent="0.25">
      <c r="A6237" t="str">
        <f t="shared" si="150"/>
        <v>89301000</v>
      </c>
      <c r="B6237" t="str">
        <f>"520131350"</f>
        <v>520131350</v>
      </c>
      <c r="C6237" s="1">
        <v>44984</v>
      </c>
      <c r="D6237" s="1">
        <v>44991</v>
      </c>
      <c r="E6237">
        <v>1</v>
      </c>
      <c r="F6237" t="str">
        <f>"06-K13-02"</f>
        <v>06-K13-02</v>
      </c>
      <c r="G6237">
        <v>0.62629999999999997</v>
      </c>
      <c r="H6237" t="s">
        <v>11</v>
      </c>
      <c r="I6237" t="s">
        <v>10</v>
      </c>
    </row>
    <row r="6238" spans="1:9" x14ac:dyDescent="0.25">
      <c r="A6238" t="str">
        <f t="shared" si="150"/>
        <v>89301000</v>
      </c>
      <c r="B6238" t="str">
        <f>"520204225"</f>
        <v>520204225</v>
      </c>
      <c r="C6238" s="1">
        <v>45210</v>
      </c>
      <c r="D6238" s="1">
        <v>45213</v>
      </c>
      <c r="E6238">
        <v>1</v>
      </c>
      <c r="F6238" t="str">
        <f>"05-M06-06"</f>
        <v>05-M06-06</v>
      </c>
      <c r="G6238">
        <v>1.8264</v>
      </c>
      <c r="H6238" t="s">
        <v>12</v>
      </c>
      <c r="I6238" t="s">
        <v>10</v>
      </c>
    </row>
    <row r="6239" spans="1:9" x14ac:dyDescent="0.25">
      <c r="A6239" t="str">
        <f t="shared" si="150"/>
        <v>89301000</v>
      </c>
      <c r="B6239" t="str">
        <f>"520207017"</f>
        <v>520207017</v>
      </c>
      <c r="C6239" s="1">
        <v>45232</v>
      </c>
      <c r="D6239" s="1">
        <v>45237</v>
      </c>
      <c r="E6239">
        <v>1</v>
      </c>
      <c r="F6239" t="str">
        <f>"01-K10-03"</f>
        <v>01-K10-03</v>
      </c>
      <c r="G6239">
        <v>1.0348999999999999</v>
      </c>
      <c r="H6239" t="s">
        <v>11</v>
      </c>
      <c r="I6239" t="s">
        <v>10</v>
      </c>
    </row>
    <row r="6240" spans="1:9" x14ac:dyDescent="0.25">
      <c r="A6240" t="str">
        <f t="shared" si="150"/>
        <v>89301000</v>
      </c>
      <c r="B6240" t="str">
        <f>"520207017"</f>
        <v>520207017</v>
      </c>
      <c r="C6240" s="1">
        <v>45247</v>
      </c>
      <c r="D6240" s="1">
        <v>45257</v>
      </c>
      <c r="E6240">
        <v>3</v>
      </c>
      <c r="F6240" t="str">
        <f>"01-M02-00"</f>
        <v>01-M02-00</v>
      </c>
      <c r="G6240">
        <v>5.3973000000000004</v>
      </c>
      <c r="H6240" t="s">
        <v>12</v>
      </c>
      <c r="I6240" t="s">
        <v>10</v>
      </c>
    </row>
    <row r="6241" spans="1:9" x14ac:dyDescent="0.25">
      <c r="A6241" t="str">
        <f t="shared" si="150"/>
        <v>89301000</v>
      </c>
      <c r="B6241" t="str">
        <f>"520207017"</f>
        <v>520207017</v>
      </c>
      <c r="C6241" s="1">
        <v>45257</v>
      </c>
      <c r="D6241" s="1">
        <v>45268</v>
      </c>
      <c r="E6241">
        <v>1</v>
      </c>
      <c r="F6241" t="str">
        <f>"24-M06-01"</f>
        <v>24-M06-01</v>
      </c>
      <c r="G6241">
        <v>1.1990000000000001</v>
      </c>
      <c r="H6241" t="s">
        <v>11</v>
      </c>
      <c r="I6241" t="s">
        <v>10</v>
      </c>
    </row>
    <row r="6242" spans="1:9" x14ac:dyDescent="0.25">
      <c r="A6242" t="str">
        <f t="shared" si="150"/>
        <v>89301000</v>
      </c>
      <c r="B6242" t="str">
        <f>"520212294"</f>
        <v>520212294</v>
      </c>
      <c r="C6242" s="1">
        <v>45187</v>
      </c>
      <c r="D6242" s="1">
        <v>45195</v>
      </c>
      <c r="E6242">
        <v>4</v>
      </c>
      <c r="F6242" t="str">
        <f>"08-I06-04"</f>
        <v>08-I06-04</v>
      </c>
      <c r="G6242">
        <v>2.4180000000000001</v>
      </c>
      <c r="H6242" t="s">
        <v>9</v>
      </c>
      <c r="I6242" t="s">
        <v>10</v>
      </c>
    </row>
    <row r="6243" spans="1:9" x14ac:dyDescent="0.25">
      <c r="A6243" t="str">
        <f t="shared" si="150"/>
        <v>89301000</v>
      </c>
      <c r="B6243" t="str">
        <f>"520226115"</f>
        <v>520226115</v>
      </c>
      <c r="C6243" s="1">
        <v>45202</v>
      </c>
      <c r="D6243" s="1">
        <v>45215</v>
      </c>
      <c r="E6243">
        <v>1</v>
      </c>
      <c r="F6243" t="str">
        <f>"05-I16-04"</f>
        <v>05-I16-04</v>
      </c>
      <c r="G6243">
        <v>6.2375999999999996</v>
      </c>
      <c r="H6243" t="s">
        <v>14</v>
      </c>
      <c r="I6243" t="s">
        <v>10</v>
      </c>
    </row>
    <row r="6244" spans="1:9" x14ac:dyDescent="0.25">
      <c r="A6244" t="str">
        <f t="shared" si="150"/>
        <v>89301000</v>
      </c>
      <c r="B6244" t="str">
        <f>"520226115"</f>
        <v>520226115</v>
      </c>
      <c r="C6244" s="1">
        <v>45227</v>
      </c>
      <c r="D6244" s="1">
        <v>45231</v>
      </c>
      <c r="E6244">
        <v>1</v>
      </c>
      <c r="F6244" t="str">
        <f>"05-K15-02"</f>
        <v>05-K15-02</v>
      </c>
      <c r="G6244">
        <v>0.45569999999999999</v>
      </c>
      <c r="H6244" t="s">
        <v>11</v>
      </c>
      <c r="I6244" t="s">
        <v>10</v>
      </c>
    </row>
    <row r="6245" spans="1:9" x14ac:dyDescent="0.25">
      <c r="A6245" t="str">
        <f t="shared" si="150"/>
        <v>89301000</v>
      </c>
      <c r="B6245" t="str">
        <f>"520226190"</f>
        <v>520226190</v>
      </c>
      <c r="C6245" s="1">
        <v>45011</v>
      </c>
      <c r="D6245" s="1">
        <v>45012</v>
      </c>
      <c r="E6245">
        <v>1</v>
      </c>
      <c r="F6245" t="str">
        <f>"05-I14-04"</f>
        <v>05-I14-04</v>
      </c>
      <c r="G6245">
        <v>5.2220000000000004</v>
      </c>
      <c r="H6245" t="s">
        <v>12</v>
      </c>
      <c r="I6245" t="s">
        <v>10</v>
      </c>
    </row>
    <row r="6246" spans="1:9" x14ac:dyDescent="0.25">
      <c r="A6246" t="str">
        <f t="shared" si="150"/>
        <v>89301000</v>
      </c>
      <c r="B6246" t="str">
        <f>"520227073"</f>
        <v>520227073</v>
      </c>
      <c r="C6246" s="1">
        <v>45216</v>
      </c>
      <c r="D6246" s="1">
        <v>45217</v>
      </c>
      <c r="E6246">
        <v>1</v>
      </c>
      <c r="F6246" t="str">
        <f>"05-D01-06"</f>
        <v>05-D01-06</v>
      </c>
      <c r="G6246">
        <v>0.7571</v>
      </c>
      <c r="H6246" t="s">
        <v>11</v>
      </c>
      <c r="I6246" t="s">
        <v>10</v>
      </c>
    </row>
    <row r="6247" spans="1:9" x14ac:dyDescent="0.25">
      <c r="A6247" t="str">
        <f t="shared" si="150"/>
        <v>89301000</v>
      </c>
      <c r="B6247" t="str">
        <f>"520303336"</f>
        <v>520303336</v>
      </c>
      <c r="C6247" s="1">
        <v>45210</v>
      </c>
      <c r="D6247" s="1">
        <v>45215</v>
      </c>
      <c r="E6247">
        <v>1</v>
      </c>
      <c r="F6247" t="str">
        <f>"01-K08-02"</f>
        <v>01-K08-02</v>
      </c>
      <c r="G6247">
        <v>0.60619999999999996</v>
      </c>
      <c r="H6247" t="s">
        <v>11</v>
      </c>
      <c r="I6247" t="s">
        <v>10</v>
      </c>
    </row>
    <row r="6248" spans="1:9" x14ac:dyDescent="0.25">
      <c r="A6248" t="str">
        <f t="shared" si="150"/>
        <v>89301000</v>
      </c>
      <c r="B6248" t="str">
        <f>"520306034"</f>
        <v>520306034</v>
      </c>
      <c r="C6248" s="1">
        <v>45094</v>
      </c>
      <c r="D6248" s="1">
        <v>45097</v>
      </c>
      <c r="E6248">
        <v>4</v>
      </c>
      <c r="F6248" t="str">
        <f>"01-K16-02"</f>
        <v>01-K16-02</v>
      </c>
      <c r="G6248">
        <v>1.0049999999999999</v>
      </c>
      <c r="H6248" t="s">
        <v>11</v>
      </c>
      <c r="I6248" t="s">
        <v>10</v>
      </c>
    </row>
    <row r="6249" spans="1:9" x14ac:dyDescent="0.25">
      <c r="A6249" t="str">
        <f t="shared" si="150"/>
        <v>89301000</v>
      </c>
      <c r="B6249" t="str">
        <f>"520310106"</f>
        <v>520310106</v>
      </c>
      <c r="C6249" s="1">
        <v>45118</v>
      </c>
      <c r="D6249" s="1">
        <v>45118</v>
      </c>
      <c r="E6249">
        <v>1</v>
      </c>
      <c r="F6249" t="str">
        <f>"05-D01-08"</f>
        <v>05-D01-08</v>
      </c>
      <c r="G6249">
        <v>0.2303</v>
      </c>
      <c r="H6249" t="s">
        <v>11</v>
      </c>
      <c r="I6249" t="s">
        <v>10</v>
      </c>
    </row>
    <row r="6250" spans="1:9" x14ac:dyDescent="0.25">
      <c r="A6250" t="str">
        <f t="shared" si="150"/>
        <v>89301000</v>
      </c>
      <c r="B6250" t="str">
        <f>"520310106"</f>
        <v>520310106</v>
      </c>
      <c r="C6250" s="1">
        <v>45181</v>
      </c>
      <c r="D6250" s="1">
        <v>45191</v>
      </c>
      <c r="E6250">
        <v>1</v>
      </c>
      <c r="F6250" t="str">
        <f>"18-K02-03"</f>
        <v>18-K02-03</v>
      </c>
      <c r="G6250">
        <v>0.9234</v>
      </c>
      <c r="H6250" t="s">
        <v>11</v>
      </c>
      <c r="I6250" t="s">
        <v>10</v>
      </c>
    </row>
    <row r="6251" spans="1:9" x14ac:dyDescent="0.25">
      <c r="A6251" t="str">
        <f t="shared" si="150"/>
        <v>89301000</v>
      </c>
      <c r="B6251" t="str">
        <f>"520310106"</f>
        <v>520310106</v>
      </c>
      <c r="C6251" s="1">
        <v>45160</v>
      </c>
      <c r="D6251" s="1">
        <v>45175</v>
      </c>
      <c r="E6251">
        <v>1</v>
      </c>
      <c r="F6251" t="str">
        <f>"05-I13-04"</f>
        <v>05-I13-04</v>
      </c>
      <c r="G6251">
        <v>6.5597000000000003</v>
      </c>
      <c r="H6251" t="s">
        <v>14</v>
      </c>
      <c r="I6251" t="s">
        <v>10</v>
      </c>
    </row>
    <row r="6252" spans="1:9" x14ac:dyDescent="0.25">
      <c r="A6252" t="str">
        <f t="shared" si="150"/>
        <v>89301000</v>
      </c>
      <c r="B6252" t="str">
        <f>"520310106"</f>
        <v>520310106</v>
      </c>
      <c r="C6252" s="1">
        <v>45201</v>
      </c>
      <c r="D6252" s="1">
        <v>45210</v>
      </c>
      <c r="E6252">
        <v>1</v>
      </c>
      <c r="F6252" t="str">
        <f>"18-K02-03"</f>
        <v>18-K02-03</v>
      </c>
      <c r="G6252">
        <v>0.9234</v>
      </c>
      <c r="H6252" t="s">
        <v>11</v>
      </c>
      <c r="I6252" t="s">
        <v>10</v>
      </c>
    </row>
    <row r="6253" spans="1:9" x14ac:dyDescent="0.25">
      <c r="A6253" t="str">
        <f t="shared" si="150"/>
        <v>89301000</v>
      </c>
      <c r="B6253" t="str">
        <f>"520311021"</f>
        <v>520311021</v>
      </c>
      <c r="C6253" s="1">
        <v>45102</v>
      </c>
      <c r="D6253" s="1">
        <v>45120</v>
      </c>
      <c r="E6253">
        <v>4</v>
      </c>
      <c r="F6253" t="str">
        <f>"00-M02-04"</f>
        <v>00-M02-04</v>
      </c>
      <c r="G6253">
        <v>12.3385</v>
      </c>
      <c r="H6253" t="s">
        <v>11</v>
      </c>
      <c r="I6253" t="s">
        <v>10</v>
      </c>
    </row>
    <row r="6254" spans="1:9" x14ac:dyDescent="0.25">
      <c r="A6254" t="str">
        <f t="shared" si="150"/>
        <v>89301000</v>
      </c>
      <c r="B6254" t="str">
        <f>"520311021"</f>
        <v>520311021</v>
      </c>
      <c r="C6254" s="1">
        <v>45127</v>
      </c>
      <c r="D6254" s="1">
        <v>45148</v>
      </c>
      <c r="E6254">
        <v>4</v>
      </c>
      <c r="F6254" t="str">
        <f>"00-M02-03"</f>
        <v>00-M02-03</v>
      </c>
      <c r="G6254">
        <v>16.0107</v>
      </c>
      <c r="H6254" t="s">
        <v>11</v>
      </c>
      <c r="I6254" t="s">
        <v>10</v>
      </c>
    </row>
    <row r="6255" spans="1:9" x14ac:dyDescent="0.25">
      <c r="A6255" t="str">
        <f t="shared" si="150"/>
        <v>89301000</v>
      </c>
      <c r="B6255" t="str">
        <f>"520313083"</f>
        <v>520313083</v>
      </c>
      <c r="C6255" s="1">
        <v>45160</v>
      </c>
      <c r="D6255" s="1">
        <v>45162</v>
      </c>
      <c r="E6255">
        <v>1</v>
      </c>
      <c r="F6255" t="str">
        <f>"05-I25-02"</f>
        <v>05-I25-02</v>
      </c>
      <c r="G6255">
        <v>2.9415</v>
      </c>
      <c r="H6255" t="s">
        <v>12</v>
      </c>
      <c r="I6255" t="s">
        <v>10</v>
      </c>
    </row>
    <row r="6256" spans="1:9" x14ac:dyDescent="0.25">
      <c r="A6256" t="str">
        <f t="shared" si="150"/>
        <v>89301000</v>
      </c>
      <c r="B6256" t="str">
        <f>"520314013"</f>
        <v>520314013</v>
      </c>
      <c r="C6256" s="1">
        <v>45250</v>
      </c>
      <c r="D6256" s="1">
        <v>45251</v>
      </c>
      <c r="E6256">
        <v>1</v>
      </c>
      <c r="F6256" t="str">
        <f>"05-K12-02"</f>
        <v>05-K12-02</v>
      </c>
      <c r="G6256">
        <v>0.50290000000000001</v>
      </c>
      <c r="H6256" t="s">
        <v>11</v>
      </c>
      <c r="I6256" t="s">
        <v>10</v>
      </c>
    </row>
    <row r="6257" spans="1:9" x14ac:dyDescent="0.25">
      <c r="A6257" t="str">
        <f t="shared" si="150"/>
        <v>89301000</v>
      </c>
      <c r="B6257" t="str">
        <f>"520314031"</f>
        <v>520314031</v>
      </c>
      <c r="C6257" s="1">
        <v>45201</v>
      </c>
      <c r="D6257" s="1">
        <v>45205</v>
      </c>
      <c r="E6257">
        <v>1</v>
      </c>
      <c r="F6257" t="str">
        <f>"01-K03-06"</f>
        <v>01-K03-06</v>
      </c>
      <c r="G6257">
        <v>0.85660000000000003</v>
      </c>
      <c r="H6257" t="s">
        <v>11</v>
      </c>
      <c r="I6257" t="s">
        <v>10</v>
      </c>
    </row>
    <row r="6258" spans="1:9" x14ac:dyDescent="0.25">
      <c r="A6258" t="str">
        <f t="shared" si="150"/>
        <v>89301000</v>
      </c>
      <c r="B6258" t="str">
        <f>"520315018"</f>
        <v>520315018</v>
      </c>
      <c r="C6258" s="1">
        <v>45040</v>
      </c>
      <c r="D6258" s="1">
        <v>45044</v>
      </c>
      <c r="E6258">
        <v>1</v>
      </c>
      <c r="F6258" t="str">
        <f>"05-M05-02"</f>
        <v>05-M05-02</v>
      </c>
      <c r="G6258">
        <v>3.4817999999999998</v>
      </c>
      <c r="H6258" t="s">
        <v>14</v>
      </c>
      <c r="I6258" t="s">
        <v>10</v>
      </c>
    </row>
    <row r="6259" spans="1:9" x14ac:dyDescent="0.25">
      <c r="A6259" t="str">
        <f t="shared" si="150"/>
        <v>89301000</v>
      </c>
      <c r="B6259" t="str">
        <f>"520315018"</f>
        <v>520315018</v>
      </c>
      <c r="C6259" s="1">
        <v>45224</v>
      </c>
      <c r="D6259" s="1">
        <v>45230</v>
      </c>
      <c r="E6259">
        <v>1</v>
      </c>
      <c r="F6259" t="str">
        <f>"08-K04-03"</f>
        <v>08-K04-03</v>
      </c>
      <c r="G6259">
        <v>0.42399999999999999</v>
      </c>
      <c r="H6259" t="s">
        <v>11</v>
      </c>
      <c r="I6259" t="s">
        <v>10</v>
      </c>
    </row>
    <row r="6260" spans="1:9" x14ac:dyDescent="0.25">
      <c r="A6260" t="str">
        <f t="shared" si="150"/>
        <v>89301000</v>
      </c>
      <c r="B6260" t="str">
        <f>"520315018"</f>
        <v>520315018</v>
      </c>
      <c r="C6260" s="1">
        <v>44961</v>
      </c>
      <c r="D6260" s="1">
        <v>44965</v>
      </c>
      <c r="E6260">
        <v>1</v>
      </c>
      <c r="F6260" t="str">
        <f>"05-M10-00"</f>
        <v>05-M10-00</v>
      </c>
      <c r="G6260">
        <v>0.2036</v>
      </c>
      <c r="H6260" t="s">
        <v>11</v>
      </c>
      <c r="I6260" t="s">
        <v>10</v>
      </c>
    </row>
    <row r="6261" spans="1:9" x14ac:dyDescent="0.25">
      <c r="A6261" t="str">
        <f t="shared" si="150"/>
        <v>89301000</v>
      </c>
      <c r="B6261" t="str">
        <f>"520316156"</f>
        <v>520316156</v>
      </c>
      <c r="C6261" s="1">
        <v>45244</v>
      </c>
      <c r="D6261" s="1">
        <v>45247</v>
      </c>
      <c r="E6261">
        <v>1</v>
      </c>
      <c r="F6261" t="str">
        <f>"05-M06-06"</f>
        <v>05-M06-06</v>
      </c>
      <c r="G6261">
        <v>1.8264</v>
      </c>
      <c r="H6261" t="s">
        <v>12</v>
      </c>
      <c r="I6261" t="s">
        <v>10</v>
      </c>
    </row>
    <row r="6262" spans="1:9" x14ac:dyDescent="0.25">
      <c r="A6262" t="str">
        <f t="shared" si="150"/>
        <v>89301000</v>
      </c>
      <c r="B6262" t="str">
        <f>"520317050"</f>
        <v>520317050</v>
      </c>
      <c r="C6262" s="1">
        <v>45209</v>
      </c>
      <c r="D6262" s="1">
        <v>45216</v>
      </c>
      <c r="E6262">
        <v>1</v>
      </c>
      <c r="F6262" t="str">
        <f>"16-K02-02"</f>
        <v>16-K02-02</v>
      </c>
      <c r="G6262">
        <v>0.76349999999999996</v>
      </c>
      <c r="H6262" t="s">
        <v>11</v>
      </c>
      <c r="I6262" t="s">
        <v>10</v>
      </c>
    </row>
    <row r="6263" spans="1:9" x14ac:dyDescent="0.25">
      <c r="A6263" t="str">
        <f t="shared" si="150"/>
        <v>89301000</v>
      </c>
      <c r="B6263" t="str">
        <f>"520317102"</f>
        <v>520317102</v>
      </c>
      <c r="C6263" s="1">
        <v>45252</v>
      </c>
      <c r="D6263" s="1">
        <v>45257</v>
      </c>
      <c r="E6263">
        <v>1</v>
      </c>
      <c r="F6263" t="str">
        <f>"12-M02-02"</f>
        <v>12-M02-02</v>
      </c>
      <c r="G6263">
        <v>0.94030000000000002</v>
      </c>
      <c r="H6263" t="s">
        <v>9</v>
      </c>
      <c r="I6263" t="s">
        <v>10</v>
      </c>
    </row>
    <row r="6264" spans="1:9" x14ac:dyDescent="0.25">
      <c r="A6264" t="str">
        <f t="shared" si="150"/>
        <v>89301000</v>
      </c>
      <c r="B6264" t="str">
        <f>"520325061"</f>
        <v>520325061</v>
      </c>
      <c r="C6264" s="1">
        <v>45212</v>
      </c>
      <c r="D6264" s="1">
        <v>45212</v>
      </c>
      <c r="E6264">
        <v>1</v>
      </c>
      <c r="F6264" t="str">
        <f>"05-I25-02"</f>
        <v>05-I25-02</v>
      </c>
      <c r="G6264">
        <v>2.5337999999999998</v>
      </c>
      <c r="H6264" t="s">
        <v>12</v>
      </c>
      <c r="I6264" t="s">
        <v>10</v>
      </c>
    </row>
    <row r="6265" spans="1:9" x14ac:dyDescent="0.25">
      <c r="A6265" t="str">
        <f t="shared" si="150"/>
        <v>89301000</v>
      </c>
      <c r="B6265" t="str">
        <f>"520406054"</f>
        <v>520406054</v>
      </c>
      <c r="C6265" s="1">
        <v>45194</v>
      </c>
      <c r="D6265" s="1">
        <v>45222</v>
      </c>
      <c r="E6265">
        <v>4</v>
      </c>
      <c r="F6265" t="str">
        <f>"06-K01-02"</f>
        <v>06-K01-02</v>
      </c>
      <c r="G6265">
        <v>1.6684000000000001</v>
      </c>
      <c r="H6265" t="s">
        <v>11</v>
      </c>
      <c r="I6265" t="s">
        <v>10</v>
      </c>
    </row>
    <row r="6266" spans="1:9" x14ac:dyDescent="0.25">
      <c r="A6266" t="str">
        <f t="shared" si="150"/>
        <v>89301000</v>
      </c>
      <c r="B6266" t="str">
        <f>"520406260"</f>
        <v>520406260</v>
      </c>
      <c r="C6266" s="1">
        <v>45051</v>
      </c>
      <c r="D6266" s="1">
        <v>45053</v>
      </c>
      <c r="E6266">
        <v>1</v>
      </c>
      <c r="F6266" t="str">
        <f>"10-K12-02"</f>
        <v>10-K12-02</v>
      </c>
      <c r="G6266">
        <v>1.0586</v>
      </c>
      <c r="H6266" t="s">
        <v>11</v>
      </c>
      <c r="I6266" t="s">
        <v>10</v>
      </c>
    </row>
    <row r="6267" spans="1:9" x14ac:dyDescent="0.25">
      <c r="A6267" t="str">
        <f t="shared" si="150"/>
        <v>89301000</v>
      </c>
      <c r="B6267" t="str">
        <f>"520410027"</f>
        <v>520410027</v>
      </c>
      <c r="C6267" s="1">
        <v>45038</v>
      </c>
      <c r="D6267" s="1">
        <v>45049</v>
      </c>
      <c r="E6267">
        <v>1</v>
      </c>
      <c r="F6267" t="str">
        <f>"05-K06-04"</f>
        <v>05-K06-04</v>
      </c>
      <c r="G6267">
        <v>1.2875000000000001</v>
      </c>
      <c r="H6267" t="s">
        <v>11</v>
      </c>
      <c r="I6267" t="s">
        <v>10</v>
      </c>
    </row>
    <row r="6268" spans="1:9" x14ac:dyDescent="0.25">
      <c r="A6268" t="str">
        <f t="shared" si="150"/>
        <v>89301000</v>
      </c>
      <c r="B6268" t="str">
        <f>"520414176"</f>
        <v>520414176</v>
      </c>
      <c r="C6268" s="1">
        <v>45195</v>
      </c>
      <c r="D6268" s="1">
        <v>45198</v>
      </c>
      <c r="E6268">
        <v>1</v>
      </c>
      <c r="F6268" t="str">
        <f>"05-K13-02"</f>
        <v>05-K13-02</v>
      </c>
      <c r="G6268">
        <v>0.57220000000000004</v>
      </c>
      <c r="H6268" t="s">
        <v>11</v>
      </c>
      <c r="I6268" t="s">
        <v>10</v>
      </c>
    </row>
    <row r="6269" spans="1:9" x14ac:dyDescent="0.25">
      <c r="A6269" t="str">
        <f t="shared" si="150"/>
        <v>89301000</v>
      </c>
      <c r="B6269" t="str">
        <f>"520415203"</f>
        <v>520415203</v>
      </c>
      <c r="C6269" s="1">
        <v>45020</v>
      </c>
      <c r="D6269" s="1">
        <v>45021</v>
      </c>
      <c r="E6269">
        <v>1</v>
      </c>
      <c r="F6269" t="str">
        <f>"05-I25-02"</f>
        <v>05-I25-02</v>
      </c>
      <c r="G6269">
        <v>2.9415</v>
      </c>
      <c r="H6269" t="s">
        <v>12</v>
      </c>
      <c r="I6269" t="s">
        <v>10</v>
      </c>
    </row>
    <row r="6270" spans="1:9" x14ac:dyDescent="0.25">
      <c r="A6270" t="str">
        <f t="shared" si="150"/>
        <v>89301000</v>
      </c>
      <c r="B6270" t="str">
        <f>"520419149"</f>
        <v>520419149</v>
      </c>
      <c r="C6270" s="1">
        <v>45030</v>
      </c>
      <c r="D6270" s="1">
        <v>45033</v>
      </c>
      <c r="E6270">
        <v>1</v>
      </c>
      <c r="F6270" t="str">
        <f>"01-D01-03"</f>
        <v>01-D01-03</v>
      </c>
      <c r="G6270">
        <v>0.21060000000000001</v>
      </c>
      <c r="H6270" t="s">
        <v>11</v>
      </c>
      <c r="I6270" t="s">
        <v>10</v>
      </c>
    </row>
    <row r="6271" spans="1:9" x14ac:dyDescent="0.25">
      <c r="A6271" t="str">
        <f t="shared" si="150"/>
        <v>89301000</v>
      </c>
      <c r="B6271" t="str">
        <f>"520423113"</f>
        <v>520423113</v>
      </c>
      <c r="C6271" s="1">
        <v>45268</v>
      </c>
      <c r="D6271" s="1">
        <v>45274</v>
      </c>
      <c r="E6271">
        <v>1</v>
      </c>
      <c r="F6271" t="str">
        <f>"11-K05-00"</f>
        <v>11-K05-00</v>
      </c>
      <c r="G6271">
        <v>0.36609999999999998</v>
      </c>
      <c r="H6271" t="s">
        <v>11</v>
      </c>
      <c r="I6271" t="s">
        <v>10</v>
      </c>
    </row>
    <row r="6272" spans="1:9" x14ac:dyDescent="0.25">
      <c r="A6272" t="str">
        <f t="shared" si="150"/>
        <v>89301000</v>
      </c>
      <c r="B6272" t="str">
        <f>"520425135"</f>
        <v>520425135</v>
      </c>
      <c r="C6272" s="1">
        <v>45137</v>
      </c>
      <c r="D6272" s="1">
        <v>45145</v>
      </c>
      <c r="E6272">
        <v>1</v>
      </c>
      <c r="F6272" t="str">
        <f>"04-K06-03"</f>
        <v>04-K06-03</v>
      </c>
      <c r="G6272">
        <v>0.79569999999999996</v>
      </c>
      <c r="H6272" t="s">
        <v>11</v>
      </c>
      <c r="I6272" t="s">
        <v>10</v>
      </c>
    </row>
    <row r="6273" spans="1:9" x14ac:dyDescent="0.25">
      <c r="A6273" t="str">
        <f t="shared" si="150"/>
        <v>89301000</v>
      </c>
      <c r="B6273" t="str">
        <f>"520426030"</f>
        <v>520426030</v>
      </c>
      <c r="C6273" s="1">
        <v>45175</v>
      </c>
      <c r="D6273" s="1">
        <v>45178</v>
      </c>
      <c r="E6273">
        <v>1</v>
      </c>
      <c r="F6273" t="str">
        <f>"07-I10-06"</f>
        <v>07-I10-06</v>
      </c>
      <c r="G6273">
        <v>0.98419999999999996</v>
      </c>
      <c r="H6273" t="s">
        <v>12</v>
      </c>
      <c r="I6273" t="s">
        <v>10</v>
      </c>
    </row>
    <row r="6274" spans="1:9" x14ac:dyDescent="0.25">
      <c r="A6274" t="str">
        <f t="shared" si="150"/>
        <v>89301000</v>
      </c>
      <c r="B6274" t="str">
        <f>"520429041"</f>
        <v>520429041</v>
      </c>
      <c r="C6274" s="1">
        <v>45205</v>
      </c>
      <c r="D6274" s="1">
        <v>45206</v>
      </c>
      <c r="E6274">
        <v>1</v>
      </c>
      <c r="F6274" t="str">
        <f>"09-I13-04"</f>
        <v>09-I13-04</v>
      </c>
      <c r="G6274">
        <v>0.53610000000000002</v>
      </c>
      <c r="H6274" t="s">
        <v>11</v>
      </c>
      <c r="I6274" t="s">
        <v>10</v>
      </c>
    </row>
    <row r="6275" spans="1:9" x14ac:dyDescent="0.25">
      <c r="A6275" t="str">
        <f t="shared" si="150"/>
        <v>89301000</v>
      </c>
      <c r="B6275" t="str">
        <f>"520501238"</f>
        <v>520501238</v>
      </c>
      <c r="C6275" s="1">
        <v>45271</v>
      </c>
      <c r="D6275" s="1">
        <v>45275</v>
      </c>
      <c r="E6275">
        <v>1</v>
      </c>
      <c r="F6275" t="str">
        <f>"11-I07-01"</f>
        <v>11-I07-01</v>
      </c>
      <c r="G6275">
        <v>2.7482000000000002</v>
      </c>
      <c r="H6275" t="s">
        <v>9</v>
      </c>
      <c r="I6275" t="s">
        <v>10</v>
      </c>
    </row>
    <row r="6276" spans="1:9" x14ac:dyDescent="0.25">
      <c r="A6276" t="str">
        <f t="shared" si="150"/>
        <v>89301000</v>
      </c>
      <c r="B6276" t="str">
        <f>"520501238"</f>
        <v>520501238</v>
      </c>
      <c r="C6276" s="1">
        <v>45216</v>
      </c>
      <c r="D6276" s="1">
        <v>45218</v>
      </c>
      <c r="E6276">
        <v>1</v>
      </c>
      <c r="F6276" t="str">
        <f>"11-M06-03"</f>
        <v>11-M06-03</v>
      </c>
      <c r="G6276">
        <v>0.61150000000000004</v>
      </c>
      <c r="H6276" t="s">
        <v>12</v>
      </c>
      <c r="I6276" t="s">
        <v>10</v>
      </c>
    </row>
    <row r="6277" spans="1:9" x14ac:dyDescent="0.25">
      <c r="A6277" t="str">
        <f t="shared" si="150"/>
        <v>89301000</v>
      </c>
      <c r="B6277" t="str">
        <f>"520504015"</f>
        <v>520504015</v>
      </c>
      <c r="C6277" s="1">
        <v>44929</v>
      </c>
      <c r="D6277" s="1">
        <v>44930</v>
      </c>
      <c r="E6277">
        <v>1</v>
      </c>
      <c r="F6277" t="str">
        <f>"02-I06-04"</f>
        <v>02-I06-04</v>
      </c>
      <c r="G6277">
        <v>0.79630000000000001</v>
      </c>
      <c r="H6277" t="s">
        <v>12</v>
      </c>
      <c r="I6277" t="s">
        <v>10</v>
      </c>
    </row>
    <row r="6278" spans="1:9" x14ac:dyDescent="0.25">
      <c r="A6278" t="str">
        <f t="shared" si="150"/>
        <v>89301000</v>
      </c>
      <c r="B6278" t="str">
        <f>"520508068"</f>
        <v>520508068</v>
      </c>
      <c r="C6278" s="1">
        <v>45076</v>
      </c>
      <c r="D6278" s="1">
        <v>45091</v>
      </c>
      <c r="E6278">
        <v>1</v>
      </c>
      <c r="F6278" t="str">
        <f>"24-M07-02"</f>
        <v>24-M07-02</v>
      </c>
      <c r="G6278">
        <v>1.5729</v>
      </c>
      <c r="H6278" t="s">
        <v>11</v>
      </c>
      <c r="I6278" t="s">
        <v>10</v>
      </c>
    </row>
    <row r="6279" spans="1:9" x14ac:dyDescent="0.25">
      <c r="A6279" t="str">
        <f t="shared" si="150"/>
        <v>89301000</v>
      </c>
      <c r="B6279" t="str">
        <f>"520508068"</f>
        <v>520508068</v>
      </c>
      <c r="C6279" s="1">
        <v>44967</v>
      </c>
      <c r="D6279" s="1">
        <v>44968</v>
      </c>
      <c r="E6279">
        <v>1</v>
      </c>
      <c r="F6279" t="str">
        <f>"03-I23-02"</f>
        <v>03-I23-02</v>
      </c>
      <c r="G6279">
        <v>0.57920000000000005</v>
      </c>
      <c r="H6279" t="s">
        <v>11</v>
      </c>
      <c r="I6279" t="s">
        <v>10</v>
      </c>
    </row>
    <row r="6280" spans="1:9" x14ac:dyDescent="0.25">
      <c r="A6280" t="str">
        <f t="shared" si="150"/>
        <v>89301000</v>
      </c>
      <c r="B6280" t="str">
        <f>"520508068"</f>
        <v>520508068</v>
      </c>
      <c r="C6280" s="1">
        <v>45071</v>
      </c>
      <c r="D6280" s="1">
        <v>45076</v>
      </c>
      <c r="E6280">
        <v>3</v>
      </c>
      <c r="F6280" t="str">
        <f>"08-I06-04"</f>
        <v>08-I06-04</v>
      </c>
      <c r="G6280">
        <v>2.4180000000000001</v>
      </c>
      <c r="H6280" t="s">
        <v>9</v>
      </c>
      <c r="I6280" t="s">
        <v>10</v>
      </c>
    </row>
    <row r="6281" spans="1:9" x14ac:dyDescent="0.25">
      <c r="A6281" t="str">
        <f t="shared" si="150"/>
        <v>89301000</v>
      </c>
      <c r="B6281" t="str">
        <f>"520511006"</f>
        <v>520511006</v>
      </c>
      <c r="C6281" s="1">
        <v>45210</v>
      </c>
      <c r="D6281" s="1">
        <v>45212</v>
      </c>
      <c r="E6281">
        <v>1</v>
      </c>
      <c r="F6281" t="str">
        <f>"05-I21-02"</f>
        <v>05-I21-02</v>
      </c>
      <c r="G6281">
        <v>2.9087999999999998</v>
      </c>
      <c r="H6281" t="s">
        <v>12</v>
      </c>
      <c r="I6281" t="s">
        <v>10</v>
      </c>
    </row>
    <row r="6282" spans="1:9" x14ac:dyDescent="0.25">
      <c r="A6282" t="str">
        <f t="shared" ref="A6282:A6345" si="151">"89301000"</f>
        <v>89301000</v>
      </c>
      <c r="B6282" t="str">
        <f>"520512069"</f>
        <v>520512069</v>
      </c>
      <c r="C6282" s="1">
        <v>45029</v>
      </c>
      <c r="D6282" s="1">
        <v>45033</v>
      </c>
      <c r="E6282">
        <v>1</v>
      </c>
      <c r="F6282" t="str">
        <f>"05-M07-01"</f>
        <v>05-M07-01</v>
      </c>
      <c r="G6282">
        <v>2.5663999999999998</v>
      </c>
      <c r="H6282" t="s">
        <v>12</v>
      </c>
      <c r="I6282" t="s">
        <v>10</v>
      </c>
    </row>
    <row r="6283" spans="1:9" x14ac:dyDescent="0.25">
      <c r="A6283" t="str">
        <f t="shared" si="151"/>
        <v>89301000</v>
      </c>
      <c r="B6283" t="str">
        <f>"520512069"</f>
        <v>520512069</v>
      </c>
      <c r="C6283" s="1">
        <v>45280</v>
      </c>
      <c r="D6283" s="1">
        <v>45288</v>
      </c>
      <c r="E6283">
        <v>1</v>
      </c>
      <c r="F6283" t="str">
        <f>"12-I08-03"</f>
        <v>12-I08-03</v>
      </c>
      <c r="G6283">
        <v>0.7258</v>
      </c>
      <c r="H6283" t="s">
        <v>11</v>
      </c>
      <c r="I6283" t="s">
        <v>10</v>
      </c>
    </row>
    <row r="6284" spans="1:9" x14ac:dyDescent="0.25">
      <c r="A6284" t="str">
        <f t="shared" si="151"/>
        <v>89301000</v>
      </c>
      <c r="B6284" t="str">
        <f>"520512069"</f>
        <v>520512069</v>
      </c>
      <c r="C6284" s="1">
        <v>45097</v>
      </c>
      <c r="D6284" s="1">
        <v>45100</v>
      </c>
      <c r="E6284">
        <v>1</v>
      </c>
      <c r="F6284" t="str">
        <f>"11-K14-03"</f>
        <v>11-K14-03</v>
      </c>
      <c r="G6284">
        <v>0.33639999999999998</v>
      </c>
      <c r="H6284" t="s">
        <v>11</v>
      </c>
      <c r="I6284" t="s">
        <v>10</v>
      </c>
    </row>
    <row r="6285" spans="1:9" x14ac:dyDescent="0.25">
      <c r="A6285" t="str">
        <f t="shared" si="151"/>
        <v>89301000</v>
      </c>
      <c r="B6285" t="str">
        <f>"520517127"</f>
        <v>520517127</v>
      </c>
      <c r="C6285" s="1">
        <v>45057</v>
      </c>
      <c r="D6285" s="1">
        <v>45068</v>
      </c>
      <c r="E6285">
        <v>1</v>
      </c>
      <c r="F6285" t="str">
        <f>"04-K09-02"</f>
        <v>04-K09-02</v>
      </c>
      <c r="G6285">
        <v>1.155</v>
      </c>
      <c r="H6285" t="s">
        <v>11</v>
      </c>
      <c r="I6285" t="s">
        <v>10</v>
      </c>
    </row>
    <row r="6286" spans="1:9" x14ac:dyDescent="0.25">
      <c r="A6286" t="str">
        <f t="shared" si="151"/>
        <v>89301000</v>
      </c>
      <c r="B6286" t="str">
        <f>"520517127"</f>
        <v>520517127</v>
      </c>
      <c r="C6286" s="1">
        <v>45034</v>
      </c>
      <c r="D6286" s="1">
        <v>45048</v>
      </c>
      <c r="E6286">
        <v>1</v>
      </c>
      <c r="F6286" t="str">
        <f>"04-I05-02"</f>
        <v>04-I05-02</v>
      </c>
      <c r="G6286">
        <v>4.2552000000000003</v>
      </c>
      <c r="H6286" t="s">
        <v>14</v>
      </c>
      <c r="I6286" t="s">
        <v>10</v>
      </c>
    </row>
    <row r="6287" spans="1:9" x14ac:dyDescent="0.25">
      <c r="A6287" t="str">
        <f t="shared" si="151"/>
        <v>89301000</v>
      </c>
      <c r="B6287" t="str">
        <f>"520520270"</f>
        <v>520520270</v>
      </c>
      <c r="C6287" s="1">
        <v>45021</v>
      </c>
      <c r="D6287" s="1">
        <v>45033</v>
      </c>
      <c r="E6287">
        <v>1</v>
      </c>
      <c r="F6287" t="str">
        <f>"17-C05-04"</f>
        <v>17-C05-04</v>
      </c>
      <c r="G6287">
        <v>1.2394000000000001</v>
      </c>
      <c r="H6287" t="s">
        <v>11</v>
      </c>
      <c r="I6287" t="s">
        <v>10</v>
      </c>
    </row>
    <row r="6288" spans="1:9" x14ac:dyDescent="0.25">
      <c r="A6288" t="str">
        <f t="shared" si="151"/>
        <v>89301000</v>
      </c>
      <c r="B6288" t="str">
        <f>"520524084"</f>
        <v>520524084</v>
      </c>
      <c r="C6288" s="1">
        <v>45249</v>
      </c>
      <c r="D6288" s="1">
        <v>45250</v>
      </c>
      <c r="E6288">
        <v>7</v>
      </c>
      <c r="F6288" t="str">
        <f>"18-M01-03"</f>
        <v>18-M01-03</v>
      </c>
      <c r="G6288">
        <v>1.2983</v>
      </c>
      <c r="H6288" t="s">
        <v>11</v>
      </c>
      <c r="I6288" t="s">
        <v>10</v>
      </c>
    </row>
    <row r="6289" spans="1:9" x14ac:dyDescent="0.25">
      <c r="A6289" t="str">
        <f t="shared" si="151"/>
        <v>89301000</v>
      </c>
      <c r="B6289" t="str">
        <f>"520526356"</f>
        <v>520526356</v>
      </c>
      <c r="C6289" s="1">
        <v>45167</v>
      </c>
      <c r="D6289" s="1">
        <v>45169</v>
      </c>
      <c r="E6289">
        <v>1</v>
      </c>
      <c r="F6289" t="str">
        <f>"11-M06-03"</f>
        <v>11-M06-03</v>
      </c>
      <c r="G6289">
        <v>0.62009999999999998</v>
      </c>
      <c r="H6289" t="s">
        <v>12</v>
      </c>
      <c r="I6289" t="s">
        <v>10</v>
      </c>
    </row>
    <row r="6290" spans="1:9" x14ac:dyDescent="0.25">
      <c r="A6290" t="str">
        <f t="shared" si="151"/>
        <v>89301000</v>
      </c>
      <c r="B6290" t="str">
        <f>"520529097"</f>
        <v>520529097</v>
      </c>
      <c r="C6290" s="1">
        <v>45011</v>
      </c>
      <c r="D6290" s="1">
        <v>45021</v>
      </c>
      <c r="E6290">
        <v>1</v>
      </c>
      <c r="F6290" t="str">
        <f>"08-I04-02"</f>
        <v>08-I04-02</v>
      </c>
      <c r="G6290">
        <v>1.6229</v>
      </c>
      <c r="H6290" t="s">
        <v>14</v>
      </c>
      <c r="I6290" t="s">
        <v>10</v>
      </c>
    </row>
    <row r="6291" spans="1:9" x14ac:dyDescent="0.25">
      <c r="A6291" t="str">
        <f t="shared" si="151"/>
        <v>89301000</v>
      </c>
      <c r="B6291" t="str">
        <f>"520531081"</f>
        <v>520531081</v>
      </c>
      <c r="C6291" s="1">
        <v>45195</v>
      </c>
      <c r="D6291" s="1">
        <v>45197</v>
      </c>
      <c r="E6291">
        <v>1</v>
      </c>
      <c r="F6291" t="str">
        <f>"11-M06-03"</f>
        <v>11-M06-03</v>
      </c>
      <c r="G6291">
        <v>0.62009999999999998</v>
      </c>
      <c r="H6291" t="s">
        <v>12</v>
      </c>
      <c r="I6291" t="s">
        <v>10</v>
      </c>
    </row>
    <row r="6292" spans="1:9" x14ac:dyDescent="0.25">
      <c r="A6292" t="str">
        <f t="shared" si="151"/>
        <v>89301000</v>
      </c>
      <c r="B6292" t="str">
        <f>"520531081"</f>
        <v>520531081</v>
      </c>
      <c r="C6292" s="1">
        <v>45152</v>
      </c>
      <c r="D6292" s="1">
        <v>45155</v>
      </c>
      <c r="E6292">
        <v>1</v>
      </c>
      <c r="F6292" t="str">
        <f>"11-M06-03"</f>
        <v>11-M06-03</v>
      </c>
      <c r="G6292">
        <v>0.62009999999999998</v>
      </c>
      <c r="H6292" t="s">
        <v>12</v>
      </c>
      <c r="I6292" t="s">
        <v>10</v>
      </c>
    </row>
    <row r="6293" spans="1:9" x14ac:dyDescent="0.25">
      <c r="A6293" t="str">
        <f t="shared" si="151"/>
        <v>89301000</v>
      </c>
      <c r="B6293" t="str">
        <f>"520601037"</f>
        <v>520601037</v>
      </c>
      <c r="C6293" s="1">
        <v>45201</v>
      </c>
      <c r="D6293" s="1">
        <v>45239</v>
      </c>
      <c r="E6293">
        <v>4</v>
      </c>
      <c r="F6293" t="str">
        <f>"16-K02-02"</f>
        <v>16-K02-02</v>
      </c>
      <c r="G6293">
        <v>2.3448000000000002</v>
      </c>
      <c r="H6293" t="s">
        <v>11</v>
      </c>
      <c r="I6293" t="s">
        <v>10</v>
      </c>
    </row>
    <row r="6294" spans="1:9" x14ac:dyDescent="0.25">
      <c r="A6294" t="str">
        <f t="shared" si="151"/>
        <v>89301000</v>
      </c>
      <c r="B6294" t="str">
        <f>"520606044"</f>
        <v>520606044</v>
      </c>
      <c r="C6294" s="1">
        <v>45121</v>
      </c>
      <c r="D6294" s="1">
        <v>45131</v>
      </c>
      <c r="E6294">
        <v>1</v>
      </c>
      <c r="F6294" t="str">
        <f>"09-K01-02"</f>
        <v>09-K01-02</v>
      </c>
      <c r="G6294">
        <v>1.0348999999999999</v>
      </c>
      <c r="H6294" t="s">
        <v>11</v>
      </c>
      <c r="I6294" t="s">
        <v>10</v>
      </c>
    </row>
    <row r="6295" spans="1:9" x14ac:dyDescent="0.25">
      <c r="A6295" t="str">
        <f t="shared" si="151"/>
        <v>89301000</v>
      </c>
      <c r="B6295" t="str">
        <f>"520606044"</f>
        <v>520606044</v>
      </c>
      <c r="C6295" s="1">
        <v>44980</v>
      </c>
      <c r="D6295" s="1">
        <v>44986</v>
      </c>
      <c r="E6295">
        <v>1</v>
      </c>
      <c r="F6295" t="str">
        <f>"12-I03-01"</f>
        <v>12-I03-01</v>
      </c>
      <c r="G6295">
        <v>2.6934999999999998</v>
      </c>
      <c r="H6295" t="s">
        <v>9</v>
      </c>
      <c r="I6295" t="s">
        <v>10</v>
      </c>
    </row>
    <row r="6296" spans="1:9" x14ac:dyDescent="0.25">
      <c r="A6296" t="str">
        <f t="shared" si="151"/>
        <v>89301000</v>
      </c>
      <c r="B6296" t="str">
        <f>"520611316"</f>
        <v>520611316</v>
      </c>
      <c r="C6296" s="1">
        <v>45240</v>
      </c>
      <c r="D6296" s="1">
        <v>45252</v>
      </c>
      <c r="E6296">
        <v>1</v>
      </c>
      <c r="F6296" t="str">
        <f>"18-K01-05"</f>
        <v>18-K01-05</v>
      </c>
      <c r="G6296">
        <v>1.8069999999999999</v>
      </c>
      <c r="H6296" t="s">
        <v>11</v>
      </c>
      <c r="I6296" t="s">
        <v>10</v>
      </c>
    </row>
    <row r="6297" spans="1:9" x14ac:dyDescent="0.25">
      <c r="A6297" t="str">
        <f t="shared" si="151"/>
        <v>89301000</v>
      </c>
      <c r="B6297" t="str">
        <f>"520615029"</f>
        <v>520615029</v>
      </c>
      <c r="C6297" s="1">
        <v>45183</v>
      </c>
      <c r="D6297" s="1">
        <v>45189</v>
      </c>
      <c r="E6297">
        <v>1</v>
      </c>
      <c r="F6297" t="str">
        <f>"08-I04-02"</f>
        <v>08-I04-02</v>
      </c>
      <c r="G6297">
        <v>1.6229</v>
      </c>
      <c r="H6297" t="s">
        <v>14</v>
      </c>
      <c r="I6297" t="s">
        <v>10</v>
      </c>
    </row>
    <row r="6298" spans="1:9" x14ac:dyDescent="0.25">
      <c r="A6298" t="str">
        <f t="shared" si="151"/>
        <v>89301000</v>
      </c>
      <c r="B6298" t="str">
        <f>"520615029"</f>
        <v>520615029</v>
      </c>
      <c r="C6298" s="1">
        <v>45243</v>
      </c>
      <c r="D6298" s="1">
        <v>45259</v>
      </c>
      <c r="E6298">
        <v>1</v>
      </c>
      <c r="F6298" t="str">
        <f>"08-K08-00"</f>
        <v>08-K08-00</v>
      </c>
      <c r="G6298">
        <v>0.79079999999999995</v>
      </c>
      <c r="H6298" t="s">
        <v>11</v>
      </c>
      <c r="I6298" t="s">
        <v>10</v>
      </c>
    </row>
    <row r="6299" spans="1:9" x14ac:dyDescent="0.25">
      <c r="A6299" t="str">
        <f t="shared" si="151"/>
        <v>89301000</v>
      </c>
      <c r="B6299" t="str">
        <f>"520617033"</f>
        <v>520617033</v>
      </c>
      <c r="C6299" s="1">
        <v>45117</v>
      </c>
      <c r="D6299" s="1">
        <v>45118</v>
      </c>
      <c r="E6299">
        <v>1</v>
      </c>
      <c r="F6299" t="str">
        <f>"05-I14-03"</f>
        <v>05-I14-03</v>
      </c>
      <c r="G6299">
        <v>6.0362</v>
      </c>
      <c r="H6299" t="s">
        <v>12</v>
      </c>
      <c r="I6299" t="s">
        <v>10</v>
      </c>
    </row>
    <row r="6300" spans="1:9" x14ac:dyDescent="0.25">
      <c r="A6300" t="str">
        <f t="shared" si="151"/>
        <v>89301000</v>
      </c>
      <c r="B6300" t="str">
        <f>"520629202"</f>
        <v>520629202</v>
      </c>
      <c r="C6300" s="1">
        <v>45077</v>
      </c>
      <c r="D6300" s="1">
        <v>45077</v>
      </c>
      <c r="E6300">
        <v>1</v>
      </c>
      <c r="F6300" t="str">
        <f>"05-D01-08"</f>
        <v>05-D01-08</v>
      </c>
      <c r="G6300">
        <v>0.2303</v>
      </c>
      <c r="H6300" t="s">
        <v>11</v>
      </c>
      <c r="I6300" t="s">
        <v>10</v>
      </c>
    </row>
    <row r="6301" spans="1:9" x14ac:dyDescent="0.25">
      <c r="A6301" t="str">
        <f t="shared" si="151"/>
        <v>89301000</v>
      </c>
      <c r="B6301" t="str">
        <f>"520703076"</f>
        <v>520703076</v>
      </c>
      <c r="C6301" s="1">
        <v>45021</v>
      </c>
      <c r="D6301" s="1">
        <v>45023</v>
      </c>
      <c r="E6301">
        <v>1</v>
      </c>
      <c r="F6301" t="str">
        <f>"05-M05-02"</f>
        <v>05-M05-02</v>
      </c>
      <c r="G6301">
        <v>3.4817999999999998</v>
      </c>
      <c r="H6301" t="s">
        <v>14</v>
      </c>
      <c r="I6301" t="s">
        <v>10</v>
      </c>
    </row>
    <row r="6302" spans="1:9" x14ac:dyDescent="0.25">
      <c r="A6302" t="str">
        <f t="shared" si="151"/>
        <v>89301000</v>
      </c>
      <c r="B6302" t="str">
        <f>"520707297"</f>
        <v>520707297</v>
      </c>
      <c r="C6302" s="1">
        <v>45125</v>
      </c>
      <c r="D6302" s="1">
        <v>45128</v>
      </c>
      <c r="E6302">
        <v>1</v>
      </c>
      <c r="F6302" t="str">
        <f>"04-K09-03"</f>
        <v>04-K09-03</v>
      </c>
      <c r="G6302">
        <v>0.65600000000000003</v>
      </c>
      <c r="H6302" t="s">
        <v>11</v>
      </c>
      <c r="I6302" t="s">
        <v>10</v>
      </c>
    </row>
    <row r="6303" spans="1:9" x14ac:dyDescent="0.25">
      <c r="A6303" t="str">
        <f t="shared" si="151"/>
        <v>89301000</v>
      </c>
      <c r="B6303" t="str">
        <f>"520707297"</f>
        <v>520707297</v>
      </c>
      <c r="C6303" s="1">
        <v>45092</v>
      </c>
      <c r="D6303" s="1">
        <v>45097</v>
      </c>
      <c r="E6303">
        <v>1</v>
      </c>
      <c r="F6303" t="str">
        <f>"04-K10-02"</f>
        <v>04-K10-02</v>
      </c>
      <c r="G6303">
        <v>0.59470000000000001</v>
      </c>
      <c r="H6303" t="s">
        <v>11</v>
      </c>
      <c r="I6303" t="s">
        <v>10</v>
      </c>
    </row>
    <row r="6304" spans="1:9" x14ac:dyDescent="0.25">
      <c r="A6304" t="str">
        <f t="shared" si="151"/>
        <v>89301000</v>
      </c>
      <c r="B6304" t="str">
        <f>"520707297"</f>
        <v>520707297</v>
      </c>
      <c r="C6304" s="1">
        <v>45139</v>
      </c>
      <c r="D6304" s="1">
        <v>45155</v>
      </c>
      <c r="E6304">
        <v>1</v>
      </c>
      <c r="F6304" t="str">
        <f>"04-I02-02"</f>
        <v>04-I02-02</v>
      </c>
      <c r="G6304">
        <v>4.6359000000000004</v>
      </c>
      <c r="H6304" t="s">
        <v>14</v>
      </c>
      <c r="I6304" t="s">
        <v>10</v>
      </c>
    </row>
    <row r="6305" spans="1:9" x14ac:dyDescent="0.25">
      <c r="A6305" t="str">
        <f t="shared" si="151"/>
        <v>89301000</v>
      </c>
      <c r="B6305" t="str">
        <f>"520711180"</f>
        <v>520711180</v>
      </c>
      <c r="C6305" s="1">
        <v>45008</v>
      </c>
      <c r="D6305" s="1">
        <v>45033</v>
      </c>
      <c r="E6305">
        <v>1</v>
      </c>
      <c r="F6305" t="str">
        <f>"19-K06-02"</f>
        <v>19-K06-02</v>
      </c>
      <c r="G6305">
        <v>2.2334999999999998</v>
      </c>
      <c r="H6305" t="s">
        <v>15</v>
      </c>
      <c r="I6305" t="s">
        <v>10</v>
      </c>
    </row>
    <row r="6306" spans="1:9" x14ac:dyDescent="0.25">
      <c r="A6306" t="str">
        <f t="shared" si="151"/>
        <v>89301000</v>
      </c>
      <c r="B6306" t="str">
        <f>"520715415"</f>
        <v>520715415</v>
      </c>
      <c r="C6306" s="1">
        <v>45187</v>
      </c>
      <c r="D6306" s="1">
        <v>45190</v>
      </c>
      <c r="E6306">
        <v>1</v>
      </c>
      <c r="F6306" t="str">
        <f>"12-M02-02"</f>
        <v>12-M02-02</v>
      </c>
      <c r="G6306">
        <v>0.94030000000000002</v>
      </c>
      <c r="H6306" t="s">
        <v>9</v>
      </c>
      <c r="I6306" t="s">
        <v>10</v>
      </c>
    </row>
    <row r="6307" spans="1:9" x14ac:dyDescent="0.25">
      <c r="A6307" t="str">
        <f t="shared" si="151"/>
        <v>89301000</v>
      </c>
      <c r="B6307" t="str">
        <f>"520718290"</f>
        <v>520718290</v>
      </c>
      <c r="C6307" s="1">
        <v>44957</v>
      </c>
      <c r="D6307" s="1">
        <v>44972</v>
      </c>
      <c r="E6307">
        <v>1</v>
      </c>
      <c r="F6307" t="str">
        <f>"05-I12-03"</f>
        <v>05-I12-03</v>
      </c>
      <c r="G6307">
        <v>6.7502000000000004</v>
      </c>
      <c r="H6307" t="s">
        <v>14</v>
      </c>
      <c r="I6307" t="s">
        <v>10</v>
      </c>
    </row>
    <row r="6308" spans="1:9" x14ac:dyDescent="0.25">
      <c r="A6308" t="str">
        <f t="shared" si="151"/>
        <v>89301000</v>
      </c>
      <c r="B6308" t="str">
        <f>"520721194"</f>
        <v>520721194</v>
      </c>
      <c r="C6308" s="1">
        <v>45168</v>
      </c>
      <c r="D6308" s="1">
        <v>45173</v>
      </c>
      <c r="E6308">
        <v>1</v>
      </c>
      <c r="F6308" t="str">
        <f>"11-M02-06"</f>
        <v>11-M02-06</v>
      </c>
      <c r="G6308">
        <v>1.1301000000000001</v>
      </c>
      <c r="H6308" t="s">
        <v>11</v>
      </c>
      <c r="I6308" t="s">
        <v>10</v>
      </c>
    </row>
    <row r="6309" spans="1:9" x14ac:dyDescent="0.25">
      <c r="A6309" t="str">
        <f t="shared" si="151"/>
        <v>89301000</v>
      </c>
      <c r="B6309" t="str">
        <f>"520721194"</f>
        <v>520721194</v>
      </c>
      <c r="C6309" s="1">
        <v>45030</v>
      </c>
      <c r="D6309" s="1">
        <v>45040</v>
      </c>
      <c r="E6309">
        <v>1</v>
      </c>
      <c r="F6309" t="str">
        <f>"11-K03-02"</f>
        <v>11-K03-02</v>
      </c>
      <c r="G6309">
        <v>0.622</v>
      </c>
      <c r="H6309" t="s">
        <v>11</v>
      </c>
      <c r="I6309" t="s">
        <v>10</v>
      </c>
    </row>
    <row r="6310" spans="1:9" x14ac:dyDescent="0.25">
      <c r="A6310" t="str">
        <f t="shared" si="151"/>
        <v>89301000</v>
      </c>
      <c r="B6310" t="str">
        <f>"520721194"</f>
        <v>520721194</v>
      </c>
      <c r="C6310" s="1">
        <v>45120</v>
      </c>
      <c r="D6310" s="1">
        <v>45123</v>
      </c>
      <c r="E6310">
        <v>1</v>
      </c>
      <c r="F6310" t="str">
        <f>"11-M01-01"</f>
        <v>11-M01-01</v>
      </c>
      <c r="G6310">
        <v>3.4678</v>
      </c>
      <c r="H6310" t="s">
        <v>12</v>
      </c>
      <c r="I6310" t="s">
        <v>10</v>
      </c>
    </row>
    <row r="6311" spans="1:9" x14ac:dyDescent="0.25">
      <c r="A6311" t="str">
        <f t="shared" si="151"/>
        <v>89301000</v>
      </c>
      <c r="B6311" t="str">
        <f>"520721194"</f>
        <v>520721194</v>
      </c>
      <c r="C6311" s="1">
        <v>45144</v>
      </c>
      <c r="D6311" s="1">
        <v>45155</v>
      </c>
      <c r="E6311">
        <v>1</v>
      </c>
      <c r="F6311" t="str">
        <f>"12-I03-01"</f>
        <v>12-I03-01</v>
      </c>
      <c r="G6311">
        <v>3.3349000000000002</v>
      </c>
      <c r="H6311" t="s">
        <v>9</v>
      </c>
      <c r="I6311" t="s">
        <v>10</v>
      </c>
    </row>
    <row r="6312" spans="1:9" x14ac:dyDescent="0.25">
      <c r="A6312" t="str">
        <f t="shared" si="151"/>
        <v>89301000</v>
      </c>
      <c r="B6312" t="str">
        <f>"520721194"</f>
        <v>520721194</v>
      </c>
      <c r="C6312" s="1">
        <v>45183</v>
      </c>
      <c r="D6312" s="1">
        <v>45185</v>
      </c>
      <c r="E6312">
        <v>1</v>
      </c>
      <c r="F6312" t="str">
        <f>"05-I29-03"</f>
        <v>05-I29-03</v>
      </c>
      <c r="G6312">
        <v>1.0078</v>
      </c>
      <c r="H6312" t="s">
        <v>12</v>
      </c>
      <c r="I6312" t="s">
        <v>10</v>
      </c>
    </row>
    <row r="6313" spans="1:9" x14ac:dyDescent="0.25">
      <c r="A6313" t="str">
        <f t="shared" si="151"/>
        <v>89301000</v>
      </c>
      <c r="B6313" t="str">
        <f>"520727037"</f>
        <v>520727037</v>
      </c>
      <c r="C6313" s="1">
        <v>45105</v>
      </c>
      <c r="D6313" s="1">
        <v>45107</v>
      </c>
      <c r="E6313">
        <v>1</v>
      </c>
      <c r="F6313" t="str">
        <f>"05-D01-08"</f>
        <v>05-D01-08</v>
      </c>
      <c r="G6313">
        <v>0.43159999999999998</v>
      </c>
      <c r="H6313" t="s">
        <v>11</v>
      </c>
      <c r="I6313" t="s">
        <v>10</v>
      </c>
    </row>
    <row r="6314" spans="1:9" x14ac:dyDescent="0.25">
      <c r="A6314" t="str">
        <f t="shared" si="151"/>
        <v>89301000</v>
      </c>
      <c r="B6314" t="str">
        <f>"520806159"</f>
        <v>520806159</v>
      </c>
      <c r="C6314" s="1">
        <v>45040</v>
      </c>
      <c r="D6314" s="1">
        <v>45045</v>
      </c>
      <c r="E6314">
        <v>1</v>
      </c>
      <c r="F6314" t="str">
        <f>"11-I07-01"</f>
        <v>11-I07-01</v>
      </c>
      <c r="G6314">
        <v>2.7482000000000002</v>
      </c>
      <c r="H6314" t="s">
        <v>9</v>
      </c>
      <c r="I6314" t="s">
        <v>10</v>
      </c>
    </row>
    <row r="6315" spans="1:9" x14ac:dyDescent="0.25">
      <c r="A6315" t="str">
        <f t="shared" si="151"/>
        <v>89301000</v>
      </c>
      <c r="B6315" t="str">
        <f>"520806330"</f>
        <v>520806330</v>
      </c>
      <c r="C6315" s="1">
        <v>44948</v>
      </c>
      <c r="D6315" s="1">
        <v>44950</v>
      </c>
      <c r="E6315">
        <v>1</v>
      </c>
      <c r="F6315" t="str">
        <f>"12-I13-02"</f>
        <v>12-I13-02</v>
      </c>
      <c r="G6315">
        <v>0.53879999999999995</v>
      </c>
      <c r="H6315" t="s">
        <v>9</v>
      </c>
      <c r="I6315" t="s">
        <v>10</v>
      </c>
    </row>
    <row r="6316" spans="1:9" x14ac:dyDescent="0.25">
      <c r="A6316" t="str">
        <f t="shared" si="151"/>
        <v>89301000</v>
      </c>
      <c r="B6316" t="str">
        <f>"520808101"</f>
        <v>520808101</v>
      </c>
      <c r="C6316" s="1">
        <v>45037</v>
      </c>
      <c r="D6316" s="1">
        <v>45042</v>
      </c>
      <c r="E6316">
        <v>1</v>
      </c>
      <c r="F6316" t="str">
        <f>"05-K07-03"</f>
        <v>05-K07-03</v>
      </c>
      <c r="G6316">
        <v>1.7626999999999999</v>
      </c>
      <c r="H6316" t="s">
        <v>11</v>
      </c>
      <c r="I6316" t="s">
        <v>10</v>
      </c>
    </row>
    <row r="6317" spans="1:9" x14ac:dyDescent="0.25">
      <c r="A6317" t="str">
        <f t="shared" si="151"/>
        <v>89301000</v>
      </c>
      <c r="B6317" t="str">
        <f>"520808101"</f>
        <v>520808101</v>
      </c>
      <c r="C6317" s="1">
        <v>45011</v>
      </c>
      <c r="D6317" s="1">
        <v>45020</v>
      </c>
      <c r="E6317">
        <v>1</v>
      </c>
      <c r="F6317" t="str">
        <f>"05-I13-04"</f>
        <v>05-I13-04</v>
      </c>
      <c r="G6317">
        <v>6.5597000000000003</v>
      </c>
      <c r="H6317" t="s">
        <v>14</v>
      </c>
      <c r="I6317" t="s">
        <v>10</v>
      </c>
    </row>
    <row r="6318" spans="1:9" x14ac:dyDescent="0.25">
      <c r="A6318" t="str">
        <f t="shared" si="151"/>
        <v>89301000</v>
      </c>
      <c r="B6318" t="str">
        <f>"520808101"</f>
        <v>520808101</v>
      </c>
      <c r="C6318" s="1">
        <v>44950</v>
      </c>
      <c r="D6318" s="1">
        <v>44951</v>
      </c>
      <c r="E6318">
        <v>1</v>
      </c>
      <c r="F6318" t="str">
        <f>"05-D01-08"</f>
        <v>05-D01-08</v>
      </c>
      <c r="G6318">
        <v>0.43159999999999998</v>
      </c>
      <c r="H6318" t="s">
        <v>11</v>
      </c>
      <c r="I6318" t="s">
        <v>10</v>
      </c>
    </row>
    <row r="6319" spans="1:9" x14ac:dyDescent="0.25">
      <c r="A6319" t="str">
        <f t="shared" si="151"/>
        <v>89301000</v>
      </c>
      <c r="B6319" t="str">
        <f>"520811051"</f>
        <v>520811051</v>
      </c>
      <c r="C6319" s="1">
        <v>45236</v>
      </c>
      <c r="D6319" s="1">
        <v>45236</v>
      </c>
      <c r="E6319">
        <v>1</v>
      </c>
      <c r="F6319" t="str">
        <f>"05-M06-08"</f>
        <v>05-M06-08</v>
      </c>
      <c r="G6319">
        <v>1.1012</v>
      </c>
      <c r="H6319" t="s">
        <v>12</v>
      </c>
      <c r="I6319" t="s">
        <v>10</v>
      </c>
    </row>
    <row r="6320" spans="1:9" x14ac:dyDescent="0.25">
      <c r="A6320" t="str">
        <f t="shared" si="151"/>
        <v>89301000</v>
      </c>
      <c r="B6320" t="str">
        <f>"520811051"</f>
        <v>520811051</v>
      </c>
      <c r="C6320" s="1">
        <v>45193</v>
      </c>
      <c r="D6320" s="1">
        <v>45194</v>
      </c>
      <c r="E6320">
        <v>4</v>
      </c>
      <c r="F6320" t="str">
        <f>"05-M06-06"</f>
        <v>05-M06-06</v>
      </c>
      <c r="G6320">
        <v>1.8058000000000001</v>
      </c>
      <c r="H6320" t="s">
        <v>12</v>
      </c>
      <c r="I6320" t="s">
        <v>10</v>
      </c>
    </row>
    <row r="6321" spans="1:9" x14ac:dyDescent="0.25">
      <c r="A6321" t="str">
        <f t="shared" si="151"/>
        <v>89301000</v>
      </c>
      <c r="B6321" t="str">
        <f>"520819081"</f>
        <v>520819081</v>
      </c>
      <c r="C6321" s="1">
        <v>45219</v>
      </c>
      <c r="D6321" s="1">
        <v>45223</v>
      </c>
      <c r="E6321">
        <v>1</v>
      </c>
      <c r="F6321" t="str">
        <f>"08-I03-04"</f>
        <v>08-I03-04</v>
      </c>
      <c r="G6321">
        <v>4.7615999999999996</v>
      </c>
      <c r="H6321" t="s">
        <v>9</v>
      </c>
      <c r="I6321" t="s">
        <v>10</v>
      </c>
    </row>
    <row r="6322" spans="1:9" x14ac:dyDescent="0.25">
      <c r="A6322" t="str">
        <f t="shared" si="151"/>
        <v>89301000</v>
      </c>
      <c r="B6322" t="str">
        <f>"520822230"</f>
        <v>520822230</v>
      </c>
      <c r="C6322" s="1">
        <v>45102</v>
      </c>
      <c r="D6322" s="1">
        <v>45104</v>
      </c>
      <c r="E6322">
        <v>1</v>
      </c>
      <c r="F6322" t="str">
        <f>"05-I14-03"</f>
        <v>05-I14-03</v>
      </c>
      <c r="G6322">
        <v>6.0362</v>
      </c>
      <c r="H6322" t="s">
        <v>12</v>
      </c>
      <c r="I6322" t="s">
        <v>10</v>
      </c>
    </row>
    <row r="6323" spans="1:9" x14ac:dyDescent="0.25">
      <c r="A6323" t="str">
        <f t="shared" si="151"/>
        <v>89301000</v>
      </c>
      <c r="B6323" t="str">
        <f>"520822230"</f>
        <v>520822230</v>
      </c>
      <c r="C6323" s="1">
        <v>45223</v>
      </c>
      <c r="D6323" s="1">
        <v>45230</v>
      </c>
      <c r="E6323">
        <v>1</v>
      </c>
      <c r="F6323" t="str">
        <f>"19-K03-03"</f>
        <v>19-K03-03</v>
      </c>
      <c r="G6323">
        <v>0.90410000000000001</v>
      </c>
      <c r="H6323" t="s">
        <v>15</v>
      </c>
      <c r="I6323" t="s">
        <v>10</v>
      </c>
    </row>
    <row r="6324" spans="1:9" x14ac:dyDescent="0.25">
      <c r="A6324" t="str">
        <f t="shared" si="151"/>
        <v>89301000</v>
      </c>
      <c r="B6324" t="str">
        <f>"520822230"</f>
        <v>520822230</v>
      </c>
      <c r="C6324" s="1">
        <v>45069</v>
      </c>
      <c r="D6324" s="1">
        <v>45070</v>
      </c>
      <c r="E6324">
        <v>1</v>
      </c>
      <c r="F6324" t="str">
        <f>"05-M06-08"</f>
        <v>05-M06-08</v>
      </c>
      <c r="G6324">
        <v>1.4228000000000001</v>
      </c>
      <c r="H6324" t="s">
        <v>12</v>
      </c>
      <c r="I6324" t="s">
        <v>10</v>
      </c>
    </row>
    <row r="6325" spans="1:9" x14ac:dyDescent="0.25">
      <c r="A6325" t="str">
        <f t="shared" si="151"/>
        <v>89301000</v>
      </c>
      <c r="B6325" t="str">
        <f>"520824199"</f>
        <v>520824199</v>
      </c>
      <c r="C6325" s="1">
        <v>45005</v>
      </c>
      <c r="D6325" s="1">
        <v>45006</v>
      </c>
      <c r="E6325">
        <v>1</v>
      </c>
      <c r="F6325" t="str">
        <f>"03-K08-00"</f>
        <v>03-K08-00</v>
      </c>
      <c r="G6325">
        <v>0.45519999999999999</v>
      </c>
      <c r="H6325" t="s">
        <v>11</v>
      </c>
      <c r="I6325" t="s">
        <v>10</v>
      </c>
    </row>
    <row r="6326" spans="1:9" x14ac:dyDescent="0.25">
      <c r="A6326" t="str">
        <f t="shared" si="151"/>
        <v>89301000</v>
      </c>
      <c r="B6326" t="str">
        <f>"520824255"</f>
        <v>520824255</v>
      </c>
      <c r="C6326" s="1">
        <v>44944</v>
      </c>
      <c r="D6326" s="1">
        <v>44953</v>
      </c>
      <c r="E6326">
        <v>1</v>
      </c>
      <c r="F6326" t="str">
        <f>"01-I06-04"</f>
        <v>01-I06-04</v>
      </c>
      <c r="G6326">
        <v>3.6478999999999999</v>
      </c>
      <c r="H6326" t="s">
        <v>12</v>
      </c>
      <c r="I6326" t="s">
        <v>10</v>
      </c>
    </row>
    <row r="6327" spans="1:9" x14ac:dyDescent="0.25">
      <c r="A6327" t="str">
        <f t="shared" si="151"/>
        <v>89301000</v>
      </c>
      <c r="B6327" t="str">
        <f>"520831260"</f>
        <v>520831260</v>
      </c>
      <c r="C6327" s="1">
        <v>45012</v>
      </c>
      <c r="D6327" s="1">
        <v>45016</v>
      </c>
      <c r="E6327">
        <v>1</v>
      </c>
      <c r="F6327" t="str">
        <f>"03-I18-01"</f>
        <v>03-I18-01</v>
      </c>
      <c r="G6327">
        <v>1.1496999999999999</v>
      </c>
      <c r="H6327" t="s">
        <v>9</v>
      </c>
      <c r="I6327" t="s">
        <v>10</v>
      </c>
    </row>
    <row r="6328" spans="1:9" x14ac:dyDescent="0.25">
      <c r="A6328" t="str">
        <f t="shared" si="151"/>
        <v>89301000</v>
      </c>
      <c r="B6328" t="str">
        <f>"520831260"</f>
        <v>520831260</v>
      </c>
      <c r="C6328" s="1">
        <v>45222</v>
      </c>
      <c r="D6328" s="1">
        <v>45222</v>
      </c>
      <c r="E6328">
        <v>1</v>
      </c>
      <c r="F6328" t="str">
        <f>"05-M06-08"</f>
        <v>05-M06-08</v>
      </c>
      <c r="G6328">
        <v>1.1012</v>
      </c>
      <c r="H6328" t="s">
        <v>12</v>
      </c>
      <c r="I6328" t="s">
        <v>10</v>
      </c>
    </row>
    <row r="6329" spans="1:9" x14ac:dyDescent="0.25">
      <c r="A6329" t="str">
        <f t="shared" si="151"/>
        <v>89301000</v>
      </c>
      <c r="B6329" t="str">
        <f>"520915223"</f>
        <v>520915223</v>
      </c>
      <c r="C6329" s="1">
        <v>45245</v>
      </c>
      <c r="D6329" s="1">
        <v>45257</v>
      </c>
      <c r="E6329">
        <v>1</v>
      </c>
      <c r="F6329" t="str">
        <f>"04-K02-04"</f>
        <v>04-K02-04</v>
      </c>
      <c r="G6329">
        <v>0.82099999999999995</v>
      </c>
      <c r="H6329" t="s">
        <v>11</v>
      </c>
      <c r="I6329" t="s">
        <v>10</v>
      </c>
    </row>
    <row r="6330" spans="1:9" x14ac:dyDescent="0.25">
      <c r="A6330" t="str">
        <f t="shared" si="151"/>
        <v>89301000</v>
      </c>
      <c r="B6330" t="str">
        <f>"520918227"</f>
        <v>520918227</v>
      </c>
      <c r="C6330" s="1">
        <v>44953</v>
      </c>
      <c r="D6330" s="1">
        <v>44963</v>
      </c>
      <c r="E6330">
        <v>1</v>
      </c>
      <c r="F6330" t="str">
        <f>"05-I12-03"</f>
        <v>05-I12-03</v>
      </c>
      <c r="G6330">
        <v>6.7502000000000004</v>
      </c>
      <c r="H6330" t="s">
        <v>14</v>
      </c>
      <c r="I6330" t="s">
        <v>10</v>
      </c>
    </row>
    <row r="6331" spans="1:9" x14ac:dyDescent="0.25">
      <c r="A6331" t="str">
        <f t="shared" si="151"/>
        <v>89301000</v>
      </c>
      <c r="B6331" t="str">
        <f>"520920199"</f>
        <v>520920199</v>
      </c>
      <c r="C6331" s="1">
        <v>45020</v>
      </c>
      <c r="D6331" s="1">
        <v>45021</v>
      </c>
      <c r="E6331">
        <v>1</v>
      </c>
      <c r="F6331" t="str">
        <f>"03-K13-01"</f>
        <v>03-K13-01</v>
      </c>
      <c r="G6331">
        <v>0.57889999999999997</v>
      </c>
      <c r="H6331" t="s">
        <v>11</v>
      </c>
      <c r="I6331" t="s">
        <v>10</v>
      </c>
    </row>
    <row r="6332" spans="1:9" x14ac:dyDescent="0.25">
      <c r="A6332" t="str">
        <f t="shared" si="151"/>
        <v>89301000</v>
      </c>
      <c r="B6332" t="str">
        <f>"521002421"</f>
        <v>521002421</v>
      </c>
      <c r="C6332" s="1">
        <v>44970</v>
      </c>
      <c r="D6332" s="1">
        <v>44971</v>
      </c>
      <c r="E6332">
        <v>1</v>
      </c>
      <c r="F6332" t="str">
        <f>"01-D01-03"</f>
        <v>01-D01-03</v>
      </c>
      <c r="G6332">
        <v>0.16200000000000001</v>
      </c>
      <c r="H6332" t="s">
        <v>11</v>
      </c>
      <c r="I6332" t="s">
        <v>10</v>
      </c>
    </row>
    <row r="6333" spans="1:9" x14ac:dyDescent="0.25">
      <c r="A6333" t="str">
        <f t="shared" si="151"/>
        <v>89301000</v>
      </c>
      <c r="B6333" t="str">
        <f>"521007236"</f>
        <v>521007236</v>
      </c>
      <c r="C6333" s="1">
        <v>45004</v>
      </c>
      <c r="D6333" s="1">
        <v>45009</v>
      </c>
      <c r="E6333">
        <v>1</v>
      </c>
      <c r="F6333" t="str">
        <f>"11-I01-02"</f>
        <v>11-I01-02</v>
      </c>
      <c r="G6333">
        <v>4.8537999999999997</v>
      </c>
      <c r="H6333" t="s">
        <v>14</v>
      </c>
      <c r="I6333" t="s">
        <v>10</v>
      </c>
    </row>
    <row r="6334" spans="1:9" x14ac:dyDescent="0.25">
      <c r="A6334" t="str">
        <f t="shared" si="151"/>
        <v>89301000</v>
      </c>
      <c r="B6334" t="str">
        <f>"521019291"</f>
        <v>521019291</v>
      </c>
      <c r="C6334" s="1">
        <v>44958</v>
      </c>
      <c r="D6334" s="1">
        <v>44970</v>
      </c>
      <c r="E6334">
        <v>1</v>
      </c>
      <c r="F6334" t="str">
        <f>"07-I01-02"</f>
        <v>07-I01-02</v>
      </c>
      <c r="G6334">
        <v>5.4336000000000002</v>
      </c>
      <c r="H6334" t="s">
        <v>14</v>
      </c>
      <c r="I6334" t="s">
        <v>10</v>
      </c>
    </row>
    <row r="6335" spans="1:9" x14ac:dyDescent="0.25">
      <c r="A6335" t="str">
        <f t="shared" si="151"/>
        <v>89301000</v>
      </c>
      <c r="B6335" t="str">
        <f>"521103101"</f>
        <v>521103101</v>
      </c>
      <c r="C6335" s="1">
        <v>44963</v>
      </c>
      <c r="D6335" s="1">
        <v>44976</v>
      </c>
      <c r="E6335">
        <v>1</v>
      </c>
      <c r="F6335" t="str">
        <f>"07-K01-02"</f>
        <v>07-K01-02</v>
      </c>
      <c r="G6335">
        <v>1.0002</v>
      </c>
      <c r="H6335" t="s">
        <v>11</v>
      </c>
      <c r="I6335" t="s">
        <v>10</v>
      </c>
    </row>
    <row r="6336" spans="1:9" x14ac:dyDescent="0.25">
      <c r="A6336" t="str">
        <f t="shared" si="151"/>
        <v>89301000</v>
      </c>
      <c r="B6336" t="str">
        <f t="shared" ref="B6336:B6341" si="152">"521107221"</f>
        <v>521107221</v>
      </c>
      <c r="C6336" s="1">
        <v>45104</v>
      </c>
      <c r="D6336" s="1">
        <v>45108</v>
      </c>
      <c r="E6336">
        <v>1</v>
      </c>
      <c r="F6336" t="str">
        <f>"08-K09-01"</f>
        <v>08-K09-01</v>
      </c>
      <c r="G6336">
        <v>1.2699</v>
      </c>
      <c r="H6336" t="s">
        <v>11</v>
      </c>
      <c r="I6336" t="s">
        <v>10</v>
      </c>
    </row>
    <row r="6337" spans="1:9" x14ac:dyDescent="0.25">
      <c r="A6337" t="str">
        <f t="shared" si="151"/>
        <v>89301000</v>
      </c>
      <c r="B6337" t="str">
        <f t="shared" si="152"/>
        <v>521107221</v>
      </c>
      <c r="C6337" s="1">
        <v>44938</v>
      </c>
      <c r="D6337" s="1">
        <v>44943</v>
      </c>
      <c r="E6337">
        <v>1</v>
      </c>
      <c r="F6337" t="str">
        <f>"08-C03-02"</f>
        <v>08-C03-02</v>
      </c>
      <c r="G6337">
        <v>1.0185</v>
      </c>
      <c r="H6337" t="s">
        <v>11</v>
      </c>
      <c r="I6337" t="s">
        <v>10</v>
      </c>
    </row>
    <row r="6338" spans="1:9" x14ac:dyDescent="0.25">
      <c r="A6338" t="str">
        <f t="shared" si="151"/>
        <v>89301000</v>
      </c>
      <c r="B6338" t="str">
        <f t="shared" si="152"/>
        <v>521107221</v>
      </c>
      <c r="C6338" s="1">
        <v>44959</v>
      </c>
      <c r="D6338" s="1">
        <v>44964</v>
      </c>
      <c r="E6338">
        <v>1</v>
      </c>
      <c r="F6338" t="str">
        <f>"08-C03-02"</f>
        <v>08-C03-02</v>
      </c>
      <c r="G6338">
        <v>1.0185</v>
      </c>
      <c r="H6338" t="s">
        <v>11</v>
      </c>
      <c r="I6338" t="s">
        <v>10</v>
      </c>
    </row>
    <row r="6339" spans="1:9" x14ac:dyDescent="0.25">
      <c r="A6339" t="str">
        <f t="shared" si="151"/>
        <v>89301000</v>
      </c>
      <c r="B6339" t="str">
        <f t="shared" si="152"/>
        <v>521107221</v>
      </c>
      <c r="C6339" s="1">
        <v>44980</v>
      </c>
      <c r="D6339" s="1">
        <v>44985</v>
      </c>
      <c r="E6339">
        <v>1</v>
      </c>
      <c r="F6339" t="str">
        <f>"08-C03-02"</f>
        <v>08-C03-02</v>
      </c>
      <c r="G6339">
        <v>1.0185</v>
      </c>
      <c r="H6339" t="s">
        <v>11</v>
      </c>
      <c r="I6339" t="s">
        <v>10</v>
      </c>
    </row>
    <row r="6340" spans="1:9" x14ac:dyDescent="0.25">
      <c r="A6340" t="str">
        <f t="shared" si="151"/>
        <v>89301000</v>
      </c>
      <c r="B6340" t="str">
        <f t="shared" si="152"/>
        <v>521107221</v>
      </c>
      <c r="C6340" s="1">
        <v>45001</v>
      </c>
      <c r="D6340" s="1">
        <v>45006</v>
      </c>
      <c r="E6340">
        <v>1</v>
      </c>
      <c r="F6340" t="str">
        <f>"08-C03-02"</f>
        <v>08-C03-02</v>
      </c>
      <c r="G6340">
        <v>1.0185</v>
      </c>
      <c r="H6340" t="s">
        <v>11</v>
      </c>
      <c r="I6340" t="s">
        <v>10</v>
      </c>
    </row>
    <row r="6341" spans="1:9" x14ac:dyDescent="0.25">
      <c r="A6341" t="str">
        <f t="shared" si="151"/>
        <v>89301000</v>
      </c>
      <c r="B6341" t="str">
        <f t="shared" si="152"/>
        <v>521107221</v>
      </c>
      <c r="C6341" s="1">
        <v>45077</v>
      </c>
      <c r="D6341" s="1">
        <v>45078</v>
      </c>
      <c r="E6341">
        <v>1</v>
      </c>
      <c r="F6341" t="str">
        <f>"08-C03-02"</f>
        <v>08-C03-02</v>
      </c>
      <c r="G6341">
        <v>1.0185</v>
      </c>
      <c r="H6341" t="s">
        <v>11</v>
      </c>
      <c r="I6341" t="s">
        <v>10</v>
      </c>
    </row>
    <row r="6342" spans="1:9" x14ac:dyDescent="0.25">
      <c r="A6342" t="str">
        <f t="shared" si="151"/>
        <v>89301000</v>
      </c>
      <c r="B6342" t="str">
        <f>"521107230"</f>
        <v>521107230</v>
      </c>
      <c r="C6342" s="1">
        <v>45016</v>
      </c>
      <c r="D6342" s="1">
        <v>45021</v>
      </c>
      <c r="E6342">
        <v>1</v>
      </c>
      <c r="F6342" t="str">
        <f>"06-K14-02"</f>
        <v>06-K14-02</v>
      </c>
      <c r="G6342">
        <v>0.67410000000000003</v>
      </c>
      <c r="H6342" t="s">
        <v>11</v>
      </c>
      <c r="I6342" t="s">
        <v>10</v>
      </c>
    </row>
    <row r="6343" spans="1:9" x14ac:dyDescent="0.25">
      <c r="A6343" t="str">
        <f t="shared" si="151"/>
        <v>89301000</v>
      </c>
      <c r="B6343" t="str">
        <f>"521110110"</f>
        <v>521110110</v>
      </c>
      <c r="C6343" s="1">
        <v>45174</v>
      </c>
      <c r="D6343" s="1">
        <v>45188</v>
      </c>
      <c r="E6343">
        <v>1</v>
      </c>
      <c r="F6343" t="str">
        <f>"05-I16-04"</f>
        <v>05-I16-04</v>
      </c>
      <c r="G6343">
        <v>6.2375999999999996</v>
      </c>
      <c r="H6343" t="s">
        <v>14</v>
      </c>
      <c r="I6343" t="s">
        <v>10</v>
      </c>
    </row>
    <row r="6344" spans="1:9" x14ac:dyDescent="0.25">
      <c r="A6344" t="str">
        <f t="shared" si="151"/>
        <v>89301000</v>
      </c>
      <c r="B6344" t="str">
        <f>"521116370"</f>
        <v>521116370</v>
      </c>
      <c r="C6344" s="1">
        <v>45149</v>
      </c>
      <c r="D6344" s="1">
        <v>45156</v>
      </c>
      <c r="E6344">
        <v>1</v>
      </c>
      <c r="F6344" t="str">
        <f>"05-I16-04"</f>
        <v>05-I16-04</v>
      </c>
      <c r="G6344">
        <v>6.2375999999999996</v>
      </c>
      <c r="H6344" t="s">
        <v>14</v>
      </c>
      <c r="I6344" t="s">
        <v>10</v>
      </c>
    </row>
    <row r="6345" spans="1:9" x14ac:dyDescent="0.25">
      <c r="A6345" t="str">
        <f t="shared" si="151"/>
        <v>89301000</v>
      </c>
      <c r="B6345" t="str">
        <f>"521117098"</f>
        <v>521117098</v>
      </c>
      <c r="C6345" s="1">
        <v>45068</v>
      </c>
      <c r="D6345" s="1">
        <v>45073</v>
      </c>
      <c r="E6345">
        <v>1</v>
      </c>
      <c r="F6345" t="str">
        <f>"12-I03-01"</f>
        <v>12-I03-01</v>
      </c>
      <c r="G6345">
        <v>2.6934999999999998</v>
      </c>
      <c r="H6345" t="s">
        <v>9</v>
      </c>
      <c r="I6345" t="s">
        <v>10</v>
      </c>
    </row>
    <row r="6346" spans="1:9" x14ac:dyDescent="0.25">
      <c r="A6346" t="str">
        <f t="shared" ref="A6346:A6409" si="153">"89301000"</f>
        <v>89301000</v>
      </c>
      <c r="B6346" t="str">
        <f>"521117102"</f>
        <v>521117102</v>
      </c>
      <c r="C6346" s="1">
        <v>45055</v>
      </c>
      <c r="D6346" s="1">
        <v>45061</v>
      </c>
      <c r="E6346">
        <v>1</v>
      </c>
      <c r="F6346" t="str">
        <f>"12-I03-01"</f>
        <v>12-I03-01</v>
      </c>
      <c r="G6346">
        <v>2.6934999999999998</v>
      </c>
      <c r="H6346" t="s">
        <v>9</v>
      </c>
      <c r="I6346" t="s">
        <v>10</v>
      </c>
    </row>
    <row r="6347" spans="1:9" x14ac:dyDescent="0.25">
      <c r="A6347" t="str">
        <f t="shared" si="153"/>
        <v>89301000</v>
      </c>
      <c r="B6347" t="str">
        <f>"521117133"</f>
        <v>521117133</v>
      </c>
      <c r="C6347" s="1">
        <v>45119</v>
      </c>
      <c r="D6347" s="1">
        <v>45120</v>
      </c>
      <c r="E6347">
        <v>1</v>
      </c>
      <c r="F6347" t="str">
        <f>"04-K10-02"</f>
        <v>04-K10-02</v>
      </c>
      <c r="G6347">
        <v>0.42270000000000002</v>
      </c>
      <c r="H6347" t="s">
        <v>11</v>
      </c>
      <c r="I6347" t="s">
        <v>10</v>
      </c>
    </row>
    <row r="6348" spans="1:9" x14ac:dyDescent="0.25">
      <c r="A6348" t="str">
        <f t="shared" si="153"/>
        <v>89301000</v>
      </c>
      <c r="B6348" t="str">
        <f>"521117283"</f>
        <v>521117283</v>
      </c>
      <c r="C6348" s="1">
        <v>45144</v>
      </c>
      <c r="D6348" s="1">
        <v>45148</v>
      </c>
      <c r="E6348">
        <v>1</v>
      </c>
      <c r="F6348" t="str">
        <f>"07-K05-01"</f>
        <v>07-K05-01</v>
      </c>
      <c r="G6348">
        <v>1.4736</v>
      </c>
      <c r="H6348" t="s">
        <v>11</v>
      </c>
      <c r="I6348" t="s">
        <v>10</v>
      </c>
    </row>
    <row r="6349" spans="1:9" x14ac:dyDescent="0.25">
      <c r="A6349" t="str">
        <f t="shared" si="153"/>
        <v>89301000</v>
      </c>
      <c r="B6349" t="str">
        <f>"521119255"</f>
        <v>521119255</v>
      </c>
      <c r="C6349" s="1">
        <v>45044</v>
      </c>
      <c r="D6349" s="1">
        <v>45044</v>
      </c>
      <c r="E6349">
        <v>1</v>
      </c>
      <c r="F6349" t="str">
        <f>"05-M06-04"</f>
        <v>05-M06-04</v>
      </c>
      <c r="G6349">
        <v>2.0196000000000001</v>
      </c>
      <c r="H6349" t="s">
        <v>12</v>
      </c>
      <c r="I6349" t="s">
        <v>10</v>
      </c>
    </row>
    <row r="6350" spans="1:9" x14ac:dyDescent="0.25">
      <c r="A6350" t="str">
        <f t="shared" si="153"/>
        <v>89301000</v>
      </c>
      <c r="B6350" t="str">
        <f>"521122218"</f>
        <v>521122218</v>
      </c>
      <c r="C6350" s="1">
        <v>45272</v>
      </c>
      <c r="D6350" s="1">
        <v>45280</v>
      </c>
      <c r="E6350">
        <v>4</v>
      </c>
      <c r="F6350" t="str">
        <f>"01-K10-03"</f>
        <v>01-K10-03</v>
      </c>
      <c r="G6350">
        <v>1.5911</v>
      </c>
      <c r="H6350" t="s">
        <v>11</v>
      </c>
      <c r="I6350" t="s">
        <v>10</v>
      </c>
    </row>
    <row r="6351" spans="1:9" x14ac:dyDescent="0.25">
      <c r="A6351" t="str">
        <f t="shared" si="153"/>
        <v>89301000</v>
      </c>
      <c r="B6351" t="str">
        <f>"521129181"</f>
        <v>521129181</v>
      </c>
      <c r="C6351" s="1">
        <v>45087</v>
      </c>
      <c r="D6351" s="1">
        <v>45101</v>
      </c>
      <c r="E6351">
        <v>1</v>
      </c>
      <c r="F6351" t="str">
        <f>"04-I04-00"</f>
        <v>04-I04-00</v>
      </c>
      <c r="G6351">
        <v>3.5663999999999998</v>
      </c>
      <c r="H6351" t="s">
        <v>12</v>
      </c>
      <c r="I6351" t="s">
        <v>10</v>
      </c>
    </row>
    <row r="6352" spans="1:9" x14ac:dyDescent="0.25">
      <c r="A6352" t="str">
        <f t="shared" si="153"/>
        <v>89301000</v>
      </c>
      <c r="B6352" t="str">
        <f>"521129181"</f>
        <v>521129181</v>
      </c>
      <c r="C6352" s="1">
        <v>45277</v>
      </c>
      <c r="D6352" s="1">
        <v>45282</v>
      </c>
      <c r="E6352">
        <v>1</v>
      </c>
      <c r="F6352" t="str">
        <f>"05-D01-06"</f>
        <v>05-D01-06</v>
      </c>
      <c r="G6352">
        <v>0.7571</v>
      </c>
      <c r="H6352" t="s">
        <v>11</v>
      </c>
      <c r="I6352" t="s">
        <v>10</v>
      </c>
    </row>
    <row r="6353" spans="1:9" x14ac:dyDescent="0.25">
      <c r="A6353" t="str">
        <f t="shared" si="153"/>
        <v>89301000</v>
      </c>
      <c r="B6353" t="str">
        <f>"521202198"</f>
        <v>521202198</v>
      </c>
      <c r="C6353" s="1">
        <v>45190</v>
      </c>
      <c r="D6353" s="1">
        <v>45192</v>
      </c>
      <c r="E6353">
        <v>1</v>
      </c>
      <c r="F6353" t="str">
        <f>"05-M05-02"</f>
        <v>05-M05-02</v>
      </c>
      <c r="G6353">
        <v>3.4817999999999998</v>
      </c>
      <c r="H6353" t="s">
        <v>14</v>
      </c>
      <c r="I6353" t="s">
        <v>10</v>
      </c>
    </row>
    <row r="6354" spans="1:9" x14ac:dyDescent="0.25">
      <c r="A6354" t="str">
        <f t="shared" si="153"/>
        <v>89301000</v>
      </c>
      <c r="B6354" t="str">
        <f>"521204004"</f>
        <v>521204004</v>
      </c>
      <c r="C6354" s="1">
        <v>45030</v>
      </c>
      <c r="D6354" s="1">
        <v>45035</v>
      </c>
      <c r="E6354">
        <v>1</v>
      </c>
      <c r="F6354" t="str">
        <f>"04-I09-02"</f>
        <v>04-I09-02</v>
      </c>
      <c r="G6354">
        <v>0.89080000000000004</v>
      </c>
      <c r="H6354" t="s">
        <v>11</v>
      </c>
      <c r="I6354" t="s">
        <v>10</v>
      </c>
    </row>
    <row r="6355" spans="1:9" x14ac:dyDescent="0.25">
      <c r="A6355" t="str">
        <f t="shared" si="153"/>
        <v>89301000</v>
      </c>
      <c r="B6355" t="str">
        <f>"521204004"</f>
        <v>521204004</v>
      </c>
      <c r="C6355" s="1">
        <v>44987</v>
      </c>
      <c r="D6355" s="1">
        <v>44992</v>
      </c>
      <c r="E6355">
        <v>1</v>
      </c>
      <c r="F6355" t="str">
        <f>"04-K10-02"</f>
        <v>04-K10-02</v>
      </c>
      <c r="G6355">
        <v>0.40129999999999999</v>
      </c>
      <c r="H6355" t="s">
        <v>11</v>
      </c>
      <c r="I6355" t="s">
        <v>10</v>
      </c>
    </row>
    <row r="6356" spans="1:9" x14ac:dyDescent="0.25">
      <c r="A6356" t="str">
        <f t="shared" si="153"/>
        <v>89301000</v>
      </c>
      <c r="B6356" t="str">
        <f>"521204004"</f>
        <v>521204004</v>
      </c>
      <c r="C6356" s="1">
        <v>44929</v>
      </c>
      <c r="D6356" s="1">
        <v>44932</v>
      </c>
      <c r="E6356">
        <v>1</v>
      </c>
      <c r="F6356" t="str">
        <f>"04-K10-02"</f>
        <v>04-K10-02</v>
      </c>
      <c r="G6356">
        <v>0.42270000000000002</v>
      </c>
      <c r="H6356" t="s">
        <v>11</v>
      </c>
      <c r="I6356" t="s">
        <v>10</v>
      </c>
    </row>
    <row r="6357" spans="1:9" x14ac:dyDescent="0.25">
      <c r="A6357" t="str">
        <f t="shared" si="153"/>
        <v>89301000</v>
      </c>
      <c r="B6357" t="str">
        <f>"521205030"</f>
        <v>521205030</v>
      </c>
      <c r="C6357" s="1">
        <v>45018</v>
      </c>
      <c r="D6357" s="1">
        <v>45022</v>
      </c>
      <c r="E6357">
        <v>5</v>
      </c>
      <c r="F6357" t="str">
        <f>"01-K10-03"</f>
        <v>01-K10-03</v>
      </c>
      <c r="G6357">
        <v>1.0443</v>
      </c>
      <c r="H6357" t="s">
        <v>11</v>
      </c>
      <c r="I6357" t="s">
        <v>10</v>
      </c>
    </row>
    <row r="6358" spans="1:9" x14ac:dyDescent="0.25">
      <c r="A6358" t="str">
        <f t="shared" si="153"/>
        <v>89301000</v>
      </c>
      <c r="B6358" t="str">
        <f>"521212137"</f>
        <v>521212137</v>
      </c>
      <c r="C6358" s="1">
        <v>45008</v>
      </c>
      <c r="D6358" s="1">
        <v>45014</v>
      </c>
      <c r="E6358">
        <v>1</v>
      </c>
      <c r="F6358" t="str">
        <f>"09-K04-01"</f>
        <v>09-K04-01</v>
      </c>
      <c r="G6358">
        <v>0.80930000000000002</v>
      </c>
      <c r="H6358" t="s">
        <v>11</v>
      </c>
      <c r="I6358" t="s">
        <v>10</v>
      </c>
    </row>
    <row r="6359" spans="1:9" x14ac:dyDescent="0.25">
      <c r="A6359" t="str">
        <f t="shared" si="153"/>
        <v>89301000</v>
      </c>
      <c r="B6359" t="str">
        <f>"521216080"</f>
        <v>521216080</v>
      </c>
      <c r="C6359" s="1">
        <v>45133</v>
      </c>
      <c r="D6359" s="1">
        <v>45142</v>
      </c>
      <c r="E6359">
        <v>1</v>
      </c>
      <c r="F6359" t="str">
        <f>"06-K01-03"</f>
        <v>06-K01-03</v>
      </c>
      <c r="G6359">
        <v>0.91659999999999997</v>
      </c>
      <c r="H6359" t="s">
        <v>11</v>
      </c>
      <c r="I6359" t="s">
        <v>10</v>
      </c>
    </row>
    <row r="6360" spans="1:9" x14ac:dyDescent="0.25">
      <c r="A6360" t="str">
        <f t="shared" si="153"/>
        <v>89301000</v>
      </c>
      <c r="B6360" t="str">
        <f>"521216080"</f>
        <v>521216080</v>
      </c>
      <c r="C6360" s="1">
        <v>44928</v>
      </c>
      <c r="D6360" s="1">
        <v>44931</v>
      </c>
      <c r="E6360">
        <v>1</v>
      </c>
      <c r="F6360" t="str">
        <f>"05-I25-02"</f>
        <v>05-I25-02</v>
      </c>
      <c r="G6360">
        <v>2.9415</v>
      </c>
      <c r="H6360" t="s">
        <v>12</v>
      </c>
      <c r="I6360" t="s">
        <v>10</v>
      </c>
    </row>
    <row r="6361" spans="1:9" x14ac:dyDescent="0.25">
      <c r="A6361" t="str">
        <f t="shared" si="153"/>
        <v>89301000</v>
      </c>
      <c r="B6361" t="str">
        <f>"521216080"</f>
        <v>521216080</v>
      </c>
      <c r="C6361" s="1">
        <v>44963</v>
      </c>
      <c r="D6361" s="1">
        <v>44988</v>
      </c>
      <c r="E6361">
        <v>4</v>
      </c>
      <c r="F6361" t="str">
        <f>"05-K14-02"</f>
        <v>05-K14-02</v>
      </c>
      <c r="G6361">
        <v>1.5129999999999999</v>
      </c>
      <c r="H6361" t="s">
        <v>11</v>
      </c>
      <c r="I6361" t="s">
        <v>10</v>
      </c>
    </row>
    <row r="6362" spans="1:9" x14ac:dyDescent="0.25">
      <c r="A6362" t="str">
        <f t="shared" si="153"/>
        <v>89301000</v>
      </c>
      <c r="B6362" t="str">
        <f>"521216080"</f>
        <v>521216080</v>
      </c>
      <c r="C6362" s="1">
        <v>45104</v>
      </c>
      <c r="D6362" s="1">
        <v>45117</v>
      </c>
      <c r="E6362">
        <v>1</v>
      </c>
      <c r="F6362" t="str">
        <f>"11-K01-01"</f>
        <v>11-K01-01</v>
      </c>
      <c r="G6362">
        <v>1.377</v>
      </c>
      <c r="H6362" t="s">
        <v>11</v>
      </c>
      <c r="I6362" t="s">
        <v>10</v>
      </c>
    </row>
    <row r="6363" spans="1:9" x14ac:dyDescent="0.25">
      <c r="A6363" t="str">
        <f t="shared" si="153"/>
        <v>89301000</v>
      </c>
      <c r="B6363" t="str">
        <f>"521222015"</f>
        <v>521222015</v>
      </c>
      <c r="C6363" s="1">
        <v>45036</v>
      </c>
      <c r="D6363" s="1">
        <v>45040</v>
      </c>
      <c r="E6363">
        <v>1</v>
      </c>
      <c r="F6363" t="str">
        <f>"01-D01-03"</f>
        <v>01-D01-03</v>
      </c>
      <c r="G6363">
        <v>0.25919999999999999</v>
      </c>
      <c r="H6363" t="s">
        <v>11</v>
      </c>
      <c r="I6363" t="s">
        <v>10</v>
      </c>
    </row>
    <row r="6364" spans="1:9" x14ac:dyDescent="0.25">
      <c r="A6364" t="str">
        <f t="shared" si="153"/>
        <v>89301000</v>
      </c>
      <c r="B6364" t="str">
        <f>"521230208"</f>
        <v>521230208</v>
      </c>
      <c r="C6364" s="1">
        <v>45282</v>
      </c>
      <c r="D6364" s="1">
        <v>45287</v>
      </c>
      <c r="E6364">
        <v>1</v>
      </c>
      <c r="F6364" t="str">
        <f>"01-I08-04"</f>
        <v>01-I08-04</v>
      </c>
      <c r="G6364">
        <v>1.4927999999999999</v>
      </c>
      <c r="H6364" t="s">
        <v>14</v>
      </c>
      <c r="I6364" t="s">
        <v>10</v>
      </c>
    </row>
    <row r="6365" spans="1:9" x14ac:dyDescent="0.25">
      <c r="A6365" t="str">
        <f t="shared" si="153"/>
        <v>89301000</v>
      </c>
      <c r="B6365" t="str">
        <f>"525106137"</f>
        <v>525106137</v>
      </c>
      <c r="C6365" s="1">
        <v>45237</v>
      </c>
      <c r="D6365" s="1">
        <v>45245</v>
      </c>
      <c r="E6365">
        <v>1</v>
      </c>
      <c r="F6365" t="str">
        <f>"05-I24-02"</f>
        <v>05-I24-02</v>
      </c>
      <c r="G6365">
        <v>3.9392</v>
      </c>
      <c r="H6365" t="s">
        <v>12</v>
      </c>
      <c r="I6365" t="s">
        <v>10</v>
      </c>
    </row>
    <row r="6366" spans="1:9" x14ac:dyDescent="0.25">
      <c r="A6366" t="str">
        <f t="shared" si="153"/>
        <v>89301000</v>
      </c>
      <c r="B6366" t="str">
        <f>"525112060"</f>
        <v>525112060</v>
      </c>
      <c r="C6366" s="1">
        <v>44930</v>
      </c>
      <c r="D6366" s="1">
        <v>44943</v>
      </c>
      <c r="E6366">
        <v>2</v>
      </c>
      <c r="F6366" t="str">
        <f>"11-K02-03"</f>
        <v>11-K02-03</v>
      </c>
      <c r="G6366">
        <v>0.86360000000000003</v>
      </c>
      <c r="H6366" t="s">
        <v>11</v>
      </c>
      <c r="I6366" t="s">
        <v>10</v>
      </c>
    </row>
    <row r="6367" spans="1:9" x14ac:dyDescent="0.25">
      <c r="A6367" t="str">
        <f t="shared" si="153"/>
        <v>89301000</v>
      </c>
      <c r="B6367" t="str">
        <f>"525115079"</f>
        <v>525115079</v>
      </c>
      <c r="C6367" s="1">
        <v>45135</v>
      </c>
      <c r="D6367" s="1">
        <v>45142</v>
      </c>
      <c r="E6367">
        <v>1</v>
      </c>
      <c r="F6367" t="str">
        <f>"04-K06-02"</f>
        <v>04-K06-02</v>
      </c>
      <c r="G6367">
        <v>1.0127999999999999</v>
      </c>
      <c r="H6367" t="s">
        <v>11</v>
      </c>
      <c r="I6367" t="s">
        <v>10</v>
      </c>
    </row>
    <row r="6368" spans="1:9" x14ac:dyDescent="0.25">
      <c r="A6368" t="str">
        <f t="shared" si="153"/>
        <v>89301000</v>
      </c>
      <c r="B6368" t="str">
        <f>"525131081"</f>
        <v>525131081</v>
      </c>
      <c r="C6368" s="1">
        <v>45210</v>
      </c>
      <c r="D6368" s="1">
        <v>45215</v>
      </c>
      <c r="E6368">
        <v>1</v>
      </c>
      <c r="F6368" t="str">
        <f>"13-I04-01"</f>
        <v>13-I04-01</v>
      </c>
      <c r="G6368">
        <v>2.8856000000000002</v>
      </c>
      <c r="H6368" t="s">
        <v>14</v>
      </c>
      <c r="I6368" t="s">
        <v>10</v>
      </c>
    </row>
    <row r="6369" spans="1:9" x14ac:dyDescent="0.25">
      <c r="A6369" t="str">
        <f t="shared" si="153"/>
        <v>89301000</v>
      </c>
      <c r="B6369" t="str">
        <f>"525131081"</f>
        <v>525131081</v>
      </c>
      <c r="C6369" s="1">
        <v>45148</v>
      </c>
      <c r="D6369" s="1">
        <v>45148</v>
      </c>
      <c r="E6369">
        <v>6</v>
      </c>
      <c r="F6369" t="str">
        <f>"13-I19-00"</f>
        <v>13-I19-00</v>
      </c>
      <c r="G6369">
        <v>0.14130000000000001</v>
      </c>
      <c r="H6369" t="s">
        <v>11</v>
      </c>
      <c r="I6369" t="s">
        <v>10</v>
      </c>
    </row>
    <row r="6370" spans="1:9" x14ac:dyDescent="0.25">
      <c r="A6370" t="str">
        <f t="shared" si="153"/>
        <v>89301000</v>
      </c>
      <c r="B6370" t="str">
        <f>"525210019"</f>
        <v>525210019</v>
      </c>
      <c r="C6370" s="1">
        <v>45135</v>
      </c>
      <c r="D6370" s="1">
        <v>45135</v>
      </c>
      <c r="E6370">
        <v>1</v>
      </c>
      <c r="F6370" t="str">
        <f>"05-K04-02"</f>
        <v>05-K04-02</v>
      </c>
      <c r="G6370">
        <v>0.19259999999999999</v>
      </c>
      <c r="H6370" t="s">
        <v>11</v>
      </c>
      <c r="I6370" t="s">
        <v>10</v>
      </c>
    </row>
    <row r="6371" spans="1:9" x14ac:dyDescent="0.25">
      <c r="A6371" t="str">
        <f t="shared" si="153"/>
        <v>89301000</v>
      </c>
      <c r="B6371" t="str">
        <f>"525210019"</f>
        <v>525210019</v>
      </c>
      <c r="C6371" s="1">
        <v>45089</v>
      </c>
      <c r="D6371" s="1">
        <v>45091</v>
      </c>
      <c r="E6371">
        <v>1</v>
      </c>
      <c r="F6371" t="str">
        <f>"05-K07-05"</f>
        <v>05-K07-05</v>
      </c>
      <c r="G6371">
        <v>0.74719999999999998</v>
      </c>
      <c r="H6371" t="s">
        <v>11</v>
      </c>
      <c r="I6371" t="s">
        <v>10</v>
      </c>
    </row>
    <row r="6372" spans="1:9" x14ac:dyDescent="0.25">
      <c r="A6372" t="str">
        <f t="shared" si="153"/>
        <v>89301000</v>
      </c>
      <c r="B6372" t="str">
        <f>"525219127"</f>
        <v>525219127</v>
      </c>
      <c r="C6372" s="1">
        <v>44986</v>
      </c>
      <c r="D6372" s="1">
        <v>44988</v>
      </c>
      <c r="E6372">
        <v>1</v>
      </c>
      <c r="F6372" t="str">
        <f>"05-I14-03"</f>
        <v>05-I14-03</v>
      </c>
      <c r="G6372">
        <v>6.0362</v>
      </c>
      <c r="H6372" t="s">
        <v>12</v>
      </c>
      <c r="I6372" t="s">
        <v>10</v>
      </c>
    </row>
    <row r="6373" spans="1:9" x14ac:dyDescent="0.25">
      <c r="A6373" t="str">
        <f t="shared" si="153"/>
        <v>89301000</v>
      </c>
      <c r="B6373" t="str">
        <f>"525221136"</f>
        <v>525221136</v>
      </c>
      <c r="C6373" s="1">
        <v>45090</v>
      </c>
      <c r="D6373" s="1">
        <v>45094</v>
      </c>
      <c r="E6373">
        <v>1</v>
      </c>
      <c r="F6373" t="str">
        <f>"17-C05-05"</f>
        <v>17-C05-05</v>
      </c>
      <c r="G6373">
        <v>0.66069999999999995</v>
      </c>
      <c r="H6373" t="s">
        <v>11</v>
      </c>
      <c r="I6373" t="s">
        <v>10</v>
      </c>
    </row>
    <row r="6374" spans="1:9" x14ac:dyDescent="0.25">
      <c r="A6374" t="str">
        <f t="shared" si="153"/>
        <v>89301000</v>
      </c>
      <c r="B6374" t="str">
        <f>"525221136"</f>
        <v>525221136</v>
      </c>
      <c r="C6374" s="1">
        <v>45061</v>
      </c>
      <c r="D6374" s="1">
        <v>45063</v>
      </c>
      <c r="E6374">
        <v>1</v>
      </c>
      <c r="F6374" t="str">
        <f>"17-K05-02"</f>
        <v>17-K05-02</v>
      </c>
      <c r="G6374">
        <v>0.71850000000000003</v>
      </c>
      <c r="H6374" t="s">
        <v>11</v>
      </c>
      <c r="I6374" t="s">
        <v>10</v>
      </c>
    </row>
    <row r="6375" spans="1:9" x14ac:dyDescent="0.25">
      <c r="A6375" t="str">
        <f t="shared" si="153"/>
        <v>89301000</v>
      </c>
      <c r="B6375" t="str">
        <f>"525221136"</f>
        <v>525221136</v>
      </c>
      <c r="C6375" s="1">
        <v>45223</v>
      </c>
      <c r="D6375" s="1">
        <v>45225</v>
      </c>
      <c r="E6375">
        <v>1</v>
      </c>
      <c r="F6375" t="str">
        <f>"08-I03-06"</f>
        <v>08-I03-06</v>
      </c>
      <c r="G6375">
        <v>2.3172000000000001</v>
      </c>
      <c r="H6375" t="s">
        <v>9</v>
      </c>
      <c r="I6375" t="s">
        <v>10</v>
      </c>
    </row>
    <row r="6376" spans="1:9" x14ac:dyDescent="0.25">
      <c r="A6376" t="str">
        <f t="shared" si="153"/>
        <v>89301000</v>
      </c>
      <c r="B6376" t="str">
        <f>"525221148"</f>
        <v>525221148</v>
      </c>
      <c r="C6376" s="1">
        <v>45160</v>
      </c>
      <c r="D6376" s="1">
        <v>45163</v>
      </c>
      <c r="E6376">
        <v>1</v>
      </c>
      <c r="F6376" t="str">
        <f>"05-M06-06"</f>
        <v>05-M06-06</v>
      </c>
      <c r="G6376">
        <v>1.8264</v>
      </c>
      <c r="H6376" t="s">
        <v>12</v>
      </c>
      <c r="I6376" t="s">
        <v>10</v>
      </c>
    </row>
    <row r="6377" spans="1:9" x14ac:dyDescent="0.25">
      <c r="A6377" t="str">
        <f t="shared" si="153"/>
        <v>89301000</v>
      </c>
      <c r="B6377" t="str">
        <f>"525221148"</f>
        <v>525221148</v>
      </c>
      <c r="C6377" s="1">
        <v>45201</v>
      </c>
      <c r="D6377" s="1">
        <v>45202</v>
      </c>
      <c r="E6377">
        <v>1</v>
      </c>
      <c r="F6377" t="str">
        <f>"05-M06-08"</f>
        <v>05-M06-08</v>
      </c>
      <c r="G6377">
        <v>1.4228000000000001</v>
      </c>
      <c r="H6377" t="s">
        <v>12</v>
      </c>
      <c r="I6377" t="s">
        <v>10</v>
      </c>
    </row>
    <row r="6378" spans="1:9" x14ac:dyDescent="0.25">
      <c r="A6378" t="str">
        <f t="shared" si="153"/>
        <v>89301000</v>
      </c>
      <c r="B6378" t="str">
        <f>"525222078"</f>
        <v>525222078</v>
      </c>
      <c r="C6378" s="1">
        <v>45182</v>
      </c>
      <c r="D6378" s="1">
        <v>45186</v>
      </c>
      <c r="E6378">
        <v>1</v>
      </c>
      <c r="F6378" t="str">
        <f>"13-I11-03"</f>
        <v>13-I11-03</v>
      </c>
      <c r="G6378">
        <v>1.9227000000000001</v>
      </c>
      <c r="H6378" t="s">
        <v>9</v>
      </c>
      <c r="I6378" t="s">
        <v>10</v>
      </c>
    </row>
    <row r="6379" spans="1:9" x14ac:dyDescent="0.25">
      <c r="A6379" t="str">
        <f t="shared" si="153"/>
        <v>89301000</v>
      </c>
      <c r="B6379" t="str">
        <f>"525226041"</f>
        <v>525226041</v>
      </c>
      <c r="C6379" s="1">
        <v>44942</v>
      </c>
      <c r="D6379" s="1">
        <v>44944</v>
      </c>
      <c r="E6379">
        <v>1</v>
      </c>
      <c r="F6379" t="str">
        <f>"08-I32-00"</f>
        <v>08-I32-00</v>
      </c>
      <c r="G6379">
        <v>0.4093</v>
      </c>
      <c r="H6379" t="s">
        <v>11</v>
      </c>
      <c r="I6379" t="s">
        <v>10</v>
      </c>
    </row>
    <row r="6380" spans="1:9" x14ac:dyDescent="0.25">
      <c r="A6380" t="str">
        <f t="shared" si="153"/>
        <v>89301000</v>
      </c>
      <c r="B6380" t="str">
        <f>"525228102"</f>
        <v>525228102</v>
      </c>
      <c r="C6380" s="1">
        <v>45098</v>
      </c>
      <c r="D6380" s="1">
        <v>45107</v>
      </c>
      <c r="E6380">
        <v>1</v>
      </c>
      <c r="F6380" t="str">
        <f>"06-K18-00"</f>
        <v>06-K18-00</v>
      </c>
      <c r="G6380">
        <v>0.39789999999999998</v>
      </c>
      <c r="H6380" t="s">
        <v>11</v>
      </c>
      <c r="I6380" t="s">
        <v>10</v>
      </c>
    </row>
    <row r="6381" spans="1:9" x14ac:dyDescent="0.25">
      <c r="A6381" t="str">
        <f t="shared" si="153"/>
        <v>89301000</v>
      </c>
      <c r="B6381" t="str">
        <f>"525228102"</f>
        <v>525228102</v>
      </c>
      <c r="C6381" s="1">
        <v>45063</v>
      </c>
      <c r="D6381" s="1">
        <v>45082</v>
      </c>
      <c r="E6381">
        <v>1</v>
      </c>
      <c r="F6381" t="str">
        <f>"06-I07-01"</f>
        <v>06-I07-01</v>
      </c>
      <c r="G6381">
        <v>8.7090999999999994</v>
      </c>
      <c r="H6381" t="s">
        <v>12</v>
      </c>
      <c r="I6381" t="s">
        <v>10</v>
      </c>
    </row>
    <row r="6382" spans="1:9" x14ac:dyDescent="0.25">
      <c r="A6382" t="str">
        <f t="shared" si="153"/>
        <v>89301000</v>
      </c>
      <c r="B6382" t="str">
        <f>"525228102"</f>
        <v>525228102</v>
      </c>
      <c r="C6382" s="1">
        <v>44979</v>
      </c>
      <c r="D6382" s="1">
        <v>44989</v>
      </c>
      <c r="E6382">
        <v>1</v>
      </c>
      <c r="F6382" t="str">
        <f>"06-I07-05"</f>
        <v>06-I07-05</v>
      </c>
      <c r="G6382">
        <v>2.7919999999999998</v>
      </c>
      <c r="H6382" t="s">
        <v>12</v>
      </c>
      <c r="I6382" t="s">
        <v>10</v>
      </c>
    </row>
    <row r="6383" spans="1:9" x14ac:dyDescent="0.25">
      <c r="A6383" t="str">
        <f t="shared" si="153"/>
        <v>89301000</v>
      </c>
      <c r="B6383" t="str">
        <f>"525228102"</f>
        <v>525228102</v>
      </c>
      <c r="C6383" s="1">
        <v>44939</v>
      </c>
      <c r="D6383" s="1">
        <v>44946</v>
      </c>
      <c r="E6383">
        <v>1</v>
      </c>
      <c r="F6383" t="str">
        <f>"03-K02-02"</f>
        <v>03-K02-02</v>
      </c>
      <c r="G6383">
        <v>0.58540000000000003</v>
      </c>
      <c r="H6383" t="s">
        <v>11</v>
      </c>
      <c r="I6383" t="s">
        <v>10</v>
      </c>
    </row>
    <row r="6384" spans="1:9" x14ac:dyDescent="0.25">
      <c r="A6384" t="str">
        <f t="shared" si="153"/>
        <v>89301000</v>
      </c>
      <c r="B6384" t="str">
        <f>"525228102"</f>
        <v>525228102</v>
      </c>
      <c r="C6384" s="1">
        <v>45258</v>
      </c>
      <c r="D6384" s="1">
        <v>45271</v>
      </c>
      <c r="E6384">
        <v>1</v>
      </c>
      <c r="F6384" t="str">
        <f>"06-I07-05"</f>
        <v>06-I07-05</v>
      </c>
      <c r="G6384">
        <v>2.7919999999999998</v>
      </c>
      <c r="H6384" t="s">
        <v>12</v>
      </c>
      <c r="I6384" t="s">
        <v>10</v>
      </c>
    </row>
    <row r="6385" spans="1:9" x14ac:dyDescent="0.25">
      <c r="A6385" t="str">
        <f t="shared" si="153"/>
        <v>89301000</v>
      </c>
      <c r="B6385" t="str">
        <f>"525308039"</f>
        <v>525308039</v>
      </c>
      <c r="C6385" s="1">
        <v>45037</v>
      </c>
      <c r="D6385" s="1">
        <v>45040</v>
      </c>
      <c r="E6385">
        <v>1</v>
      </c>
      <c r="F6385" t="str">
        <f>"01-D01-03"</f>
        <v>01-D01-03</v>
      </c>
      <c r="G6385">
        <v>0.21060000000000001</v>
      </c>
      <c r="H6385" t="s">
        <v>11</v>
      </c>
      <c r="I6385" t="s">
        <v>10</v>
      </c>
    </row>
    <row r="6386" spans="1:9" x14ac:dyDescent="0.25">
      <c r="A6386" t="str">
        <f t="shared" si="153"/>
        <v>89301000</v>
      </c>
      <c r="B6386" t="str">
        <f>"525308039"</f>
        <v>525308039</v>
      </c>
      <c r="C6386" s="1">
        <v>45104</v>
      </c>
      <c r="D6386" s="1">
        <v>45107</v>
      </c>
      <c r="E6386">
        <v>1</v>
      </c>
      <c r="F6386" t="str">
        <f>"05-M07-06"</f>
        <v>05-M07-06</v>
      </c>
      <c r="G6386">
        <v>1.2264999999999999</v>
      </c>
      <c r="H6386" t="s">
        <v>12</v>
      </c>
      <c r="I6386" t="s">
        <v>10</v>
      </c>
    </row>
    <row r="6387" spans="1:9" x14ac:dyDescent="0.25">
      <c r="A6387" t="str">
        <f t="shared" si="153"/>
        <v>89301000</v>
      </c>
      <c r="B6387" t="str">
        <f>"525310134"</f>
        <v>525310134</v>
      </c>
      <c r="C6387" s="1">
        <v>45020</v>
      </c>
      <c r="D6387" s="1">
        <v>45021</v>
      </c>
      <c r="E6387">
        <v>1</v>
      </c>
      <c r="F6387" t="str">
        <f>"05-D01-08"</f>
        <v>05-D01-08</v>
      </c>
      <c r="G6387">
        <v>0.43159999999999998</v>
      </c>
      <c r="H6387" t="s">
        <v>11</v>
      </c>
      <c r="I6387" t="s">
        <v>10</v>
      </c>
    </row>
    <row r="6388" spans="1:9" x14ac:dyDescent="0.25">
      <c r="A6388" t="str">
        <f t="shared" si="153"/>
        <v>89301000</v>
      </c>
      <c r="B6388" t="str">
        <f>"525310199"</f>
        <v>525310199</v>
      </c>
      <c r="C6388" s="1">
        <v>44999</v>
      </c>
      <c r="D6388" s="1">
        <v>45002</v>
      </c>
      <c r="E6388">
        <v>1</v>
      </c>
      <c r="F6388" t="str">
        <f>"05-K13-02"</f>
        <v>05-K13-02</v>
      </c>
      <c r="G6388">
        <v>0.57220000000000004</v>
      </c>
      <c r="H6388" t="s">
        <v>11</v>
      </c>
      <c r="I6388" t="s">
        <v>10</v>
      </c>
    </row>
    <row r="6389" spans="1:9" x14ac:dyDescent="0.25">
      <c r="A6389" t="str">
        <f t="shared" si="153"/>
        <v>89301000</v>
      </c>
      <c r="B6389" t="str">
        <f>"525315291"</f>
        <v>525315291</v>
      </c>
      <c r="C6389" s="1">
        <v>45186</v>
      </c>
      <c r="D6389" s="1">
        <v>45196</v>
      </c>
      <c r="E6389">
        <v>1</v>
      </c>
      <c r="F6389" t="str">
        <f>"07-M02-01"</f>
        <v>07-M02-01</v>
      </c>
      <c r="G6389">
        <v>2.5592000000000001</v>
      </c>
      <c r="H6389" t="s">
        <v>12</v>
      </c>
      <c r="I6389" t="s">
        <v>10</v>
      </c>
    </row>
    <row r="6390" spans="1:9" x14ac:dyDescent="0.25">
      <c r="A6390" t="str">
        <f t="shared" si="153"/>
        <v>89301000</v>
      </c>
      <c r="B6390" t="str">
        <f>"525317414"</f>
        <v>525317414</v>
      </c>
      <c r="C6390" s="1">
        <v>45014</v>
      </c>
      <c r="D6390" s="1">
        <v>45015</v>
      </c>
      <c r="E6390">
        <v>1</v>
      </c>
      <c r="F6390" t="str">
        <f>"23-K01-00"</f>
        <v>23-K01-00</v>
      </c>
      <c r="G6390">
        <v>0.1401</v>
      </c>
      <c r="H6390" t="s">
        <v>11</v>
      </c>
      <c r="I6390" t="s">
        <v>10</v>
      </c>
    </row>
    <row r="6391" spans="1:9" x14ac:dyDescent="0.25">
      <c r="A6391" t="str">
        <f t="shared" si="153"/>
        <v>89301000</v>
      </c>
      <c r="B6391" t="str">
        <f>"525317414"</f>
        <v>525317414</v>
      </c>
      <c r="C6391" s="1">
        <v>45021</v>
      </c>
      <c r="D6391" s="1">
        <v>45026</v>
      </c>
      <c r="E6391">
        <v>1</v>
      </c>
      <c r="F6391" t="str">
        <f>"13-I04-01"</f>
        <v>13-I04-01</v>
      </c>
      <c r="G6391">
        <v>2.8856000000000002</v>
      </c>
      <c r="H6391" t="s">
        <v>14</v>
      </c>
      <c r="I6391" t="s">
        <v>10</v>
      </c>
    </row>
    <row r="6392" spans="1:9" x14ac:dyDescent="0.25">
      <c r="A6392" t="str">
        <f t="shared" si="153"/>
        <v>89301000</v>
      </c>
      <c r="B6392" t="str">
        <f>"525320093"</f>
        <v>525320093</v>
      </c>
      <c r="C6392" s="1">
        <v>45224</v>
      </c>
      <c r="D6392" s="1">
        <v>45226</v>
      </c>
      <c r="E6392">
        <v>1</v>
      </c>
      <c r="F6392" t="str">
        <f>"01-K09-02"</f>
        <v>01-K09-02</v>
      </c>
      <c r="G6392">
        <v>0.63829999999999998</v>
      </c>
      <c r="H6392" t="s">
        <v>11</v>
      </c>
      <c r="I6392" t="s">
        <v>10</v>
      </c>
    </row>
    <row r="6393" spans="1:9" x14ac:dyDescent="0.25">
      <c r="A6393" t="str">
        <f t="shared" si="153"/>
        <v>89301000</v>
      </c>
      <c r="B6393" t="str">
        <f>"525325281"</f>
        <v>525325281</v>
      </c>
      <c r="C6393" s="1">
        <v>45207</v>
      </c>
      <c r="D6393" s="1">
        <v>45214</v>
      </c>
      <c r="E6393">
        <v>1</v>
      </c>
      <c r="F6393" t="str">
        <f>"05-I24-04"</f>
        <v>05-I24-04</v>
      </c>
      <c r="G6393">
        <v>2.1032000000000002</v>
      </c>
      <c r="H6393" t="s">
        <v>12</v>
      </c>
      <c r="I6393" t="s">
        <v>10</v>
      </c>
    </row>
    <row r="6394" spans="1:9" x14ac:dyDescent="0.25">
      <c r="A6394" t="str">
        <f t="shared" si="153"/>
        <v>89301000</v>
      </c>
      <c r="B6394" t="str">
        <f>"525325281"</f>
        <v>525325281</v>
      </c>
      <c r="C6394" s="1">
        <v>45184</v>
      </c>
      <c r="D6394" s="1">
        <v>45185</v>
      </c>
      <c r="E6394">
        <v>1</v>
      </c>
      <c r="F6394" t="str">
        <f>"11-M02-07"</f>
        <v>11-M02-07</v>
      </c>
      <c r="G6394">
        <v>0.64419999999999999</v>
      </c>
      <c r="H6394" t="s">
        <v>11</v>
      </c>
      <c r="I6394" t="s">
        <v>10</v>
      </c>
    </row>
    <row r="6395" spans="1:9" x14ac:dyDescent="0.25">
      <c r="A6395" t="str">
        <f t="shared" si="153"/>
        <v>89301000</v>
      </c>
      <c r="B6395" t="str">
        <f>"525325281"</f>
        <v>525325281</v>
      </c>
      <c r="C6395" s="1">
        <v>45261</v>
      </c>
      <c r="D6395" s="1">
        <v>45263</v>
      </c>
      <c r="E6395">
        <v>1</v>
      </c>
      <c r="F6395" t="str">
        <f>"11-M02-07"</f>
        <v>11-M02-07</v>
      </c>
      <c r="G6395">
        <v>0.64419999999999999</v>
      </c>
      <c r="H6395" t="s">
        <v>11</v>
      </c>
      <c r="I6395" t="s">
        <v>10</v>
      </c>
    </row>
    <row r="6396" spans="1:9" x14ac:dyDescent="0.25">
      <c r="A6396" t="str">
        <f t="shared" si="153"/>
        <v>89301000</v>
      </c>
      <c r="B6396" t="str">
        <f>"525330139"</f>
        <v>525330139</v>
      </c>
      <c r="C6396" s="1">
        <v>44947</v>
      </c>
      <c r="D6396" s="1">
        <v>44953</v>
      </c>
      <c r="E6396">
        <v>1</v>
      </c>
      <c r="F6396" t="str">
        <f>"04-K02-03"</f>
        <v>04-K02-03</v>
      </c>
      <c r="G6396">
        <v>1.298</v>
      </c>
      <c r="H6396" t="s">
        <v>11</v>
      </c>
      <c r="I6396" t="s">
        <v>10</v>
      </c>
    </row>
    <row r="6397" spans="1:9" x14ac:dyDescent="0.25">
      <c r="A6397" t="str">
        <f t="shared" si="153"/>
        <v>89301000</v>
      </c>
      <c r="B6397" t="str">
        <f>"525331076"</f>
        <v>525331076</v>
      </c>
      <c r="C6397" s="1">
        <v>44928</v>
      </c>
      <c r="D6397" s="1">
        <v>44932</v>
      </c>
      <c r="E6397">
        <v>1</v>
      </c>
      <c r="F6397" t="str">
        <f>"09-K04-02"</f>
        <v>09-K04-02</v>
      </c>
      <c r="G6397">
        <v>0.64849999999999997</v>
      </c>
      <c r="H6397" t="s">
        <v>11</v>
      </c>
      <c r="I6397" t="s">
        <v>10</v>
      </c>
    </row>
    <row r="6398" spans="1:9" x14ac:dyDescent="0.25">
      <c r="A6398" t="str">
        <f t="shared" si="153"/>
        <v>89301000</v>
      </c>
      <c r="B6398" t="str">
        <f>"525409222"</f>
        <v>525409222</v>
      </c>
      <c r="C6398" s="1">
        <v>45104</v>
      </c>
      <c r="D6398" s="1">
        <v>45104</v>
      </c>
      <c r="E6398">
        <v>1</v>
      </c>
      <c r="F6398" t="str">
        <f>"05-D01-08"</f>
        <v>05-D01-08</v>
      </c>
      <c r="G6398">
        <v>0.2303</v>
      </c>
      <c r="H6398" t="s">
        <v>11</v>
      </c>
      <c r="I6398" t="s">
        <v>10</v>
      </c>
    </row>
    <row r="6399" spans="1:9" x14ac:dyDescent="0.25">
      <c r="A6399" t="str">
        <f t="shared" si="153"/>
        <v>89301000</v>
      </c>
      <c r="B6399" t="str">
        <f>"525411218"</f>
        <v>525411218</v>
      </c>
      <c r="C6399" s="1">
        <v>45218</v>
      </c>
      <c r="D6399" s="1">
        <v>45220</v>
      </c>
      <c r="E6399">
        <v>1</v>
      </c>
      <c r="F6399" t="str">
        <f>"09-I06-04"</f>
        <v>09-I06-04</v>
      </c>
      <c r="G6399">
        <v>0.95069999999999999</v>
      </c>
      <c r="H6399" t="s">
        <v>12</v>
      </c>
      <c r="I6399" t="s">
        <v>10</v>
      </c>
    </row>
    <row r="6400" spans="1:9" x14ac:dyDescent="0.25">
      <c r="A6400" t="str">
        <f t="shared" si="153"/>
        <v>89301000</v>
      </c>
      <c r="B6400" t="str">
        <f>"525411358"</f>
        <v>525411358</v>
      </c>
      <c r="C6400" s="1">
        <v>45166</v>
      </c>
      <c r="D6400" s="1">
        <v>45173</v>
      </c>
      <c r="E6400">
        <v>1</v>
      </c>
      <c r="F6400" t="str">
        <f>"07-K07-02"</f>
        <v>07-K07-02</v>
      </c>
      <c r="G6400">
        <v>0.53069999999999995</v>
      </c>
      <c r="H6400" t="s">
        <v>11</v>
      </c>
      <c r="I6400" t="s">
        <v>10</v>
      </c>
    </row>
    <row r="6401" spans="1:9" x14ac:dyDescent="0.25">
      <c r="A6401" t="str">
        <f t="shared" si="153"/>
        <v>89301000</v>
      </c>
      <c r="B6401" t="str">
        <f>"525413187"</f>
        <v>525413187</v>
      </c>
      <c r="C6401" s="1">
        <v>45096</v>
      </c>
      <c r="D6401" s="1">
        <v>45097</v>
      </c>
      <c r="E6401">
        <v>1</v>
      </c>
      <c r="F6401" t="str">
        <f>"05-M05-02"</f>
        <v>05-M05-02</v>
      </c>
      <c r="G6401">
        <v>1.2330000000000001</v>
      </c>
      <c r="H6401" t="s">
        <v>14</v>
      </c>
      <c r="I6401" t="s">
        <v>10</v>
      </c>
    </row>
    <row r="6402" spans="1:9" x14ac:dyDescent="0.25">
      <c r="A6402" t="str">
        <f t="shared" si="153"/>
        <v>89301000</v>
      </c>
      <c r="B6402" t="str">
        <f>"525420234"</f>
        <v>525420234</v>
      </c>
      <c r="C6402" s="1">
        <v>45225</v>
      </c>
      <c r="D6402" s="1">
        <v>45227</v>
      </c>
      <c r="E6402">
        <v>1</v>
      </c>
      <c r="F6402" t="str">
        <f>"05-D01-08"</f>
        <v>05-D01-08</v>
      </c>
      <c r="G6402">
        <v>0.43159999999999998</v>
      </c>
      <c r="H6402" t="s">
        <v>11</v>
      </c>
      <c r="I6402" t="s">
        <v>10</v>
      </c>
    </row>
    <row r="6403" spans="1:9" x14ac:dyDescent="0.25">
      <c r="A6403" t="str">
        <f t="shared" si="153"/>
        <v>89301000</v>
      </c>
      <c r="B6403" t="str">
        <f>"525421232"</f>
        <v>525421232</v>
      </c>
      <c r="C6403" s="1">
        <v>45056</v>
      </c>
      <c r="D6403" s="1">
        <v>45061</v>
      </c>
      <c r="E6403">
        <v>1</v>
      </c>
      <c r="F6403" t="str">
        <f>"10-I13-02"</f>
        <v>10-I13-02</v>
      </c>
      <c r="G6403">
        <v>1.1227</v>
      </c>
      <c r="H6403" t="s">
        <v>9</v>
      </c>
      <c r="I6403" t="s">
        <v>10</v>
      </c>
    </row>
    <row r="6404" spans="1:9" x14ac:dyDescent="0.25">
      <c r="A6404" t="str">
        <f t="shared" si="153"/>
        <v>89301000</v>
      </c>
      <c r="B6404" t="str">
        <f>"525426213"</f>
        <v>525426213</v>
      </c>
      <c r="C6404" s="1">
        <v>45194</v>
      </c>
      <c r="D6404" s="1">
        <v>45196</v>
      </c>
      <c r="E6404">
        <v>1</v>
      </c>
      <c r="F6404" t="str">
        <f>"11-K14-03"</f>
        <v>11-K14-03</v>
      </c>
      <c r="G6404">
        <v>0.30259999999999998</v>
      </c>
      <c r="H6404" t="s">
        <v>11</v>
      </c>
      <c r="I6404" t="s">
        <v>10</v>
      </c>
    </row>
    <row r="6405" spans="1:9" x14ac:dyDescent="0.25">
      <c r="A6405" t="str">
        <f t="shared" si="153"/>
        <v>89301000</v>
      </c>
      <c r="B6405" t="str">
        <f>"525426213"</f>
        <v>525426213</v>
      </c>
      <c r="C6405" s="1">
        <v>45183</v>
      </c>
      <c r="D6405" s="1">
        <v>45184</v>
      </c>
      <c r="E6405">
        <v>1</v>
      </c>
      <c r="F6405" t="str">
        <f>"11-K08-02"</f>
        <v>11-K08-02</v>
      </c>
      <c r="G6405">
        <v>0.50570000000000004</v>
      </c>
      <c r="H6405" t="s">
        <v>11</v>
      </c>
      <c r="I6405" t="s">
        <v>10</v>
      </c>
    </row>
    <row r="6406" spans="1:9" x14ac:dyDescent="0.25">
      <c r="A6406" t="str">
        <f t="shared" si="153"/>
        <v>89301000</v>
      </c>
      <c r="B6406" t="str">
        <f>"525502120"</f>
        <v>525502120</v>
      </c>
      <c r="C6406" s="1">
        <v>45105</v>
      </c>
      <c r="D6406" s="1">
        <v>45109</v>
      </c>
      <c r="E6406">
        <v>1</v>
      </c>
      <c r="F6406" t="str">
        <f>"09-I07-01"</f>
        <v>09-I07-01</v>
      </c>
      <c r="G6406">
        <v>1.6956</v>
      </c>
      <c r="H6406" t="s">
        <v>14</v>
      </c>
      <c r="I6406" t="s">
        <v>10</v>
      </c>
    </row>
    <row r="6407" spans="1:9" x14ac:dyDescent="0.25">
      <c r="A6407" t="str">
        <f t="shared" si="153"/>
        <v>89301000</v>
      </c>
      <c r="B6407" t="str">
        <f>"525504041"</f>
        <v>525504041</v>
      </c>
      <c r="C6407" s="1">
        <v>44992</v>
      </c>
      <c r="D6407" s="1">
        <v>44999</v>
      </c>
      <c r="E6407">
        <v>1</v>
      </c>
      <c r="F6407" t="str">
        <f>"09-K08-02"</f>
        <v>09-K08-02</v>
      </c>
      <c r="G6407">
        <v>0.54579999999999995</v>
      </c>
      <c r="H6407" t="s">
        <v>11</v>
      </c>
      <c r="I6407" t="s">
        <v>10</v>
      </c>
    </row>
    <row r="6408" spans="1:9" x14ac:dyDescent="0.25">
      <c r="A6408" t="str">
        <f t="shared" si="153"/>
        <v>89301000</v>
      </c>
      <c r="B6408" t="str">
        <f>"525504041"</f>
        <v>525504041</v>
      </c>
      <c r="C6408" s="1">
        <v>45013</v>
      </c>
      <c r="D6408" s="1">
        <v>45014</v>
      </c>
      <c r="E6408">
        <v>1</v>
      </c>
      <c r="F6408" t="str">
        <f>"09-K08-02"</f>
        <v>09-K08-02</v>
      </c>
      <c r="G6408">
        <v>0.49280000000000002</v>
      </c>
      <c r="H6408" t="s">
        <v>11</v>
      </c>
      <c r="I6408" t="s">
        <v>10</v>
      </c>
    </row>
    <row r="6409" spans="1:9" x14ac:dyDescent="0.25">
      <c r="A6409" t="str">
        <f t="shared" si="153"/>
        <v>89301000</v>
      </c>
      <c r="B6409" t="str">
        <f>"525504041"</f>
        <v>525504041</v>
      </c>
      <c r="C6409" s="1">
        <v>44935</v>
      </c>
      <c r="D6409" s="1">
        <v>44959</v>
      </c>
      <c r="E6409">
        <v>1</v>
      </c>
      <c r="F6409" t="str">
        <f>"09-I13-01"</f>
        <v>09-I13-01</v>
      </c>
      <c r="G6409">
        <v>2.8174999999999999</v>
      </c>
      <c r="H6409" t="s">
        <v>11</v>
      </c>
      <c r="I6409" t="s">
        <v>10</v>
      </c>
    </row>
    <row r="6410" spans="1:9" x14ac:dyDescent="0.25">
      <c r="A6410" t="str">
        <f t="shared" ref="A6410:A6473" si="154">"89301000"</f>
        <v>89301000</v>
      </c>
      <c r="B6410" t="str">
        <f>"525506017"</f>
        <v>525506017</v>
      </c>
      <c r="C6410" s="1">
        <v>45243</v>
      </c>
      <c r="D6410" s="1">
        <v>45246</v>
      </c>
      <c r="E6410">
        <v>1</v>
      </c>
      <c r="F6410" t="str">
        <f>"09-I13-05"</f>
        <v>09-I13-05</v>
      </c>
      <c r="G6410">
        <v>0.42509999999999998</v>
      </c>
      <c r="H6410" t="s">
        <v>11</v>
      </c>
      <c r="I6410" t="s">
        <v>10</v>
      </c>
    </row>
    <row r="6411" spans="1:9" x14ac:dyDescent="0.25">
      <c r="A6411" t="str">
        <f t="shared" si="154"/>
        <v>89301000</v>
      </c>
      <c r="B6411" t="str">
        <f>"525506017"</f>
        <v>525506017</v>
      </c>
      <c r="C6411" s="1">
        <v>45232</v>
      </c>
      <c r="D6411" s="1">
        <v>45234</v>
      </c>
      <c r="E6411">
        <v>1</v>
      </c>
      <c r="F6411" t="str">
        <f>"09-I13-05"</f>
        <v>09-I13-05</v>
      </c>
      <c r="G6411">
        <v>0.42570000000000002</v>
      </c>
      <c r="H6411" t="s">
        <v>11</v>
      </c>
      <c r="I6411" t="s">
        <v>10</v>
      </c>
    </row>
    <row r="6412" spans="1:9" x14ac:dyDescent="0.25">
      <c r="A6412" t="str">
        <f t="shared" si="154"/>
        <v>89301000</v>
      </c>
      <c r="B6412" t="str">
        <f>"525511100"</f>
        <v>525511100</v>
      </c>
      <c r="C6412" s="1">
        <v>45199</v>
      </c>
      <c r="D6412" s="1">
        <v>45203</v>
      </c>
      <c r="E6412">
        <v>8</v>
      </c>
      <c r="F6412" t="str">
        <f>"05-D01-04"</f>
        <v>05-D01-04</v>
      </c>
      <c r="G6412">
        <v>2.6101999999999999</v>
      </c>
      <c r="H6412" t="s">
        <v>11</v>
      </c>
      <c r="I6412" t="s">
        <v>10</v>
      </c>
    </row>
    <row r="6413" spans="1:9" x14ac:dyDescent="0.25">
      <c r="A6413" t="str">
        <f t="shared" si="154"/>
        <v>89301000</v>
      </c>
      <c r="B6413" t="str">
        <f>"525521071"</f>
        <v>525521071</v>
      </c>
      <c r="C6413" s="1">
        <v>45014</v>
      </c>
      <c r="D6413" s="1">
        <v>45016</v>
      </c>
      <c r="E6413">
        <v>1</v>
      </c>
      <c r="F6413" t="str">
        <f>"01-K07-03"</f>
        <v>01-K07-03</v>
      </c>
      <c r="G6413">
        <v>0.48680000000000001</v>
      </c>
      <c r="H6413" t="s">
        <v>11</v>
      </c>
      <c r="I6413" t="s">
        <v>10</v>
      </c>
    </row>
    <row r="6414" spans="1:9" x14ac:dyDescent="0.25">
      <c r="A6414" t="str">
        <f t="shared" si="154"/>
        <v>89301000</v>
      </c>
      <c r="B6414" t="str">
        <f>"525523015"</f>
        <v>525523015</v>
      </c>
      <c r="C6414" s="1">
        <v>44937</v>
      </c>
      <c r="D6414" s="1">
        <v>44939</v>
      </c>
      <c r="E6414">
        <v>1</v>
      </c>
      <c r="F6414" t="str">
        <f>"13-K07-01"</f>
        <v>13-K07-01</v>
      </c>
      <c r="G6414">
        <v>0.97119999999999995</v>
      </c>
      <c r="H6414" t="s">
        <v>11</v>
      </c>
      <c r="I6414" t="s">
        <v>10</v>
      </c>
    </row>
    <row r="6415" spans="1:9" x14ac:dyDescent="0.25">
      <c r="A6415" t="str">
        <f t="shared" si="154"/>
        <v>89301000</v>
      </c>
      <c r="B6415" t="str">
        <f>"525525106"</f>
        <v>525525106</v>
      </c>
      <c r="C6415" s="1">
        <v>45043</v>
      </c>
      <c r="D6415" s="1">
        <v>45044</v>
      </c>
      <c r="E6415">
        <v>1</v>
      </c>
      <c r="F6415" t="str">
        <f>"13-I19-00"</f>
        <v>13-I19-00</v>
      </c>
      <c r="G6415">
        <v>0.28249999999999997</v>
      </c>
      <c r="H6415" t="s">
        <v>11</v>
      </c>
      <c r="I6415" t="s">
        <v>10</v>
      </c>
    </row>
    <row r="6416" spans="1:9" x14ac:dyDescent="0.25">
      <c r="A6416" t="str">
        <f t="shared" si="154"/>
        <v>89301000</v>
      </c>
      <c r="B6416" t="str">
        <f>"525526063"</f>
        <v>525526063</v>
      </c>
      <c r="C6416" s="1">
        <v>45258</v>
      </c>
      <c r="D6416" s="1">
        <v>45261</v>
      </c>
      <c r="E6416">
        <v>1</v>
      </c>
      <c r="F6416" t="str">
        <f>"11-M03-02"</f>
        <v>11-M03-02</v>
      </c>
      <c r="G6416">
        <v>1.4410000000000001</v>
      </c>
      <c r="H6416" t="s">
        <v>12</v>
      </c>
      <c r="I6416" t="s">
        <v>10</v>
      </c>
    </row>
    <row r="6417" spans="1:9" x14ac:dyDescent="0.25">
      <c r="A6417" t="str">
        <f t="shared" si="154"/>
        <v>89301000</v>
      </c>
      <c r="B6417" t="str">
        <f>"525527029"</f>
        <v>525527029</v>
      </c>
      <c r="C6417" s="1">
        <v>44966</v>
      </c>
      <c r="D6417" s="1">
        <v>44972</v>
      </c>
      <c r="E6417">
        <v>1</v>
      </c>
      <c r="F6417" t="str">
        <f>"08-K08-00"</f>
        <v>08-K08-00</v>
      </c>
      <c r="G6417">
        <v>0.5272</v>
      </c>
      <c r="H6417" t="s">
        <v>11</v>
      </c>
      <c r="I6417" t="s">
        <v>10</v>
      </c>
    </row>
    <row r="6418" spans="1:9" x14ac:dyDescent="0.25">
      <c r="A6418" t="str">
        <f t="shared" si="154"/>
        <v>89301000</v>
      </c>
      <c r="B6418" t="str">
        <f>"525530255"</f>
        <v>525530255</v>
      </c>
      <c r="C6418" s="1">
        <v>45092</v>
      </c>
      <c r="D6418" s="1">
        <v>45105</v>
      </c>
      <c r="E6418">
        <v>1</v>
      </c>
      <c r="F6418" t="str">
        <f>"17-K02-01"</f>
        <v>17-K02-01</v>
      </c>
      <c r="G6418">
        <v>2.2835999999999999</v>
      </c>
      <c r="H6418" t="s">
        <v>11</v>
      </c>
      <c r="I6418" t="s">
        <v>10</v>
      </c>
    </row>
    <row r="6419" spans="1:9" x14ac:dyDescent="0.25">
      <c r="A6419" t="str">
        <f t="shared" si="154"/>
        <v>89301000</v>
      </c>
      <c r="B6419" t="str">
        <f>"525604019"</f>
        <v>525604019</v>
      </c>
      <c r="C6419" s="1">
        <v>45099</v>
      </c>
      <c r="D6419" s="1">
        <v>45103</v>
      </c>
      <c r="E6419">
        <v>1</v>
      </c>
      <c r="F6419" t="str">
        <f>"08-I06-04"</f>
        <v>08-I06-04</v>
      </c>
      <c r="G6419">
        <v>2.3673999999999999</v>
      </c>
      <c r="H6419" t="s">
        <v>9</v>
      </c>
      <c r="I6419" t="s">
        <v>10</v>
      </c>
    </row>
    <row r="6420" spans="1:9" x14ac:dyDescent="0.25">
      <c r="A6420" t="str">
        <f t="shared" si="154"/>
        <v>89301000</v>
      </c>
      <c r="B6420" t="str">
        <f>"525605027"</f>
        <v>525605027</v>
      </c>
      <c r="C6420" s="1">
        <v>44968</v>
      </c>
      <c r="D6420" s="1">
        <v>45014</v>
      </c>
      <c r="E6420">
        <v>1</v>
      </c>
      <c r="F6420" t="str">
        <f>"01-R02-01"</f>
        <v>01-R02-01</v>
      </c>
      <c r="G6420">
        <v>6.1184000000000003</v>
      </c>
      <c r="H6420" t="s">
        <v>11</v>
      </c>
      <c r="I6420" t="s">
        <v>10</v>
      </c>
    </row>
    <row r="6421" spans="1:9" x14ac:dyDescent="0.25">
      <c r="A6421" t="str">
        <f t="shared" si="154"/>
        <v>89301000</v>
      </c>
      <c r="B6421" t="str">
        <f>"525606226"</f>
        <v>525606226</v>
      </c>
      <c r="C6421" s="1">
        <v>45033</v>
      </c>
      <c r="D6421" s="1">
        <v>45036</v>
      </c>
      <c r="E6421">
        <v>1</v>
      </c>
      <c r="F6421" t="str">
        <f>"11-I14-02"</f>
        <v>11-I14-02</v>
      </c>
      <c r="G6421">
        <v>0.61839999999999995</v>
      </c>
      <c r="H6421" t="s">
        <v>9</v>
      </c>
      <c r="I6421" t="s">
        <v>10</v>
      </c>
    </row>
    <row r="6422" spans="1:9" x14ac:dyDescent="0.25">
      <c r="A6422" t="str">
        <f t="shared" si="154"/>
        <v>89301000</v>
      </c>
      <c r="B6422" t="str">
        <f>"525608109"</f>
        <v>525608109</v>
      </c>
      <c r="C6422" s="1">
        <v>45160</v>
      </c>
      <c r="D6422" s="1">
        <v>45163</v>
      </c>
      <c r="E6422">
        <v>1</v>
      </c>
      <c r="F6422" t="str">
        <f>"08-I15-03"</f>
        <v>08-I15-03</v>
      </c>
      <c r="G6422">
        <v>0.94059999999999999</v>
      </c>
      <c r="H6422" t="s">
        <v>12</v>
      </c>
      <c r="I6422" t="s">
        <v>10</v>
      </c>
    </row>
    <row r="6423" spans="1:9" x14ac:dyDescent="0.25">
      <c r="A6423" t="str">
        <f t="shared" si="154"/>
        <v>89301000</v>
      </c>
      <c r="B6423" t="str">
        <f>"525614213"</f>
        <v>525614213</v>
      </c>
      <c r="C6423" s="1">
        <v>45028</v>
      </c>
      <c r="D6423" s="1">
        <v>45044</v>
      </c>
      <c r="E6423">
        <v>1</v>
      </c>
      <c r="F6423" t="str">
        <f>"24-M07-02"</f>
        <v>24-M07-02</v>
      </c>
      <c r="G6423">
        <v>1.5729</v>
      </c>
      <c r="H6423" t="s">
        <v>11</v>
      </c>
      <c r="I6423" t="s">
        <v>10</v>
      </c>
    </row>
    <row r="6424" spans="1:9" x14ac:dyDescent="0.25">
      <c r="A6424" t="str">
        <f t="shared" si="154"/>
        <v>89301000</v>
      </c>
      <c r="B6424" t="str">
        <f>"525614213"</f>
        <v>525614213</v>
      </c>
      <c r="C6424" s="1">
        <v>45201</v>
      </c>
      <c r="D6424" s="1">
        <v>45212</v>
      </c>
      <c r="E6424">
        <v>1</v>
      </c>
      <c r="F6424" t="str">
        <f>"24-M06-02"</f>
        <v>24-M06-02</v>
      </c>
      <c r="G6424">
        <v>1.0699000000000001</v>
      </c>
      <c r="H6424" t="s">
        <v>11</v>
      </c>
      <c r="I6424" t="s">
        <v>10</v>
      </c>
    </row>
    <row r="6425" spans="1:9" x14ac:dyDescent="0.25">
      <c r="A6425" t="str">
        <f t="shared" si="154"/>
        <v>89301000</v>
      </c>
      <c r="B6425" t="str">
        <f>"525615400"</f>
        <v>525615400</v>
      </c>
      <c r="C6425" s="1">
        <v>44934</v>
      </c>
      <c r="D6425" s="1">
        <v>44936</v>
      </c>
      <c r="E6425">
        <v>1</v>
      </c>
      <c r="F6425" t="str">
        <f>"08-M03-05"</f>
        <v>08-M03-05</v>
      </c>
      <c r="G6425">
        <v>0.46910000000000002</v>
      </c>
      <c r="H6425" t="s">
        <v>11</v>
      </c>
      <c r="I6425" t="s">
        <v>10</v>
      </c>
    </row>
    <row r="6426" spans="1:9" x14ac:dyDescent="0.25">
      <c r="A6426" t="str">
        <f t="shared" si="154"/>
        <v>89301000</v>
      </c>
      <c r="B6426" t="str">
        <f>"525617031"</f>
        <v>525617031</v>
      </c>
      <c r="C6426" s="1">
        <v>45257</v>
      </c>
      <c r="D6426" s="1">
        <v>45265</v>
      </c>
      <c r="E6426">
        <v>1</v>
      </c>
      <c r="F6426" t="str">
        <f>"11-K03-02"</f>
        <v>11-K03-02</v>
      </c>
      <c r="G6426">
        <v>0.64159999999999995</v>
      </c>
      <c r="H6426" t="s">
        <v>11</v>
      </c>
      <c r="I6426" t="s">
        <v>10</v>
      </c>
    </row>
    <row r="6427" spans="1:9" x14ac:dyDescent="0.25">
      <c r="A6427" t="str">
        <f t="shared" si="154"/>
        <v>89301000</v>
      </c>
      <c r="B6427" t="str">
        <f>"525618024"</f>
        <v>525618024</v>
      </c>
      <c r="C6427" s="1">
        <v>45201</v>
      </c>
      <c r="D6427" s="1">
        <v>45205</v>
      </c>
      <c r="E6427">
        <v>3</v>
      </c>
      <c r="F6427" t="str">
        <f>"08-I06-04"</f>
        <v>08-I06-04</v>
      </c>
      <c r="G6427">
        <v>2.4180000000000001</v>
      </c>
      <c r="H6427" t="s">
        <v>9</v>
      </c>
      <c r="I6427" t="s">
        <v>10</v>
      </c>
    </row>
    <row r="6428" spans="1:9" x14ac:dyDescent="0.25">
      <c r="A6428" t="str">
        <f t="shared" si="154"/>
        <v>89301000</v>
      </c>
      <c r="B6428" t="str">
        <f>"525618024"</f>
        <v>525618024</v>
      </c>
      <c r="C6428" s="1">
        <v>45205</v>
      </c>
      <c r="D6428" s="1">
        <v>45219</v>
      </c>
      <c r="E6428">
        <v>1</v>
      </c>
      <c r="F6428" t="str">
        <f>"24-M07-02"</f>
        <v>24-M07-02</v>
      </c>
      <c r="G6428">
        <v>1.5729</v>
      </c>
      <c r="H6428" t="s">
        <v>11</v>
      </c>
      <c r="I6428" t="s">
        <v>10</v>
      </c>
    </row>
    <row r="6429" spans="1:9" x14ac:dyDescent="0.25">
      <c r="A6429" t="str">
        <f t="shared" si="154"/>
        <v>89301000</v>
      </c>
      <c r="B6429" t="str">
        <f>"525626046"</f>
        <v>525626046</v>
      </c>
      <c r="C6429" s="1">
        <v>45212</v>
      </c>
      <c r="D6429" s="1">
        <v>45258</v>
      </c>
      <c r="E6429">
        <v>5</v>
      </c>
      <c r="F6429" t="str">
        <f>"00-M01-02"</f>
        <v>00-M01-02</v>
      </c>
      <c r="G6429">
        <v>14.9969</v>
      </c>
      <c r="H6429" t="s">
        <v>11</v>
      </c>
      <c r="I6429" t="s">
        <v>10</v>
      </c>
    </row>
    <row r="6430" spans="1:9" x14ac:dyDescent="0.25">
      <c r="A6430" t="str">
        <f t="shared" si="154"/>
        <v>89301000</v>
      </c>
      <c r="B6430" t="str">
        <f>"525703169"</f>
        <v>525703169</v>
      </c>
      <c r="C6430" s="1">
        <v>45265</v>
      </c>
      <c r="D6430" s="1">
        <v>45271</v>
      </c>
      <c r="E6430">
        <v>1</v>
      </c>
      <c r="F6430" t="str">
        <f>"03-I08-02"</f>
        <v>03-I08-02</v>
      </c>
      <c r="G6430">
        <v>1.2250000000000001</v>
      </c>
      <c r="H6430" t="s">
        <v>12</v>
      </c>
      <c r="I6430" t="s">
        <v>10</v>
      </c>
    </row>
    <row r="6431" spans="1:9" x14ac:dyDescent="0.25">
      <c r="A6431" t="str">
        <f t="shared" si="154"/>
        <v>89301000</v>
      </c>
      <c r="B6431" t="str">
        <f>"525704371"</f>
        <v>525704371</v>
      </c>
      <c r="C6431" s="1">
        <v>45048</v>
      </c>
      <c r="D6431" s="1">
        <v>45055</v>
      </c>
      <c r="E6431">
        <v>4</v>
      </c>
      <c r="F6431" t="str">
        <f>"08-I06-04"</f>
        <v>08-I06-04</v>
      </c>
      <c r="G6431">
        <v>2.3723000000000001</v>
      </c>
      <c r="H6431" t="s">
        <v>9</v>
      </c>
      <c r="I6431" t="s">
        <v>10</v>
      </c>
    </row>
    <row r="6432" spans="1:9" x14ac:dyDescent="0.25">
      <c r="A6432" t="str">
        <f t="shared" si="154"/>
        <v>89301000</v>
      </c>
      <c r="B6432" t="str">
        <f>"525704371"</f>
        <v>525704371</v>
      </c>
      <c r="C6432" s="1">
        <v>45110</v>
      </c>
      <c r="D6432" s="1">
        <v>45125</v>
      </c>
      <c r="E6432">
        <v>1</v>
      </c>
      <c r="F6432" t="str">
        <f>"19-K05-02"</f>
        <v>19-K05-02</v>
      </c>
      <c r="G6432">
        <v>1.7688999999999999</v>
      </c>
      <c r="H6432" t="s">
        <v>15</v>
      </c>
      <c r="I6432" t="s">
        <v>10</v>
      </c>
    </row>
    <row r="6433" spans="1:9" x14ac:dyDescent="0.25">
      <c r="A6433" t="str">
        <f t="shared" si="154"/>
        <v>89301000</v>
      </c>
      <c r="B6433" t="str">
        <f>"525704371"</f>
        <v>525704371</v>
      </c>
      <c r="C6433" s="1">
        <v>45251</v>
      </c>
      <c r="D6433" s="1">
        <v>45257</v>
      </c>
      <c r="E6433">
        <v>5</v>
      </c>
      <c r="F6433" t="str">
        <f>"19-K01-02"</f>
        <v>19-K01-02</v>
      </c>
      <c r="G6433">
        <v>1.0845</v>
      </c>
      <c r="H6433" t="s">
        <v>15</v>
      </c>
      <c r="I6433" t="s">
        <v>10</v>
      </c>
    </row>
    <row r="6434" spans="1:9" x14ac:dyDescent="0.25">
      <c r="A6434" t="str">
        <f t="shared" si="154"/>
        <v>89301000</v>
      </c>
      <c r="B6434" t="str">
        <f>"525705253"</f>
        <v>525705253</v>
      </c>
      <c r="C6434" s="1">
        <v>44959</v>
      </c>
      <c r="D6434" s="1">
        <v>44963</v>
      </c>
      <c r="E6434">
        <v>1</v>
      </c>
      <c r="F6434" t="str">
        <f>"10-I13-02"</f>
        <v>10-I13-02</v>
      </c>
      <c r="G6434">
        <v>1.1227</v>
      </c>
      <c r="H6434" t="s">
        <v>9</v>
      </c>
      <c r="I6434" t="s">
        <v>10</v>
      </c>
    </row>
    <row r="6435" spans="1:9" x14ac:dyDescent="0.25">
      <c r="A6435" t="str">
        <f t="shared" si="154"/>
        <v>89301000</v>
      </c>
      <c r="B6435" t="str">
        <f>"525706299"</f>
        <v>525706299</v>
      </c>
      <c r="C6435" s="1">
        <v>45195</v>
      </c>
      <c r="D6435" s="1">
        <v>45207</v>
      </c>
      <c r="E6435">
        <v>1</v>
      </c>
      <c r="F6435" t="str">
        <f>"11-I04-02"</f>
        <v>11-I04-02</v>
      </c>
      <c r="G6435">
        <v>2.7294999999999998</v>
      </c>
      <c r="H6435" t="s">
        <v>9</v>
      </c>
      <c r="I6435" t="s">
        <v>10</v>
      </c>
    </row>
    <row r="6436" spans="1:9" x14ac:dyDescent="0.25">
      <c r="A6436" t="str">
        <f t="shared" si="154"/>
        <v>89301000</v>
      </c>
      <c r="B6436" t="str">
        <f>"525710028"</f>
        <v>525710028</v>
      </c>
      <c r="C6436" s="1">
        <v>44983</v>
      </c>
      <c r="D6436" s="1">
        <v>44986</v>
      </c>
      <c r="E6436">
        <v>1</v>
      </c>
      <c r="F6436" t="str">
        <f>"05-I30-01"</f>
        <v>05-I30-01</v>
      </c>
      <c r="G6436">
        <v>0.60350000000000004</v>
      </c>
      <c r="H6436" t="s">
        <v>12</v>
      </c>
      <c r="I6436" t="s">
        <v>10</v>
      </c>
    </row>
    <row r="6437" spans="1:9" x14ac:dyDescent="0.25">
      <c r="A6437" t="str">
        <f t="shared" si="154"/>
        <v>89301000</v>
      </c>
      <c r="B6437" t="str">
        <f>"525712037"</f>
        <v>525712037</v>
      </c>
      <c r="C6437" s="1">
        <v>45044</v>
      </c>
      <c r="D6437" s="1">
        <v>45044</v>
      </c>
      <c r="E6437">
        <v>1</v>
      </c>
      <c r="F6437" t="str">
        <f>"05-D01-08"</f>
        <v>05-D01-08</v>
      </c>
      <c r="G6437">
        <v>0.2303</v>
      </c>
      <c r="H6437" t="s">
        <v>11</v>
      </c>
      <c r="I6437" t="s">
        <v>10</v>
      </c>
    </row>
    <row r="6438" spans="1:9" x14ac:dyDescent="0.25">
      <c r="A6438" t="str">
        <f t="shared" si="154"/>
        <v>89301000</v>
      </c>
      <c r="B6438" t="str">
        <f>"525712173"</f>
        <v>525712173</v>
      </c>
      <c r="C6438" s="1">
        <v>45181</v>
      </c>
      <c r="D6438" s="1">
        <v>45187</v>
      </c>
      <c r="E6438">
        <v>4</v>
      </c>
      <c r="F6438" t="str">
        <f>"24-M06-02"</f>
        <v>24-M06-02</v>
      </c>
      <c r="G6438">
        <v>1.0699000000000001</v>
      </c>
      <c r="H6438" t="s">
        <v>11</v>
      </c>
      <c r="I6438" t="s">
        <v>10</v>
      </c>
    </row>
    <row r="6439" spans="1:9" x14ac:dyDescent="0.25">
      <c r="A6439" t="str">
        <f t="shared" si="154"/>
        <v>89301000</v>
      </c>
      <c r="B6439" t="str">
        <f>"525712173"</f>
        <v>525712173</v>
      </c>
      <c r="C6439" s="1">
        <v>45175</v>
      </c>
      <c r="D6439" s="1">
        <v>45181</v>
      </c>
      <c r="E6439">
        <v>3</v>
      </c>
      <c r="F6439" t="str">
        <f>"08-I05-04"</f>
        <v>08-I05-04</v>
      </c>
      <c r="G6439">
        <v>2.4445000000000001</v>
      </c>
      <c r="H6439" t="s">
        <v>12</v>
      </c>
      <c r="I6439" t="s">
        <v>10</v>
      </c>
    </row>
    <row r="6440" spans="1:9" x14ac:dyDescent="0.25">
      <c r="A6440" t="str">
        <f t="shared" si="154"/>
        <v>89301000</v>
      </c>
      <c r="B6440" t="str">
        <f>"525717078"</f>
        <v>525717078</v>
      </c>
      <c r="C6440" s="1">
        <v>45208</v>
      </c>
      <c r="D6440" s="1">
        <v>45211</v>
      </c>
      <c r="E6440">
        <v>1</v>
      </c>
      <c r="F6440" t="str">
        <f>"09-I13-05"</f>
        <v>09-I13-05</v>
      </c>
      <c r="G6440">
        <v>0.42570000000000002</v>
      </c>
      <c r="H6440" t="s">
        <v>11</v>
      </c>
      <c r="I6440" t="s">
        <v>10</v>
      </c>
    </row>
    <row r="6441" spans="1:9" x14ac:dyDescent="0.25">
      <c r="A6441" t="str">
        <f t="shared" si="154"/>
        <v>89301000</v>
      </c>
      <c r="B6441" t="str">
        <f>"525719239"</f>
        <v>525719239</v>
      </c>
      <c r="C6441" s="1">
        <v>45138</v>
      </c>
      <c r="D6441" s="1">
        <v>45147</v>
      </c>
      <c r="E6441">
        <v>4</v>
      </c>
      <c r="F6441" t="str">
        <f>"10-I13-02"</f>
        <v>10-I13-02</v>
      </c>
      <c r="G6441">
        <v>1.2339</v>
      </c>
      <c r="H6441" t="s">
        <v>9</v>
      </c>
      <c r="I6441" t="s">
        <v>10</v>
      </c>
    </row>
    <row r="6442" spans="1:9" x14ac:dyDescent="0.25">
      <c r="A6442" t="str">
        <f t="shared" si="154"/>
        <v>89301000</v>
      </c>
      <c r="B6442" t="str">
        <f>"525721308"</f>
        <v>525721308</v>
      </c>
      <c r="C6442" s="1">
        <v>45057</v>
      </c>
      <c r="D6442" s="1">
        <v>45058</v>
      </c>
      <c r="E6442">
        <v>1</v>
      </c>
      <c r="F6442" t="str">
        <f>"05-I14-03"</f>
        <v>05-I14-03</v>
      </c>
      <c r="G6442">
        <v>6.0362</v>
      </c>
      <c r="H6442" t="s">
        <v>12</v>
      </c>
      <c r="I6442" t="s">
        <v>10</v>
      </c>
    </row>
    <row r="6443" spans="1:9" x14ac:dyDescent="0.25">
      <c r="A6443" t="str">
        <f t="shared" si="154"/>
        <v>89301000</v>
      </c>
      <c r="B6443" t="str">
        <f>"525727204"</f>
        <v>525727204</v>
      </c>
      <c r="C6443" s="1">
        <v>45266</v>
      </c>
      <c r="D6443" s="1">
        <v>45268</v>
      </c>
      <c r="E6443">
        <v>1</v>
      </c>
      <c r="F6443" t="str">
        <f>"08-K01-03"</f>
        <v>08-K01-03</v>
      </c>
      <c r="G6443">
        <v>0.63700000000000001</v>
      </c>
      <c r="H6443" t="s">
        <v>11</v>
      </c>
      <c r="I6443" t="s">
        <v>10</v>
      </c>
    </row>
    <row r="6444" spans="1:9" x14ac:dyDescent="0.25">
      <c r="A6444" t="str">
        <f t="shared" si="154"/>
        <v>89301000</v>
      </c>
      <c r="B6444" t="str">
        <f>"525728016"</f>
        <v>525728016</v>
      </c>
      <c r="C6444" s="1">
        <v>45203</v>
      </c>
      <c r="D6444" s="1">
        <v>45212</v>
      </c>
      <c r="E6444">
        <v>2</v>
      </c>
      <c r="F6444" t="str">
        <f>"18-K01-06"</f>
        <v>18-K01-06</v>
      </c>
      <c r="G6444">
        <v>1.4659</v>
      </c>
      <c r="H6444" t="s">
        <v>11</v>
      </c>
      <c r="I6444" t="s">
        <v>10</v>
      </c>
    </row>
    <row r="6445" spans="1:9" x14ac:dyDescent="0.25">
      <c r="A6445" t="str">
        <f t="shared" si="154"/>
        <v>89301000</v>
      </c>
      <c r="B6445" t="str">
        <f>"525728080"</f>
        <v>525728080</v>
      </c>
      <c r="C6445" s="1">
        <v>44990</v>
      </c>
      <c r="D6445" s="1">
        <v>44999</v>
      </c>
      <c r="E6445">
        <v>1</v>
      </c>
      <c r="F6445" t="str">
        <f>"06-I05-04"</f>
        <v>06-I05-04</v>
      </c>
      <c r="G6445">
        <v>3.2768999999999999</v>
      </c>
      <c r="H6445" t="s">
        <v>12</v>
      </c>
      <c r="I6445" t="s">
        <v>10</v>
      </c>
    </row>
    <row r="6446" spans="1:9" x14ac:dyDescent="0.25">
      <c r="A6446" t="str">
        <f t="shared" si="154"/>
        <v>89301000</v>
      </c>
      <c r="B6446" t="str">
        <f>"525728080"</f>
        <v>525728080</v>
      </c>
      <c r="C6446" s="1">
        <v>45134</v>
      </c>
      <c r="D6446" s="1">
        <v>45138</v>
      </c>
      <c r="E6446">
        <v>1</v>
      </c>
      <c r="F6446" t="str">
        <f>"06-I12-03"</f>
        <v>06-I12-03</v>
      </c>
      <c r="G6446">
        <v>1.9540999999999999</v>
      </c>
      <c r="H6446" t="s">
        <v>11</v>
      </c>
      <c r="I6446" t="s">
        <v>10</v>
      </c>
    </row>
    <row r="6447" spans="1:9" x14ac:dyDescent="0.25">
      <c r="A6447" t="str">
        <f t="shared" si="154"/>
        <v>89301000</v>
      </c>
      <c r="B6447" t="str">
        <f>"525807087"</f>
        <v>525807087</v>
      </c>
      <c r="C6447" s="1">
        <v>45205</v>
      </c>
      <c r="D6447" s="1">
        <v>45217</v>
      </c>
      <c r="E6447">
        <v>1</v>
      </c>
      <c r="F6447" t="str">
        <f>"01-I09-02"</f>
        <v>01-I09-02</v>
      </c>
      <c r="G6447">
        <v>1.6565000000000001</v>
      </c>
      <c r="H6447" t="s">
        <v>12</v>
      </c>
      <c r="I6447" t="s">
        <v>10</v>
      </c>
    </row>
    <row r="6448" spans="1:9" x14ac:dyDescent="0.25">
      <c r="A6448" t="str">
        <f t="shared" si="154"/>
        <v>89301000</v>
      </c>
      <c r="B6448" t="str">
        <f>"525808090"</f>
        <v>525808090</v>
      </c>
      <c r="C6448" s="1">
        <v>45224</v>
      </c>
      <c r="D6448" s="1">
        <v>45226</v>
      </c>
      <c r="E6448">
        <v>1</v>
      </c>
      <c r="F6448" t="str">
        <f>"03-I24-00"</f>
        <v>03-I24-00</v>
      </c>
      <c r="G6448">
        <v>0.40670000000000001</v>
      </c>
      <c r="H6448" t="s">
        <v>11</v>
      </c>
      <c r="I6448" t="s">
        <v>10</v>
      </c>
    </row>
    <row r="6449" spans="1:9" x14ac:dyDescent="0.25">
      <c r="A6449" t="str">
        <f t="shared" si="154"/>
        <v>89301000</v>
      </c>
      <c r="B6449" t="str">
        <f>"525812332"</f>
        <v>525812332</v>
      </c>
      <c r="C6449" s="1">
        <v>45189</v>
      </c>
      <c r="D6449" s="1">
        <v>45195</v>
      </c>
      <c r="E6449">
        <v>1</v>
      </c>
      <c r="F6449" t="str">
        <f>"05-M06-08"</f>
        <v>05-M06-08</v>
      </c>
      <c r="G6449">
        <v>1.5515000000000001</v>
      </c>
      <c r="H6449" t="s">
        <v>12</v>
      </c>
      <c r="I6449" t="s">
        <v>10</v>
      </c>
    </row>
    <row r="6450" spans="1:9" x14ac:dyDescent="0.25">
      <c r="A6450" t="str">
        <f t="shared" si="154"/>
        <v>89301000</v>
      </c>
      <c r="B6450" t="str">
        <f>"525818176"</f>
        <v>525818176</v>
      </c>
      <c r="C6450" s="1">
        <v>45278</v>
      </c>
      <c r="D6450" s="1">
        <v>45280</v>
      </c>
      <c r="E6450">
        <v>1</v>
      </c>
      <c r="F6450" t="str">
        <f>"09-I10-02"</f>
        <v>09-I10-02</v>
      </c>
      <c r="G6450">
        <v>0.87580000000000002</v>
      </c>
      <c r="H6450" t="s">
        <v>12</v>
      </c>
      <c r="I6450" t="s">
        <v>10</v>
      </c>
    </row>
    <row r="6451" spans="1:9" x14ac:dyDescent="0.25">
      <c r="A6451" t="str">
        <f t="shared" si="154"/>
        <v>89301000</v>
      </c>
      <c r="B6451" t="str">
        <f>"525821327"</f>
        <v>525821327</v>
      </c>
      <c r="C6451" s="1">
        <v>44938</v>
      </c>
      <c r="D6451" s="1">
        <v>44946</v>
      </c>
      <c r="E6451">
        <v>1</v>
      </c>
      <c r="F6451" t="str">
        <f>"11-K07-02"</f>
        <v>11-K07-02</v>
      </c>
      <c r="G6451">
        <v>0.55010000000000003</v>
      </c>
      <c r="H6451" t="s">
        <v>11</v>
      </c>
      <c r="I6451" t="s">
        <v>10</v>
      </c>
    </row>
    <row r="6452" spans="1:9" x14ac:dyDescent="0.25">
      <c r="A6452" t="str">
        <f t="shared" si="154"/>
        <v>89301000</v>
      </c>
      <c r="B6452" t="str">
        <f>"525822051"</f>
        <v>525822051</v>
      </c>
      <c r="C6452" s="1">
        <v>45174</v>
      </c>
      <c r="D6452" s="1">
        <v>45176</v>
      </c>
      <c r="E6452">
        <v>1</v>
      </c>
      <c r="F6452" t="str">
        <f>"05-D01-06"</f>
        <v>05-D01-06</v>
      </c>
      <c r="G6452">
        <v>0.7571</v>
      </c>
      <c r="H6452" t="s">
        <v>11</v>
      </c>
      <c r="I6452" t="s">
        <v>10</v>
      </c>
    </row>
    <row r="6453" spans="1:9" x14ac:dyDescent="0.25">
      <c r="A6453" t="str">
        <f t="shared" si="154"/>
        <v>89301000</v>
      </c>
      <c r="B6453" t="str">
        <f>"525822051"</f>
        <v>525822051</v>
      </c>
      <c r="C6453" s="1">
        <v>45216</v>
      </c>
      <c r="D6453" s="1">
        <v>45219</v>
      </c>
      <c r="E6453">
        <v>1</v>
      </c>
      <c r="F6453" t="str">
        <f>"05-K11-02"</f>
        <v>05-K11-02</v>
      </c>
      <c r="G6453">
        <v>0.63480000000000003</v>
      </c>
      <c r="H6453" t="s">
        <v>11</v>
      </c>
      <c r="I6453" t="s">
        <v>10</v>
      </c>
    </row>
    <row r="6454" spans="1:9" x14ac:dyDescent="0.25">
      <c r="A6454" t="str">
        <f t="shared" si="154"/>
        <v>89301000</v>
      </c>
      <c r="B6454" t="str">
        <f>"525822111"</f>
        <v>525822111</v>
      </c>
      <c r="C6454" s="1">
        <v>45092</v>
      </c>
      <c r="D6454" s="1">
        <v>45094</v>
      </c>
      <c r="E6454">
        <v>1</v>
      </c>
      <c r="F6454" t="str">
        <f>"09-I09-05"</f>
        <v>09-I09-05</v>
      </c>
      <c r="G6454">
        <v>0.46870000000000001</v>
      </c>
      <c r="H6454" t="s">
        <v>12</v>
      </c>
      <c r="I6454" t="s">
        <v>10</v>
      </c>
    </row>
    <row r="6455" spans="1:9" x14ac:dyDescent="0.25">
      <c r="A6455" t="str">
        <f t="shared" si="154"/>
        <v>89301000</v>
      </c>
      <c r="B6455" t="str">
        <f>"525826167"</f>
        <v>525826167</v>
      </c>
      <c r="C6455" s="1">
        <v>45097</v>
      </c>
      <c r="D6455" s="1">
        <v>45105</v>
      </c>
      <c r="E6455">
        <v>1</v>
      </c>
      <c r="F6455" t="str">
        <f>"05-I16-04"</f>
        <v>05-I16-04</v>
      </c>
      <c r="G6455">
        <v>6.2375999999999996</v>
      </c>
      <c r="H6455" t="s">
        <v>14</v>
      </c>
      <c r="I6455" t="s">
        <v>10</v>
      </c>
    </row>
    <row r="6456" spans="1:9" x14ac:dyDescent="0.25">
      <c r="A6456" t="str">
        <f t="shared" si="154"/>
        <v>89301000</v>
      </c>
      <c r="B6456" t="str">
        <f>"525826167"</f>
        <v>525826167</v>
      </c>
      <c r="C6456" s="1">
        <v>45063</v>
      </c>
      <c r="D6456" s="1">
        <v>45064</v>
      </c>
      <c r="E6456">
        <v>1</v>
      </c>
      <c r="F6456" t="str">
        <f>"05-D01-08"</f>
        <v>05-D01-08</v>
      </c>
      <c r="G6456">
        <v>0.43159999999999998</v>
      </c>
      <c r="H6456" t="s">
        <v>11</v>
      </c>
      <c r="I6456" t="s">
        <v>10</v>
      </c>
    </row>
    <row r="6457" spans="1:9" x14ac:dyDescent="0.25">
      <c r="A6457" t="str">
        <f t="shared" si="154"/>
        <v>89301000</v>
      </c>
      <c r="B6457" t="str">
        <f>"525827007"</f>
        <v>525827007</v>
      </c>
      <c r="C6457" s="1">
        <v>45175</v>
      </c>
      <c r="D6457" s="1">
        <v>45178</v>
      </c>
      <c r="E6457">
        <v>1</v>
      </c>
      <c r="F6457" t="str">
        <f>"08-I23-02"</f>
        <v>08-I23-02</v>
      </c>
      <c r="G6457">
        <v>0.91059999999999997</v>
      </c>
      <c r="H6457" t="s">
        <v>12</v>
      </c>
      <c r="I6457" t="s">
        <v>10</v>
      </c>
    </row>
    <row r="6458" spans="1:9" x14ac:dyDescent="0.25">
      <c r="A6458" t="str">
        <f t="shared" si="154"/>
        <v>89301000</v>
      </c>
      <c r="B6458" t="str">
        <f>"525827007"</f>
        <v>525827007</v>
      </c>
      <c r="C6458" s="1">
        <v>44965</v>
      </c>
      <c r="D6458" s="1">
        <v>44968</v>
      </c>
      <c r="E6458">
        <v>1</v>
      </c>
      <c r="F6458" t="str">
        <f>"08-I23-02"</f>
        <v>08-I23-02</v>
      </c>
      <c r="G6458">
        <v>0.91059999999999997</v>
      </c>
      <c r="H6458" t="s">
        <v>12</v>
      </c>
      <c r="I6458" t="s">
        <v>10</v>
      </c>
    </row>
    <row r="6459" spans="1:9" x14ac:dyDescent="0.25">
      <c r="A6459" t="str">
        <f t="shared" si="154"/>
        <v>89301000</v>
      </c>
      <c r="B6459" t="str">
        <f>"525828207"</f>
        <v>525828207</v>
      </c>
      <c r="C6459" s="1">
        <v>44979</v>
      </c>
      <c r="D6459" s="1">
        <v>44984</v>
      </c>
      <c r="E6459">
        <v>1</v>
      </c>
      <c r="F6459" t="str">
        <f>"13-I13-02"</f>
        <v>13-I13-02</v>
      </c>
      <c r="G6459">
        <v>1.1388</v>
      </c>
      <c r="H6459" t="s">
        <v>12</v>
      </c>
      <c r="I6459" t="s">
        <v>10</v>
      </c>
    </row>
    <row r="6460" spans="1:9" x14ac:dyDescent="0.25">
      <c r="A6460" t="str">
        <f t="shared" si="154"/>
        <v>89301000</v>
      </c>
      <c r="B6460" t="str">
        <f>"525830338"</f>
        <v>525830338</v>
      </c>
      <c r="C6460" s="1">
        <v>44883</v>
      </c>
      <c r="D6460" s="1">
        <v>44928</v>
      </c>
      <c r="E6460">
        <v>1</v>
      </c>
      <c r="F6460" t="str">
        <f>"08-I05-07"</f>
        <v>08-I05-07</v>
      </c>
      <c r="G6460">
        <v>3.9817999999999998</v>
      </c>
      <c r="H6460" t="s">
        <v>12</v>
      </c>
      <c r="I6460" t="s">
        <v>10</v>
      </c>
    </row>
    <row r="6461" spans="1:9" x14ac:dyDescent="0.25">
      <c r="A6461" t="str">
        <f t="shared" si="154"/>
        <v>89301000</v>
      </c>
      <c r="B6461" t="str">
        <f>"525903193"</f>
        <v>525903193</v>
      </c>
      <c r="C6461" s="1">
        <v>45041</v>
      </c>
      <c r="D6461" s="1">
        <v>45055</v>
      </c>
      <c r="E6461">
        <v>1</v>
      </c>
      <c r="F6461" t="str">
        <f>"06-I12-03"</f>
        <v>06-I12-03</v>
      </c>
      <c r="G6461">
        <v>1.9540999999999999</v>
      </c>
      <c r="H6461" t="s">
        <v>11</v>
      </c>
      <c r="I6461" t="s">
        <v>10</v>
      </c>
    </row>
    <row r="6462" spans="1:9" x14ac:dyDescent="0.25">
      <c r="A6462" t="str">
        <f t="shared" si="154"/>
        <v>89301000</v>
      </c>
      <c r="B6462" t="str">
        <f>"525903193"</f>
        <v>525903193</v>
      </c>
      <c r="C6462" s="1">
        <v>45253</v>
      </c>
      <c r="D6462" s="1">
        <v>45272</v>
      </c>
      <c r="E6462">
        <v>8</v>
      </c>
      <c r="F6462" t="str">
        <f>"07-M02-02"</f>
        <v>07-M02-02</v>
      </c>
      <c r="G6462">
        <v>2.0733000000000001</v>
      </c>
      <c r="H6462" t="s">
        <v>12</v>
      </c>
      <c r="I6462" t="s">
        <v>10</v>
      </c>
    </row>
    <row r="6463" spans="1:9" x14ac:dyDescent="0.25">
      <c r="A6463" t="str">
        <f t="shared" si="154"/>
        <v>89301000</v>
      </c>
      <c r="B6463" t="str">
        <f>"525903210"</f>
        <v>525903210</v>
      </c>
      <c r="C6463" s="1">
        <v>45044</v>
      </c>
      <c r="D6463" s="1">
        <v>45058</v>
      </c>
      <c r="E6463">
        <v>1</v>
      </c>
      <c r="F6463" t="str">
        <f>"08-K08-00"</f>
        <v>08-K08-00</v>
      </c>
      <c r="G6463">
        <v>0.68769999999999998</v>
      </c>
      <c r="H6463" t="s">
        <v>11</v>
      </c>
      <c r="I6463" t="s">
        <v>10</v>
      </c>
    </row>
    <row r="6464" spans="1:9" x14ac:dyDescent="0.25">
      <c r="A6464" t="str">
        <f t="shared" si="154"/>
        <v>89301000</v>
      </c>
      <c r="B6464" t="str">
        <f>"525908182"</f>
        <v>525908182</v>
      </c>
      <c r="C6464" s="1">
        <v>45232</v>
      </c>
      <c r="D6464" s="1">
        <v>45234</v>
      </c>
      <c r="E6464">
        <v>1</v>
      </c>
      <c r="F6464" t="str">
        <f>"09-I13-04"</f>
        <v>09-I13-04</v>
      </c>
      <c r="G6464">
        <v>0.54139999999999999</v>
      </c>
      <c r="H6464" t="s">
        <v>11</v>
      </c>
      <c r="I6464" t="s">
        <v>10</v>
      </c>
    </row>
    <row r="6465" spans="1:9" x14ac:dyDescent="0.25">
      <c r="A6465" t="str">
        <f t="shared" si="154"/>
        <v>89301000</v>
      </c>
      <c r="B6465" t="str">
        <f>"525912335"</f>
        <v>525912335</v>
      </c>
      <c r="C6465" s="1">
        <v>45273</v>
      </c>
      <c r="D6465" s="1">
        <v>45275</v>
      </c>
      <c r="E6465">
        <v>1</v>
      </c>
      <c r="F6465" t="str">
        <f>"13-I19-00"</f>
        <v>13-I19-00</v>
      </c>
      <c r="G6465">
        <v>0.28249999999999997</v>
      </c>
      <c r="H6465" t="s">
        <v>11</v>
      </c>
      <c r="I6465" t="s">
        <v>10</v>
      </c>
    </row>
    <row r="6466" spans="1:9" x14ac:dyDescent="0.25">
      <c r="A6466" t="str">
        <f t="shared" si="154"/>
        <v>89301000</v>
      </c>
      <c r="B6466" t="str">
        <f>"525915255"</f>
        <v>525915255</v>
      </c>
      <c r="C6466" s="1">
        <v>45208</v>
      </c>
      <c r="D6466" s="1">
        <v>45218</v>
      </c>
      <c r="E6466">
        <v>1</v>
      </c>
      <c r="F6466" t="str">
        <f>"05-I24-04"</f>
        <v>05-I24-04</v>
      </c>
      <c r="G6466">
        <v>2.1032000000000002</v>
      </c>
      <c r="H6466" t="s">
        <v>12</v>
      </c>
      <c r="I6466" t="s">
        <v>10</v>
      </c>
    </row>
    <row r="6467" spans="1:9" x14ac:dyDescent="0.25">
      <c r="A6467" t="str">
        <f t="shared" si="154"/>
        <v>89301000</v>
      </c>
      <c r="B6467" t="str">
        <f>"525916214"</f>
        <v>525916214</v>
      </c>
      <c r="C6467" s="1">
        <v>45076</v>
      </c>
      <c r="D6467" s="1">
        <v>45082</v>
      </c>
      <c r="E6467">
        <v>1</v>
      </c>
      <c r="F6467" t="str">
        <f>"04-K06-02"</f>
        <v>04-K06-02</v>
      </c>
      <c r="G6467">
        <v>0.99870000000000003</v>
      </c>
      <c r="H6467" t="s">
        <v>11</v>
      </c>
      <c r="I6467" t="s">
        <v>10</v>
      </c>
    </row>
    <row r="6468" spans="1:9" x14ac:dyDescent="0.25">
      <c r="A6468" t="str">
        <f t="shared" si="154"/>
        <v>89301000</v>
      </c>
      <c r="B6468" t="str">
        <f>"525918241"</f>
        <v>525918241</v>
      </c>
      <c r="C6468" s="1">
        <v>44999</v>
      </c>
      <c r="D6468" s="1">
        <v>45007</v>
      </c>
      <c r="E6468">
        <v>1</v>
      </c>
      <c r="F6468" t="str">
        <f>"04-K02-03"</f>
        <v>04-K02-03</v>
      </c>
      <c r="G6468">
        <v>1.298</v>
      </c>
      <c r="H6468" t="s">
        <v>11</v>
      </c>
      <c r="I6468" t="s">
        <v>10</v>
      </c>
    </row>
    <row r="6469" spans="1:9" x14ac:dyDescent="0.25">
      <c r="A6469" t="str">
        <f t="shared" si="154"/>
        <v>89301000</v>
      </c>
      <c r="B6469" t="str">
        <f>"525919167"</f>
        <v>525919167</v>
      </c>
      <c r="C6469" s="1">
        <v>44945</v>
      </c>
      <c r="D6469" s="1">
        <v>44950</v>
      </c>
      <c r="E6469">
        <v>4</v>
      </c>
      <c r="F6469" t="str">
        <f>"08-I06-04"</f>
        <v>08-I06-04</v>
      </c>
      <c r="G6469">
        <v>2.4180000000000001</v>
      </c>
      <c r="H6469" t="s">
        <v>9</v>
      </c>
      <c r="I6469" t="s">
        <v>10</v>
      </c>
    </row>
    <row r="6470" spans="1:9" x14ac:dyDescent="0.25">
      <c r="A6470" t="str">
        <f t="shared" si="154"/>
        <v>89301000</v>
      </c>
      <c r="B6470" t="str">
        <f>"525919252"</f>
        <v>525919252</v>
      </c>
      <c r="C6470" s="1">
        <v>44968</v>
      </c>
      <c r="D6470" s="1">
        <v>44971</v>
      </c>
      <c r="E6470">
        <v>1</v>
      </c>
      <c r="F6470" t="str">
        <f>"06-K13-01"</f>
        <v>06-K13-01</v>
      </c>
      <c r="G6470">
        <v>1.1842999999999999</v>
      </c>
      <c r="H6470" t="s">
        <v>11</v>
      </c>
      <c r="I6470" t="s">
        <v>10</v>
      </c>
    </row>
    <row r="6471" spans="1:9" x14ac:dyDescent="0.25">
      <c r="A6471" t="str">
        <f t="shared" si="154"/>
        <v>89301000</v>
      </c>
      <c r="B6471" t="str">
        <f>"525919252"</f>
        <v>525919252</v>
      </c>
      <c r="C6471" s="1">
        <v>45019</v>
      </c>
      <c r="D6471" s="1">
        <v>45034</v>
      </c>
      <c r="E6471">
        <v>1</v>
      </c>
      <c r="F6471" t="str">
        <f>"06-K13-02"</f>
        <v>06-K13-02</v>
      </c>
      <c r="G6471">
        <v>0.73</v>
      </c>
      <c r="H6471" t="s">
        <v>11</v>
      </c>
      <c r="I6471" t="s">
        <v>10</v>
      </c>
    </row>
    <row r="6472" spans="1:9" x14ac:dyDescent="0.25">
      <c r="A6472" t="str">
        <f t="shared" si="154"/>
        <v>89301000</v>
      </c>
      <c r="B6472" t="str">
        <f>"525925109"</f>
        <v>525925109</v>
      </c>
      <c r="C6472" s="1">
        <v>45205</v>
      </c>
      <c r="D6472" s="1">
        <v>45210</v>
      </c>
      <c r="E6472">
        <v>1</v>
      </c>
      <c r="F6472" t="str">
        <f>"07-M02-02"</f>
        <v>07-M02-02</v>
      </c>
      <c r="G6472">
        <v>2.0733000000000001</v>
      </c>
      <c r="H6472" t="s">
        <v>12</v>
      </c>
      <c r="I6472" t="s">
        <v>10</v>
      </c>
    </row>
    <row r="6473" spans="1:9" x14ac:dyDescent="0.25">
      <c r="A6473" t="str">
        <f t="shared" si="154"/>
        <v>89301000</v>
      </c>
      <c r="B6473" t="str">
        <f>"525925109"</f>
        <v>525925109</v>
      </c>
      <c r="C6473" s="1">
        <v>45229</v>
      </c>
      <c r="D6473" s="1">
        <v>45231</v>
      </c>
      <c r="E6473">
        <v>1</v>
      </c>
      <c r="F6473" t="str">
        <f>"11-K07-02"</f>
        <v>11-K07-02</v>
      </c>
      <c r="G6473">
        <v>0.55010000000000003</v>
      </c>
      <c r="H6473" t="s">
        <v>11</v>
      </c>
      <c r="I6473" t="s">
        <v>10</v>
      </c>
    </row>
    <row r="6474" spans="1:9" x14ac:dyDescent="0.25">
      <c r="A6474" t="str">
        <f t="shared" ref="A6474:A6537" si="155">"89301000"</f>
        <v>89301000</v>
      </c>
      <c r="B6474" t="str">
        <f>"526002111"</f>
        <v>526002111</v>
      </c>
      <c r="C6474" s="1">
        <v>45046</v>
      </c>
      <c r="D6474" s="1">
        <v>45064</v>
      </c>
      <c r="E6474">
        <v>1</v>
      </c>
      <c r="F6474" t="str">
        <f>"08-K08-00"</f>
        <v>08-K08-00</v>
      </c>
      <c r="G6474">
        <v>0.8962</v>
      </c>
      <c r="H6474" t="s">
        <v>11</v>
      </c>
      <c r="I6474" t="s">
        <v>10</v>
      </c>
    </row>
    <row r="6475" spans="1:9" x14ac:dyDescent="0.25">
      <c r="A6475" t="str">
        <f t="shared" si="155"/>
        <v>89301000</v>
      </c>
      <c r="B6475" t="str">
        <f>"526002173"</f>
        <v>526002173</v>
      </c>
      <c r="C6475" s="1">
        <v>44950</v>
      </c>
      <c r="D6475" s="1">
        <v>44953</v>
      </c>
      <c r="E6475">
        <v>1</v>
      </c>
      <c r="F6475" t="str">
        <f>"05-M07-06"</f>
        <v>05-M07-06</v>
      </c>
      <c r="G6475">
        <v>1.2264999999999999</v>
      </c>
      <c r="H6475" t="s">
        <v>12</v>
      </c>
      <c r="I6475" t="s">
        <v>10</v>
      </c>
    </row>
    <row r="6476" spans="1:9" x14ac:dyDescent="0.25">
      <c r="A6476" t="str">
        <f t="shared" si="155"/>
        <v>89301000</v>
      </c>
      <c r="B6476" t="str">
        <f>"526002229"</f>
        <v>526002229</v>
      </c>
      <c r="C6476" s="1">
        <v>45266</v>
      </c>
      <c r="D6476" s="1">
        <v>45271</v>
      </c>
      <c r="E6476">
        <v>1</v>
      </c>
      <c r="F6476" t="str">
        <f>"02-I06-03"</f>
        <v>02-I06-03</v>
      </c>
      <c r="G6476">
        <v>0.99260000000000004</v>
      </c>
      <c r="H6476" t="s">
        <v>12</v>
      </c>
      <c r="I6476" t="s">
        <v>10</v>
      </c>
    </row>
    <row r="6477" spans="1:9" x14ac:dyDescent="0.25">
      <c r="A6477" t="str">
        <f t="shared" si="155"/>
        <v>89301000</v>
      </c>
      <c r="B6477" t="str">
        <f>"526006006"</f>
        <v>526006006</v>
      </c>
      <c r="C6477" s="1">
        <v>45208</v>
      </c>
      <c r="D6477" s="1">
        <v>45211</v>
      </c>
      <c r="E6477">
        <v>1</v>
      </c>
      <c r="F6477" t="str">
        <f>"04-K10-02"</f>
        <v>04-K10-02</v>
      </c>
      <c r="G6477">
        <v>0.41899999999999998</v>
      </c>
      <c r="H6477" t="s">
        <v>11</v>
      </c>
      <c r="I6477" t="s">
        <v>10</v>
      </c>
    </row>
    <row r="6478" spans="1:9" x14ac:dyDescent="0.25">
      <c r="A6478" t="str">
        <f t="shared" si="155"/>
        <v>89301000</v>
      </c>
      <c r="B6478" t="str">
        <f>"526006006"</f>
        <v>526006006</v>
      </c>
      <c r="C6478" s="1">
        <v>44971</v>
      </c>
      <c r="D6478" s="1">
        <v>44977</v>
      </c>
      <c r="E6478">
        <v>3</v>
      </c>
      <c r="F6478" t="str">
        <f>"08-I06-04"</f>
        <v>08-I06-04</v>
      </c>
      <c r="G6478">
        <v>2.4180000000000001</v>
      </c>
      <c r="H6478" t="s">
        <v>9</v>
      </c>
      <c r="I6478" t="s">
        <v>10</v>
      </c>
    </row>
    <row r="6479" spans="1:9" x14ac:dyDescent="0.25">
      <c r="A6479" t="str">
        <f t="shared" si="155"/>
        <v>89301000</v>
      </c>
      <c r="B6479" t="str">
        <f>"526006006"</f>
        <v>526006006</v>
      </c>
      <c r="C6479" s="1">
        <v>44977</v>
      </c>
      <c r="D6479" s="1">
        <v>44988</v>
      </c>
      <c r="E6479">
        <v>1</v>
      </c>
      <c r="F6479" t="str">
        <f>"24-M06-02"</f>
        <v>24-M06-02</v>
      </c>
      <c r="G6479">
        <v>1.0699000000000001</v>
      </c>
      <c r="H6479" t="s">
        <v>11</v>
      </c>
      <c r="I6479" t="s">
        <v>10</v>
      </c>
    </row>
    <row r="6480" spans="1:9" x14ac:dyDescent="0.25">
      <c r="A6480" t="str">
        <f t="shared" si="155"/>
        <v>89301000</v>
      </c>
      <c r="B6480" t="str">
        <f>"526006143"</f>
        <v>526006143</v>
      </c>
      <c r="C6480" s="1">
        <v>44965</v>
      </c>
      <c r="D6480" s="1">
        <v>44966</v>
      </c>
      <c r="E6480">
        <v>1</v>
      </c>
      <c r="F6480" t="str">
        <f>"05-D01-08"</f>
        <v>05-D01-08</v>
      </c>
      <c r="G6480">
        <v>0.43159999999999998</v>
      </c>
      <c r="H6480" t="s">
        <v>11</v>
      </c>
      <c r="I6480" t="s">
        <v>10</v>
      </c>
    </row>
    <row r="6481" spans="1:9" x14ac:dyDescent="0.25">
      <c r="A6481" t="str">
        <f t="shared" si="155"/>
        <v>89301000</v>
      </c>
      <c r="B6481" t="str">
        <f>"526010119"</f>
        <v>526010119</v>
      </c>
      <c r="C6481" s="1">
        <v>44981</v>
      </c>
      <c r="D6481" s="1">
        <v>44983</v>
      </c>
      <c r="E6481">
        <v>1</v>
      </c>
      <c r="F6481" t="str">
        <f>"03-I24-00"</f>
        <v>03-I24-00</v>
      </c>
      <c r="G6481">
        <v>0.48080000000000001</v>
      </c>
      <c r="H6481" t="s">
        <v>11</v>
      </c>
      <c r="I6481" t="s">
        <v>10</v>
      </c>
    </row>
    <row r="6482" spans="1:9" x14ac:dyDescent="0.25">
      <c r="A6482" t="str">
        <f t="shared" si="155"/>
        <v>89301000</v>
      </c>
      <c r="B6482" t="str">
        <f>"526010209"</f>
        <v>526010209</v>
      </c>
      <c r="C6482" s="1">
        <v>45061</v>
      </c>
      <c r="D6482" s="1">
        <v>45065</v>
      </c>
      <c r="E6482">
        <v>1</v>
      </c>
      <c r="F6482" t="str">
        <f>"11-I14-02"</f>
        <v>11-I14-02</v>
      </c>
      <c r="G6482">
        <v>0.61839999999999995</v>
      </c>
      <c r="H6482" t="s">
        <v>9</v>
      </c>
      <c r="I6482" t="s">
        <v>10</v>
      </c>
    </row>
    <row r="6483" spans="1:9" x14ac:dyDescent="0.25">
      <c r="A6483" t="str">
        <f t="shared" si="155"/>
        <v>89301000</v>
      </c>
      <c r="B6483" t="str">
        <f>"526019184"</f>
        <v>526019184</v>
      </c>
      <c r="C6483" s="1">
        <v>44997</v>
      </c>
      <c r="D6483" s="1">
        <v>45000</v>
      </c>
      <c r="E6483">
        <v>1</v>
      </c>
      <c r="F6483" t="str">
        <f>"13-I18-02"</f>
        <v>13-I18-02</v>
      </c>
      <c r="G6483">
        <v>0.93840000000000001</v>
      </c>
      <c r="H6483" t="s">
        <v>11</v>
      </c>
      <c r="I6483" t="s">
        <v>10</v>
      </c>
    </row>
    <row r="6484" spans="1:9" x14ac:dyDescent="0.25">
      <c r="A6484" t="str">
        <f t="shared" si="155"/>
        <v>89301000</v>
      </c>
      <c r="B6484" t="str">
        <f>"526019184"</f>
        <v>526019184</v>
      </c>
      <c r="C6484" s="1">
        <v>45012</v>
      </c>
      <c r="D6484" s="1">
        <v>45047</v>
      </c>
      <c r="E6484">
        <v>7</v>
      </c>
      <c r="F6484" t="str">
        <f>"13-C01-02"</f>
        <v>13-C01-02</v>
      </c>
      <c r="G6484">
        <v>1.5583</v>
      </c>
      <c r="H6484" t="s">
        <v>11</v>
      </c>
      <c r="I6484" t="s">
        <v>10</v>
      </c>
    </row>
    <row r="6485" spans="1:9" x14ac:dyDescent="0.25">
      <c r="A6485" t="str">
        <f t="shared" si="155"/>
        <v>89301000</v>
      </c>
      <c r="B6485" t="str">
        <f>"526019184"</f>
        <v>526019184</v>
      </c>
      <c r="C6485" s="1">
        <v>44974</v>
      </c>
      <c r="D6485" s="1">
        <v>44992</v>
      </c>
      <c r="E6485">
        <v>1</v>
      </c>
      <c r="F6485" t="str">
        <f>"13-K07-02"</f>
        <v>13-K07-02</v>
      </c>
      <c r="G6485">
        <v>0.92459999999999998</v>
      </c>
      <c r="H6485" t="s">
        <v>11</v>
      </c>
      <c r="I6485" t="s">
        <v>10</v>
      </c>
    </row>
    <row r="6486" spans="1:9" x14ac:dyDescent="0.25">
      <c r="A6486" t="str">
        <f t="shared" si="155"/>
        <v>89301000</v>
      </c>
      <c r="B6486" t="str">
        <f>"526020135"</f>
        <v>526020135</v>
      </c>
      <c r="C6486" s="1">
        <v>44956</v>
      </c>
      <c r="D6486" s="1">
        <v>44960</v>
      </c>
      <c r="E6486">
        <v>1</v>
      </c>
      <c r="F6486" t="str">
        <f>"09-K08-02"</f>
        <v>09-K08-02</v>
      </c>
      <c r="G6486">
        <v>0.49280000000000002</v>
      </c>
      <c r="H6486" t="s">
        <v>11</v>
      </c>
      <c r="I6486" t="s">
        <v>10</v>
      </c>
    </row>
    <row r="6487" spans="1:9" x14ac:dyDescent="0.25">
      <c r="A6487" t="str">
        <f t="shared" si="155"/>
        <v>89301000</v>
      </c>
      <c r="B6487" t="str">
        <f>"526020135"</f>
        <v>526020135</v>
      </c>
      <c r="C6487" s="1">
        <v>45044</v>
      </c>
      <c r="D6487" s="1">
        <v>45058</v>
      </c>
      <c r="E6487">
        <v>4</v>
      </c>
      <c r="F6487" t="str">
        <f>"09-K08-02"</f>
        <v>09-K08-02</v>
      </c>
      <c r="G6487">
        <v>0.66449999999999998</v>
      </c>
      <c r="H6487" t="s">
        <v>11</v>
      </c>
      <c r="I6487" t="s">
        <v>10</v>
      </c>
    </row>
    <row r="6488" spans="1:9" x14ac:dyDescent="0.25">
      <c r="A6488" t="str">
        <f t="shared" si="155"/>
        <v>89301000</v>
      </c>
      <c r="B6488" t="str">
        <f>"526022100"</f>
        <v>526022100</v>
      </c>
      <c r="C6488" s="1">
        <v>45190</v>
      </c>
      <c r="D6488" s="1">
        <v>45193</v>
      </c>
      <c r="E6488">
        <v>1</v>
      </c>
      <c r="F6488" t="str">
        <f>"03-I24-00"</f>
        <v>03-I24-00</v>
      </c>
      <c r="G6488">
        <v>0.40899999999999997</v>
      </c>
      <c r="H6488" t="s">
        <v>11</v>
      </c>
      <c r="I6488" t="s">
        <v>10</v>
      </c>
    </row>
    <row r="6489" spans="1:9" x14ac:dyDescent="0.25">
      <c r="A6489" t="str">
        <f t="shared" si="155"/>
        <v>89301000</v>
      </c>
      <c r="B6489" t="str">
        <f>"526022100"</f>
        <v>526022100</v>
      </c>
      <c r="C6489" s="1">
        <v>45233</v>
      </c>
      <c r="D6489" s="1">
        <v>45243</v>
      </c>
      <c r="E6489">
        <v>8</v>
      </c>
      <c r="F6489" t="str">
        <f>"09-K08-02"</f>
        <v>09-K08-02</v>
      </c>
      <c r="G6489">
        <v>0.49280000000000002</v>
      </c>
      <c r="H6489" t="s">
        <v>11</v>
      </c>
      <c r="I6489" t="s">
        <v>10</v>
      </c>
    </row>
    <row r="6490" spans="1:9" x14ac:dyDescent="0.25">
      <c r="A6490" t="str">
        <f t="shared" si="155"/>
        <v>89301000</v>
      </c>
      <c r="B6490" t="str">
        <f>"526026205"</f>
        <v>526026205</v>
      </c>
      <c r="C6490" s="1">
        <v>45143</v>
      </c>
      <c r="D6490" s="1">
        <v>45145</v>
      </c>
      <c r="E6490">
        <v>1</v>
      </c>
      <c r="F6490" t="str">
        <f>"05-M10-00"</f>
        <v>05-M10-00</v>
      </c>
      <c r="G6490">
        <v>0.2036</v>
      </c>
      <c r="H6490" t="s">
        <v>11</v>
      </c>
      <c r="I6490" t="s">
        <v>10</v>
      </c>
    </row>
    <row r="6491" spans="1:9" x14ac:dyDescent="0.25">
      <c r="A6491" t="str">
        <f t="shared" si="155"/>
        <v>89301000</v>
      </c>
      <c r="B6491" t="str">
        <f>"526027024"</f>
        <v>526027024</v>
      </c>
      <c r="C6491" s="1">
        <v>45085</v>
      </c>
      <c r="D6491" s="1">
        <v>45089</v>
      </c>
      <c r="E6491">
        <v>1</v>
      </c>
      <c r="F6491" t="str">
        <f>"02-I06-04"</f>
        <v>02-I06-04</v>
      </c>
      <c r="G6491">
        <v>0.79630000000000001</v>
      </c>
      <c r="H6491" t="s">
        <v>12</v>
      </c>
      <c r="I6491" t="s">
        <v>10</v>
      </c>
    </row>
    <row r="6492" spans="1:9" x14ac:dyDescent="0.25">
      <c r="A6492" t="str">
        <f t="shared" si="155"/>
        <v>89301000</v>
      </c>
      <c r="B6492" t="str">
        <f>"526030134"</f>
        <v>526030134</v>
      </c>
      <c r="C6492" s="1">
        <v>45015</v>
      </c>
      <c r="D6492" s="1">
        <v>45016</v>
      </c>
      <c r="E6492">
        <v>1</v>
      </c>
      <c r="F6492" t="str">
        <f>"05-D01-06"</f>
        <v>05-D01-06</v>
      </c>
      <c r="G6492">
        <v>0.7571</v>
      </c>
      <c r="H6492" t="s">
        <v>11</v>
      </c>
      <c r="I6492" t="s">
        <v>10</v>
      </c>
    </row>
    <row r="6493" spans="1:9" x14ac:dyDescent="0.25">
      <c r="A6493" t="str">
        <f t="shared" si="155"/>
        <v>89301000</v>
      </c>
      <c r="B6493" t="str">
        <f>"526105058"</f>
        <v>526105058</v>
      </c>
      <c r="C6493" s="1">
        <v>44974</v>
      </c>
      <c r="D6493" s="1">
        <v>44977</v>
      </c>
      <c r="E6493">
        <v>1</v>
      </c>
      <c r="F6493" t="str">
        <f>"01-D01-03"</f>
        <v>01-D01-03</v>
      </c>
      <c r="G6493">
        <v>0.21060000000000001</v>
      </c>
      <c r="H6493" t="s">
        <v>11</v>
      </c>
      <c r="I6493" t="s">
        <v>10</v>
      </c>
    </row>
    <row r="6494" spans="1:9" x14ac:dyDescent="0.25">
      <c r="A6494" t="str">
        <f t="shared" si="155"/>
        <v>89301000</v>
      </c>
      <c r="B6494" t="str">
        <f>"526105195"</f>
        <v>526105195</v>
      </c>
      <c r="C6494" s="1">
        <v>45005</v>
      </c>
      <c r="D6494" s="1">
        <v>45009</v>
      </c>
      <c r="E6494">
        <v>1</v>
      </c>
      <c r="F6494" t="str">
        <f>"13-I11-03"</f>
        <v>13-I11-03</v>
      </c>
      <c r="G6494">
        <v>1.4332</v>
      </c>
      <c r="H6494" t="s">
        <v>9</v>
      </c>
      <c r="I6494" t="s">
        <v>10</v>
      </c>
    </row>
    <row r="6495" spans="1:9" x14ac:dyDescent="0.25">
      <c r="A6495" t="str">
        <f t="shared" si="155"/>
        <v>89301000</v>
      </c>
      <c r="B6495" t="str">
        <f>"526106060"</f>
        <v>526106060</v>
      </c>
      <c r="C6495" s="1">
        <v>45118</v>
      </c>
      <c r="D6495" s="1">
        <v>45124</v>
      </c>
      <c r="E6495">
        <v>1</v>
      </c>
      <c r="F6495" t="str">
        <f>"09-K04-02"</f>
        <v>09-K04-02</v>
      </c>
      <c r="G6495">
        <v>0.64849999999999997</v>
      </c>
      <c r="H6495" t="s">
        <v>11</v>
      </c>
      <c r="I6495" t="s">
        <v>10</v>
      </c>
    </row>
    <row r="6496" spans="1:9" x14ac:dyDescent="0.25">
      <c r="A6496" t="str">
        <f t="shared" si="155"/>
        <v>89301000</v>
      </c>
      <c r="B6496" t="str">
        <f>"526108254"</f>
        <v>526108254</v>
      </c>
      <c r="C6496" s="1">
        <v>44948</v>
      </c>
      <c r="D6496" s="1">
        <v>44951</v>
      </c>
      <c r="E6496">
        <v>1</v>
      </c>
      <c r="F6496" t="str">
        <f>"06-I17-02"</f>
        <v>06-I17-02</v>
      </c>
      <c r="G6496">
        <v>1.0106999999999999</v>
      </c>
      <c r="H6496" t="s">
        <v>12</v>
      </c>
      <c r="I6496" t="s">
        <v>10</v>
      </c>
    </row>
    <row r="6497" spans="1:9" x14ac:dyDescent="0.25">
      <c r="A6497" t="str">
        <f t="shared" si="155"/>
        <v>89301000</v>
      </c>
      <c r="B6497" t="str">
        <f>"526110190"</f>
        <v>526110190</v>
      </c>
      <c r="C6497" s="1">
        <v>45208</v>
      </c>
      <c r="D6497" s="1">
        <v>45212</v>
      </c>
      <c r="E6497">
        <v>1</v>
      </c>
      <c r="F6497" t="str">
        <f>"09-K04-02"</f>
        <v>09-K04-02</v>
      </c>
      <c r="G6497">
        <v>0.64849999999999997</v>
      </c>
      <c r="H6497" t="s">
        <v>11</v>
      </c>
      <c r="I6497" t="s">
        <v>10</v>
      </c>
    </row>
    <row r="6498" spans="1:9" x14ac:dyDescent="0.25">
      <c r="A6498" t="str">
        <f t="shared" si="155"/>
        <v>89301000</v>
      </c>
      <c r="B6498" t="str">
        <f>"526113176"</f>
        <v>526113176</v>
      </c>
      <c r="C6498" s="1">
        <v>44935</v>
      </c>
      <c r="D6498" s="1">
        <v>44939</v>
      </c>
      <c r="E6498">
        <v>1</v>
      </c>
      <c r="F6498" t="str">
        <f>"07-I10-06"</f>
        <v>07-I10-06</v>
      </c>
      <c r="G6498">
        <v>0.98419999999999996</v>
      </c>
      <c r="H6498" t="s">
        <v>12</v>
      </c>
      <c r="I6498" t="s">
        <v>10</v>
      </c>
    </row>
    <row r="6499" spans="1:9" x14ac:dyDescent="0.25">
      <c r="A6499" t="str">
        <f t="shared" si="155"/>
        <v>89301000</v>
      </c>
      <c r="B6499" t="str">
        <f>"526114128"</f>
        <v>526114128</v>
      </c>
      <c r="C6499" s="1">
        <v>45034</v>
      </c>
      <c r="D6499" s="1">
        <v>45040</v>
      </c>
      <c r="E6499">
        <v>1</v>
      </c>
      <c r="F6499" t="str">
        <f>"09-K04-02"</f>
        <v>09-K04-02</v>
      </c>
      <c r="G6499">
        <v>0.64849999999999997</v>
      </c>
      <c r="H6499" t="s">
        <v>11</v>
      </c>
      <c r="I6499" t="s">
        <v>10</v>
      </c>
    </row>
    <row r="6500" spans="1:9" x14ac:dyDescent="0.25">
      <c r="A6500" t="str">
        <f t="shared" si="155"/>
        <v>89301000</v>
      </c>
      <c r="B6500" t="str">
        <f>"526121066"</f>
        <v>526121066</v>
      </c>
      <c r="C6500" s="1">
        <v>45201</v>
      </c>
      <c r="D6500" s="1">
        <v>45205</v>
      </c>
      <c r="E6500">
        <v>1</v>
      </c>
      <c r="F6500" t="str">
        <f>"08-I06-04"</f>
        <v>08-I06-04</v>
      </c>
      <c r="G6500">
        <v>2.3645</v>
      </c>
      <c r="H6500" t="s">
        <v>9</v>
      </c>
      <c r="I6500" t="s">
        <v>10</v>
      </c>
    </row>
    <row r="6501" spans="1:9" x14ac:dyDescent="0.25">
      <c r="A6501" t="str">
        <f t="shared" si="155"/>
        <v>89301000</v>
      </c>
      <c r="B6501" t="str">
        <f>"526126126"</f>
        <v>526126126</v>
      </c>
      <c r="C6501" s="1">
        <v>45077</v>
      </c>
      <c r="D6501" s="1">
        <v>45092</v>
      </c>
      <c r="E6501">
        <v>8</v>
      </c>
      <c r="F6501" t="str">
        <f>"04-K09-02"</f>
        <v>04-K09-02</v>
      </c>
      <c r="G6501">
        <v>1.155</v>
      </c>
      <c r="H6501" t="s">
        <v>11</v>
      </c>
      <c r="I6501" t="s">
        <v>10</v>
      </c>
    </row>
    <row r="6502" spans="1:9" x14ac:dyDescent="0.25">
      <c r="A6502" t="str">
        <f t="shared" si="155"/>
        <v>89301000</v>
      </c>
      <c r="B6502" t="str">
        <f>"526127304"</f>
        <v>526127304</v>
      </c>
      <c r="C6502" s="1">
        <v>45257</v>
      </c>
      <c r="D6502" s="1">
        <v>45266</v>
      </c>
      <c r="E6502">
        <v>1</v>
      </c>
      <c r="F6502" t="str">
        <f>"04-M01-06"</f>
        <v>04-M01-06</v>
      </c>
      <c r="G6502">
        <v>3.6739000000000002</v>
      </c>
      <c r="H6502" t="s">
        <v>11</v>
      </c>
      <c r="I6502" t="s">
        <v>10</v>
      </c>
    </row>
    <row r="6503" spans="1:9" x14ac:dyDescent="0.25">
      <c r="A6503" t="str">
        <f t="shared" si="155"/>
        <v>89301000</v>
      </c>
      <c r="B6503" t="str">
        <f>"526128017"</f>
        <v>526128017</v>
      </c>
      <c r="C6503" s="1">
        <v>45131</v>
      </c>
      <c r="D6503" s="1">
        <v>45135</v>
      </c>
      <c r="E6503">
        <v>1</v>
      </c>
      <c r="F6503" t="str">
        <f>"08-I17-01"</f>
        <v>08-I17-01</v>
      </c>
      <c r="G6503">
        <v>1.6462000000000001</v>
      </c>
      <c r="H6503" t="s">
        <v>11</v>
      </c>
      <c r="I6503" t="s">
        <v>10</v>
      </c>
    </row>
    <row r="6504" spans="1:9" x14ac:dyDescent="0.25">
      <c r="A6504" t="str">
        <f t="shared" si="155"/>
        <v>89301000</v>
      </c>
      <c r="B6504" t="str">
        <f>"526128109"</f>
        <v>526128109</v>
      </c>
      <c r="C6504" s="1">
        <v>45222</v>
      </c>
      <c r="D6504" s="1">
        <v>45229</v>
      </c>
      <c r="E6504">
        <v>1</v>
      </c>
      <c r="F6504" t="str">
        <f>"06-I15-00"</f>
        <v>06-I15-00</v>
      </c>
      <c r="G6504">
        <v>1.8702000000000001</v>
      </c>
      <c r="H6504" t="s">
        <v>9</v>
      </c>
      <c r="I6504" t="s">
        <v>10</v>
      </c>
    </row>
    <row r="6505" spans="1:9" x14ac:dyDescent="0.25">
      <c r="A6505" t="str">
        <f t="shared" si="155"/>
        <v>89301000</v>
      </c>
      <c r="B6505" t="str">
        <f>"526129184"</f>
        <v>526129184</v>
      </c>
      <c r="C6505" s="1">
        <v>45208</v>
      </c>
      <c r="D6505" s="1">
        <v>45210</v>
      </c>
      <c r="E6505">
        <v>1</v>
      </c>
      <c r="F6505" t="str">
        <f>"04-K07-03"</f>
        <v>04-K07-03</v>
      </c>
      <c r="G6505">
        <v>0.61119999999999997</v>
      </c>
      <c r="H6505" t="s">
        <v>11</v>
      </c>
      <c r="I6505" t="s">
        <v>10</v>
      </c>
    </row>
    <row r="6506" spans="1:9" x14ac:dyDescent="0.25">
      <c r="A6506" t="str">
        <f t="shared" si="155"/>
        <v>89301000</v>
      </c>
      <c r="B6506" t="str">
        <f>"526201076"</f>
        <v>526201076</v>
      </c>
      <c r="C6506" s="1">
        <v>45238</v>
      </c>
      <c r="D6506" s="1">
        <v>45240</v>
      </c>
      <c r="E6506">
        <v>1</v>
      </c>
      <c r="F6506" t="str">
        <f>"05-D01-06"</f>
        <v>05-D01-06</v>
      </c>
      <c r="G6506">
        <v>0.7571</v>
      </c>
      <c r="H6506" t="s">
        <v>11</v>
      </c>
      <c r="I6506" t="s">
        <v>10</v>
      </c>
    </row>
    <row r="6507" spans="1:9" x14ac:dyDescent="0.25">
      <c r="A6507" t="str">
        <f t="shared" si="155"/>
        <v>89301000</v>
      </c>
      <c r="B6507" t="str">
        <f>"526201199"</f>
        <v>526201199</v>
      </c>
      <c r="C6507" s="1">
        <v>45056</v>
      </c>
      <c r="D6507" s="1">
        <v>45063</v>
      </c>
      <c r="E6507">
        <v>1</v>
      </c>
      <c r="F6507" t="str">
        <f>"11-K01-04"</f>
        <v>11-K01-04</v>
      </c>
      <c r="G6507">
        <v>0.57130000000000003</v>
      </c>
      <c r="H6507" t="s">
        <v>11</v>
      </c>
      <c r="I6507" t="s">
        <v>10</v>
      </c>
    </row>
    <row r="6508" spans="1:9" x14ac:dyDescent="0.25">
      <c r="A6508" t="str">
        <f t="shared" si="155"/>
        <v>89301000</v>
      </c>
      <c r="B6508" t="str">
        <f>"526210195"</f>
        <v>526210195</v>
      </c>
      <c r="C6508" s="1">
        <v>45260</v>
      </c>
      <c r="D6508" s="1">
        <v>45261</v>
      </c>
      <c r="E6508">
        <v>1</v>
      </c>
      <c r="F6508" t="str">
        <f>"09-I13-05"</f>
        <v>09-I13-05</v>
      </c>
      <c r="G6508">
        <v>0.42509999999999998</v>
      </c>
      <c r="H6508" t="s">
        <v>11</v>
      </c>
      <c r="I6508" t="s">
        <v>10</v>
      </c>
    </row>
    <row r="6509" spans="1:9" x14ac:dyDescent="0.25">
      <c r="A6509" t="str">
        <f t="shared" si="155"/>
        <v>89301000</v>
      </c>
      <c r="B6509" t="str">
        <f>"526210195"</f>
        <v>526210195</v>
      </c>
      <c r="C6509" s="1">
        <v>45254</v>
      </c>
      <c r="D6509" s="1">
        <v>45255</v>
      </c>
      <c r="E6509">
        <v>1</v>
      </c>
      <c r="F6509" t="str">
        <f>"09-I13-05"</f>
        <v>09-I13-05</v>
      </c>
      <c r="G6509">
        <v>0.42570000000000002</v>
      </c>
      <c r="H6509" t="s">
        <v>11</v>
      </c>
      <c r="I6509" t="s">
        <v>10</v>
      </c>
    </row>
    <row r="6510" spans="1:9" x14ac:dyDescent="0.25">
      <c r="A6510" t="str">
        <f t="shared" si="155"/>
        <v>89301000</v>
      </c>
      <c r="B6510" t="str">
        <f>"526213152"</f>
        <v>526213152</v>
      </c>
      <c r="C6510" s="1">
        <v>45188</v>
      </c>
      <c r="D6510" s="1">
        <v>45192</v>
      </c>
      <c r="E6510">
        <v>1</v>
      </c>
      <c r="F6510" t="str">
        <f>"01-K04-02"</f>
        <v>01-K04-02</v>
      </c>
      <c r="G6510">
        <v>0.79990000000000006</v>
      </c>
      <c r="H6510" t="s">
        <v>11</v>
      </c>
      <c r="I6510" t="s">
        <v>10</v>
      </c>
    </row>
    <row r="6511" spans="1:9" x14ac:dyDescent="0.25">
      <c r="A6511" t="str">
        <f t="shared" si="155"/>
        <v>89301000</v>
      </c>
      <c r="B6511" t="str">
        <f>"526213152"</f>
        <v>526213152</v>
      </c>
      <c r="C6511" s="1">
        <v>44985</v>
      </c>
      <c r="D6511" s="1">
        <v>44994</v>
      </c>
      <c r="E6511">
        <v>1</v>
      </c>
      <c r="F6511" t="str">
        <f>"01-K04-01"</f>
        <v>01-K04-01</v>
      </c>
      <c r="G6511">
        <v>1.0985</v>
      </c>
      <c r="H6511" t="s">
        <v>11</v>
      </c>
      <c r="I6511" t="s">
        <v>10</v>
      </c>
    </row>
    <row r="6512" spans="1:9" x14ac:dyDescent="0.25">
      <c r="A6512" t="str">
        <f t="shared" si="155"/>
        <v>89301000</v>
      </c>
      <c r="B6512" t="str">
        <f>"526214242"</f>
        <v>526214242</v>
      </c>
      <c r="C6512" s="1">
        <v>45064</v>
      </c>
      <c r="D6512" s="1">
        <v>45083</v>
      </c>
      <c r="E6512">
        <v>5</v>
      </c>
      <c r="F6512" t="str">
        <f>"01-K04-01"</f>
        <v>01-K04-01</v>
      </c>
      <c r="G6512">
        <v>1.1131</v>
      </c>
      <c r="H6512" t="s">
        <v>11</v>
      </c>
      <c r="I6512" t="s">
        <v>10</v>
      </c>
    </row>
    <row r="6513" spans="1:9" x14ac:dyDescent="0.25">
      <c r="A6513" t="str">
        <f t="shared" si="155"/>
        <v>89301000</v>
      </c>
      <c r="B6513" t="str">
        <f>"526220346"</f>
        <v>526220346</v>
      </c>
      <c r="C6513" s="1">
        <v>45018</v>
      </c>
      <c r="D6513" s="1">
        <v>45020</v>
      </c>
      <c r="E6513">
        <v>1</v>
      </c>
      <c r="F6513" t="str">
        <f>"05-K05-05"</f>
        <v>05-K05-05</v>
      </c>
      <c r="G6513">
        <v>0.35659999999999997</v>
      </c>
      <c r="H6513" t="s">
        <v>11</v>
      </c>
      <c r="I6513" t="s">
        <v>10</v>
      </c>
    </row>
    <row r="6514" spans="1:9" x14ac:dyDescent="0.25">
      <c r="A6514" t="str">
        <f t="shared" si="155"/>
        <v>89301000</v>
      </c>
      <c r="B6514" t="str">
        <f>"526223078"</f>
        <v>526223078</v>
      </c>
      <c r="C6514" s="1">
        <v>45056</v>
      </c>
      <c r="D6514" s="1">
        <v>45062</v>
      </c>
      <c r="E6514">
        <v>3</v>
      </c>
      <c r="F6514" t="str">
        <f>"08-I06-04"</f>
        <v>08-I06-04</v>
      </c>
      <c r="G6514">
        <v>2.4180000000000001</v>
      </c>
      <c r="H6514" t="s">
        <v>9</v>
      </c>
      <c r="I6514" t="s">
        <v>10</v>
      </c>
    </row>
    <row r="6515" spans="1:9" x14ac:dyDescent="0.25">
      <c r="A6515" t="str">
        <f t="shared" si="155"/>
        <v>89301000</v>
      </c>
      <c r="B6515" t="str">
        <f>"526223078"</f>
        <v>526223078</v>
      </c>
      <c r="C6515" s="1">
        <v>45062</v>
      </c>
      <c r="D6515" s="1">
        <v>45069</v>
      </c>
      <c r="E6515">
        <v>5</v>
      </c>
      <c r="F6515" t="str">
        <f>"24-M06-02"</f>
        <v>24-M06-02</v>
      </c>
      <c r="G6515">
        <v>1.0699000000000001</v>
      </c>
      <c r="H6515" t="s">
        <v>11</v>
      </c>
      <c r="I6515" t="s">
        <v>10</v>
      </c>
    </row>
    <row r="6516" spans="1:9" x14ac:dyDescent="0.25">
      <c r="A6516" t="str">
        <f t="shared" si="155"/>
        <v>89301000</v>
      </c>
      <c r="B6516" t="str">
        <f>"526226304"</f>
        <v>526226304</v>
      </c>
      <c r="C6516" s="1">
        <v>45193</v>
      </c>
      <c r="D6516" s="1">
        <v>45195</v>
      </c>
      <c r="E6516">
        <v>1</v>
      </c>
      <c r="F6516" t="str">
        <f>"13-I19-00"</f>
        <v>13-I19-00</v>
      </c>
      <c r="G6516">
        <v>0.28270000000000001</v>
      </c>
      <c r="H6516" t="s">
        <v>11</v>
      </c>
      <c r="I6516" t="s">
        <v>10</v>
      </c>
    </row>
    <row r="6517" spans="1:9" x14ac:dyDescent="0.25">
      <c r="A6517" t="str">
        <f t="shared" si="155"/>
        <v>89301000</v>
      </c>
      <c r="B6517" t="str">
        <f>"526226304"</f>
        <v>526226304</v>
      </c>
      <c r="C6517" s="1">
        <v>45170</v>
      </c>
      <c r="D6517" s="1">
        <v>45188</v>
      </c>
      <c r="E6517">
        <v>1</v>
      </c>
      <c r="F6517" t="str">
        <f>"13-K08-01"</f>
        <v>13-K08-01</v>
      </c>
      <c r="G6517">
        <v>1.2566999999999999</v>
      </c>
      <c r="H6517" t="s">
        <v>11</v>
      </c>
      <c r="I6517" t="s">
        <v>10</v>
      </c>
    </row>
    <row r="6518" spans="1:9" x14ac:dyDescent="0.25">
      <c r="A6518" t="str">
        <f t="shared" si="155"/>
        <v>89301000</v>
      </c>
      <c r="B6518" t="str">
        <f>"526228218"</f>
        <v>526228218</v>
      </c>
      <c r="C6518" s="1">
        <v>45223</v>
      </c>
      <c r="D6518" s="1">
        <v>45225</v>
      </c>
      <c r="E6518">
        <v>1</v>
      </c>
      <c r="F6518" t="str">
        <f>"05-D01-06"</f>
        <v>05-D01-06</v>
      </c>
      <c r="G6518">
        <v>1.3966000000000001</v>
      </c>
      <c r="H6518" t="s">
        <v>11</v>
      </c>
      <c r="I6518" t="s">
        <v>10</v>
      </c>
    </row>
    <row r="6519" spans="1:9" x14ac:dyDescent="0.25">
      <c r="A6519" t="str">
        <f t="shared" si="155"/>
        <v>89301000</v>
      </c>
      <c r="B6519" t="str">
        <f>"526230167"</f>
        <v>526230167</v>
      </c>
      <c r="C6519" s="1">
        <v>44958</v>
      </c>
      <c r="D6519" s="1">
        <v>44963</v>
      </c>
      <c r="E6519">
        <v>1</v>
      </c>
      <c r="F6519" t="str">
        <f>"23-K05-01"</f>
        <v>23-K05-01</v>
      </c>
      <c r="G6519">
        <v>0.56269999999999998</v>
      </c>
      <c r="H6519" t="s">
        <v>11</v>
      </c>
      <c r="I6519" t="s">
        <v>10</v>
      </c>
    </row>
    <row r="6520" spans="1:9" x14ac:dyDescent="0.25">
      <c r="A6520" t="str">
        <f t="shared" si="155"/>
        <v>89301000</v>
      </c>
      <c r="B6520" t="str">
        <f>"526230187"</f>
        <v>526230187</v>
      </c>
      <c r="C6520" s="1">
        <v>45116</v>
      </c>
      <c r="D6520" s="1">
        <v>45121</v>
      </c>
      <c r="E6520">
        <v>1</v>
      </c>
      <c r="F6520" t="str">
        <f>"08-I06-04"</f>
        <v>08-I06-04</v>
      </c>
      <c r="G6520">
        <v>2.4180000000000001</v>
      </c>
      <c r="H6520" t="s">
        <v>9</v>
      </c>
      <c r="I6520" t="s">
        <v>10</v>
      </c>
    </row>
    <row r="6521" spans="1:9" x14ac:dyDescent="0.25">
      <c r="A6521" t="str">
        <f t="shared" si="155"/>
        <v>89301000</v>
      </c>
      <c r="B6521" t="str">
        <f t="shared" ref="B6521:B6532" si="156">"526230208"</f>
        <v>526230208</v>
      </c>
      <c r="C6521" s="1">
        <v>45028</v>
      </c>
      <c r="D6521" s="1">
        <v>45029</v>
      </c>
      <c r="E6521">
        <v>1</v>
      </c>
      <c r="F6521" t="str">
        <f t="shared" ref="F6521:F6527" si="157">"03-C01-02"</f>
        <v>03-C01-02</v>
      </c>
      <c r="G6521">
        <v>0.45800000000000002</v>
      </c>
      <c r="H6521" t="s">
        <v>11</v>
      </c>
      <c r="I6521" t="s">
        <v>10</v>
      </c>
    </row>
    <row r="6522" spans="1:9" x14ac:dyDescent="0.25">
      <c r="A6522" t="str">
        <f t="shared" si="155"/>
        <v>89301000</v>
      </c>
      <c r="B6522" t="str">
        <f t="shared" si="156"/>
        <v>526230208</v>
      </c>
      <c r="C6522" s="1">
        <v>45035</v>
      </c>
      <c r="D6522" s="1">
        <v>45036</v>
      </c>
      <c r="E6522">
        <v>1</v>
      </c>
      <c r="F6522" t="str">
        <f t="shared" si="157"/>
        <v>03-C01-02</v>
      </c>
      <c r="G6522">
        <v>0.45800000000000002</v>
      </c>
      <c r="H6522" t="s">
        <v>11</v>
      </c>
      <c r="I6522" t="s">
        <v>10</v>
      </c>
    </row>
    <row r="6523" spans="1:9" x14ac:dyDescent="0.25">
      <c r="A6523" t="str">
        <f t="shared" si="155"/>
        <v>89301000</v>
      </c>
      <c r="B6523" t="str">
        <f t="shared" si="156"/>
        <v>526230208</v>
      </c>
      <c r="C6523" s="1">
        <v>45042</v>
      </c>
      <c r="D6523" s="1">
        <v>45043</v>
      </c>
      <c r="E6523">
        <v>1</v>
      </c>
      <c r="F6523" t="str">
        <f t="shared" si="157"/>
        <v>03-C01-02</v>
      </c>
      <c r="G6523">
        <v>0.45800000000000002</v>
      </c>
      <c r="H6523" t="s">
        <v>11</v>
      </c>
      <c r="I6523" t="s">
        <v>10</v>
      </c>
    </row>
    <row r="6524" spans="1:9" x14ac:dyDescent="0.25">
      <c r="A6524" t="str">
        <f t="shared" si="155"/>
        <v>89301000</v>
      </c>
      <c r="B6524" t="str">
        <f t="shared" si="156"/>
        <v>526230208</v>
      </c>
      <c r="C6524" s="1">
        <v>45050</v>
      </c>
      <c r="D6524" s="1">
        <v>45051</v>
      </c>
      <c r="E6524">
        <v>1</v>
      </c>
      <c r="F6524" t="str">
        <f t="shared" si="157"/>
        <v>03-C01-02</v>
      </c>
      <c r="G6524">
        <v>0.45800000000000002</v>
      </c>
      <c r="H6524" t="s">
        <v>11</v>
      </c>
      <c r="I6524" t="s">
        <v>10</v>
      </c>
    </row>
    <row r="6525" spans="1:9" x14ac:dyDescent="0.25">
      <c r="A6525" t="str">
        <f t="shared" si="155"/>
        <v>89301000</v>
      </c>
      <c r="B6525" t="str">
        <f t="shared" si="156"/>
        <v>526230208</v>
      </c>
      <c r="C6525" s="1">
        <v>45057</v>
      </c>
      <c r="D6525" s="1">
        <v>45058</v>
      </c>
      <c r="E6525">
        <v>1</v>
      </c>
      <c r="F6525" t="str">
        <f t="shared" si="157"/>
        <v>03-C01-02</v>
      </c>
      <c r="G6525">
        <v>0.45800000000000002</v>
      </c>
      <c r="H6525" t="s">
        <v>11</v>
      </c>
      <c r="I6525" t="s">
        <v>10</v>
      </c>
    </row>
    <row r="6526" spans="1:9" x14ac:dyDescent="0.25">
      <c r="A6526" t="str">
        <f t="shared" si="155"/>
        <v>89301000</v>
      </c>
      <c r="B6526" t="str">
        <f t="shared" si="156"/>
        <v>526230208</v>
      </c>
      <c r="C6526" s="1">
        <v>45064</v>
      </c>
      <c r="D6526" s="1">
        <v>45065</v>
      </c>
      <c r="E6526">
        <v>1</v>
      </c>
      <c r="F6526" t="str">
        <f t="shared" si="157"/>
        <v>03-C01-02</v>
      </c>
      <c r="G6526">
        <v>0.45800000000000002</v>
      </c>
      <c r="H6526" t="s">
        <v>11</v>
      </c>
      <c r="I6526" t="s">
        <v>10</v>
      </c>
    </row>
    <row r="6527" spans="1:9" x14ac:dyDescent="0.25">
      <c r="A6527" t="str">
        <f t="shared" si="155"/>
        <v>89301000</v>
      </c>
      <c r="B6527" t="str">
        <f t="shared" si="156"/>
        <v>526230208</v>
      </c>
      <c r="C6527" s="1">
        <v>45075</v>
      </c>
      <c r="D6527" s="1">
        <v>45076</v>
      </c>
      <c r="E6527">
        <v>1</v>
      </c>
      <c r="F6527" t="str">
        <f t="shared" si="157"/>
        <v>03-C01-02</v>
      </c>
      <c r="G6527">
        <v>0.45800000000000002</v>
      </c>
      <c r="H6527" t="s">
        <v>11</v>
      </c>
      <c r="I6527" t="s">
        <v>10</v>
      </c>
    </row>
    <row r="6528" spans="1:9" x14ac:dyDescent="0.25">
      <c r="A6528" t="str">
        <f t="shared" si="155"/>
        <v>89301000</v>
      </c>
      <c r="B6528" t="str">
        <f t="shared" si="156"/>
        <v>526230208</v>
      </c>
      <c r="C6528" s="1">
        <v>45167</v>
      </c>
      <c r="D6528" s="1">
        <v>45177</v>
      </c>
      <c r="E6528">
        <v>1</v>
      </c>
      <c r="F6528" t="str">
        <f>"03-K09-01"</f>
        <v>03-K09-01</v>
      </c>
      <c r="G6528">
        <v>0.59970000000000001</v>
      </c>
      <c r="H6528" t="s">
        <v>11</v>
      </c>
      <c r="I6528" t="s">
        <v>10</v>
      </c>
    </row>
    <row r="6529" spans="1:9" x14ac:dyDescent="0.25">
      <c r="A6529" t="str">
        <f t="shared" si="155"/>
        <v>89301000</v>
      </c>
      <c r="B6529" t="str">
        <f t="shared" si="156"/>
        <v>526230208</v>
      </c>
      <c r="C6529" s="1">
        <v>44931</v>
      </c>
      <c r="D6529" s="1">
        <v>44949</v>
      </c>
      <c r="E6529">
        <v>1</v>
      </c>
      <c r="F6529" t="str">
        <f>"04-I02-02"</f>
        <v>04-I02-02</v>
      </c>
      <c r="G6529">
        <v>4.6359000000000004</v>
      </c>
      <c r="H6529" t="s">
        <v>14</v>
      </c>
      <c r="I6529" t="s">
        <v>10</v>
      </c>
    </row>
    <row r="6530" spans="1:9" x14ac:dyDescent="0.25">
      <c r="A6530" t="str">
        <f t="shared" si="155"/>
        <v>89301000</v>
      </c>
      <c r="B6530" t="str">
        <f t="shared" si="156"/>
        <v>526230208</v>
      </c>
      <c r="C6530" s="1">
        <v>44998</v>
      </c>
      <c r="D6530" s="1">
        <v>44999</v>
      </c>
      <c r="E6530">
        <v>1</v>
      </c>
      <c r="F6530" t="str">
        <f>"03-K09-01"</f>
        <v>03-K09-01</v>
      </c>
      <c r="G6530">
        <v>0.54100000000000004</v>
      </c>
      <c r="H6530" t="s">
        <v>11</v>
      </c>
      <c r="I6530" t="s">
        <v>10</v>
      </c>
    </row>
    <row r="6531" spans="1:9" x14ac:dyDescent="0.25">
      <c r="A6531" t="str">
        <f t="shared" si="155"/>
        <v>89301000</v>
      </c>
      <c r="B6531" t="str">
        <f t="shared" si="156"/>
        <v>526230208</v>
      </c>
      <c r="C6531" s="1">
        <v>45016</v>
      </c>
      <c r="D6531" s="1">
        <v>45017</v>
      </c>
      <c r="E6531">
        <v>1</v>
      </c>
      <c r="F6531" t="str">
        <f>"03-C01-02"</f>
        <v>03-C01-02</v>
      </c>
      <c r="G6531">
        <v>0.45800000000000002</v>
      </c>
      <c r="H6531" t="s">
        <v>11</v>
      </c>
      <c r="I6531" t="s">
        <v>10</v>
      </c>
    </row>
    <row r="6532" spans="1:9" x14ac:dyDescent="0.25">
      <c r="A6532" t="str">
        <f t="shared" si="155"/>
        <v>89301000</v>
      </c>
      <c r="B6532" t="str">
        <f t="shared" si="156"/>
        <v>526230208</v>
      </c>
      <c r="C6532" s="1">
        <v>45007</v>
      </c>
      <c r="D6532" s="1">
        <v>45008</v>
      </c>
      <c r="E6532">
        <v>1</v>
      </c>
      <c r="F6532" t="str">
        <f>"03-C01-02"</f>
        <v>03-C01-02</v>
      </c>
      <c r="G6532">
        <v>0.45800000000000002</v>
      </c>
      <c r="H6532" t="s">
        <v>11</v>
      </c>
      <c r="I6532" t="s">
        <v>10</v>
      </c>
    </row>
    <row r="6533" spans="1:9" x14ac:dyDescent="0.25">
      <c r="A6533" t="str">
        <f t="shared" si="155"/>
        <v>89301000</v>
      </c>
      <c r="B6533" t="str">
        <f>"530102109"</f>
        <v>530102109</v>
      </c>
      <c r="C6533" s="1">
        <v>45243</v>
      </c>
      <c r="D6533" s="1">
        <v>45246</v>
      </c>
      <c r="E6533">
        <v>1</v>
      </c>
      <c r="F6533" t="str">
        <f>"09-K01-04"</f>
        <v>09-K01-04</v>
      </c>
      <c r="G6533">
        <v>0.60570000000000002</v>
      </c>
      <c r="H6533" t="s">
        <v>11</v>
      </c>
      <c r="I6533" t="s">
        <v>10</v>
      </c>
    </row>
    <row r="6534" spans="1:9" x14ac:dyDescent="0.25">
      <c r="A6534" t="str">
        <f t="shared" si="155"/>
        <v>89301000</v>
      </c>
      <c r="B6534" t="str">
        <f>"530102109"</f>
        <v>530102109</v>
      </c>
      <c r="C6534" s="1">
        <v>44951</v>
      </c>
      <c r="D6534" s="1">
        <v>44952</v>
      </c>
      <c r="E6534">
        <v>1</v>
      </c>
      <c r="F6534" t="str">
        <f>"03-I22-01"</f>
        <v>03-I22-01</v>
      </c>
      <c r="G6534">
        <v>0.62490000000000001</v>
      </c>
      <c r="H6534" t="s">
        <v>11</v>
      </c>
      <c r="I6534" t="s">
        <v>10</v>
      </c>
    </row>
    <row r="6535" spans="1:9" x14ac:dyDescent="0.25">
      <c r="A6535" t="str">
        <f t="shared" si="155"/>
        <v>89301000</v>
      </c>
      <c r="B6535" t="str">
        <f>"530102109"</f>
        <v>530102109</v>
      </c>
      <c r="C6535" s="1">
        <v>44998</v>
      </c>
      <c r="D6535" s="1">
        <v>45010</v>
      </c>
      <c r="E6535">
        <v>1</v>
      </c>
      <c r="F6535" t="str">
        <f>"03-I05-01"</f>
        <v>03-I05-01</v>
      </c>
      <c r="G6535">
        <v>5.7450999999999999</v>
      </c>
      <c r="H6535" t="s">
        <v>9</v>
      </c>
      <c r="I6535" t="s">
        <v>10</v>
      </c>
    </row>
    <row r="6536" spans="1:9" x14ac:dyDescent="0.25">
      <c r="A6536" t="str">
        <f t="shared" si="155"/>
        <v>89301000</v>
      </c>
      <c r="B6536" t="str">
        <f>"530103026"</f>
        <v>530103026</v>
      </c>
      <c r="C6536" s="1">
        <v>45205</v>
      </c>
      <c r="D6536" s="1">
        <v>45225</v>
      </c>
      <c r="E6536">
        <v>4</v>
      </c>
      <c r="F6536" t="str">
        <f>"04-C02-02"</f>
        <v>04-C02-02</v>
      </c>
      <c r="G6536">
        <v>0.93810000000000004</v>
      </c>
      <c r="H6536" t="s">
        <v>11</v>
      </c>
      <c r="I6536" t="s">
        <v>10</v>
      </c>
    </row>
    <row r="6537" spans="1:9" x14ac:dyDescent="0.25">
      <c r="A6537" t="str">
        <f t="shared" si="155"/>
        <v>89301000</v>
      </c>
      <c r="B6537" t="str">
        <f>"530103026"</f>
        <v>530103026</v>
      </c>
      <c r="C6537" s="1">
        <v>44992</v>
      </c>
      <c r="D6537" s="1">
        <v>44995</v>
      </c>
      <c r="E6537">
        <v>1</v>
      </c>
      <c r="F6537" t="str">
        <f>"04-C02-02"</f>
        <v>04-C02-02</v>
      </c>
      <c r="G6537">
        <v>0.36070000000000002</v>
      </c>
      <c r="H6537" t="s">
        <v>11</v>
      </c>
      <c r="I6537" t="s">
        <v>10</v>
      </c>
    </row>
    <row r="6538" spans="1:9" x14ac:dyDescent="0.25">
      <c r="A6538" t="str">
        <f t="shared" ref="A6538:A6601" si="158">"89301000"</f>
        <v>89301000</v>
      </c>
      <c r="B6538" t="str">
        <f>"530103026"</f>
        <v>530103026</v>
      </c>
      <c r="C6538" s="1">
        <v>45108</v>
      </c>
      <c r="D6538" s="1">
        <v>45114</v>
      </c>
      <c r="E6538">
        <v>1</v>
      </c>
      <c r="F6538" t="str">
        <f>"04-K09-03"</f>
        <v>04-K09-03</v>
      </c>
      <c r="G6538">
        <v>0.65600000000000003</v>
      </c>
      <c r="H6538" t="s">
        <v>11</v>
      </c>
      <c r="I6538" t="s">
        <v>10</v>
      </c>
    </row>
    <row r="6539" spans="1:9" x14ac:dyDescent="0.25">
      <c r="A6539" t="str">
        <f t="shared" si="158"/>
        <v>89301000</v>
      </c>
      <c r="B6539" t="str">
        <f>"530103038"</f>
        <v>530103038</v>
      </c>
      <c r="C6539" s="1">
        <v>45145</v>
      </c>
      <c r="D6539" s="1">
        <v>45151</v>
      </c>
      <c r="E6539">
        <v>1</v>
      </c>
      <c r="F6539" t="str">
        <f>"12-I03-01"</f>
        <v>12-I03-01</v>
      </c>
      <c r="G6539">
        <v>2.6934999999999998</v>
      </c>
      <c r="H6539" t="s">
        <v>9</v>
      </c>
      <c r="I6539" t="s">
        <v>10</v>
      </c>
    </row>
    <row r="6540" spans="1:9" x14ac:dyDescent="0.25">
      <c r="A6540" t="str">
        <f t="shared" si="158"/>
        <v>89301000</v>
      </c>
      <c r="B6540" t="str">
        <f>"530106321"</f>
        <v>530106321</v>
      </c>
      <c r="C6540" s="1">
        <v>45168</v>
      </c>
      <c r="D6540" s="1">
        <v>45176</v>
      </c>
      <c r="E6540">
        <v>4</v>
      </c>
      <c r="F6540" t="str">
        <f>"04-K09-03"</f>
        <v>04-K09-03</v>
      </c>
      <c r="G6540">
        <v>0.629</v>
      </c>
      <c r="H6540" t="s">
        <v>11</v>
      </c>
      <c r="I6540" t="s">
        <v>10</v>
      </c>
    </row>
    <row r="6541" spans="1:9" x14ac:dyDescent="0.25">
      <c r="A6541" t="str">
        <f t="shared" si="158"/>
        <v>89301000</v>
      </c>
      <c r="B6541" t="str">
        <f>"530110149"</f>
        <v>530110149</v>
      </c>
      <c r="C6541" s="1">
        <v>45009</v>
      </c>
      <c r="D6541" s="1">
        <v>45010</v>
      </c>
      <c r="E6541">
        <v>1</v>
      </c>
      <c r="F6541" t="str">
        <f>"05-D01-06"</f>
        <v>05-D01-06</v>
      </c>
      <c r="G6541">
        <v>0.7571</v>
      </c>
      <c r="H6541" t="s">
        <v>11</v>
      </c>
      <c r="I6541" t="s">
        <v>10</v>
      </c>
    </row>
    <row r="6542" spans="1:9" x14ac:dyDescent="0.25">
      <c r="A6542" t="str">
        <f t="shared" si="158"/>
        <v>89301000</v>
      </c>
      <c r="B6542" t="str">
        <f>"530111128"</f>
        <v>530111128</v>
      </c>
      <c r="C6542" s="1">
        <v>45056</v>
      </c>
      <c r="D6542" s="1">
        <v>45058</v>
      </c>
      <c r="E6542">
        <v>1</v>
      </c>
      <c r="F6542" t="str">
        <f>"08-I31-04"</f>
        <v>08-I31-04</v>
      </c>
      <c r="G6542">
        <v>0.4894</v>
      </c>
      <c r="H6542" t="s">
        <v>11</v>
      </c>
      <c r="I6542" t="s">
        <v>10</v>
      </c>
    </row>
    <row r="6543" spans="1:9" x14ac:dyDescent="0.25">
      <c r="A6543" t="str">
        <f t="shared" si="158"/>
        <v>89301000</v>
      </c>
      <c r="B6543" t="str">
        <f>"530115131"</f>
        <v>530115131</v>
      </c>
      <c r="C6543" s="1">
        <v>45219</v>
      </c>
      <c r="D6543" s="1">
        <v>45223</v>
      </c>
      <c r="E6543">
        <v>1</v>
      </c>
      <c r="F6543" t="str">
        <f>"08-K04-03"</f>
        <v>08-K04-03</v>
      </c>
      <c r="G6543">
        <v>0.41799999999999998</v>
      </c>
      <c r="H6543" t="s">
        <v>11</v>
      </c>
      <c r="I6543" t="s">
        <v>10</v>
      </c>
    </row>
    <row r="6544" spans="1:9" x14ac:dyDescent="0.25">
      <c r="A6544" t="str">
        <f t="shared" si="158"/>
        <v>89301000</v>
      </c>
      <c r="B6544" t="str">
        <f>"530120012"</f>
        <v>530120012</v>
      </c>
      <c r="C6544" s="1">
        <v>45081</v>
      </c>
      <c r="D6544" s="1">
        <v>45089</v>
      </c>
      <c r="E6544">
        <v>1</v>
      </c>
      <c r="F6544" t="str">
        <f>"05-I18-04"</f>
        <v>05-I18-04</v>
      </c>
      <c r="G6544">
        <v>3.3858000000000001</v>
      </c>
      <c r="H6544" t="s">
        <v>12</v>
      </c>
      <c r="I6544" t="s">
        <v>10</v>
      </c>
    </row>
    <row r="6545" spans="1:9" x14ac:dyDescent="0.25">
      <c r="A6545" t="str">
        <f t="shared" si="158"/>
        <v>89301000</v>
      </c>
      <c r="B6545" t="str">
        <f>"530125103"</f>
        <v>530125103</v>
      </c>
      <c r="C6545" s="1">
        <v>45244</v>
      </c>
      <c r="D6545" s="1">
        <v>45251</v>
      </c>
      <c r="E6545">
        <v>1</v>
      </c>
      <c r="F6545" t="str">
        <f>"06-I07-05"</f>
        <v>06-I07-05</v>
      </c>
      <c r="G6545">
        <v>2.7919999999999998</v>
      </c>
      <c r="H6545" t="s">
        <v>12</v>
      </c>
      <c r="I6545" t="s">
        <v>10</v>
      </c>
    </row>
    <row r="6546" spans="1:9" x14ac:dyDescent="0.25">
      <c r="A6546" t="str">
        <f t="shared" si="158"/>
        <v>89301000</v>
      </c>
      <c r="B6546" t="str">
        <f>"530204056"</f>
        <v>530204056</v>
      </c>
      <c r="C6546" s="1">
        <v>45014</v>
      </c>
      <c r="D6546" s="1">
        <v>45016</v>
      </c>
      <c r="E6546">
        <v>1</v>
      </c>
      <c r="F6546" t="str">
        <f>"05-I30-01"</f>
        <v>05-I30-01</v>
      </c>
      <c r="G6546">
        <v>0.60309999999999997</v>
      </c>
      <c r="H6546" t="s">
        <v>12</v>
      </c>
      <c r="I6546" t="s">
        <v>10</v>
      </c>
    </row>
    <row r="6547" spans="1:9" x14ac:dyDescent="0.25">
      <c r="A6547" t="str">
        <f t="shared" si="158"/>
        <v>89301000</v>
      </c>
      <c r="B6547" t="str">
        <f>"530205109"</f>
        <v>530205109</v>
      </c>
      <c r="C6547" s="1">
        <v>44992</v>
      </c>
      <c r="D6547" s="1">
        <v>45001</v>
      </c>
      <c r="E6547">
        <v>1</v>
      </c>
      <c r="F6547" t="str">
        <f>"01-K04-02"</f>
        <v>01-K04-02</v>
      </c>
      <c r="G6547">
        <v>0.79990000000000006</v>
      </c>
      <c r="H6547" t="s">
        <v>11</v>
      </c>
      <c r="I6547" t="s">
        <v>10</v>
      </c>
    </row>
    <row r="6548" spans="1:9" x14ac:dyDescent="0.25">
      <c r="A6548" t="str">
        <f t="shared" si="158"/>
        <v>89301000</v>
      </c>
      <c r="B6548" t="str">
        <f>"530207066"</f>
        <v>530207066</v>
      </c>
      <c r="C6548" s="1">
        <v>45078</v>
      </c>
      <c r="D6548" s="1">
        <v>45089</v>
      </c>
      <c r="E6548">
        <v>1</v>
      </c>
      <c r="F6548" t="str">
        <f>"20-K04-02"</f>
        <v>20-K04-02</v>
      </c>
      <c r="G6548">
        <v>1.3379000000000001</v>
      </c>
      <c r="H6548" t="s">
        <v>11</v>
      </c>
      <c r="I6548" t="s">
        <v>10</v>
      </c>
    </row>
    <row r="6549" spans="1:9" x14ac:dyDescent="0.25">
      <c r="A6549" t="str">
        <f t="shared" si="158"/>
        <v>89301000</v>
      </c>
      <c r="B6549" t="str">
        <f>"530208112"</f>
        <v>530208112</v>
      </c>
      <c r="C6549" s="1">
        <v>45240</v>
      </c>
      <c r="D6549" s="1">
        <v>45240</v>
      </c>
      <c r="E6549">
        <v>1</v>
      </c>
      <c r="F6549" t="str">
        <f>"05-I25-03"</f>
        <v>05-I25-03</v>
      </c>
      <c r="G6549">
        <v>1.3169</v>
      </c>
      <c r="H6549" t="s">
        <v>12</v>
      </c>
      <c r="I6549" t="s">
        <v>10</v>
      </c>
    </row>
    <row r="6550" spans="1:9" x14ac:dyDescent="0.25">
      <c r="A6550" t="str">
        <f t="shared" si="158"/>
        <v>89301000</v>
      </c>
      <c r="B6550" t="str">
        <f>"530213126"</f>
        <v>530213126</v>
      </c>
      <c r="C6550" s="1">
        <v>45125</v>
      </c>
      <c r="D6550" s="1">
        <v>45132</v>
      </c>
      <c r="E6550">
        <v>1</v>
      </c>
      <c r="F6550" t="str">
        <f>"08-I03-06"</f>
        <v>08-I03-06</v>
      </c>
      <c r="G6550">
        <v>2.9211999999999998</v>
      </c>
      <c r="H6550" t="s">
        <v>9</v>
      </c>
      <c r="I6550" t="s">
        <v>10</v>
      </c>
    </row>
    <row r="6551" spans="1:9" x14ac:dyDescent="0.25">
      <c r="A6551" t="str">
        <f t="shared" si="158"/>
        <v>89301000</v>
      </c>
      <c r="B6551" t="str">
        <f>"530213126"</f>
        <v>530213126</v>
      </c>
      <c r="C6551" s="1">
        <v>45152</v>
      </c>
      <c r="D6551" s="1">
        <v>45163</v>
      </c>
      <c r="E6551">
        <v>1</v>
      </c>
      <c r="F6551" t="str">
        <f>"24-M06-02"</f>
        <v>24-M06-02</v>
      </c>
      <c r="G6551">
        <v>1.0699000000000001</v>
      </c>
      <c r="H6551" t="s">
        <v>11</v>
      </c>
      <c r="I6551" t="s">
        <v>10</v>
      </c>
    </row>
    <row r="6552" spans="1:9" x14ac:dyDescent="0.25">
      <c r="A6552" t="str">
        <f t="shared" si="158"/>
        <v>89301000</v>
      </c>
      <c r="B6552" t="str">
        <f>"530213126"</f>
        <v>530213126</v>
      </c>
      <c r="C6552" s="1">
        <v>45075</v>
      </c>
      <c r="D6552" s="1">
        <v>45075</v>
      </c>
      <c r="E6552">
        <v>1</v>
      </c>
      <c r="F6552" t="str">
        <f>"05-D01-08"</f>
        <v>05-D01-08</v>
      </c>
      <c r="G6552">
        <v>0.2303</v>
      </c>
      <c r="H6552" t="s">
        <v>11</v>
      </c>
      <c r="I6552" t="s">
        <v>10</v>
      </c>
    </row>
    <row r="6553" spans="1:9" x14ac:dyDescent="0.25">
      <c r="A6553" t="str">
        <f t="shared" si="158"/>
        <v>89301000</v>
      </c>
      <c r="B6553" t="str">
        <f>"530215059"</f>
        <v>530215059</v>
      </c>
      <c r="C6553" s="1">
        <v>45096</v>
      </c>
      <c r="D6553" s="1">
        <v>45145</v>
      </c>
      <c r="E6553">
        <v>1</v>
      </c>
      <c r="F6553" t="str">
        <f>"01-C02-02"</f>
        <v>01-C02-02</v>
      </c>
      <c r="G6553">
        <v>5.9063999999999997</v>
      </c>
      <c r="H6553" t="s">
        <v>11</v>
      </c>
      <c r="I6553" t="s">
        <v>10</v>
      </c>
    </row>
    <row r="6554" spans="1:9" x14ac:dyDescent="0.25">
      <c r="A6554" t="str">
        <f t="shared" si="158"/>
        <v>89301000</v>
      </c>
      <c r="B6554" t="str">
        <f t="shared" ref="B6554:B6565" si="159">"530216018"</f>
        <v>530216018</v>
      </c>
      <c r="C6554" s="1">
        <v>45279</v>
      </c>
      <c r="D6554" s="1">
        <v>45283</v>
      </c>
      <c r="E6554">
        <v>1</v>
      </c>
      <c r="F6554" t="str">
        <f>"07-M02-02"</f>
        <v>07-M02-02</v>
      </c>
      <c r="G6554">
        <v>2.0733000000000001</v>
      </c>
      <c r="H6554" t="s">
        <v>12</v>
      </c>
      <c r="I6554" t="s">
        <v>10</v>
      </c>
    </row>
    <row r="6555" spans="1:9" x14ac:dyDescent="0.25">
      <c r="A6555" t="str">
        <f t="shared" si="158"/>
        <v>89301000</v>
      </c>
      <c r="B6555" t="str">
        <f t="shared" si="159"/>
        <v>530216018</v>
      </c>
      <c r="C6555" s="1">
        <v>45266</v>
      </c>
      <c r="D6555" s="1">
        <v>45267</v>
      </c>
      <c r="E6555">
        <v>1</v>
      </c>
      <c r="F6555" t="str">
        <f t="shared" ref="F6555:F6562" si="160">"07-C01-02"</f>
        <v>07-C01-02</v>
      </c>
      <c r="G6555">
        <v>0.3483</v>
      </c>
      <c r="H6555" t="s">
        <v>11</v>
      </c>
      <c r="I6555" t="s">
        <v>10</v>
      </c>
    </row>
    <row r="6556" spans="1:9" x14ac:dyDescent="0.25">
      <c r="A6556" t="str">
        <f t="shared" si="158"/>
        <v>89301000</v>
      </c>
      <c r="B6556" t="str">
        <f t="shared" si="159"/>
        <v>530216018</v>
      </c>
      <c r="C6556" s="1">
        <v>45252</v>
      </c>
      <c r="D6556" s="1">
        <v>45253</v>
      </c>
      <c r="E6556">
        <v>1</v>
      </c>
      <c r="F6556" t="str">
        <f t="shared" si="160"/>
        <v>07-C01-02</v>
      </c>
      <c r="G6556">
        <v>0.3483</v>
      </c>
      <c r="H6556" t="s">
        <v>11</v>
      </c>
      <c r="I6556" t="s">
        <v>10</v>
      </c>
    </row>
    <row r="6557" spans="1:9" x14ac:dyDescent="0.25">
      <c r="A6557" t="str">
        <f t="shared" si="158"/>
        <v>89301000</v>
      </c>
      <c r="B6557" t="str">
        <f t="shared" si="159"/>
        <v>530216018</v>
      </c>
      <c r="C6557" s="1">
        <v>45245</v>
      </c>
      <c r="D6557" s="1">
        <v>45246</v>
      </c>
      <c r="E6557">
        <v>1</v>
      </c>
      <c r="F6557" t="str">
        <f t="shared" si="160"/>
        <v>07-C01-02</v>
      </c>
      <c r="G6557">
        <v>0.3483</v>
      </c>
      <c r="H6557" t="s">
        <v>11</v>
      </c>
      <c r="I6557" t="s">
        <v>10</v>
      </c>
    </row>
    <row r="6558" spans="1:9" x14ac:dyDescent="0.25">
      <c r="A6558" t="str">
        <f t="shared" si="158"/>
        <v>89301000</v>
      </c>
      <c r="B6558" t="str">
        <f t="shared" si="159"/>
        <v>530216018</v>
      </c>
      <c r="C6558" s="1">
        <v>45231</v>
      </c>
      <c r="D6558" s="1">
        <v>45232</v>
      </c>
      <c r="E6558">
        <v>1</v>
      </c>
      <c r="F6558" t="str">
        <f t="shared" si="160"/>
        <v>07-C01-02</v>
      </c>
      <c r="G6558">
        <v>0.3483</v>
      </c>
      <c r="H6558" t="s">
        <v>11</v>
      </c>
      <c r="I6558" t="s">
        <v>10</v>
      </c>
    </row>
    <row r="6559" spans="1:9" x14ac:dyDescent="0.25">
      <c r="A6559" t="str">
        <f t="shared" si="158"/>
        <v>89301000</v>
      </c>
      <c r="B6559" t="str">
        <f t="shared" si="159"/>
        <v>530216018</v>
      </c>
      <c r="C6559" s="1">
        <v>45272</v>
      </c>
      <c r="D6559" s="1">
        <v>45274</v>
      </c>
      <c r="E6559">
        <v>1</v>
      </c>
      <c r="F6559" t="str">
        <f t="shared" si="160"/>
        <v>07-C01-02</v>
      </c>
      <c r="G6559">
        <v>0.3483</v>
      </c>
      <c r="H6559" t="s">
        <v>11</v>
      </c>
      <c r="I6559" t="s">
        <v>10</v>
      </c>
    </row>
    <row r="6560" spans="1:9" x14ac:dyDescent="0.25">
      <c r="A6560" t="str">
        <f t="shared" si="158"/>
        <v>89301000</v>
      </c>
      <c r="B6560" t="str">
        <f t="shared" si="159"/>
        <v>530216018</v>
      </c>
      <c r="C6560" s="1">
        <v>45224</v>
      </c>
      <c r="D6560" s="1">
        <v>45225</v>
      </c>
      <c r="E6560">
        <v>1</v>
      </c>
      <c r="F6560" t="str">
        <f t="shared" si="160"/>
        <v>07-C01-02</v>
      </c>
      <c r="G6560">
        <v>0.3483</v>
      </c>
      <c r="H6560" t="s">
        <v>11</v>
      </c>
      <c r="I6560" t="s">
        <v>10</v>
      </c>
    </row>
    <row r="6561" spans="1:9" x14ac:dyDescent="0.25">
      <c r="A6561" t="str">
        <f t="shared" si="158"/>
        <v>89301000</v>
      </c>
      <c r="B6561" t="str">
        <f t="shared" si="159"/>
        <v>530216018</v>
      </c>
      <c r="C6561" s="1">
        <v>45210</v>
      </c>
      <c r="D6561" s="1">
        <v>45211</v>
      </c>
      <c r="E6561">
        <v>1</v>
      </c>
      <c r="F6561" t="str">
        <f t="shared" si="160"/>
        <v>07-C01-02</v>
      </c>
      <c r="G6561">
        <v>0.3483</v>
      </c>
      <c r="H6561" t="s">
        <v>11</v>
      </c>
      <c r="I6561" t="s">
        <v>10</v>
      </c>
    </row>
    <row r="6562" spans="1:9" x14ac:dyDescent="0.25">
      <c r="A6562" t="str">
        <f t="shared" si="158"/>
        <v>89301000</v>
      </c>
      <c r="B6562" t="str">
        <f t="shared" si="159"/>
        <v>530216018</v>
      </c>
      <c r="C6562" s="1">
        <v>45203</v>
      </c>
      <c r="D6562" s="1">
        <v>45204</v>
      </c>
      <c r="E6562">
        <v>1</v>
      </c>
      <c r="F6562" t="str">
        <f t="shared" si="160"/>
        <v>07-C01-02</v>
      </c>
      <c r="G6562">
        <v>0.3483</v>
      </c>
      <c r="H6562" t="s">
        <v>11</v>
      </c>
      <c r="I6562" t="s">
        <v>10</v>
      </c>
    </row>
    <row r="6563" spans="1:9" x14ac:dyDescent="0.25">
      <c r="A6563" t="str">
        <f t="shared" si="158"/>
        <v>89301000</v>
      </c>
      <c r="B6563" t="str">
        <f t="shared" si="159"/>
        <v>530216018</v>
      </c>
      <c r="C6563" s="1">
        <v>45176</v>
      </c>
      <c r="D6563" s="1">
        <v>45177</v>
      </c>
      <c r="E6563">
        <v>1</v>
      </c>
      <c r="F6563" t="str">
        <f>"07-K06-02"</f>
        <v>07-K06-02</v>
      </c>
      <c r="G6563">
        <v>0.44590000000000002</v>
      </c>
      <c r="H6563" t="s">
        <v>11</v>
      </c>
      <c r="I6563" t="s">
        <v>10</v>
      </c>
    </row>
    <row r="6564" spans="1:9" x14ac:dyDescent="0.25">
      <c r="A6564" t="str">
        <f t="shared" si="158"/>
        <v>89301000</v>
      </c>
      <c r="B6564" t="str">
        <f t="shared" si="159"/>
        <v>530216018</v>
      </c>
      <c r="C6564" s="1">
        <v>45152</v>
      </c>
      <c r="D6564" s="1">
        <v>45169</v>
      </c>
      <c r="E6564">
        <v>1</v>
      </c>
      <c r="F6564" t="str">
        <f>"07-M02-01"</f>
        <v>07-M02-01</v>
      </c>
      <c r="G6564">
        <v>2.5592000000000001</v>
      </c>
      <c r="H6564" t="s">
        <v>12</v>
      </c>
      <c r="I6564" t="s">
        <v>10</v>
      </c>
    </row>
    <row r="6565" spans="1:9" x14ac:dyDescent="0.25">
      <c r="A6565" t="str">
        <f t="shared" si="158"/>
        <v>89301000</v>
      </c>
      <c r="B6565" t="str">
        <f t="shared" si="159"/>
        <v>530216018</v>
      </c>
      <c r="C6565" s="1">
        <v>45132</v>
      </c>
      <c r="D6565" s="1">
        <v>45134</v>
      </c>
      <c r="E6565">
        <v>1</v>
      </c>
      <c r="F6565" t="str">
        <f>"07-K06-02"</f>
        <v>07-K06-02</v>
      </c>
      <c r="G6565">
        <v>0.47520000000000001</v>
      </c>
      <c r="H6565" t="s">
        <v>11</v>
      </c>
      <c r="I6565" t="s">
        <v>10</v>
      </c>
    </row>
    <row r="6566" spans="1:9" x14ac:dyDescent="0.25">
      <c r="A6566" t="str">
        <f t="shared" si="158"/>
        <v>89301000</v>
      </c>
      <c r="B6566" t="str">
        <f>"530223063"</f>
        <v>530223063</v>
      </c>
      <c r="C6566" s="1">
        <v>44932</v>
      </c>
      <c r="D6566" s="1">
        <v>44932</v>
      </c>
      <c r="E6566">
        <v>1</v>
      </c>
      <c r="F6566" t="str">
        <f>"05-M06-08"</f>
        <v>05-M06-08</v>
      </c>
      <c r="G6566">
        <v>1.1012</v>
      </c>
      <c r="H6566" t="s">
        <v>12</v>
      </c>
      <c r="I6566" t="s">
        <v>10</v>
      </c>
    </row>
    <row r="6567" spans="1:9" x14ac:dyDescent="0.25">
      <c r="A6567" t="str">
        <f t="shared" si="158"/>
        <v>89301000</v>
      </c>
      <c r="B6567" t="str">
        <f>"530223063"</f>
        <v>530223063</v>
      </c>
      <c r="C6567" s="1">
        <v>45065</v>
      </c>
      <c r="D6567" s="1">
        <v>45078</v>
      </c>
      <c r="E6567">
        <v>8</v>
      </c>
      <c r="F6567" t="str">
        <f>"04-K08-02"</f>
        <v>04-K08-02</v>
      </c>
      <c r="G6567">
        <v>2.8220000000000001</v>
      </c>
      <c r="H6567" t="s">
        <v>11</v>
      </c>
      <c r="I6567" t="s">
        <v>10</v>
      </c>
    </row>
    <row r="6568" spans="1:9" x14ac:dyDescent="0.25">
      <c r="A6568" t="str">
        <f t="shared" si="158"/>
        <v>89301000</v>
      </c>
      <c r="B6568" t="str">
        <f>"530223077"</f>
        <v>530223077</v>
      </c>
      <c r="C6568" s="1">
        <v>45165</v>
      </c>
      <c r="D6568" s="1">
        <v>45175</v>
      </c>
      <c r="E6568">
        <v>1</v>
      </c>
      <c r="F6568" t="str">
        <f>"05-I24-01"</f>
        <v>05-I24-01</v>
      </c>
      <c r="G6568">
        <v>5.2704000000000004</v>
      </c>
      <c r="H6568" t="s">
        <v>12</v>
      </c>
      <c r="I6568" t="s">
        <v>10</v>
      </c>
    </row>
    <row r="6569" spans="1:9" x14ac:dyDescent="0.25">
      <c r="A6569" t="str">
        <f t="shared" si="158"/>
        <v>89301000</v>
      </c>
      <c r="B6569" t="str">
        <f>"530301175"</f>
        <v>530301175</v>
      </c>
      <c r="C6569" s="1">
        <v>44998</v>
      </c>
      <c r="D6569" s="1">
        <v>45005</v>
      </c>
      <c r="E6569">
        <v>4</v>
      </c>
      <c r="F6569" t="str">
        <f>"08-I06-04"</f>
        <v>08-I06-04</v>
      </c>
      <c r="G6569">
        <v>2.4180000000000001</v>
      </c>
      <c r="H6569" t="s">
        <v>9</v>
      </c>
      <c r="I6569" t="s">
        <v>10</v>
      </c>
    </row>
    <row r="6570" spans="1:9" x14ac:dyDescent="0.25">
      <c r="A6570" t="str">
        <f t="shared" si="158"/>
        <v>89301000</v>
      </c>
      <c r="B6570" t="str">
        <f>"530307042"</f>
        <v>530307042</v>
      </c>
      <c r="C6570" s="1">
        <v>45279</v>
      </c>
      <c r="D6570" s="1">
        <v>45287</v>
      </c>
      <c r="E6570">
        <v>2</v>
      </c>
      <c r="F6570" t="str">
        <f>"05-K07-05"</f>
        <v>05-K07-05</v>
      </c>
      <c r="G6570">
        <v>0.79200000000000004</v>
      </c>
      <c r="H6570" t="s">
        <v>11</v>
      </c>
      <c r="I6570" t="s">
        <v>10</v>
      </c>
    </row>
    <row r="6571" spans="1:9" x14ac:dyDescent="0.25">
      <c r="A6571" t="str">
        <f t="shared" si="158"/>
        <v>89301000</v>
      </c>
      <c r="B6571" t="str">
        <f>"530308292"</f>
        <v>530308292</v>
      </c>
      <c r="C6571" s="1">
        <v>45104</v>
      </c>
      <c r="D6571" s="1">
        <v>45105</v>
      </c>
      <c r="E6571">
        <v>1</v>
      </c>
      <c r="F6571" t="str">
        <f>"02-I13-02"</f>
        <v>02-I13-02</v>
      </c>
      <c r="G6571">
        <v>0.4259</v>
      </c>
      <c r="H6571" t="s">
        <v>11</v>
      </c>
      <c r="I6571" t="s">
        <v>10</v>
      </c>
    </row>
    <row r="6572" spans="1:9" x14ac:dyDescent="0.25">
      <c r="A6572" t="str">
        <f t="shared" si="158"/>
        <v>89301000</v>
      </c>
      <c r="B6572" t="str">
        <f>"530317069"</f>
        <v>530317069</v>
      </c>
      <c r="C6572" s="1">
        <v>44965</v>
      </c>
      <c r="D6572" s="1">
        <v>44967</v>
      </c>
      <c r="E6572">
        <v>1</v>
      </c>
      <c r="F6572" t="str">
        <f>"09-I10-02"</f>
        <v>09-I10-02</v>
      </c>
      <c r="G6572">
        <v>0.87580000000000002</v>
      </c>
      <c r="H6572" t="s">
        <v>12</v>
      </c>
      <c r="I6572" t="s">
        <v>10</v>
      </c>
    </row>
    <row r="6573" spans="1:9" x14ac:dyDescent="0.25">
      <c r="A6573" t="str">
        <f t="shared" si="158"/>
        <v>89301000</v>
      </c>
      <c r="B6573" t="str">
        <f>"530326062"</f>
        <v>530326062</v>
      </c>
      <c r="C6573" s="1">
        <v>44983</v>
      </c>
      <c r="D6573" s="1">
        <v>44986</v>
      </c>
      <c r="E6573">
        <v>1</v>
      </c>
      <c r="F6573" t="str">
        <f>"23-K04-02"</f>
        <v>23-K04-02</v>
      </c>
      <c r="G6573">
        <v>0.38429999999999997</v>
      </c>
      <c r="H6573" t="s">
        <v>11</v>
      </c>
      <c r="I6573" t="s">
        <v>10</v>
      </c>
    </row>
    <row r="6574" spans="1:9" x14ac:dyDescent="0.25">
      <c r="A6574" t="str">
        <f t="shared" si="158"/>
        <v>89301000</v>
      </c>
      <c r="B6574" t="str">
        <f>"530326093"</f>
        <v>530326093</v>
      </c>
      <c r="C6574" s="1">
        <v>45156</v>
      </c>
      <c r="D6574" s="1">
        <v>45161</v>
      </c>
      <c r="E6574">
        <v>1</v>
      </c>
      <c r="F6574" t="str">
        <f>"06-K02-04"</f>
        <v>06-K02-04</v>
      </c>
      <c r="G6574">
        <v>0.37659999999999999</v>
      </c>
      <c r="H6574" t="s">
        <v>11</v>
      </c>
      <c r="I6574" t="s">
        <v>10</v>
      </c>
    </row>
    <row r="6575" spans="1:9" x14ac:dyDescent="0.25">
      <c r="A6575" t="str">
        <f t="shared" si="158"/>
        <v>89301000</v>
      </c>
      <c r="B6575" t="str">
        <f>"530327126"</f>
        <v>530327126</v>
      </c>
      <c r="C6575" s="1">
        <v>45266</v>
      </c>
      <c r="D6575" s="1">
        <v>45271</v>
      </c>
      <c r="E6575">
        <v>1</v>
      </c>
      <c r="F6575" t="str">
        <f>"16-K02-03"</f>
        <v>16-K02-03</v>
      </c>
      <c r="G6575">
        <v>0.58299999999999996</v>
      </c>
      <c r="H6575" t="s">
        <v>11</v>
      </c>
      <c r="I6575" t="s">
        <v>10</v>
      </c>
    </row>
    <row r="6576" spans="1:9" x14ac:dyDescent="0.25">
      <c r="A6576" t="str">
        <f t="shared" si="158"/>
        <v>89301000</v>
      </c>
      <c r="B6576" t="str">
        <f>"530329129"</f>
        <v>530329129</v>
      </c>
      <c r="C6576" s="1">
        <v>45217</v>
      </c>
      <c r="D6576" s="1">
        <v>45224</v>
      </c>
      <c r="E6576">
        <v>3</v>
      </c>
      <c r="F6576" t="str">
        <f>"08-I05-04"</f>
        <v>08-I05-04</v>
      </c>
      <c r="G6576">
        <v>2.4445000000000001</v>
      </c>
      <c r="H6576" t="s">
        <v>12</v>
      </c>
      <c r="I6576" t="s">
        <v>10</v>
      </c>
    </row>
    <row r="6577" spans="1:9" x14ac:dyDescent="0.25">
      <c r="A6577" t="str">
        <f t="shared" si="158"/>
        <v>89301000</v>
      </c>
      <c r="B6577" t="str">
        <f>"530329129"</f>
        <v>530329129</v>
      </c>
      <c r="C6577" s="1">
        <v>45224</v>
      </c>
      <c r="D6577" s="1">
        <v>45233</v>
      </c>
      <c r="E6577">
        <v>1</v>
      </c>
      <c r="F6577" t="str">
        <f>"24-M06-02"</f>
        <v>24-M06-02</v>
      </c>
      <c r="G6577">
        <v>1.0699000000000001</v>
      </c>
      <c r="H6577" t="s">
        <v>11</v>
      </c>
      <c r="I6577" t="s">
        <v>10</v>
      </c>
    </row>
    <row r="6578" spans="1:9" x14ac:dyDescent="0.25">
      <c r="A6578" t="str">
        <f t="shared" si="158"/>
        <v>89301000</v>
      </c>
      <c r="B6578" t="str">
        <f>"530403029"</f>
        <v>530403029</v>
      </c>
      <c r="C6578" s="1">
        <v>44983</v>
      </c>
      <c r="D6578" s="1">
        <v>45012</v>
      </c>
      <c r="E6578">
        <v>8</v>
      </c>
      <c r="F6578" t="str">
        <f>"04-R02-07"</f>
        <v>04-R02-07</v>
      </c>
      <c r="G6578">
        <v>2.0478000000000001</v>
      </c>
      <c r="H6578" t="s">
        <v>11</v>
      </c>
      <c r="I6578" t="s">
        <v>10</v>
      </c>
    </row>
    <row r="6579" spans="1:9" x14ac:dyDescent="0.25">
      <c r="A6579" t="str">
        <f t="shared" si="158"/>
        <v>89301000</v>
      </c>
      <c r="B6579" t="str">
        <f>"530408088"</f>
        <v>530408088</v>
      </c>
      <c r="C6579" s="1">
        <v>45162</v>
      </c>
      <c r="D6579" s="1">
        <v>45173</v>
      </c>
      <c r="E6579">
        <v>1</v>
      </c>
      <c r="F6579" t="str">
        <f>"09-K01-03"</f>
        <v>09-K01-03</v>
      </c>
      <c r="G6579">
        <v>0.85919999999999996</v>
      </c>
      <c r="H6579" t="s">
        <v>11</v>
      </c>
      <c r="I6579" t="s">
        <v>10</v>
      </c>
    </row>
    <row r="6580" spans="1:9" x14ac:dyDescent="0.25">
      <c r="A6580" t="str">
        <f t="shared" si="158"/>
        <v>89301000</v>
      </c>
      <c r="B6580" t="str">
        <f>"530410174"</f>
        <v>530410174</v>
      </c>
      <c r="C6580" s="1">
        <v>45183</v>
      </c>
      <c r="D6580" s="1">
        <v>45187</v>
      </c>
      <c r="E6580">
        <v>1</v>
      </c>
      <c r="F6580" t="str">
        <f>"11-M06-03"</f>
        <v>11-M06-03</v>
      </c>
      <c r="G6580">
        <v>0.62009999999999998</v>
      </c>
      <c r="H6580" t="s">
        <v>12</v>
      </c>
      <c r="I6580" t="s">
        <v>10</v>
      </c>
    </row>
    <row r="6581" spans="1:9" x14ac:dyDescent="0.25">
      <c r="A6581" t="str">
        <f t="shared" si="158"/>
        <v>89301000</v>
      </c>
      <c r="B6581" t="str">
        <f>"530414052"</f>
        <v>530414052</v>
      </c>
      <c r="C6581" s="1">
        <v>44928</v>
      </c>
      <c r="D6581" s="1">
        <v>44939</v>
      </c>
      <c r="E6581">
        <v>1</v>
      </c>
      <c r="F6581" t="str">
        <f>"24-M06-02"</f>
        <v>24-M06-02</v>
      </c>
      <c r="G6581">
        <v>1.0699000000000001</v>
      </c>
      <c r="H6581" t="s">
        <v>11</v>
      </c>
      <c r="I6581" t="s">
        <v>10</v>
      </c>
    </row>
    <row r="6582" spans="1:9" x14ac:dyDescent="0.25">
      <c r="A6582" t="str">
        <f t="shared" si="158"/>
        <v>89301000</v>
      </c>
      <c r="B6582" t="str">
        <f>"530415192"</f>
        <v>530415192</v>
      </c>
      <c r="C6582" s="1">
        <v>45223</v>
      </c>
      <c r="D6582" s="1">
        <v>45223</v>
      </c>
      <c r="E6582">
        <v>8</v>
      </c>
      <c r="F6582" t="str">
        <f>"06-K13-01"</f>
        <v>06-K13-01</v>
      </c>
      <c r="G6582">
        <v>0.36909999999999998</v>
      </c>
      <c r="H6582" t="s">
        <v>11</v>
      </c>
      <c r="I6582" t="s">
        <v>10</v>
      </c>
    </row>
    <row r="6583" spans="1:9" x14ac:dyDescent="0.25">
      <c r="A6583" t="str">
        <f t="shared" si="158"/>
        <v>89301000</v>
      </c>
      <c r="B6583" t="str">
        <f>"530416419"</f>
        <v>530416419</v>
      </c>
      <c r="C6583" s="1">
        <v>45165</v>
      </c>
      <c r="D6583" s="1">
        <v>45171</v>
      </c>
      <c r="E6583">
        <v>1</v>
      </c>
      <c r="F6583" t="str">
        <f>"07-K05-01"</f>
        <v>07-K05-01</v>
      </c>
      <c r="G6583">
        <v>1.4736</v>
      </c>
      <c r="H6583" t="s">
        <v>11</v>
      </c>
      <c r="I6583" t="s">
        <v>10</v>
      </c>
    </row>
    <row r="6584" spans="1:9" x14ac:dyDescent="0.25">
      <c r="A6584" t="str">
        <f t="shared" si="158"/>
        <v>89301000</v>
      </c>
      <c r="B6584" t="str">
        <f>"530416419"</f>
        <v>530416419</v>
      </c>
      <c r="C6584" s="1">
        <v>45160</v>
      </c>
      <c r="D6584" s="1">
        <v>45162</v>
      </c>
      <c r="E6584">
        <v>1</v>
      </c>
      <c r="F6584" t="str">
        <f>"07-M02-02"</f>
        <v>07-M02-02</v>
      </c>
      <c r="G6584">
        <v>1.627</v>
      </c>
      <c r="H6584" t="s">
        <v>12</v>
      </c>
      <c r="I6584" t="s">
        <v>10</v>
      </c>
    </row>
    <row r="6585" spans="1:9" x14ac:dyDescent="0.25">
      <c r="A6585" t="str">
        <f t="shared" si="158"/>
        <v>89301000</v>
      </c>
      <c r="B6585" t="str">
        <f>"530416419"</f>
        <v>530416419</v>
      </c>
      <c r="C6585" s="1">
        <v>45040</v>
      </c>
      <c r="D6585" s="1">
        <v>45044</v>
      </c>
      <c r="E6585">
        <v>1</v>
      </c>
      <c r="F6585" t="str">
        <f>"07-M02-04"</f>
        <v>07-M02-04</v>
      </c>
      <c r="G6585">
        <v>1.4543999999999999</v>
      </c>
      <c r="H6585" t="s">
        <v>12</v>
      </c>
      <c r="I6585" t="s">
        <v>10</v>
      </c>
    </row>
    <row r="6586" spans="1:9" x14ac:dyDescent="0.25">
      <c r="A6586" t="str">
        <f t="shared" si="158"/>
        <v>89301000</v>
      </c>
      <c r="B6586" t="str">
        <f>"530416419"</f>
        <v>530416419</v>
      </c>
      <c r="C6586" s="1">
        <v>45064</v>
      </c>
      <c r="D6586" s="1">
        <v>45066</v>
      </c>
      <c r="E6586">
        <v>1</v>
      </c>
      <c r="F6586" t="str">
        <f>"07-M02-04"</f>
        <v>07-M02-04</v>
      </c>
      <c r="G6586">
        <v>0.77339999999999998</v>
      </c>
      <c r="H6586" t="s">
        <v>12</v>
      </c>
      <c r="I6586" t="s">
        <v>10</v>
      </c>
    </row>
    <row r="6587" spans="1:9" x14ac:dyDescent="0.25">
      <c r="A6587" t="str">
        <f t="shared" si="158"/>
        <v>89301000</v>
      </c>
      <c r="B6587" t="str">
        <f>"530417024"</f>
        <v>530417024</v>
      </c>
      <c r="C6587" s="1">
        <v>45231</v>
      </c>
      <c r="D6587" s="1">
        <v>45232</v>
      </c>
      <c r="E6587">
        <v>1</v>
      </c>
      <c r="F6587" t="str">
        <f>"05-M06-08"</f>
        <v>05-M06-08</v>
      </c>
      <c r="G6587">
        <v>1.4228000000000001</v>
      </c>
      <c r="H6587" t="s">
        <v>12</v>
      </c>
      <c r="I6587" t="s">
        <v>10</v>
      </c>
    </row>
    <row r="6588" spans="1:9" x14ac:dyDescent="0.25">
      <c r="A6588" t="str">
        <f t="shared" si="158"/>
        <v>89301000</v>
      </c>
      <c r="B6588" t="str">
        <f>"530424065"</f>
        <v>530424065</v>
      </c>
      <c r="C6588" s="1">
        <v>45051</v>
      </c>
      <c r="D6588" s="1">
        <v>45056</v>
      </c>
      <c r="E6588">
        <v>1</v>
      </c>
      <c r="F6588" t="str">
        <f>"03-K06-01"</f>
        <v>03-K06-01</v>
      </c>
      <c r="G6588">
        <v>0.4713</v>
      </c>
      <c r="H6588" t="s">
        <v>11</v>
      </c>
      <c r="I6588" t="s">
        <v>10</v>
      </c>
    </row>
    <row r="6589" spans="1:9" x14ac:dyDescent="0.25">
      <c r="A6589" t="str">
        <f t="shared" si="158"/>
        <v>89301000</v>
      </c>
      <c r="B6589" t="str">
        <f>"530425178"</f>
        <v>530425178</v>
      </c>
      <c r="C6589" s="1">
        <v>45147</v>
      </c>
      <c r="D6589" s="1">
        <v>45160</v>
      </c>
      <c r="E6589">
        <v>1</v>
      </c>
      <c r="F6589" t="str">
        <f>"06-K13-02"</f>
        <v>06-K13-02</v>
      </c>
      <c r="G6589">
        <v>0.62629999999999997</v>
      </c>
      <c r="H6589" t="s">
        <v>11</v>
      </c>
      <c r="I6589" t="s">
        <v>10</v>
      </c>
    </row>
    <row r="6590" spans="1:9" x14ac:dyDescent="0.25">
      <c r="A6590" t="str">
        <f t="shared" si="158"/>
        <v>89301000</v>
      </c>
      <c r="B6590" t="str">
        <f>"530425178"</f>
        <v>530425178</v>
      </c>
      <c r="C6590" s="1">
        <v>45134</v>
      </c>
      <c r="D6590" s="1">
        <v>45140</v>
      </c>
      <c r="E6590">
        <v>1</v>
      </c>
      <c r="F6590" t="str">
        <f>"06-K13-02"</f>
        <v>06-K13-02</v>
      </c>
      <c r="G6590">
        <v>0.66739999999999999</v>
      </c>
      <c r="H6590" t="s">
        <v>11</v>
      </c>
      <c r="I6590" t="s">
        <v>10</v>
      </c>
    </row>
    <row r="6591" spans="1:9" x14ac:dyDescent="0.25">
      <c r="A6591" t="str">
        <f t="shared" si="158"/>
        <v>89301000</v>
      </c>
      <c r="B6591" t="str">
        <f>"530425178"</f>
        <v>530425178</v>
      </c>
      <c r="C6591" s="1">
        <v>45084</v>
      </c>
      <c r="D6591" s="1">
        <v>45103</v>
      </c>
      <c r="E6591">
        <v>1</v>
      </c>
      <c r="F6591" t="str">
        <f>"06-I03-00"</f>
        <v>06-I03-00</v>
      </c>
      <c r="G6591">
        <v>6.7263999999999999</v>
      </c>
      <c r="H6591" t="s">
        <v>9</v>
      </c>
      <c r="I6591" t="s">
        <v>10</v>
      </c>
    </row>
    <row r="6592" spans="1:9" x14ac:dyDescent="0.25">
      <c r="A6592" t="str">
        <f t="shared" si="158"/>
        <v>89301000</v>
      </c>
      <c r="B6592" t="str">
        <f>"530425178"</f>
        <v>530425178</v>
      </c>
      <c r="C6592" s="1">
        <v>44991</v>
      </c>
      <c r="D6592" s="1">
        <v>44992</v>
      </c>
      <c r="E6592">
        <v>1</v>
      </c>
      <c r="F6592" t="str">
        <f>"06-C02-02"</f>
        <v>06-C02-02</v>
      </c>
      <c r="G6592">
        <v>0.374</v>
      </c>
      <c r="H6592" t="s">
        <v>11</v>
      </c>
      <c r="I6592" t="s">
        <v>10</v>
      </c>
    </row>
    <row r="6593" spans="1:9" x14ac:dyDescent="0.25">
      <c r="A6593" t="str">
        <f t="shared" si="158"/>
        <v>89301000</v>
      </c>
      <c r="B6593" t="str">
        <f>"530430047"</f>
        <v>530430047</v>
      </c>
      <c r="C6593" s="1">
        <v>44938</v>
      </c>
      <c r="D6593" s="1">
        <v>44940</v>
      </c>
      <c r="E6593">
        <v>1</v>
      </c>
      <c r="F6593" t="str">
        <f>"08-M03-05"</f>
        <v>08-M03-05</v>
      </c>
      <c r="G6593">
        <v>0.46910000000000002</v>
      </c>
      <c r="H6593" t="s">
        <v>11</v>
      </c>
      <c r="I6593" t="s">
        <v>10</v>
      </c>
    </row>
    <row r="6594" spans="1:9" x14ac:dyDescent="0.25">
      <c r="A6594" t="str">
        <f t="shared" si="158"/>
        <v>89301000</v>
      </c>
      <c r="B6594" t="str">
        <f>"530506139"</f>
        <v>530506139</v>
      </c>
      <c r="C6594" s="1">
        <v>45031</v>
      </c>
      <c r="D6594" s="1">
        <v>45041</v>
      </c>
      <c r="E6594">
        <v>1</v>
      </c>
      <c r="F6594" t="str">
        <f>"09-K14-01"</f>
        <v>09-K14-01</v>
      </c>
      <c r="G6594">
        <v>0.96750000000000003</v>
      </c>
      <c r="H6594" t="s">
        <v>11</v>
      </c>
      <c r="I6594" t="s">
        <v>10</v>
      </c>
    </row>
    <row r="6595" spans="1:9" x14ac:dyDescent="0.25">
      <c r="A6595" t="str">
        <f t="shared" si="158"/>
        <v>89301000</v>
      </c>
      <c r="B6595" t="str">
        <f>"530506139"</f>
        <v>530506139</v>
      </c>
      <c r="C6595" s="1">
        <v>45098</v>
      </c>
      <c r="D6595" s="1">
        <v>45106</v>
      </c>
      <c r="E6595">
        <v>1</v>
      </c>
      <c r="F6595" t="str">
        <f>"09-K03-01"</f>
        <v>09-K03-01</v>
      </c>
      <c r="G6595">
        <v>1.1378999999999999</v>
      </c>
      <c r="H6595" t="s">
        <v>11</v>
      </c>
      <c r="I6595" t="s">
        <v>10</v>
      </c>
    </row>
    <row r="6596" spans="1:9" x14ac:dyDescent="0.25">
      <c r="A6596" t="str">
        <f t="shared" si="158"/>
        <v>89301000</v>
      </c>
      <c r="B6596" t="str">
        <f>"530508188"</f>
        <v>530508188</v>
      </c>
      <c r="C6596" s="1">
        <v>44950</v>
      </c>
      <c r="D6596" s="1">
        <v>44953</v>
      </c>
      <c r="E6596">
        <v>1</v>
      </c>
      <c r="F6596" t="str">
        <f>"11-M06-03"</f>
        <v>11-M06-03</v>
      </c>
      <c r="G6596">
        <v>0.62009999999999998</v>
      </c>
      <c r="H6596" t="s">
        <v>12</v>
      </c>
      <c r="I6596" t="s">
        <v>10</v>
      </c>
    </row>
    <row r="6597" spans="1:9" x14ac:dyDescent="0.25">
      <c r="A6597" t="str">
        <f t="shared" si="158"/>
        <v>89301000</v>
      </c>
      <c r="B6597" t="str">
        <f>"530514209"</f>
        <v>530514209</v>
      </c>
      <c r="C6597" s="1">
        <v>45124</v>
      </c>
      <c r="D6597" s="1">
        <v>45126</v>
      </c>
      <c r="E6597">
        <v>1</v>
      </c>
      <c r="F6597" t="str">
        <f>"03-I22-01"</f>
        <v>03-I22-01</v>
      </c>
      <c r="G6597">
        <v>0.62490000000000001</v>
      </c>
      <c r="H6597" t="s">
        <v>11</v>
      </c>
      <c r="I6597" t="s">
        <v>10</v>
      </c>
    </row>
    <row r="6598" spans="1:9" x14ac:dyDescent="0.25">
      <c r="A6598" t="str">
        <f t="shared" si="158"/>
        <v>89301000</v>
      </c>
      <c r="B6598" t="str">
        <f>"530514209"</f>
        <v>530514209</v>
      </c>
      <c r="C6598" s="1">
        <v>45151</v>
      </c>
      <c r="D6598" s="1">
        <v>45174</v>
      </c>
      <c r="E6598">
        <v>1</v>
      </c>
      <c r="F6598" t="str">
        <f>"03-I05-01"</f>
        <v>03-I05-01</v>
      </c>
      <c r="G6598">
        <v>5.8846999999999996</v>
      </c>
      <c r="H6598" t="s">
        <v>9</v>
      </c>
      <c r="I6598" t="s">
        <v>10</v>
      </c>
    </row>
    <row r="6599" spans="1:9" x14ac:dyDescent="0.25">
      <c r="A6599" t="str">
        <f t="shared" si="158"/>
        <v>89301000</v>
      </c>
      <c r="B6599" t="str">
        <f>"530517150"</f>
        <v>530517150</v>
      </c>
      <c r="C6599" s="1">
        <v>45210</v>
      </c>
      <c r="D6599" s="1">
        <v>45218</v>
      </c>
      <c r="E6599">
        <v>1</v>
      </c>
      <c r="F6599" t="str">
        <f>"06-K13-02"</f>
        <v>06-K13-02</v>
      </c>
      <c r="G6599">
        <v>0.62629999999999997</v>
      </c>
      <c r="H6599" t="s">
        <v>11</v>
      </c>
      <c r="I6599" t="s">
        <v>10</v>
      </c>
    </row>
    <row r="6600" spans="1:9" x14ac:dyDescent="0.25">
      <c r="A6600" t="str">
        <f t="shared" si="158"/>
        <v>89301000</v>
      </c>
      <c r="B6600" t="str">
        <f>"530520339"</f>
        <v>530520339</v>
      </c>
      <c r="C6600" s="1">
        <v>44965</v>
      </c>
      <c r="D6600" s="1">
        <v>44970</v>
      </c>
      <c r="E6600">
        <v>1</v>
      </c>
      <c r="F6600" t="str">
        <f>"05-M01-03"</f>
        <v>05-M01-03</v>
      </c>
      <c r="G6600">
        <v>11.4411</v>
      </c>
      <c r="H6600" t="s">
        <v>12</v>
      </c>
      <c r="I6600" t="s">
        <v>10</v>
      </c>
    </row>
    <row r="6601" spans="1:9" x14ac:dyDescent="0.25">
      <c r="A6601" t="str">
        <f t="shared" si="158"/>
        <v>89301000</v>
      </c>
      <c r="B6601" t="str">
        <f>"530521292"</f>
        <v>530521292</v>
      </c>
      <c r="C6601" s="1">
        <v>44942</v>
      </c>
      <c r="D6601" s="1">
        <v>44944</v>
      </c>
      <c r="E6601">
        <v>4</v>
      </c>
      <c r="F6601" t="str">
        <f>"10-K16-02"</f>
        <v>10-K16-02</v>
      </c>
      <c r="G6601">
        <v>0.57940000000000003</v>
      </c>
      <c r="H6601" t="s">
        <v>11</v>
      </c>
      <c r="I6601" t="s">
        <v>10</v>
      </c>
    </row>
    <row r="6602" spans="1:9" x14ac:dyDescent="0.25">
      <c r="A6602" t="str">
        <f t="shared" ref="A6602:A6665" si="161">"89301000"</f>
        <v>89301000</v>
      </c>
      <c r="B6602" t="str">
        <f>"530524146"</f>
        <v>530524146</v>
      </c>
      <c r="C6602" s="1">
        <v>45209</v>
      </c>
      <c r="D6602" s="1">
        <v>45214</v>
      </c>
      <c r="E6602">
        <v>1</v>
      </c>
      <c r="F6602" t="str">
        <f>"07-K08-02"</f>
        <v>07-K08-02</v>
      </c>
      <c r="G6602">
        <v>0.35310000000000002</v>
      </c>
      <c r="H6602" t="s">
        <v>11</v>
      </c>
      <c r="I6602" t="s">
        <v>10</v>
      </c>
    </row>
    <row r="6603" spans="1:9" x14ac:dyDescent="0.25">
      <c r="A6603" t="str">
        <f t="shared" si="161"/>
        <v>89301000</v>
      </c>
      <c r="B6603" t="str">
        <f>"530524146"</f>
        <v>530524146</v>
      </c>
      <c r="C6603" s="1">
        <v>45272</v>
      </c>
      <c r="D6603" s="1">
        <v>45277</v>
      </c>
      <c r="E6603">
        <v>7</v>
      </c>
      <c r="F6603" t="str">
        <f>"18-I01-02"</f>
        <v>18-I01-02</v>
      </c>
      <c r="G6603">
        <v>3.3877999999999999</v>
      </c>
      <c r="H6603" t="s">
        <v>11</v>
      </c>
      <c r="I6603" t="s">
        <v>10</v>
      </c>
    </row>
    <row r="6604" spans="1:9" x14ac:dyDescent="0.25">
      <c r="A6604" t="str">
        <f t="shared" si="161"/>
        <v>89301000</v>
      </c>
      <c r="B6604" t="str">
        <f>"530604056"</f>
        <v>530604056</v>
      </c>
      <c r="C6604" s="1">
        <v>44962</v>
      </c>
      <c r="D6604" s="1">
        <v>44974</v>
      </c>
      <c r="E6604">
        <v>1</v>
      </c>
      <c r="F6604" t="str">
        <f>"05-I16-02"</f>
        <v>05-I16-02</v>
      </c>
      <c r="G6604">
        <v>8.7934999999999999</v>
      </c>
      <c r="H6604" t="s">
        <v>14</v>
      </c>
      <c r="I6604" t="s">
        <v>10</v>
      </c>
    </row>
    <row r="6605" spans="1:9" x14ac:dyDescent="0.25">
      <c r="A6605" t="str">
        <f t="shared" si="161"/>
        <v>89301000</v>
      </c>
      <c r="B6605" t="str">
        <f>"530607056"</f>
        <v>530607056</v>
      </c>
      <c r="C6605" s="1">
        <v>44973</v>
      </c>
      <c r="D6605" s="1">
        <v>44977</v>
      </c>
      <c r="E6605">
        <v>1</v>
      </c>
      <c r="F6605" t="str">
        <f>"10-K04-04"</f>
        <v>10-K04-04</v>
      </c>
      <c r="G6605">
        <v>0.53949999999999998</v>
      </c>
      <c r="H6605" t="s">
        <v>11</v>
      </c>
      <c r="I6605" t="s">
        <v>10</v>
      </c>
    </row>
    <row r="6606" spans="1:9" x14ac:dyDescent="0.25">
      <c r="A6606" t="str">
        <f t="shared" si="161"/>
        <v>89301000</v>
      </c>
      <c r="B6606" t="str">
        <f>"530607102"</f>
        <v>530607102</v>
      </c>
      <c r="C6606" s="1">
        <v>44935</v>
      </c>
      <c r="D6606" s="1">
        <v>44937</v>
      </c>
      <c r="E6606">
        <v>1</v>
      </c>
      <c r="F6606" t="str">
        <f>"09-I09-05"</f>
        <v>09-I09-05</v>
      </c>
      <c r="G6606">
        <v>0.46870000000000001</v>
      </c>
      <c r="H6606" t="s">
        <v>12</v>
      </c>
      <c r="I6606" t="s">
        <v>10</v>
      </c>
    </row>
    <row r="6607" spans="1:9" x14ac:dyDescent="0.25">
      <c r="A6607" t="str">
        <f t="shared" si="161"/>
        <v>89301000</v>
      </c>
      <c r="B6607" t="str">
        <f>"530607102"</f>
        <v>530607102</v>
      </c>
      <c r="C6607" s="1">
        <v>45224</v>
      </c>
      <c r="D6607" s="1">
        <v>45236</v>
      </c>
      <c r="E6607">
        <v>1</v>
      </c>
      <c r="F6607" t="str">
        <f>"06-I07-05"</f>
        <v>06-I07-05</v>
      </c>
      <c r="G6607">
        <v>2.7919999999999998</v>
      </c>
      <c r="H6607" t="s">
        <v>12</v>
      </c>
      <c r="I6607" t="s">
        <v>10</v>
      </c>
    </row>
    <row r="6608" spans="1:9" x14ac:dyDescent="0.25">
      <c r="A6608" t="str">
        <f t="shared" si="161"/>
        <v>89301000</v>
      </c>
      <c r="B6608" t="str">
        <f>"530609144"</f>
        <v>530609144</v>
      </c>
      <c r="C6608" s="1">
        <v>45254</v>
      </c>
      <c r="D6608" s="1">
        <v>45265</v>
      </c>
      <c r="E6608">
        <v>4</v>
      </c>
      <c r="F6608" t="str">
        <f>"01-K08-01"</f>
        <v>01-K08-01</v>
      </c>
      <c r="G6608">
        <v>1.2397</v>
      </c>
      <c r="H6608" t="s">
        <v>11</v>
      </c>
      <c r="I6608" t="s">
        <v>10</v>
      </c>
    </row>
    <row r="6609" spans="1:9" x14ac:dyDescent="0.25">
      <c r="A6609" t="str">
        <f t="shared" si="161"/>
        <v>89301000</v>
      </c>
      <c r="B6609" t="str">
        <f>"530611058"</f>
        <v>530611058</v>
      </c>
      <c r="C6609" s="1">
        <v>45062</v>
      </c>
      <c r="D6609" s="1">
        <v>45064</v>
      </c>
      <c r="E6609">
        <v>1</v>
      </c>
      <c r="F6609" t="str">
        <f>"03-I19-03"</f>
        <v>03-I19-03</v>
      </c>
      <c r="G6609">
        <v>0.53249999999999997</v>
      </c>
      <c r="H6609" t="s">
        <v>11</v>
      </c>
      <c r="I6609" t="s">
        <v>10</v>
      </c>
    </row>
    <row r="6610" spans="1:9" x14ac:dyDescent="0.25">
      <c r="A6610" t="str">
        <f t="shared" si="161"/>
        <v>89301000</v>
      </c>
      <c r="B6610" t="str">
        <f>"530625282"</f>
        <v>530625282</v>
      </c>
      <c r="C6610" s="1">
        <v>44951</v>
      </c>
      <c r="D6610" s="1">
        <v>44953</v>
      </c>
      <c r="E6610">
        <v>1</v>
      </c>
      <c r="F6610" t="str">
        <f>"08-I26-03"</f>
        <v>08-I26-03</v>
      </c>
      <c r="G6610">
        <v>0.51470000000000005</v>
      </c>
      <c r="H6610" t="s">
        <v>11</v>
      </c>
      <c r="I6610" t="s">
        <v>10</v>
      </c>
    </row>
    <row r="6611" spans="1:9" x14ac:dyDescent="0.25">
      <c r="A6611" t="str">
        <f t="shared" si="161"/>
        <v>89301000</v>
      </c>
      <c r="B6611" t="str">
        <f>"530707072"</f>
        <v>530707072</v>
      </c>
      <c r="C6611" s="1">
        <v>45256</v>
      </c>
      <c r="D6611" s="1">
        <v>45262</v>
      </c>
      <c r="E6611">
        <v>1</v>
      </c>
      <c r="F6611" t="str">
        <f>"12-I02-01"</f>
        <v>12-I02-01</v>
      </c>
      <c r="G6611">
        <v>3.3855</v>
      </c>
      <c r="H6611" t="s">
        <v>9</v>
      </c>
      <c r="I6611" t="s">
        <v>10</v>
      </c>
    </row>
    <row r="6612" spans="1:9" x14ac:dyDescent="0.25">
      <c r="A6612" t="str">
        <f t="shared" si="161"/>
        <v>89301000</v>
      </c>
      <c r="B6612" t="str">
        <f>"530708177"</f>
        <v>530708177</v>
      </c>
      <c r="C6612" s="1">
        <v>44984</v>
      </c>
      <c r="D6612" s="1">
        <v>44986</v>
      </c>
      <c r="E6612">
        <v>1</v>
      </c>
      <c r="F6612" t="str">
        <f>"11-K03-02"</f>
        <v>11-K03-02</v>
      </c>
      <c r="G6612">
        <v>0.622</v>
      </c>
      <c r="H6612" t="s">
        <v>11</v>
      </c>
      <c r="I6612" t="s">
        <v>10</v>
      </c>
    </row>
    <row r="6613" spans="1:9" x14ac:dyDescent="0.25">
      <c r="A6613" t="str">
        <f t="shared" si="161"/>
        <v>89301000</v>
      </c>
      <c r="B6613" t="str">
        <f>"530708177"</f>
        <v>530708177</v>
      </c>
      <c r="C6613" s="1">
        <v>45044</v>
      </c>
      <c r="D6613" s="1">
        <v>45047</v>
      </c>
      <c r="E6613">
        <v>1</v>
      </c>
      <c r="F6613" t="str">
        <f>"11-K03-02"</f>
        <v>11-K03-02</v>
      </c>
      <c r="G6613">
        <v>0.622</v>
      </c>
      <c r="H6613" t="s">
        <v>11</v>
      </c>
      <c r="I6613" t="s">
        <v>10</v>
      </c>
    </row>
    <row r="6614" spans="1:9" x14ac:dyDescent="0.25">
      <c r="A6614" t="str">
        <f t="shared" si="161"/>
        <v>89301000</v>
      </c>
      <c r="B6614" t="str">
        <f>"530709090"</f>
        <v>530709090</v>
      </c>
      <c r="C6614" s="1">
        <v>45198</v>
      </c>
      <c r="D6614" s="1">
        <v>45199</v>
      </c>
      <c r="E6614">
        <v>1</v>
      </c>
      <c r="F6614" t="str">
        <f>"01-K16-06"</f>
        <v>01-K16-06</v>
      </c>
      <c r="G6614">
        <v>0.27150000000000002</v>
      </c>
      <c r="H6614" t="s">
        <v>11</v>
      </c>
      <c r="I6614" t="s">
        <v>10</v>
      </c>
    </row>
    <row r="6615" spans="1:9" x14ac:dyDescent="0.25">
      <c r="A6615" t="str">
        <f t="shared" si="161"/>
        <v>89301000</v>
      </c>
      <c r="B6615" t="str">
        <f>"530709335"</f>
        <v>530709335</v>
      </c>
      <c r="C6615" s="1">
        <v>45068</v>
      </c>
      <c r="D6615" s="1">
        <v>45070</v>
      </c>
      <c r="E6615">
        <v>1</v>
      </c>
      <c r="F6615" t="str">
        <f>"05-K05-05"</f>
        <v>05-K05-05</v>
      </c>
      <c r="G6615">
        <v>0.35659999999999997</v>
      </c>
      <c r="H6615" t="s">
        <v>11</v>
      </c>
      <c r="I6615" t="s">
        <v>10</v>
      </c>
    </row>
    <row r="6616" spans="1:9" x14ac:dyDescent="0.25">
      <c r="A6616" t="str">
        <f t="shared" si="161"/>
        <v>89301000</v>
      </c>
      <c r="B6616" t="str">
        <f>"530709335"</f>
        <v>530709335</v>
      </c>
      <c r="C6616" s="1">
        <v>45214</v>
      </c>
      <c r="D6616" s="1">
        <v>45218</v>
      </c>
      <c r="E6616">
        <v>2</v>
      </c>
      <c r="F6616" t="str">
        <f>"05-K04-02"</f>
        <v>05-K04-02</v>
      </c>
      <c r="G6616">
        <v>0.3947</v>
      </c>
      <c r="H6616" t="s">
        <v>11</v>
      </c>
      <c r="I6616" t="s">
        <v>10</v>
      </c>
    </row>
    <row r="6617" spans="1:9" x14ac:dyDescent="0.25">
      <c r="A6617" t="str">
        <f t="shared" si="161"/>
        <v>89301000</v>
      </c>
      <c r="B6617" t="str">
        <f>"530715156"</f>
        <v>530715156</v>
      </c>
      <c r="C6617" s="1">
        <v>45231</v>
      </c>
      <c r="D6617" s="1">
        <v>45239</v>
      </c>
      <c r="E6617">
        <v>1</v>
      </c>
      <c r="F6617" t="str">
        <f>"01-M02-00"</f>
        <v>01-M02-00</v>
      </c>
      <c r="G6617">
        <v>5.3973000000000004</v>
      </c>
      <c r="H6617" t="s">
        <v>12</v>
      </c>
      <c r="I6617" t="s">
        <v>10</v>
      </c>
    </row>
    <row r="6618" spans="1:9" x14ac:dyDescent="0.25">
      <c r="A6618" t="str">
        <f t="shared" si="161"/>
        <v>89301000</v>
      </c>
      <c r="B6618" t="str">
        <f>"530716043"</f>
        <v>530716043</v>
      </c>
      <c r="C6618" s="1">
        <v>45194</v>
      </c>
      <c r="D6618" s="1">
        <v>45200</v>
      </c>
      <c r="E6618">
        <v>1</v>
      </c>
      <c r="F6618" t="str">
        <f>"12-I03-01"</f>
        <v>12-I03-01</v>
      </c>
      <c r="G6618">
        <v>2.6934999999999998</v>
      </c>
      <c r="H6618" t="s">
        <v>9</v>
      </c>
      <c r="I6618" t="s">
        <v>10</v>
      </c>
    </row>
    <row r="6619" spans="1:9" x14ac:dyDescent="0.25">
      <c r="A6619" t="str">
        <f t="shared" si="161"/>
        <v>89301000</v>
      </c>
      <c r="B6619" t="str">
        <f>"530730286"</f>
        <v>530730286</v>
      </c>
      <c r="C6619" s="1">
        <v>45135</v>
      </c>
      <c r="D6619" s="1">
        <v>45154</v>
      </c>
      <c r="E6619">
        <v>1</v>
      </c>
      <c r="F6619" t="str">
        <f>"05-K07-04"</f>
        <v>05-K07-04</v>
      </c>
      <c r="G6619">
        <v>1.1637999999999999</v>
      </c>
      <c r="H6619" t="s">
        <v>11</v>
      </c>
      <c r="I6619" t="s">
        <v>10</v>
      </c>
    </row>
    <row r="6620" spans="1:9" x14ac:dyDescent="0.25">
      <c r="A6620" t="str">
        <f t="shared" si="161"/>
        <v>89301000</v>
      </c>
      <c r="B6620" t="str">
        <f>"530730286"</f>
        <v>530730286</v>
      </c>
      <c r="C6620" s="1">
        <v>45000</v>
      </c>
      <c r="D6620" s="1">
        <v>45002</v>
      </c>
      <c r="E6620">
        <v>5</v>
      </c>
      <c r="F6620" t="str">
        <f>"05-I14-03"</f>
        <v>05-I14-03</v>
      </c>
      <c r="G6620">
        <v>6.0362</v>
      </c>
      <c r="H6620" t="s">
        <v>12</v>
      </c>
      <c r="I6620" t="s">
        <v>10</v>
      </c>
    </row>
    <row r="6621" spans="1:9" x14ac:dyDescent="0.25">
      <c r="A6621" t="str">
        <f t="shared" si="161"/>
        <v>89301000</v>
      </c>
      <c r="B6621" t="str">
        <f>"530730286"</f>
        <v>530730286</v>
      </c>
      <c r="C6621" s="1">
        <v>44959</v>
      </c>
      <c r="D6621" s="1">
        <v>44965</v>
      </c>
      <c r="E6621">
        <v>5</v>
      </c>
      <c r="F6621" t="str">
        <f>"05-M03-00"</f>
        <v>05-M03-00</v>
      </c>
      <c r="G6621">
        <v>3.6709000000000001</v>
      </c>
      <c r="H6621" t="s">
        <v>14</v>
      </c>
      <c r="I6621" t="s">
        <v>10</v>
      </c>
    </row>
    <row r="6622" spans="1:9" x14ac:dyDescent="0.25">
      <c r="A6622" t="str">
        <f t="shared" si="161"/>
        <v>89301000</v>
      </c>
      <c r="B6622" t="str">
        <f>"530801060"</f>
        <v>530801060</v>
      </c>
      <c r="C6622" s="1">
        <v>45257</v>
      </c>
      <c r="D6622" s="1">
        <v>45259</v>
      </c>
      <c r="E6622">
        <v>1</v>
      </c>
      <c r="F6622" t="str">
        <f>"07-I10-06"</f>
        <v>07-I10-06</v>
      </c>
      <c r="G6622">
        <v>0.98419999999999996</v>
      </c>
      <c r="H6622" t="s">
        <v>12</v>
      </c>
      <c r="I6622" t="s">
        <v>10</v>
      </c>
    </row>
    <row r="6623" spans="1:9" x14ac:dyDescent="0.25">
      <c r="A6623" t="str">
        <f t="shared" si="161"/>
        <v>89301000</v>
      </c>
      <c r="B6623" t="str">
        <f>"530804195"</f>
        <v>530804195</v>
      </c>
      <c r="C6623" s="1">
        <v>45103</v>
      </c>
      <c r="D6623" s="1">
        <v>45104</v>
      </c>
      <c r="E6623">
        <v>1</v>
      </c>
      <c r="F6623" t="str">
        <f>"05-M06-08"</f>
        <v>05-M06-08</v>
      </c>
      <c r="G6623">
        <v>1.4228000000000001</v>
      </c>
      <c r="H6623" t="s">
        <v>12</v>
      </c>
      <c r="I6623" t="s">
        <v>10</v>
      </c>
    </row>
    <row r="6624" spans="1:9" x14ac:dyDescent="0.25">
      <c r="A6624" t="str">
        <f t="shared" si="161"/>
        <v>89301000</v>
      </c>
      <c r="B6624" t="str">
        <f>"530804195"</f>
        <v>530804195</v>
      </c>
      <c r="C6624" s="1">
        <v>45051</v>
      </c>
      <c r="D6624" s="1">
        <v>45055</v>
      </c>
      <c r="E6624">
        <v>1</v>
      </c>
      <c r="F6624" t="str">
        <f>"05-M06-06"</f>
        <v>05-M06-06</v>
      </c>
      <c r="G6624">
        <v>1.8264</v>
      </c>
      <c r="H6624" t="s">
        <v>12</v>
      </c>
      <c r="I6624" t="s">
        <v>10</v>
      </c>
    </row>
    <row r="6625" spans="1:9" x14ac:dyDescent="0.25">
      <c r="A6625" t="str">
        <f t="shared" si="161"/>
        <v>89301000</v>
      </c>
      <c r="B6625" t="str">
        <f>"530804195"</f>
        <v>530804195</v>
      </c>
      <c r="C6625" s="1">
        <v>45085</v>
      </c>
      <c r="D6625" s="1">
        <v>45086</v>
      </c>
      <c r="E6625">
        <v>1</v>
      </c>
      <c r="F6625" t="str">
        <f>"05-I14-04"</f>
        <v>05-I14-04</v>
      </c>
      <c r="G6625">
        <v>5.2220000000000004</v>
      </c>
      <c r="H6625" t="s">
        <v>12</v>
      </c>
      <c r="I6625" t="s">
        <v>10</v>
      </c>
    </row>
    <row r="6626" spans="1:9" x14ac:dyDescent="0.25">
      <c r="A6626" t="str">
        <f t="shared" si="161"/>
        <v>89301000</v>
      </c>
      <c r="B6626" t="str">
        <f>"530808199"</f>
        <v>530808199</v>
      </c>
      <c r="C6626" s="1">
        <v>45221</v>
      </c>
      <c r="D6626" s="1">
        <v>45224</v>
      </c>
      <c r="E6626">
        <v>1</v>
      </c>
      <c r="F6626" t="str">
        <f>"08-M03-03"</f>
        <v>08-M03-03</v>
      </c>
      <c r="G6626">
        <v>0.56640000000000001</v>
      </c>
      <c r="H6626" t="s">
        <v>11</v>
      </c>
      <c r="I6626" t="s">
        <v>10</v>
      </c>
    </row>
    <row r="6627" spans="1:9" x14ac:dyDescent="0.25">
      <c r="A6627" t="str">
        <f t="shared" si="161"/>
        <v>89301000</v>
      </c>
      <c r="B6627" t="str">
        <f>"530809088"</f>
        <v>530809088</v>
      </c>
      <c r="C6627" s="1">
        <v>44992</v>
      </c>
      <c r="D6627" s="1">
        <v>45008</v>
      </c>
      <c r="E6627">
        <v>8</v>
      </c>
      <c r="F6627" t="str">
        <f>"04-K09-02"</f>
        <v>04-K09-02</v>
      </c>
      <c r="G6627">
        <v>1.155</v>
      </c>
      <c r="H6627" t="s">
        <v>11</v>
      </c>
      <c r="I6627" t="s">
        <v>10</v>
      </c>
    </row>
    <row r="6628" spans="1:9" x14ac:dyDescent="0.25">
      <c r="A6628" t="str">
        <f t="shared" si="161"/>
        <v>89301000</v>
      </c>
      <c r="B6628" t="str">
        <f>"530809133"</f>
        <v>530809133</v>
      </c>
      <c r="C6628" s="1">
        <v>45217</v>
      </c>
      <c r="D6628" s="1">
        <v>45221</v>
      </c>
      <c r="E6628">
        <v>1</v>
      </c>
      <c r="F6628" t="str">
        <f>"12-K02-02"</f>
        <v>12-K02-02</v>
      </c>
      <c r="G6628">
        <v>0.39479999999999998</v>
      </c>
      <c r="H6628" t="s">
        <v>11</v>
      </c>
      <c r="I6628" t="s">
        <v>10</v>
      </c>
    </row>
    <row r="6629" spans="1:9" x14ac:dyDescent="0.25">
      <c r="A6629" t="str">
        <f t="shared" si="161"/>
        <v>89301000</v>
      </c>
      <c r="B6629" t="str">
        <f>"530810071"</f>
        <v>530810071</v>
      </c>
      <c r="C6629" s="1">
        <v>44965</v>
      </c>
      <c r="D6629" s="1">
        <v>44966</v>
      </c>
      <c r="E6629">
        <v>1</v>
      </c>
      <c r="F6629" t="str">
        <f>"12-D01-00"</f>
        <v>12-D01-00</v>
      </c>
      <c r="G6629">
        <v>0.2114</v>
      </c>
      <c r="H6629" t="s">
        <v>11</v>
      </c>
      <c r="I6629" t="s">
        <v>10</v>
      </c>
    </row>
    <row r="6630" spans="1:9" x14ac:dyDescent="0.25">
      <c r="A6630" t="str">
        <f t="shared" si="161"/>
        <v>89301000</v>
      </c>
      <c r="B6630" t="str">
        <f>"530810071"</f>
        <v>530810071</v>
      </c>
      <c r="C6630" s="1">
        <v>45005</v>
      </c>
      <c r="D6630" s="1">
        <v>45009</v>
      </c>
      <c r="E6630">
        <v>1</v>
      </c>
      <c r="F6630" t="str">
        <f>"12-M02-02"</f>
        <v>12-M02-02</v>
      </c>
      <c r="G6630">
        <v>0.95020000000000004</v>
      </c>
      <c r="H6630" t="s">
        <v>9</v>
      </c>
      <c r="I6630" t="s">
        <v>10</v>
      </c>
    </row>
    <row r="6631" spans="1:9" x14ac:dyDescent="0.25">
      <c r="A6631" t="str">
        <f t="shared" si="161"/>
        <v>89301000</v>
      </c>
      <c r="B6631" t="str">
        <f>"530820329"</f>
        <v>530820329</v>
      </c>
      <c r="C6631" s="1">
        <v>44925</v>
      </c>
      <c r="D6631" s="1">
        <v>44930</v>
      </c>
      <c r="E6631">
        <v>1</v>
      </c>
      <c r="F6631" t="str">
        <f>"04-K06-02"</f>
        <v>04-K06-02</v>
      </c>
      <c r="G6631">
        <v>0.99870000000000003</v>
      </c>
      <c r="H6631" t="s">
        <v>11</v>
      </c>
      <c r="I6631" t="s">
        <v>10</v>
      </c>
    </row>
    <row r="6632" spans="1:9" x14ac:dyDescent="0.25">
      <c r="A6632" t="str">
        <f t="shared" si="161"/>
        <v>89301000</v>
      </c>
      <c r="B6632" t="str">
        <f>"530820329"</f>
        <v>530820329</v>
      </c>
      <c r="C6632" s="1">
        <v>45050</v>
      </c>
      <c r="D6632" s="1">
        <v>45057</v>
      </c>
      <c r="E6632">
        <v>1</v>
      </c>
      <c r="F6632" t="str">
        <f>"18-K01-06"</f>
        <v>18-K01-06</v>
      </c>
      <c r="G6632">
        <v>1.4659</v>
      </c>
      <c r="H6632" t="s">
        <v>11</v>
      </c>
      <c r="I6632" t="s">
        <v>10</v>
      </c>
    </row>
    <row r="6633" spans="1:9" x14ac:dyDescent="0.25">
      <c r="A6633" t="str">
        <f t="shared" si="161"/>
        <v>89301000</v>
      </c>
      <c r="B6633" t="str">
        <f>"530825119"</f>
        <v>530825119</v>
      </c>
      <c r="C6633" s="1">
        <v>44953</v>
      </c>
      <c r="D6633" s="1">
        <v>44954</v>
      </c>
      <c r="E6633">
        <v>1</v>
      </c>
      <c r="F6633" t="str">
        <f>"12-I14-00"</f>
        <v>12-I14-00</v>
      </c>
      <c r="G6633">
        <v>0.42920000000000003</v>
      </c>
      <c r="H6633" t="s">
        <v>11</v>
      </c>
      <c r="I6633" t="s">
        <v>10</v>
      </c>
    </row>
    <row r="6634" spans="1:9" x14ac:dyDescent="0.25">
      <c r="A6634" t="str">
        <f t="shared" si="161"/>
        <v>89301000</v>
      </c>
      <c r="B6634" t="str">
        <f>"530829064"</f>
        <v>530829064</v>
      </c>
      <c r="C6634" s="1">
        <v>45174</v>
      </c>
      <c r="D6634" s="1">
        <v>45175</v>
      </c>
      <c r="E6634">
        <v>1</v>
      </c>
      <c r="F6634" t="str">
        <f>"06-M01-05"</f>
        <v>06-M01-05</v>
      </c>
      <c r="G6634">
        <v>0.4178</v>
      </c>
      <c r="H6634" t="s">
        <v>11</v>
      </c>
      <c r="I6634" t="s">
        <v>10</v>
      </c>
    </row>
    <row r="6635" spans="1:9" x14ac:dyDescent="0.25">
      <c r="A6635" t="str">
        <f t="shared" si="161"/>
        <v>89301000</v>
      </c>
      <c r="B6635" t="str">
        <f>"530910252"</f>
        <v>530910252</v>
      </c>
      <c r="C6635" s="1">
        <v>45023</v>
      </c>
      <c r="D6635" s="1">
        <v>45035</v>
      </c>
      <c r="E6635">
        <v>2</v>
      </c>
      <c r="F6635" t="str">
        <f>"01-K03-05"</f>
        <v>01-K03-05</v>
      </c>
      <c r="G6635">
        <v>1.6964999999999999</v>
      </c>
      <c r="H6635" t="s">
        <v>11</v>
      </c>
      <c r="I6635" t="s">
        <v>10</v>
      </c>
    </row>
    <row r="6636" spans="1:9" x14ac:dyDescent="0.25">
      <c r="A6636" t="str">
        <f t="shared" si="161"/>
        <v>89301000</v>
      </c>
      <c r="B6636" t="str">
        <f>"530914122"</f>
        <v>530914122</v>
      </c>
      <c r="C6636" s="1">
        <v>45064</v>
      </c>
      <c r="D6636" s="1">
        <v>45065</v>
      </c>
      <c r="E6636">
        <v>1</v>
      </c>
      <c r="F6636" t="str">
        <f>"01-D01-03"</f>
        <v>01-D01-03</v>
      </c>
      <c r="G6636">
        <v>0.16200000000000001</v>
      </c>
      <c r="H6636" t="s">
        <v>11</v>
      </c>
      <c r="I6636" t="s">
        <v>10</v>
      </c>
    </row>
    <row r="6637" spans="1:9" x14ac:dyDescent="0.25">
      <c r="A6637" t="str">
        <f t="shared" si="161"/>
        <v>89301000</v>
      </c>
      <c r="B6637" t="str">
        <f>"530914122"</f>
        <v>530914122</v>
      </c>
      <c r="C6637" s="1">
        <v>45128</v>
      </c>
      <c r="D6637" s="1">
        <v>45131</v>
      </c>
      <c r="E6637">
        <v>1</v>
      </c>
      <c r="F6637" t="str">
        <f>"01-D01-03"</f>
        <v>01-D01-03</v>
      </c>
      <c r="G6637">
        <v>0.21060000000000001</v>
      </c>
      <c r="H6637" t="s">
        <v>11</v>
      </c>
      <c r="I6637" t="s">
        <v>10</v>
      </c>
    </row>
    <row r="6638" spans="1:9" x14ac:dyDescent="0.25">
      <c r="A6638" t="str">
        <f t="shared" si="161"/>
        <v>89301000</v>
      </c>
      <c r="B6638" t="str">
        <f>"530920051"</f>
        <v>530920051</v>
      </c>
      <c r="C6638" s="1">
        <v>45106</v>
      </c>
      <c r="D6638" s="1">
        <v>45113</v>
      </c>
      <c r="E6638">
        <v>1</v>
      </c>
      <c r="F6638" t="str">
        <f>"11-I04-02"</f>
        <v>11-I04-02</v>
      </c>
      <c r="G6638">
        <v>2.6577999999999999</v>
      </c>
      <c r="H6638" t="s">
        <v>9</v>
      </c>
      <c r="I6638" t="s">
        <v>10</v>
      </c>
    </row>
    <row r="6639" spans="1:9" x14ac:dyDescent="0.25">
      <c r="A6639" t="str">
        <f t="shared" si="161"/>
        <v>89301000</v>
      </c>
      <c r="B6639" t="str">
        <f>"530920373"</f>
        <v>530920373</v>
      </c>
      <c r="C6639" s="1">
        <v>44969</v>
      </c>
      <c r="D6639" s="1">
        <v>44975</v>
      </c>
      <c r="E6639">
        <v>1</v>
      </c>
      <c r="F6639" t="str">
        <f>"11-I07-01"</f>
        <v>11-I07-01</v>
      </c>
      <c r="G6639">
        <v>2.7482000000000002</v>
      </c>
      <c r="H6639" t="s">
        <v>9</v>
      </c>
      <c r="I6639" t="s">
        <v>10</v>
      </c>
    </row>
    <row r="6640" spans="1:9" x14ac:dyDescent="0.25">
      <c r="A6640" t="str">
        <f t="shared" si="161"/>
        <v>89301000</v>
      </c>
      <c r="B6640" t="str">
        <f>"530920373"</f>
        <v>530920373</v>
      </c>
      <c r="C6640" s="1">
        <v>44928</v>
      </c>
      <c r="D6640" s="1">
        <v>44931</v>
      </c>
      <c r="E6640">
        <v>1</v>
      </c>
      <c r="F6640" t="str">
        <f>"11-M06-03"</f>
        <v>11-M06-03</v>
      </c>
      <c r="G6640">
        <v>0.62009999999999998</v>
      </c>
      <c r="H6640" t="s">
        <v>12</v>
      </c>
      <c r="I6640" t="s">
        <v>10</v>
      </c>
    </row>
    <row r="6641" spans="1:9" x14ac:dyDescent="0.25">
      <c r="A6641" t="str">
        <f t="shared" si="161"/>
        <v>89301000</v>
      </c>
      <c r="B6641" t="str">
        <f>"531002114"</f>
        <v>531002114</v>
      </c>
      <c r="C6641" s="1">
        <v>44958</v>
      </c>
      <c r="D6641" s="1">
        <v>44962</v>
      </c>
      <c r="E6641">
        <v>1</v>
      </c>
      <c r="F6641" t="str">
        <f>"12-M02-02"</f>
        <v>12-M02-02</v>
      </c>
      <c r="G6641">
        <v>0.95020000000000004</v>
      </c>
      <c r="H6641" t="s">
        <v>9</v>
      </c>
      <c r="I6641" t="s">
        <v>10</v>
      </c>
    </row>
    <row r="6642" spans="1:9" x14ac:dyDescent="0.25">
      <c r="A6642" t="str">
        <f t="shared" si="161"/>
        <v>89301000</v>
      </c>
      <c r="B6642" t="str">
        <f>"531003241"</f>
        <v>531003241</v>
      </c>
      <c r="C6642" s="1">
        <v>45177</v>
      </c>
      <c r="D6642" s="1">
        <v>45209</v>
      </c>
      <c r="E6642">
        <v>7</v>
      </c>
      <c r="F6642" t="str">
        <f>"05-I20-01"</f>
        <v>05-I20-01</v>
      </c>
      <c r="G6642">
        <v>5.1656000000000004</v>
      </c>
      <c r="H6642" t="s">
        <v>11</v>
      </c>
      <c r="I6642" t="s">
        <v>10</v>
      </c>
    </row>
    <row r="6643" spans="1:9" x14ac:dyDescent="0.25">
      <c r="A6643" t="str">
        <f t="shared" si="161"/>
        <v>89301000</v>
      </c>
      <c r="B6643" t="str">
        <f>"531011212"</f>
        <v>531011212</v>
      </c>
      <c r="C6643" s="1">
        <v>44992</v>
      </c>
      <c r="D6643" s="1">
        <v>44995</v>
      </c>
      <c r="E6643">
        <v>1</v>
      </c>
      <c r="F6643" t="str">
        <f>"06-I17-04"</f>
        <v>06-I17-04</v>
      </c>
      <c r="G6643">
        <v>0.49869999999999998</v>
      </c>
      <c r="H6643" t="s">
        <v>12</v>
      </c>
      <c r="I6643" t="s">
        <v>10</v>
      </c>
    </row>
    <row r="6644" spans="1:9" x14ac:dyDescent="0.25">
      <c r="A6644" t="str">
        <f t="shared" si="161"/>
        <v>89301000</v>
      </c>
      <c r="B6644" t="str">
        <f>"531012129"</f>
        <v>531012129</v>
      </c>
      <c r="C6644" s="1">
        <v>44964</v>
      </c>
      <c r="D6644" s="1">
        <v>44971</v>
      </c>
      <c r="E6644">
        <v>1</v>
      </c>
      <c r="F6644" t="str">
        <f>"01-I06-04"</f>
        <v>01-I06-04</v>
      </c>
      <c r="G6644">
        <v>3.6478999999999999</v>
      </c>
      <c r="H6644" t="s">
        <v>12</v>
      </c>
      <c r="I6644" t="s">
        <v>10</v>
      </c>
    </row>
    <row r="6645" spans="1:9" x14ac:dyDescent="0.25">
      <c r="A6645" t="str">
        <f t="shared" si="161"/>
        <v>89301000</v>
      </c>
      <c r="B6645" t="str">
        <f>"531014057"</f>
        <v>531014057</v>
      </c>
      <c r="C6645" s="1">
        <v>45085</v>
      </c>
      <c r="D6645" s="1">
        <v>45086</v>
      </c>
      <c r="E6645">
        <v>1</v>
      </c>
      <c r="F6645" t="str">
        <f>"06-M01-03"</f>
        <v>06-M01-03</v>
      </c>
      <c r="G6645">
        <v>0.82350000000000001</v>
      </c>
      <c r="H6645" t="s">
        <v>11</v>
      </c>
      <c r="I6645" t="s">
        <v>10</v>
      </c>
    </row>
    <row r="6646" spans="1:9" x14ac:dyDescent="0.25">
      <c r="A6646" t="str">
        <f t="shared" si="161"/>
        <v>89301000</v>
      </c>
      <c r="B6646" t="str">
        <f>"531014057"</f>
        <v>531014057</v>
      </c>
      <c r="C6646" s="1">
        <v>45072</v>
      </c>
      <c r="D6646" s="1">
        <v>45075</v>
      </c>
      <c r="E6646">
        <v>1</v>
      </c>
      <c r="F6646" t="str">
        <f>"10-K13-03"</f>
        <v>10-K13-03</v>
      </c>
      <c r="G6646">
        <v>0.42780000000000001</v>
      </c>
      <c r="H6646" t="s">
        <v>11</v>
      </c>
      <c r="I6646" t="s">
        <v>10</v>
      </c>
    </row>
    <row r="6647" spans="1:9" x14ac:dyDescent="0.25">
      <c r="A6647" t="str">
        <f t="shared" si="161"/>
        <v>89301000</v>
      </c>
      <c r="B6647" t="str">
        <f>"531014057"</f>
        <v>531014057</v>
      </c>
      <c r="C6647" s="1">
        <v>45024</v>
      </c>
      <c r="D6647" s="1">
        <v>45033</v>
      </c>
      <c r="E6647">
        <v>1</v>
      </c>
      <c r="F6647" t="str">
        <f>"06-I13-03"</f>
        <v>06-I13-03</v>
      </c>
      <c r="G6647">
        <v>1.5217000000000001</v>
      </c>
      <c r="H6647" t="s">
        <v>11</v>
      </c>
      <c r="I6647" t="s">
        <v>10</v>
      </c>
    </row>
    <row r="6648" spans="1:9" x14ac:dyDescent="0.25">
      <c r="A6648" t="str">
        <f t="shared" si="161"/>
        <v>89301000</v>
      </c>
      <c r="B6648" t="str">
        <f>"531018303"</f>
        <v>531018303</v>
      </c>
      <c r="C6648" s="1">
        <v>45077</v>
      </c>
      <c r="D6648" s="1">
        <v>45079</v>
      </c>
      <c r="E6648">
        <v>1</v>
      </c>
      <c r="F6648" t="str">
        <f>"11-K02-03"</f>
        <v>11-K02-03</v>
      </c>
      <c r="G6648">
        <v>0.86360000000000003</v>
      </c>
      <c r="H6648" t="s">
        <v>11</v>
      </c>
      <c r="I6648" t="s">
        <v>10</v>
      </c>
    </row>
    <row r="6649" spans="1:9" x14ac:dyDescent="0.25">
      <c r="A6649" t="str">
        <f t="shared" si="161"/>
        <v>89301000</v>
      </c>
      <c r="B6649" t="str">
        <f>"531021316"</f>
        <v>531021316</v>
      </c>
      <c r="C6649" s="1">
        <v>45189</v>
      </c>
      <c r="D6649" s="1">
        <v>45191</v>
      </c>
      <c r="E6649">
        <v>1</v>
      </c>
      <c r="F6649" t="str">
        <f>"05-M05-02"</f>
        <v>05-M05-02</v>
      </c>
      <c r="G6649">
        <v>3.5567000000000002</v>
      </c>
      <c r="H6649" t="s">
        <v>14</v>
      </c>
      <c r="I6649" t="s">
        <v>10</v>
      </c>
    </row>
    <row r="6650" spans="1:9" x14ac:dyDescent="0.25">
      <c r="A6650" t="str">
        <f t="shared" si="161"/>
        <v>89301000</v>
      </c>
      <c r="B6650" t="str">
        <f>"531026234"</f>
        <v>531026234</v>
      </c>
      <c r="C6650" s="1">
        <v>44957</v>
      </c>
      <c r="D6650" s="1">
        <v>44960</v>
      </c>
      <c r="E6650">
        <v>1</v>
      </c>
      <c r="F6650" t="str">
        <f>"01-K10-02"</f>
        <v>01-K10-02</v>
      </c>
      <c r="G6650">
        <v>1.62</v>
      </c>
      <c r="H6650" t="s">
        <v>11</v>
      </c>
      <c r="I6650" t="s">
        <v>10</v>
      </c>
    </row>
    <row r="6651" spans="1:9" x14ac:dyDescent="0.25">
      <c r="A6651" t="str">
        <f t="shared" si="161"/>
        <v>89301000</v>
      </c>
      <c r="B6651" t="str">
        <f>"531026265"</f>
        <v>531026265</v>
      </c>
      <c r="C6651" s="1">
        <v>44952</v>
      </c>
      <c r="D6651" s="1">
        <v>44957</v>
      </c>
      <c r="E6651">
        <v>1</v>
      </c>
      <c r="F6651" t="str">
        <f>"06-I22-02"</f>
        <v>06-I22-02</v>
      </c>
      <c r="G6651">
        <v>0.41810000000000003</v>
      </c>
      <c r="H6651" t="s">
        <v>12</v>
      </c>
      <c r="I6651" t="s">
        <v>10</v>
      </c>
    </row>
    <row r="6652" spans="1:9" x14ac:dyDescent="0.25">
      <c r="A6652" t="str">
        <f t="shared" si="161"/>
        <v>89301000</v>
      </c>
      <c r="B6652" t="str">
        <f>"531029265"</f>
        <v>531029265</v>
      </c>
      <c r="C6652" s="1">
        <v>45040</v>
      </c>
      <c r="D6652" s="1">
        <v>45051</v>
      </c>
      <c r="E6652">
        <v>1</v>
      </c>
      <c r="F6652" t="str">
        <f>"24-M06-02"</f>
        <v>24-M06-02</v>
      </c>
      <c r="G6652">
        <v>1.0699000000000001</v>
      </c>
      <c r="H6652" t="s">
        <v>11</v>
      </c>
      <c r="I6652" t="s">
        <v>10</v>
      </c>
    </row>
    <row r="6653" spans="1:9" x14ac:dyDescent="0.25">
      <c r="A6653" t="str">
        <f t="shared" si="161"/>
        <v>89301000</v>
      </c>
      <c r="B6653" t="str">
        <f>"531029265"</f>
        <v>531029265</v>
      </c>
      <c r="C6653" s="1">
        <v>45035</v>
      </c>
      <c r="D6653" s="1">
        <v>45040</v>
      </c>
      <c r="E6653">
        <v>3</v>
      </c>
      <c r="F6653" t="str">
        <f>"08-I05-04"</f>
        <v>08-I05-04</v>
      </c>
      <c r="G6653">
        <v>2.4445000000000001</v>
      </c>
      <c r="H6653" t="s">
        <v>12</v>
      </c>
      <c r="I6653" t="s">
        <v>10</v>
      </c>
    </row>
    <row r="6654" spans="1:9" x14ac:dyDescent="0.25">
      <c r="A6654" t="str">
        <f t="shared" si="161"/>
        <v>89301000</v>
      </c>
      <c r="B6654" t="str">
        <f>"531112038"</f>
        <v>531112038</v>
      </c>
      <c r="C6654" s="1">
        <v>45059</v>
      </c>
      <c r="D6654" s="1">
        <v>45068</v>
      </c>
      <c r="E6654">
        <v>1</v>
      </c>
      <c r="F6654" t="str">
        <f>"09-K01-02"</f>
        <v>09-K01-02</v>
      </c>
      <c r="G6654">
        <v>1.0348999999999999</v>
      </c>
      <c r="H6654" t="s">
        <v>11</v>
      </c>
      <c r="I6654" t="s">
        <v>10</v>
      </c>
    </row>
    <row r="6655" spans="1:9" x14ac:dyDescent="0.25">
      <c r="A6655" t="str">
        <f t="shared" si="161"/>
        <v>89301000</v>
      </c>
      <c r="B6655" t="str">
        <f>"531113069"</f>
        <v>531113069</v>
      </c>
      <c r="C6655" s="1">
        <v>45153</v>
      </c>
      <c r="D6655" s="1">
        <v>45154</v>
      </c>
      <c r="E6655">
        <v>1</v>
      </c>
      <c r="F6655" t="str">
        <f>"02-I13-02"</f>
        <v>02-I13-02</v>
      </c>
      <c r="G6655">
        <v>0.4259</v>
      </c>
      <c r="H6655" t="s">
        <v>11</v>
      </c>
      <c r="I6655" t="s">
        <v>10</v>
      </c>
    </row>
    <row r="6656" spans="1:9" x14ac:dyDescent="0.25">
      <c r="A6656" t="str">
        <f t="shared" si="161"/>
        <v>89301000</v>
      </c>
      <c r="B6656" t="str">
        <f>"531114120"</f>
        <v>531114120</v>
      </c>
      <c r="C6656" s="1">
        <v>45098</v>
      </c>
      <c r="D6656" s="1">
        <v>45099</v>
      </c>
      <c r="E6656">
        <v>1</v>
      </c>
      <c r="F6656" t="str">
        <f>"04-K09-03"</f>
        <v>04-K09-03</v>
      </c>
      <c r="G6656">
        <v>0.65600000000000003</v>
      </c>
      <c r="H6656" t="s">
        <v>11</v>
      </c>
      <c r="I6656" t="s">
        <v>10</v>
      </c>
    </row>
    <row r="6657" spans="1:9" x14ac:dyDescent="0.25">
      <c r="A6657" t="str">
        <f t="shared" si="161"/>
        <v>89301000</v>
      </c>
      <c r="B6657" t="str">
        <f>"531126227"</f>
        <v>531126227</v>
      </c>
      <c r="C6657" s="1">
        <v>45215</v>
      </c>
      <c r="D6657" s="1">
        <v>45225</v>
      </c>
      <c r="E6657">
        <v>1</v>
      </c>
      <c r="F6657" t="str">
        <f>"04-K09-03"</f>
        <v>04-K09-03</v>
      </c>
      <c r="G6657">
        <v>0.629</v>
      </c>
      <c r="H6657" t="s">
        <v>11</v>
      </c>
      <c r="I6657" t="s">
        <v>10</v>
      </c>
    </row>
    <row r="6658" spans="1:9" x14ac:dyDescent="0.25">
      <c r="A6658" t="str">
        <f t="shared" si="161"/>
        <v>89301000</v>
      </c>
      <c r="B6658" t="str">
        <f>"531126227"</f>
        <v>531126227</v>
      </c>
      <c r="C6658" s="1">
        <v>45195</v>
      </c>
      <c r="D6658" s="1">
        <v>45209</v>
      </c>
      <c r="E6658">
        <v>1</v>
      </c>
      <c r="F6658" t="str">
        <f>"04-K09-02"</f>
        <v>04-K09-02</v>
      </c>
      <c r="G6658">
        <v>1.155</v>
      </c>
      <c r="H6658" t="s">
        <v>11</v>
      </c>
      <c r="I6658" t="s">
        <v>10</v>
      </c>
    </row>
    <row r="6659" spans="1:9" x14ac:dyDescent="0.25">
      <c r="A6659" t="str">
        <f t="shared" si="161"/>
        <v>89301000</v>
      </c>
      <c r="B6659" t="str">
        <f>"531126227"</f>
        <v>531126227</v>
      </c>
      <c r="C6659" s="1">
        <v>45164</v>
      </c>
      <c r="D6659" s="1">
        <v>45183</v>
      </c>
      <c r="E6659">
        <v>1</v>
      </c>
      <c r="F6659" t="str">
        <f>"04-K09-02"</f>
        <v>04-K09-02</v>
      </c>
      <c r="G6659">
        <v>1.2999000000000001</v>
      </c>
      <c r="H6659" t="s">
        <v>11</v>
      </c>
      <c r="I6659" t="s">
        <v>10</v>
      </c>
    </row>
    <row r="6660" spans="1:9" x14ac:dyDescent="0.25">
      <c r="A6660" t="str">
        <f t="shared" si="161"/>
        <v>89301000</v>
      </c>
      <c r="B6660" t="str">
        <f>"531127219"</f>
        <v>531127219</v>
      </c>
      <c r="C6660" s="1">
        <v>44991</v>
      </c>
      <c r="D6660" s="1">
        <v>44998</v>
      </c>
      <c r="E6660">
        <v>1</v>
      </c>
      <c r="F6660" t="str">
        <f>"08-I03-06"</f>
        <v>08-I03-06</v>
      </c>
      <c r="G6660">
        <v>3.2523</v>
      </c>
      <c r="H6660" t="s">
        <v>9</v>
      </c>
      <c r="I6660" t="s">
        <v>10</v>
      </c>
    </row>
    <row r="6661" spans="1:9" x14ac:dyDescent="0.25">
      <c r="A6661" t="str">
        <f t="shared" si="161"/>
        <v>89301000</v>
      </c>
      <c r="B6661" t="str">
        <f>"531128117"</f>
        <v>531128117</v>
      </c>
      <c r="C6661" s="1">
        <v>45200</v>
      </c>
      <c r="D6661" s="1">
        <v>45202</v>
      </c>
      <c r="E6661">
        <v>1</v>
      </c>
      <c r="F6661" t="str">
        <f>"05-I14-04"</f>
        <v>05-I14-04</v>
      </c>
      <c r="G6661">
        <v>5.2220000000000004</v>
      </c>
      <c r="H6661" t="s">
        <v>12</v>
      </c>
      <c r="I6661" t="s">
        <v>10</v>
      </c>
    </row>
    <row r="6662" spans="1:9" x14ac:dyDescent="0.25">
      <c r="A6662" t="str">
        <f t="shared" si="161"/>
        <v>89301000</v>
      </c>
      <c r="B6662" t="str">
        <f>"531128117"</f>
        <v>531128117</v>
      </c>
      <c r="C6662" s="1">
        <v>45148</v>
      </c>
      <c r="D6662" s="1">
        <v>45166</v>
      </c>
      <c r="E6662">
        <v>1</v>
      </c>
      <c r="F6662" t="str">
        <f>"05-D01-06"</f>
        <v>05-D01-06</v>
      </c>
      <c r="G6662">
        <v>1.9233</v>
      </c>
      <c r="H6662" t="s">
        <v>11</v>
      </c>
      <c r="I6662" t="s">
        <v>10</v>
      </c>
    </row>
    <row r="6663" spans="1:9" x14ac:dyDescent="0.25">
      <c r="A6663" t="str">
        <f t="shared" si="161"/>
        <v>89301000</v>
      </c>
      <c r="B6663" t="str">
        <f>"531128117"</f>
        <v>531128117</v>
      </c>
      <c r="C6663" s="1">
        <v>45024</v>
      </c>
      <c r="D6663" s="1">
        <v>45035</v>
      </c>
      <c r="E6663">
        <v>1</v>
      </c>
      <c r="F6663" t="str">
        <f>"04-I08-01"</f>
        <v>04-I08-01</v>
      </c>
      <c r="G6663">
        <v>3.0463</v>
      </c>
      <c r="H6663" t="s">
        <v>11</v>
      </c>
      <c r="I6663" t="s">
        <v>10</v>
      </c>
    </row>
    <row r="6664" spans="1:9" x14ac:dyDescent="0.25">
      <c r="A6664" t="str">
        <f t="shared" si="161"/>
        <v>89301000</v>
      </c>
      <c r="B6664" t="str">
        <f>"531128117"</f>
        <v>531128117</v>
      </c>
      <c r="C6664" s="1">
        <v>45131</v>
      </c>
      <c r="D6664" s="1">
        <v>45135</v>
      </c>
      <c r="E6664">
        <v>1</v>
      </c>
      <c r="F6664" t="str">
        <f>"05-K07-05"</f>
        <v>05-K07-05</v>
      </c>
      <c r="G6664">
        <v>0.74719999999999998</v>
      </c>
      <c r="H6664" t="s">
        <v>11</v>
      </c>
      <c r="I6664" t="s">
        <v>10</v>
      </c>
    </row>
    <row r="6665" spans="1:9" x14ac:dyDescent="0.25">
      <c r="A6665" t="str">
        <f t="shared" si="161"/>
        <v>89301000</v>
      </c>
      <c r="B6665" t="str">
        <f>"531128222"</f>
        <v>531128222</v>
      </c>
      <c r="C6665" s="1">
        <v>44950</v>
      </c>
      <c r="D6665" s="1">
        <v>44953</v>
      </c>
      <c r="E6665">
        <v>5</v>
      </c>
      <c r="F6665" t="str">
        <f>"05-M06-06"</f>
        <v>05-M06-06</v>
      </c>
      <c r="G6665">
        <v>1.8264</v>
      </c>
      <c r="H6665" t="s">
        <v>12</v>
      </c>
      <c r="I6665" t="s">
        <v>10</v>
      </c>
    </row>
    <row r="6666" spans="1:9" x14ac:dyDescent="0.25">
      <c r="A6666" t="str">
        <f t="shared" ref="A6666:A6729" si="162">"89301000"</f>
        <v>89301000</v>
      </c>
      <c r="B6666" t="str">
        <f>"531128222"</f>
        <v>531128222</v>
      </c>
      <c r="C6666" s="1">
        <v>44962</v>
      </c>
      <c r="D6666" s="1">
        <v>44964</v>
      </c>
      <c r="E6666">
        <v>1</v>
      </c>
      <c r="F6666" t="str">
        <f>"05-I14-04"</f>
        <v>05-I14-04</v>
      </c>
      <c r="G6666">
        <v>5.2220000000000004</v>
      </c>
      <c r="H6666" t="s">
        <v>12</v>
      </c>
      <c r="I6666" t="s">
        <v>10</v>
      </c>
    </row>
    <row r="6667" spans="1:9" x14ac:dyDescent="0.25">
      <c r="A6667" t="str">
        <f t="shared" si="162"/>
        <v>89301000</v>
      </c>
      <c r="B6667" t="str">
        <f>"531130097"</f>
        <v>531130097</v>
      </c>
      <c r="C6667" s="1">
        <v>45074</v>
      </c>
      <c r="D6667" s="1">
        <v>45079</v>
      </c>
      <c r="E6667">
        <v>1</v>
      </c>
      <c r="F6667" t="str">
        <f>"11-I08-03"</f>
        <v>11-I08-03</v>
      </c>
      <c r="G6667">
        <v>2.0529999999999999</v>
      </c>
      <c r="H6667" t="s">
        <v>9</v>
      </c>
      <c r="I6667" t="s">
        <v>10</v>
      </c>
    </row>
    <row r="6668" spans="1:9" x14ac:dyDescent="0.25">
      <c r="A6668" t="str">
        <f t="shared" si="162"/>
        <v>89301000</v>
      </c>
      <c r="B6668" t="str">
        <f>"531130308"</f>
        <v>531130308</v>
      </c>
      <c r="C6668" s="1">
        <v>44971</v>
      </c>
      <c r="D6668" s="1">
        <v>44973</v>
      </c>
      <c r="E6668">
        <v>1</v>
      </c>
      <c r="F6668" t="str">
        <f>"11-M05-02"</f>
        <v>11-M05-02</v>
      </c>
      <c r="G6668">
        <v>0.6694</v>
      </c>
      <c r="H6668" t="s">
        <v>12</v>
      </c>
      <c r="I6668" t="s">
        <v>10</v>
      </c>
    </row>
    <row r="6669" spans="1:9" x14ac:dyDescent="0.25">
      <c r="A6669" t="str">
        <f t="shared" si="162"/>
        <v>89301000</v>
      </c>
      <c r="B6669" t="str">
        <f>"531130308"</f>
        <v>531130308</v>
      </c>
      <c r="C6669" s="1">
        <v>44944</v>
      </c>
      <c r="D6669" s="1">
        <v>44947</v>
      </c>
      <c r="E6669">
        <v>1</v>
      </c>
      <c r="F6669" t="str">
        <f>"11-M05-02"</f>
        <v>11-M05-02</v>
      </c>
      <c r="G6669">
        <v>0.6694</v>
      </c>
      <c r="H6669" t="s">
        <v>12</v>
      </c>
      <c r="I6669" t="s">
        <v>10</v>
      </c>
    </row>
    <row r="6670" spans="1:9" x14ac:dyDescent="0.25">
      <c r="A6670" t="str">
        <f t="shared" si="162"/>
        <v>89301000</v>
      </c>
      <c r="B6670" t="str">
        <f>"531205313"</f>
        <v>531205313</v>
      </c>
      <c r="C6670" s="1">
        <v>45107</v>
      </c>
      <c r="D6670" s="1">
        <v>45111</v>
      </c>
      <c r="E6670">
        <v>1</v>
      </c>
      <c r="F6670" t="str">
        <f>"04-K09-03"</f>
        <v>04-K09-03</v>
      </c>
      <c r="G6670">
        <v>0.65600000000000003</v>
      </c>
      <c r="H6670" t="s">
        <v>11</v>
      </c>
      <c r="I6670" t="s">
        <v>10</v>
      </c>
    </row>
    <row r="6671" spans="1:9" x14ac:dyDescent="0.25">
      <c r="A6671" t="str">
        <f t="shared" si="162"/>
        <v>89301000</v>
      </c>
      <c r="B6671" t="str">
        <f>"531205313"</f>
        <v>531205313</v>
      </c>
      <c r="C6671" s="1">
        <v>45154</v>
      </c>
      <c r="D6671" s="1">
        <v>45156</v>
      </c>
      <c r="E6671">
        <v>1</v>
      </c>
      <c r="F6671" t="str">
        <f>"04-K09-03"</f>
        <v>04-K09-03</v>
      </c>
      <c r="G6671">
        <v>0.629</v>
      </c>
      <c r="H6671" t="s">
        <v>11</v>
      </c>
      <c r="I6671" t="s">
        <v>10</v>
      </c>
    </row>
    <row r="6672" spans="1:9" x14ac:dyDescent="0.25">
      <c r="A6672" t="str">
        <f t="shared" si="162"/>
        <v>89301000</v>
      </c>
      <c r="B6672" t="str">
        <f>"531205313"</f>
        <v>531205313</v>
      </c>
      <c r="C6672" s="1">
        <v>45222</v>
      </c>
      <c r="D6672" s="1">
        <v>45240</v>
      </c>
      <c r="E6672">
        <v>1</v>
      </c>
      <c r="F6672" t="str">
        <f>"04-R02-07"</f>
        <v>04-R02-07</v>
      </c>
      <c r="G6672">
        <v>1.4739</v>
      </c>
      <c r="H6672" t="s">
        <v>11</v>
      </c>
      <c r="I6672" t="s">
        <v>10</v>
      </c>
    </row>
    <row r="6673" spans="1:9" x14ac:dyDescent="0.25">
      <c r="A6673" t="str">
        <f t="shared" si="162"/>
        <v>89301000</v>
      </c>
      <c r="B6673" t="str">
        <f>"531205313"</f>
        <v>531205313</v>
      </c>
      <c r="C6673" s="1">
        <v>44942</v>
      </c>
      <c r="D6673" s="1">
        <v>44949</v>
      </c>
      <c r="E6673">
        <v>1</v>
      </c>
      <c r="F6673" t="str">
        <f>"04-K02-04"</f>
        <v>04-K02-04</v>
      </c>
      <c r="G6673">
        <v>0.82099999999999995</v>
      </c>
      <c r="H6673" t="s">
        <v>11</v>
      </c>
      <c r="I6673" t="s">
        <v>10</v>
      </c>
    </row>
    <row r="6674" spans="1:9" x14ac:dyDescent="0.25">
      <c r="A6674" t="str">
        <f t="shared" si="162"/>
        <v>89301000</v>
      </c>
      <c r="B6674" t="str">
        <f>"531208185"</f>
        <v>531208185</v>
      </c>
      <c r="C6674" s="1">
        <v>44936</v>
      </c>
      <c r="D6674" s="1">
        <v>44937</v>
      </c>
      <c r="E6674">
        <v>1</v>
      </c>
      <c r="F6674" t="str">
        <f>"01-D01-03"</f>
        <v>01-D01-03</v>
      </c>
      <c r="G6674">
        <v>0.16200000000000001</v>
      </c>
      <c r="H6674" t="s">
        <v>11</v>
      </c>
      <c r="I6674" t="s">
        <v>10</v>
      </c>
    </row>
    <row r="6675" spans="1:9" x14ac:dyDescent="0.25">
      <c r="A6675" t="str">
        <f t="shared" si="162"/>
        <v>89301000</v>
      </c>
      <c r="B6675" t="str">
        <f>"531208185"</f>
        <v>531208185</v>
      </c>
      <c r="C6675" s="1">
        <v>44995</v>
      </c>
      <c r="D6675" s="1">
        <v>44998</v>
      </c>
      <c r="E6675">
        <v>1</v>
      </c>
      <c r="F6675" t="str">
        <f>"10-K15-01"</f>
        <v>10-K15-01</v>
      </c>
      <c r="G6675">
        <v>1.5124</v>
      </c>
      <c r="H6675" t="s">
        <v>11</v>
      </c>
      <c r="I6675" t="s">
        <v>10</v>
      </c>
    </row>
    <row r="6676" spans="1:9" x14ac:dyDescent="0.25">
      <c r="A6676" t="str">
        <f t="shared" si="162"/>
        <v>89301000</v>
      </c>
      <c r="B6676" t="str">
        <f>"531209130"</f>
        <v>531209130</v>
      </c>
      <c r="C6676" s="1">
        <v>45195</v>
      </c>
      <c r="D6676" s="1">
        <v>45209</v>
      </c>
      <c r="E6676">
        <v>4</v>
      </c>
      <c r="F6676" t="str">
        <f>"10-K02-01"</f>
        <v>10-K02-01</v>
      </c>
      <c r="G6676">
        <v>0.98089999999999999</v>
      </c>
      <c r="H6676" t="s">
        <v>11</v>
      </c>
      <c r="I6676" t="s">
        <v>10</v>
      </c>
    </row>
    <row r="6677" spans="1:9" x14ac:dyDescent="0.25">
      <c r="A6677" t="str">
        <f t="shared" si="162"/>
        <v>89301000</v>
      </c>
      <c r="B6677" t="str">
        <f>"531211178"</f>
        <v>531211178</v>
      </c>
      <c r="C6677" s="1">
        <v>45082</v>
      </c>
      <c r="D6677" s="1">
        <v>45086</v>
      </c>
      <c r="E6677">
        <v>1</v>
      </c>
      <c r="F6677" t="str">
        <f>"01-K04-02"</f>
        <v>01-K04-02</v>
      </c>
      <c r="G6677">
        <v>0.79990000000000006</v>
      </c>
      <c r="H6677" t="s">
        <v>11</v>
      </c>
      <c r="I6677" t="s">
        <v>10</v>
      </c>
    </row>
    <row r="6678" spans="1:9" x14ac:dyDescent="0.25">
      <c r="A6678" t="str">
        <f t="shared" si="162"/>
        <v>89301000</v>
      </c>
      <c r="B6678" t="str">
        <f>"531213109"</f>
        <v>531213109</v>
      </c>
      <c r="C6678" s="1">
        <v>45074</v>
      </c>
      <c r="D6678" s="1">
        <v>45078</v>
      </c>
      <c r="E6678">
        <v>1</v>
      </c>
      <c r="F6678" t="str">
        <f>"07-I10-05"</f>
        <v>07-I10-05</v>
      </c>
      <c r="G6678">
        <v>1.3592</v>
      </c>
      <c r="H6678" t="s">
        <v>12</v>
      </c>
      <c r="I6678" t="s">
        <v>10</v>
      </c>
    </row>
    <row r="6679" spans="1:9" x14ac:dyDescent="0.25">
      <c r="A6679" t="str">
        <f t="shared" si="162"/>
        <v>89301000</v>
      </c>
      <c r="B6679" t="str">
        <f>"531215069"</f>
        <v>531215069</v>
      </c>
      <c r="C6679" s="1">
        <v>44987</v>
      </c>
      <c r="D6679" s="1">
        <v>44994</v>
      </c>
      <c r="E6679">
        <v>1</v>
      </c>
      <c r="F6679" t="str">
        <f>"01-M02-00"</f>
        <v>01-M02-00</v>
      </c>
      <c r="G6679">
        <v>5.3973000000000004</v>
      </c>
      <c r="H6679" t="s">
        <v>12</v>
      </c>
      <c r="I6679" t="s">
        <v>10</v>
      </c>
    </row>
    <row r="6680" spans="1:9" x14ac:dyDescent="0.25">
      <c r="A6680" t="str">
        <f t="shared" si="162"/>
        <v>89301000</v>
      </c>
      <c r="B6680" t="str">
        <f>"531226127"</f>
        <v>531226127</v>
      </c>
      <c r="C6680" s="1">
        <v>45135</v>
      </c>
      <c r="D6680" s="1">
        <v>45138</v>
      </c>
      <c r="E6680">
        <v>1</v>
      </c>
      <c r="F6680" t="str">
        <f>"01-I08-04"</f>
        <v>01-I08-04</v>
      </c>
      <c r="G6680">
        <v>1.4927999999999999</v>
      </c>
      <c r="H6680" t="s">
        <v>14</v>
      </c>
      <c r="I6680" t="s">
        <v>10</v>
      </c>
    </row>
    <row r="6681" spans="1:9" x14ac:dyDescent="0.25">
      <c r="A6681" t="str">
        <f t="shared" si="162"/>
        <v>89301000</v>
      </c>
      <c r="B6681" t="str">
        <f>"531226228"</f>
        <v>531226228</v>
      </c>
      <c r="C6681" s="1">
        <v>44986</v>
      </c>
      <c r="D6681" s="1">
        <v>44991</v>
      </c>
      <c r="E6681">
        <v>1</v>
      </c>
      <c r="F6681" t="str">
        <f>"23-K05-01"</f>
        <v>23-K05-01</v>
      </c>
      <c r="G6681">
        <v>0.56269999999999998</v>
      </c>
      <c r="H6681" t="s">
        <v>11</v>
      </c>
      <c r="I6681" t="s">
        <v>10</v>
      </c>
    </row>
    <row r="6682" spans="1:9" x14ac:dyDescent="0.25">
      <c r="A6682" t="str">
        <f t="shared" si="162"/>
        <v>89301000</v>
      </c>
      <c r="B6682" t="str">
        <f>"531229076"</f>
        <v>531229076</v>
      </c>
      <c r="C6682" s="1">
        <v>45127</v>
      </c>
      <c r="D6682" s="1">
        <v>45131</v>
      </c>
      <c r="E6682">
        <v>1</v>
      </c>
      <c r="F6682" t="str">
        <f>"03-K04-01"</f>
        <v>03-K04-01</v>
      </c>
      <c r="G6682">
        <v>0.46479999999999999</v>
      </c>
      <c r="H6682" t="s">
        <v>11</v>
      </c>
      <c r="I6682" t="s">
        <v>10</v>
      </c>
    </row>
    <row r="6683" spans="1:9" x14ac:dyDescent="0.25">
      <c r="A6683" t="str">
        <f t="shared" si="162"/>
        <v>89301000</v>
      </c>
      <c r="B6683" t="str">
        <f>"535103310"</f>
        <v>535103310</v>
      </c>
      <c r="C6683" s="1">
        <v>45144</v>
      </c>
      <c r="D6683" s="1">
        <v>45146</v>
      </c>
      <c r="E6683">
        <v>1</v>
      </c>
      <c r="F6683" t="str">
        <f>"08-I25-02"</f>
        <v>08-I25-02</v>
      </c>
      <c r="G6683">
        <v>0.55279999999999996</v>
      </c>
      <c r="H6683" t="s">
        <v>11</v>
      </c>
      <c r="I6683" t="s">
        <v>10</v>
      </c>
    </row>
    <row r="6684" spans="1:9" x14ac:dyDescent="0.25">
      <c r="A6684" t="str">
        <f t="shared" si="162"/>
        <v>89301000</v>
      </c>
      <c r="B6684" t="str">
        <f>"535114270"</f>
        <v>535114270</v>
      </c>
      <c r="C6684" s="1">
        <v>45264</v>
      </c>
      <c r="D6684" s="1">
        <v>45266</v>
      </c>
      <c r="E6684">
        <v>1</v>
      </c>
      <c r="F6684" t="str">
        <f>"11-M05-01"</f>
        <v>11-M05-01</v>
      </c>
      <c r="G6684">
        <v>0.83750000000000002</v>
      </c>
      <c r="H6684" t="s">
        <v>12</v>
      </c>
      <c r="I6684" t="s">
        <v>10</v>
      </c>
    </row>
    <row r="6685" spans="1:9" x14ac:dyDescent="0.25">
      <c r="A6685" t="str">
        <f t="shared" si="162"/>
        <v>89301000</v>
      </c>
      <c r="B6685" t="str">
        <f>"535117123"</f>
        <v>535117123</v>
      </c>
      <c r="C6685" s="1">
        <v>44970</v>
      </c>
      <c r="D6685" s="1">
        <v>44972</v>
      </c>
      <c r="E6685">
        <v>1</v>
      </c>
      <c r="F6685" t="str">
        <f>"09-I09-02"</f>
        <v>09-I09-02</v>
      </c>
      <c r="G6685">
        <v>0.81599999999999995</v>
      </c>
      <c r="H6685" t="s">
        <v>12</v>
      </c>
      <c r="I6685" t="s">
        <v>10</v>
      </c>
    </row>
    <row r="6686" spans="1:9" x14ac:dyDescent="0.25">
      <c r="A6686" t="str">
        <f t="shared" si="162"/>
        <v>89301000</v>
      </c>
      <c r="B6686" t="str">
        <f>"535117123"</f>
        <v>535117123</v>
      </c>
      <c r="C6686" s="1">
        <v>45120</v>
      </c>
      <c r="D6686" s="1">
        <v>45126</v>
      </c>
      <c r="E6686">
        <v>1</v>
      </c>
      <c r="F6686" t="str">
        <f>"09-R01-08"</f>
        <v>09-R01-08</v>
      </c>
      <c r="G6686">
        <v>1.1002000000000001</v>
      </c>
      <c r="H6686" t="s">
        <v>11</v>
      </c>
      <c r="I6686" t="s">
        <v>10</v>
      </c>
    </row>
    <row r="6687" spans="1:9" x14ac:dyDescent="0.25">
      <c r="A6687" t="str">
        <f t="shared" si="162"/>
        <v>89301000</v>
      </c>
      <c r="B6687" t="str">
        <f>"535127316"</f>
        <v>535127316</v>
      </c>
      <c r="C6687" s="1">
        <v>44935</v>
      </c>
      <c r="D6687" s="1">
        <v>44939</v>
      </c>
      <c r="E6687">
        <v>1</v>
      </c>
      <c r="F6687" t="str">
        <f>"09-C03-02"</f>
        <v>09-C03-02</v>
      </c>
      <c r="G6687">
        <v>0.3226</v>
      </c>
      <c r="H6687" t="s">
        <v>11</v>
      </c>
      <c r="I6687" t="s">
        <v>10</v>
      </c>
    </row>
    <row r="6688" spans="1:9" x14ac:dyDescent="0.25">
      <c r="A6688" t="str">
        <f t="shared" si="162"/>
        <v>89301000</v>
      </c>
      <c r="B6688" t="str">
        <f>"535127316"</f>
        <v>535127316</v>
      </c>
      <c r="C6688" s="1">
        <v>44950</v>
      </c>
      <c r="D6688" s="1">
        <v>44958</v>
      </c>
      <c r="E6688">
        <v>1</v>
      </c>
      <c r="F6688" t="str">
        <f>"07-K07-01"</f>
        <v>07-K07-01</v>
      </c>
      <c r="G6688">
        <v>1.0079</v>
      </c>
      <c r="H6688" t="s">
        <v>11</v>
      </c>
      <c r="I6688" t="s">
        <v>10</v>
      </c>
    </row>
    <row r="6689" spans="1:9" x14ac:dyDescent="0.25">
      <c r="A6689" t="str">
        <f t="shared" si="162"/>
        <v>89301000</v>
      </c>
      <c r="B6689" t="str">
        <f>"535130090"</f>
        <v>535130090</v>
      </c>
      <c r="C6689" s="1">
        <v>45007</v>
      </c>
      <c r="D6689" s="1">
        <v>45012</v>
      </c>
      <c r="E6689">
        <v>1</v>
      </c>
      <c r="F6689" t="str">
        <f>"05-K13-02"</f>
        <v>05-K13-02</v>
      </c>
      <c r="G6689">
        <v>0.58079999999999998</v>
      </c>
      <c r="H6689" t="s">
        <v>11</v>
      </c>
      <c r="I6689" t="s">
        <v>10</v>
      </c>
    </row>
    <row r="6690" spans="1:9" x14ac:dyDescent="0.25">
      <c r="A6690" t="str">
        <f t="shared" si="162"/>
        <v>89301000</v>
      </c>
      <c r="B6690" t="str">
        <f>"535203025"</f>
        <v>535203025</v>
      </c>
      <c r="C6690" s="1">
        <v>45012</v>
      </c>
      <c r="D6690" s="1">
        <v>45016</v>
      </c>
      <c r="E6690">
        <v>1</v>
      </c>
      <c r="F6690" t="str">
        <f>"05-M05-02"</f>
        <v>05-M05-02</v>
      </c>
      <c r="G6690">
        <v>3.4817999999999998</v>
      </c>
      <c r="H6690" t="s">
        <v>14</v>
      </c>
      <c r="I6690" t="s">
        <v>10</v>
      </c>
    </row>
    <row r="6691" spans="1:9" x14ac:dyDescent="0.25">
      <c r="A6691" t="str">
        <f t="shared" si="162"/>
        <v>89301000</v>
      </c>
      <c r="B6691" t="str">
        <f>"535205101"</f>
        <v>535205101</v>
      </c>
      <c r="C6691" s="1">
        <v>45276</v>
      </c>
      <c r="D6691" s="1">
        <v>45280</v>
      </c>
      <c r="E6691">
        <v>1</v>
      </c>
      <c r="F6691" t="str">
        <f>"01-K10-03"</f>
        <v>01-K10-03</v>
      </c>
      <c r="G6691">
        <v>1.0348999999999999</v>
      </c>
      <c r="H6691" t="s">
        <v>11</v>
      </c>
      <c r="I6691" t="s">
        <v>10</v>
      </c>
    </row>
    <row r="6692" spans="1:9" x14ac:dyDescent="0.25">
      <c r="A6692" t="str">
        <f t="shared" si="162"/>
        <v>89301000</v>
      </c>
      <c r="B6692" t="str">
        <f>"535205101"</f>
        <v>535205101</v>
      </c>
      <c r="C6692" s="1">
        <v>45232</v>
      </c>
      <c r="D6692" s="1">
        <v>45237</v>
      </c>
      <c r="E6692">
        <v>1</v>
      </c>
      <c r="F6692" t="str">
        <f>"06-I12-03"</f>
        <v>06-I12-03</v>
      </c>
      <c r="G6692">
        <v>1.9540999999999999</v>
      </c>
      <c r="H6692" t="s">
        <v>11</v>
      </c>
      <c r="I6692" t="s">
        <v>10</v>
      </c>
    </row>
    <row r="6693" spans="1:9" x14ac:dyDescent="0.25">
      <c r="A6693" t="str">
        <f t="shared" si="162"/>
        <v>89301000</v>
      </c>
      <c r="B6693" t="str">
        <f>"535205101"</f>
        <v>535205101</v>
      </c>
      <c r="C6693" s="1">
        <v>45104</v>
      </c>
      <c r="D6693" s="1">
        <v>45107</v>
      </c>
      <c r="E6693">
        <v>1</v>
      </c>
      <c r="F6693" t="str">
        <f>"06-I21-03"</f>
        <v>06-I21-03</v>
      </c>
      <c r="G6693">
        <v>0.4572</v>
      </c>
      <c r="H6693" t="s">
        <v>12</v>
      </c>
      <c r="I6693" t="s">
        <v>10</v>
      </c>
    </row>
    <row r="6694" spans="1:9" x14ac:dyDescent="0.25">
      <c r="A6694" t="str">
        <f t="shared" si="162"/>
        <v>89301000</v>
      </c>
      <c r="B6694" t="str">
        <f>"535205101"</f>
        <v>535205101</v>
      </c>
      <c r="C6694" s="1">
        <v>44992</v>
      </c>
      <c r="D6694" s="1">
        <v>45003</v>
      </c>
      <c r="E6694">
        <v>1</v>
      </c>
      <c r="F6694" t="str">
        <f>"06-I07-05"</f>
        <v>06-I07-05</v>
      </c>
      <c r="G6694">
        <v>2.7919999999999998</v>
      </c>
      <c r="H6694" t="s">
        <v>12</v>
      </c>
      <c r="I6694" t="s">
        <v>10</v>
      </c>
    </row>
    <row r="6695" spans="1:9" x14ac:dyDescent="0.25">
      <c r="A6695" t="str">
        <f t="shared" si="162"/>
        <v>89301000</v>
      </c>
      <c r="B6695" t="str">
        <f>"535206197"</f>
        <v>535206197</v>
      </c>
      <c r="C6695" s="1">
        <v>45207</v>
      </c>
      <c r="D6695" s="1">
        <v>45211</v>
      </c>
      <c r="E6695">
        <v>1</v>
      </c>
      <c r="F6695" t="str">
        <f>"06-I22-01"</f>
        <v>06-I22-01</v>
      </c>
      <c r="G6695">
        <v>0.68120000000000003</v>
      </c>
      <c r="H6695" t="s">
        <v>12</v>
      </c>
      <c r="I6695" t="s">
        <v>10</v>
      </c>
    </row>
    <row r="6696" spans="1:9" x14ac:dyDescent="0.25">
      <c r="A6696" t="str">
        <f t="shared" si="162"/>
        <v>89301000</v>
      </c>
      <c r="B6696" t="str">
        <f>"535210090"</f>
        <v>535210090</v>
      </c>
      <c r="C6696" s="1">
        <v>44964</v>
      </c>
      <c r="D6696" s="1">
        <v>44971</v>
      </c>
      <c r="E6696">
        <v>1</v>
      </c>
      <c r="F6696" t="str">
        <f>"08-I03-04"</f>
        <v>08-I03-04</v>
      </c>
      <c r="G6696">
        <v>4.6185999999999998</v>
      </c>
      <c r="H6696" t="s">
        <v>9</v>
      </c>
      <c r="I6696" t="s">
        <v>10</v>
      </c>
    </row>
    <row r="6697" spans="1:9" x14ac:dyDescent="0.25">
      <c r="A6697" t="str">
        <f t="shared" si="162"/>
        <v>89301000</v>
      </c>
      <c r="B6697" t="str">
        <f>"535211299"</f>
        <v>535211299</v>
      </c>
      <c r="C6697" s="1">
        <v>44967</v>
      </c>
      <c r="D6697" s="1">
        <v>44972</v>
      </c>
      <c r="E6697">
        <v>1</v>
      </c>
      <c r="F6697" t="str">
        <f>"01-I08-04"</f>
        <v>01-I08-04</v>
      </c>
      <c r="G6697">
        <v>1.5697000000000001</v>
      </c>
      <c r="H6697" t="s">
        <v>14</v>
      </c>
      <c r="I6697" t="s">
        <v>10</v>
      </c>
    </row>
    <row r="6698" spans="1:9" x14ac:dyDescent="0.25">
      <c r="A6698" t="str">
        <f t="shared" si="162"/>
        <v>89301000</v>
      </c>
      <c r="B6698" t="str">
        <f>"535215056"</f>
        <v>535215056</v>
      </c>
      <c r="C6698" s="1">
        <v>45208</v>
      </c>
      <c r="D6698" s="1">
        <v>45217</v>
      </c>
      <c r="E6698">
        <v>1</v>
      </c>
      <c r="F6698" t="str">
        <f>"05-M06-06"</f>
        <v>05-M06-06</v>
      </c>
      <c r="G6698">
        <v>2.1404000000000001</v>
      </c>
      <c r="H6698" t="s">
        <v>12</v>
      </c>
      <c r="I6698" t="s">
        <v>10</v>
      </c>
    </row>
    <row r="6699" spans="1:9" x14ac:dyDescent="0.25">
      <c r="A6699" t="str">
        <f t="shared" si="162"/>
        <v>89301000</v>
      </c>
      <c r="B6699" t="str">
        <f>"535217001"</f>
        <v>535217001</v>
      </c>
      <c r="C6699" s="1">
        <v>45036</v>
      </c>
      <c r="D6699" s="1">
        <v>45039</v>
      </c>
      <c r="E6699">
        <v>1</v>
      </c>
      <c r="F6699" t="str">
        <f>"08-M03-02"</f>
        <v>08-M03-02</v>
      </c>
      <c r="G6699">
        <v>0.91359999999999997</v>
      </c>
      <c r="H6699" t="s">
        <v>11</v>
      </c>
      <c r="I6699" t="s">
        <v>10</v>
      </c>
    </row>
    <row r="6700" spans="1:9" x14ac:dyDescent="0.25">
      <c r="A6700" t="str">
        <f t="shared" si="162"/>
        <v>89301000</v>
      </c>
      <c r="B6700" t="str">
        <f>"535220057"</f>
        <v>535220057</v>
      </c>
      <c r="C6700" s="1">
        <v>45161</v>
      </c>
      <c r="D6700" s="1">
        <v>45162</v>
      </c>
      <c r="E6700">
        <v>1</v>
      </c>
      <c r="F6700" t="str">
        <f>"17-K10-02"</f>
        <v>17-K10-02</v>
      </c>
      <c r="G6700">
        <v>0.63500000000000001</v>
      </c>
      <c r="H6700" t="s">
        <v>11</v>
      </c>
      <c r="I6700" t="s">
        <v>10</v>
      </c>
    </row>
    <row r="6701" spans="1:9" x14ac:dyDescent="0.25">
      <c r="A6701" t="str">
        <f t="shared" si="162"/>
        <v>89301000</v>
      </c>
      <c r="B6701" t="str">
        <f>"535221069"</f>
        <v>535221069</v>
      </c>
      <c r="C6701" s="1">
        <v>45152</v>
      </c>
      <c r="D6701" s="1">
        <v>45156</v>
      </c>
      <c r="E6701">
        <v>1</v>
      </c>
      <c r="F6701" t="str">
        <f>"11-I10-01"</f>
        <v>11-I10-01</v>
      </c>
      <c r="G6701">
        <v>3.0842000000000001</v>
      </c>
      <c r="H6701" t="s">
        <v>12</v>
      </c>
      <c r="I6701" t="s">
        <v>10</v>
      </c>
    </row>
    <row r="6702" spans="1:9" x14ac:dyDescent="0.25">
      <c r="A6702" t="str">
        <f t="shared" si="162"/>
        <v>89301000</v>
      </c>
      <c r="B6702" t="str">
        <f>"535221069"</f>
        <v>535221069</v>
      </c>
      <c r="C6702" s="1">
        <v>44946</v>
      </c>
      <c r="D6702" s="1">
        <v>44953</v>
      </c>
      <c r="E6702">
        <v>1</v>
      </c>
      <c r="F6702" t="str">
        <f>"04-K05-03"</f>
        <v>04-K05-03</v>
      </c>
      <c r="G6702">
        <v>0.74039999999999995</v>
      </c>
      <c r="H6702" t="s">
        <v>11</v>
      </c>
      <c r="I6702" t="s">
        <v>10</v>
      </c>
    </row>
    <row r="6703" spans="1:9" x14ac:dyDescent="0.25">
      <c r="A6703" t="str">
        <f t="shared" si="162"/>
        <v>89301000</v>
      </c>
      <c r="B6703" t="str">
        <f>"535223137"</f>
        <v>535223137</v>
      </c>
      <c r="C6703" s="1">
        <v>45147</v>
      </c>
      <c r="D6703" s="1">
        <v>45153</v>
      </c>
      <c r="E6703">
        <v>1</v>
      </c>
      <c r="F6703" t="str">
        <f>"16-K02-03"</f>
        <v>16-K02-03</v>
      </c>
      <c r="G6703">
        <v>0.58299999999999996</v>
      </c>
      <c r="H6703" t="s">
        <v>11</v>
      </c>
      <c r="I6703" t="s">
        <v>10</v>
      </c>
    </row>
    <row r="6704" spans="1:9" x14ac:dyDescent="0.25">
      <c r="A6704" t="str">
        <f t="shared" si="162"/>
        <v>89301000</v>
      </c>
      <c r="B6704" t="str">
        <f>"535310054"</f>
        <v>535310054</v>
      </c>
      <c r="C6704" s="1">
        <v>45063</v>
      </c>
      <c r="D6704" s="1">
        <v>45065</v>
      </c>
      <c r="E6704">
        <v>1</v>
      </c>
      <c r="F6704" t="str">
        <f>"02-I09-03"</f>
        <v>02-I09-03</v>
      </c>
      <c r="G6704">
        <v>0.89090000000000003</v>
      </c>
      <c r="H6704" t="s">
        <v>11</v>
      </c>
      <c r="I6704" t="s">
        <v>10</v>
      </c>
    </row>
    <row r="6705" spans="1:9" x14ac:dyDescent="0.25">
      <c r="A6705" t="str">
        <f t="shared" si="162"/>
        <v>89301000</v>
      </c>
      <c r="B6705" t="str">
        <f>"535310173"</f>
        <v>535310173</v>
      </c>
      <c r="C6705" s="1">
        <v>44978</v>
      </c>
      <c r="D6705" s="1">
        <v>44980</v>
      </c>
      <c r="E6705">
        <v>1</v>
      </c>
      <c r="F6705" t="str">
        <f>"05-D01-08"</f>
        <v>05-D01-08</v>
      </c>
      <c r="G6705">
        <v>0.43159999999999998</v>
      </c>
      <c r="H6705" t="s">
        <v>11</v>
      </c>
      <c r="I6705" t="s">
        <v>10</v>
      </c>
    </row>
    <row r="6706" spans="1:9" x14ac:dyDescent="0.25">
      <c r="A6706" t="str">
        <f t="shared" si="162"/>
        <v>89301000</v>
      </c>
      <c r="B6706" t="str">
        <f>"535311304"</f>
        <v>535311304</v>
      </c>
      <c r="C6706" s="1">
        <v>45191</v>
      </c>
      <c r="D6706" s="1">
        <v>45201</v>
      </c>
      <c r="E6706">
        <v>1</v>
      </c>
      <c r="F6706" t="str">
        <f>"18-K01-04"</f>
        <v>18-K01-04</v>
      </c>
      <c r="G6706">
        <v>2.9117000000000002</v>
      </c>
      <c r="H6706" t="s">
        <v>11</v>
      </c>
      <c r="I6706" t="s">
        <v>10</v>
      </c>
    </row>
    <row r="6707" spans="1:9" x14ac:dyDescent="0.25">
      <c r="A6707" t="str">
        <f t="shared" si="162"/>
        <v>89301000</v>
      </c>
      <c r="B6707" t="str">
        <f>"535311304"</f>
        <v>535311304</v>
      </c>
      <c r="C6707" s="1">
        <v>45205</v>
      </c>
      <c r="D6707" s="1">
        <v>45212</v>
      </c>
      <c r="E6707">
        <v>1</v>
      </c>
      <c r="F6707" t="str">
        <f>"18-K01-06"</f>
        <v>18-K01-06</v>
      </c>
      <c r="G6707">
        <v>1.4659</v>
      </c>
      <c r="H6707" t="s">
        <v>11</v>
      </c>
      <c r="I6707" t="s">
        <v>10</v>
      </c>
    </row>
    <row r="6708" spans="1:9" x14ac:dyDescent="0.25">
      <c r="A6708" t="str">
        <f t="shared" si="162"/>
        <v>89301000</v>
      </c>
      <c r="B6708" t="str">
        <f>"535313059"</f>
        <v>535313059</v>
      </c>
      <c r="C6708" s="1">
        <v>45187</v>
      </c>
      <c r="D6708" s="1">
        <v>45188</v>
      </c>
      <c r="E6708">
        <v>1</v>
      </c>
      <c r="F6708" t="str">
        <f>"17-K03-02"</f>
        <v>17-K03-02</v>
      </c>
      <c r="G6708">
        <v>0.92989999999999995</v>
      </c>
      <c r="H6708" t="s">
        <v>11</v>
      </c>
      <c r="I6708" t="s">
        <v>10</v>
      </c>
    </row>
    <row r="6709" spans="1:9" x14ac:dyDescent="0.25">
      <c r="A6709" t="str">
        <f t="shared" si="162"/>
        <v>89301000</v>
      </c>
      <c r="B6709" t="str">
        <f>"535313059"</f>
        <v>535313059</v>
      </c>
      <c r="C6709" s="1">
        <v>45225</v>
      </c>
      <c r="D6709" s="1">
        <v>45237</v>
      </c>
      <c r="E6709">
        <v>1</v>
      </c>
      <c r="F6709" t="str">
        <f>"17-K03-01"</f>
        <v>17-K03-01</v>
      </c>
      <c r="G6709">
        <v>2.0066000000000002</v>
      </c>
      <c r="H6709" t="s">
        <v>11</v>
      </c>
      <c r="I6709" t="s">
        <v>10</v>
      </c>
    </row>
    <row r="6710" spans="1:9" x14ac:dyDescent="0.25">
      <c r="A6710" t="str">
        <f t="shared" si="162"/>
        <v>89301000</v>
      </c>
      <c r="B6710" t="str">
        <f>"535314159"</f>
        <v>535314159</v>
      </c>
      <c r="C6710" s="1">
        <v>44999</v>
      </c>
      <c r="D6710" s="1">
        <v>45000</v>
      </c>
      <c r="E6710">
        <v>1</v>
      </c>
      <c r="F6710" t="str">
        <f>"05-I30-02"</f>
        <v>05-I30-02</v>
      </c>
      <c r="G6710">
        <v>0.41699999999999998</v>
      </c>
      <c r="H6710" t="s">
        <v>12</v>
      </c>
      <c r="I6710" t="s">
        <v>10</v>
      </c>
    </row>
    <row r="6711" spans="1:9" x14ac:dyDescent="0.25">
      <c r="A6711" t="str">
        <f t="shared" si="162"/>
        <v>89301000</v>
      </c>
      <c r="B6711" t="str">
        <f>"535316281"</f>
        <v>535316281</v>
      </c>
      <c r="C6711" s="1">
        <v>45050</v>
      </c>
      <c r="D6711" s="1">
        <v>45053</v>
      </c>
      <c r="E6711">
        <v>1</v>
      </c>
      <c r="F6711" t="str">
        <f>"03-I24-00"</f>
        <v>03-I24-00</v>
      </c>
      <c r="G6711">
        <v>0.40670000000000001</v>
      </c>
      <c r="H6711" t="s">
        <v>11</v>
      </c>
      <c r="I6711" t="s">
        <v>10</v>
      </c>
    </row>
    <row r="6712" spans="1:9" x14ac:dyDescent="0.25">
      <c r="A6712" t="str">
        <f t="shared" si="162"/>
        <v>89301000</v>
      </c>
      <c r="B6712" t="str">
        <f>"535318331"</f>
        <v>535318331</v>
      </c>
      <c r="C6712" s="1">
        <v>45068</v>
      </c>
      <c r="D6712" s="1">
        <v>45072</v>
      </c>
      <c r="E6712">
        <v>1</v>
      </c>
      <c r="F6712" t="str">
        <f>"17-R01-08"</f>
        <v>17-R01-08</v>
      </c>
      <c r="G6712">
        <v>1.4078999999999999</v>
      </c>
      <c r="H6712" t="s">
        <v>11</v>
      </c>
      <c r="I6712" t="s">
        <v>10</v>
      </c>
    </row>
    <row r="6713" spans="1:9" x14ac:dyDescent="0.25">
      <c r="A6713" t="str">
        <f t="shared" si="162"/>
        <v>89301000</v>
      </c>
      <c r="B6713" t="str">
        <f>"535318331"</f>
        <v>535318331</v>
      </c>
      <c r="C6713" s="1">
        <v>44952</v>
      </c>
      <c r="D6713" s="1">
        <v>44957</v>
      </c>
      <c r="E6713">
        <v>1</v>
      </c>
      <c r="F6713" t="str">
        <f>"04-K10-01"</f>
        <v>04-K10-01</v>
      </c>
      <c r="G6713">
        <v>0.90100000000000002</v>
      </c>
      <c r="H6713" t="s">
        <v>11</v>
      </c>
      <c r="I6713" t="s">
        <v>10</v>
      </c>
    </row>
    <row r="6714" spans="1:9" x14ac:dyDescent="0.25">
      <c r="A6714" t="str">
        <f t="shared" si="162"/>
        <v>89301000</v>
      </c>
      <c r="B6714" t="str">
        <f>"535319034"</f>
        <v>535319034</v>
      </c>
      <c r="C6714" s="1">
        <v>45177</v>
      </c>
      <c r="D6714" s="1">
        <v>45178</v>
      </c>
      <c r="E6714">
        <v>1</v>
      </c>
      <c r="F6714" t="str">
        <f>"04-K09-03"</f>
        <v>04-K09-03</v>
      </c>
      <c r="G6714">
        <v>0.65600000000000003</v>
      </c>
      <c r="H6714" t="s">
        <v>11</v>
      </c>
      <c r="I6714" t="s">
        <v>10</v>
      </c>
    </row>
    <row r="6715" spans="1:9" x14ac:dyDescent="0.25">
      <c r="A6715" t="str">
        <f t="shared" si="162"/>
        <v>89301000</v>
      </c>
      <c r="B6715" t="str">
        <f>"535322143"</f>
        <v>535322143</v>
      </c>
      <c r="C6715" s="1">
        <v>45069</v>
      </c>
      <c r="D6715" s="1">
        <v>45070</v>
      </c>
      <c r="E6715">
        <v>1</v>
      </c>
      <c r="F6715" t="str">
        <f>"02-I06-04"</f>
        <v>02-I06-04</v>
      </c>
      <c r="G6715">
        <v>0.79630000000000001</v>
      </c>
      <c r="H6715" t="s">
        <v>12</v>
      </c>
      <c r="I6715" t="s">
        <v>10</v>
      </c>
    </row>
    <row r="6716" spans="1:9" x14ac:dyDescent="0.25">
      <c r="A6716" t="str">
        <f t="shared" si="162"/>
        <v>89301000</v>
      </c>
      <c r="B6716" t="str">
        <f>"535323114"</f>
        <v>535323114</v>
      </c>
      <c r="C6716" s="1">
        <v>45169</v>
      </c>
      <c r="D6716" s="1">
        <v>45171</v>
      </c>
      <c r="E6716">
        <v>1</v>
      </c>
      <c r="F6716" t="str">
        <f>"09-I09-02"</f>
        <v>09-I09-02</v>
      </c>
      <c r="G6716">
        <v>0.76900000000000002</v>
      </c>
      <c r="H6716" t="s">
        <v>12</v>
      </c>
      <c r="I6716" t="s">
        <v>10</v>
      </c>
    </row>
    <row r="6717" spans="1:9" x14ac:dyDescent="0.25">
      <c r="A6717" t="str">
        <f t="shared" si="162"/>
        <v>89301000</v>
      </c>
      <c r="B6717" t="str">
        <f>"535323114"</f>
        <v>535323114</v>
      </c>
      <c r="C6717" s="1">
        <v>45209</v>
      </c>
      <c r="D6717" s="1">
        <v>45211</v>
      </c>
      <c r="E6717">
        <v>1</v>
      </c>
      <c r="F6717" t="str">
        <f>"09-I09-02"</f>
        <v>09-I09-02</v>
      </c>
      <c r="G6717">
        <v>0.76900000000000002</v>
      </c>
      <c r="H6717" t="s">
        <v>12</v>
      </c>
      <c r="I6717" t="s">
        <v>10</v>
      </c>
    </row>
    <row r="6718" spans="1:9" x14ac:dyDescent="0.25">
      <c r="A6718" t="str">
        <f t="shared" si="162"/>
        <v>89301000</v>
      </c>
      <c r="B6718" t="str">
        <f>"535327018"</f>
        <v>535327018</v>
      </c>
      <c r="C6718" s="1">
        <v>45250</v>
      </c>
      <c r="D6718" s="1">
        <v>45273</v>
      </c>
      <c r="E6718">
        <v>1</v>
      </c>
      <c r="F6718" t="str">
        <f>"19-K06-02"</f>
        <v>19-K06-02</v>
      </c>
      <c r="G6718">
        <v>2.2334999999999998</v>
      </c>
      <c r="H6718" t="s">
        <v>15</v>
      </c>
      <c r="I6718" t="s">
        <v>10</v>
      </c>
    </row>
    <row r="6719" spans="1:9" x14ac:dyDescent="0.25">
      <c r="A6719" t="str">
        <f t="shared" si="162"/>
        <v>89301000</v>
      </c>
      <c r="B6719" t="str">
        <f>"535327129"</f>
        <v>535327129</v>
      </c>
      <c r="C6719" s="1">
        <v>45182</v>
      </c>
      <c r="D6719" s="1">
        <v>45187</v>
      </c>
      <c r="E6719">
        <v>1</v>
      </c>
      <c r="F6719" t="str">
        <f>"17-K03-01"</f>
        <v>17-K03-01</v>
      </c>
      <c r="G6719">
        <v>1.7885</v>
      </c>
      <c r="H6719" t="s">
        <v>11</v>
      </c>
      <c r="I6719" t="s">
        <v>10</v>
      </c>
    </row>
    <row r="6720" spans="1:9" x14ac:dyDescent="0.25">
      <c r="A6720" t="str">
        <f t="shared" si="162"/>
        <v>89301000</v>
      </c>
      <c r="B6720" t="str">
        <f>"535327129"</f>
        <v>535327129</v>
      </c>
      <c r="C6720" s="1">
        <v>45139</v>
      </c>
      <c r="D6720" s="1">
        <v>45146</v>
      </c>
      <c r="E6720">
        <v>1</v>
      </c>
      <c r="F6720" t="str">
        <f>"05-M07-06"</f>
        <v>05-M07-06</v>
      </c>
      <c r="G6720">
        <v>1.4665999999999999</v>
      </c>
      <c r="H6720" t="s">
        <v>12</v>
      </c>
      <c r="I6720" t="s">
        <v>10</v>
      </c>
    </row>
    <row r="6721" spans="1:9" x14ac:dyDescent="0.25">
      <c r="A6721" t="str">
        <f t="shared" si="162"/>
        <v>89301000</v>
      </c>
      <c r="B6721" t="str">
        <f>"535327129"</f>
        <v>535327129</v>
      </c>
      <c r="C6721" s="1">
        <v>45167</v>
      </c>
      <c r="D6721" s="1">
        <v>45176</v>
      </c>
      <c r="E6721">
        <v>1</v>
      </c>
      <c r="F6721" t="str">
        <f>"05-I18-04"</f>
        <v>05-I18-04</v>
      </c>
      <c r="G6721">
        <v>3.3858000000000001</v>
      </c>
      <c r="H6721" t="s">
        <v>12</v>
      </c>
      <c r="I6721" t="s">
        <v>10</v>
      </c>
    </row>
    <row r="6722" spans="1:9" x14ac:dyDescent="0.25">
      <c r="A6722" t="str">
        <f t="shared" si="162"/>
        <v>89301000</v>
      </c>
      <c r="B6722" t="str">
        <f>"535328367"</f>
        <v>535328367</v>
      </c>
      <c r="C6722" s="1">
        <v>45212</v>
      </c>
      <c r="D6722" s="1">
        <v>45213</v>
      </c>
      <c r="E6722">
        <v>1</v>
      </c>
      <c r="F6722" t="str">
        <f>"05-D01-06"</f>
        <v>05-D01-06</v>
      </c>
      <c r="G6722">
        <v>0.7571</v>
      </c>
      <c r="H6722" t="s">
        <v>11</v>
      </c>
      <c r="I6722" t="s">
        <v>10</v>
      </c>
    </row>
    <row r="6723" spans="1:9" x14ac:dyDescent="0.25">
      <c r="A6723" t="str">
        <f t="shared" si="162"/>
        <v>89301000</v>
      </c>
      <c r="B6723" t="str">
        <f>"535329037"</f>
        <v>535329037</v>
      </c>
      <c r="C6723" s="1">
        <v>45257</v>
      </c>
      <c r="D6723" s="1">
        <v>45261</v>
      </c>
      <c r="E6723">
        <v>1</v>
      </c>
      <c r="F6723" t="str">
        <f>"08-K08-00"</f>
        <v>08-K08-00</v>
      </c>
      <c r="G6723">
        <v>0.5272</v>
      </c>
      <c r="H6723" t="s">
        <v>11</v>
      </c>
      <c r="I6723" t="s">
        <v>10</v>
      </c>
    </row>
    <row r="6724" spans="1:9" x14ac:dyDescent="0.25">
      <c r="A6724" t="str">
        <f t="shared" si="162"/>
        <v>89301000</v>
      </c>
      <c r="B6724" t="str">
        <f>"535330088"</f>
        <v>535330088</v>
      </c>
      <c r="C6724" s="1">
        <v>44935</v>
      </c>
      <c r="D6724" s="1">
        <v>44946</v>
      </c>
      <c r="E6724">
        <v>5</v>
      </c>
      <c r="F6724" t="str">
        <f>"05-M06-02"</f>
        <v>05-M06-02</v>
      </c>
      <c r="G6724">
        <v>3.4323000000000001</v>
      </c>
      <c r="H6724" t="s">
        <v>12</v>
      </c>
      <c r="I6724" t="s">
        <v>10</v>
      </c>
    </row>
    <row r="6725" spans="1:9" x14ac:dyDescent="0.25">
      <c r="A6725" t="str">
        <f t="shared" si="162"/>
        <v>89301000</v>
      </c>
      <c r="B6725" t="str">
        <f>"535401058"</f>
        <v>535401058</v>
      </c>
      <c r="C6725" s="1">
        <v>44964</v>
      </c>
      <c r="D6725" s="1">
        <v>44966</v>
      </c>
      <c r="E6725">
        <v>1</v>
      </c>
      <c r="F6725" t="str">
        <f>"05-M05-03"</f>
        <v>05-M05-03</v>
      </c>
      <c r="G6725">
        <v>2.0312999999999999</v>
      </c>
      <c r="H6725" t="s">
        <v>14</v>
      </c>
      <c r="I6725" t="s">
        <v>10</v>
      </c>
    </row>
    <row r="6726" spans="1:9" x14ac:dyDescent="0.25">
      <c r="A6726" t="str">
        <f t="shared" si="162"/>
        <v>89301000</v>
      </c>
      <c r="B6726" t="str">
        <f>"535402107"</f>
        <v>535402107</v>
      </c>
      <c r="C6726" s="1">
        <v>45215</v>
      </c>
      <c r="D6726" s="1">
        <v>45218</v>
      </c>
      <c r="E6726">
        <v>1</v>
      </c>
      <c r="F6726" t="str">
        <f>"05-M05-02"</f>
        <v>05-M05-02</v>
      </c>
      <c r="G6726">
        <v>3.5566</v>
      </c>
      <c r="H6726" t="s">
        <v>14</v>
      </c>
      <c r="I6726" t="s">
        <v>10</v>
      </c>
    </row>
    <row r="6727" spans="1:9" x14ac:dyDescent="0.25">
      <c r="A6727" t="str">
        <f t="shared" si="162"/>
        <v>89301000</v>
      </c>
      <c r="B6727" t="str">
        <f>"535403254"</f>
        <v>535403254</v>
      </c>
      <c r="C6727" s="1">
        <v>44963</v>
      </c>
      <c r="D6727" s="1">
        <v>44993</v>
      </c>
      <c r="E6727">
        <v>1</v>
      </c>
      <c r="F6727" t="str">
        <f>"19-K07-02"</f>
        <v>19-K07-02</v>
      </c>
      <c r="G6727">
        <v>2.5350000000000001</v>
      </c>
      <c r="H6727" t="s">
        <v>15</v>
      </c>
      <c r="I6727" t="s">
        <v>10</v>
      </c>
    </row>
    <row r="6728" spans="1:9" x14ac:dyDescent="0.25">
      <c r="A6728" t="str">
        <f t="shared" si="162"/>
        <v>89301000</v>
      </c>
      <c r="B6728" t="str">
        <f>"535404031"</f>
        <v>535404031</v>
      </c>
      <c r="C6728" s="1">
        <v>45264</v>
      </c>
      <c r="D6728" s="1">
        <v>45264</v>
      </c>
      <c r="E6728">
        <v>1</v>
      </c>
      <c r="F6728" t="str">
        <f>"05-D01-08"</f>
        <v>05-D01-08</v>
      </c>
      <c r="G6728">
        <v>0.2303</v>
      </c>
      <c r="H6728" t="s">
        <v>11</v>
      </c>
      <c r="I6728" t="s">
        <v>10</v>
      </c>
    </row>
    <row r="6729" spans="1:9" x14ac:dyDescent="0.25">
      <c r="A6729" t="str">
        <f t="shared" si="162"/>
        <v>89301000</v>
      </c>
      <c r="B6729" t="str">
        <f>"535415059"</f>
        <v>535415059</v>
      </c>
      <c r="C6729" s="1">
        <v>44996</v>
      </c>
      <c r="D6729" s="1">
        <v>45001</v>
      </c>
      <c r="E6729">
        <v>1</v>
      </c>
      <c r="F6729" t="str">
        <f>"07-K02-03"</f>
        <v>07-K02-03</v>
      </c>
      <c r="G6729">
        <v>0.78139999999999998</v>
      </c>
      <c r="H6729" t="s">
        <v>11</v>
      </c>
      <c r="I6729" t="s">
        <v>10</v>
      </c>
    </row>
    <row r="6730" spans="1:9" x14ac:dyDescent="0.25">
      <c r="A6730" t="str">
        <f t="shared" ref="A6730:A6792" si="163">"89301000"</f>
        <v>89301000</v>
      </c>
      <c r="B6730" t="str">
        <f>"535415059"</f>
        <v>535415059</v>
      </c>
      <c r="C6730" s="1">
        <v>45259</v>
      </c>
      <c r="D6730" s="1">
        <v>45260</v>
      </c>
      <c r="E6730">
        <v>1</v>
      </c>
      <c r="F6730" t="str">
        <f>"01-D01-03"</f>
        <v>01-D01-03</v>
      </c>
      <c r="G6730">
        <v>0.16200000000000001</v>
      </c>
      <c r="H6730" t="s">
        <v>11</v>
      </c>
      <c r="I6730" t="s">
        <v>10</v>
      </c>
    </row>
    <row r="6731" spans="1:9" x14ac:dyDescent="0.25">
      <c r="A6731" t="str">
        <f t="shared" si="163"/>
        <v>89301000</v>
      </c>
      <c r="B6731" t="str">
        <f>"535419097"</f>
        <v>535419097</v>
      </c>
      <c r="C6731" s="1">
        <v>45018</v>
      </c>
      <c r="D6731" s="1">
        <v>45020</v>
      </c>
      <c r="E6731">
        <v>1</v>
      </c>
      <c r="F6731" t="str">
        <f>"08-I18-02"</f>
        <v>08-I18-02</v>
      </c>
      <c r="G6731">
        <v>0.62509999999999999</v>
      </c>
      <c r="H6731" t="s">
        <v>12</v>
      </c>
      <c r="I6731" t="s">
        <v>10</v>
      </c>
    </row>
    <row r="6732" spans="1:9" x14ac:dyDescent="0.25">
      <c r="A6732" t="str">
        <f t="shared" si="163"/>
        <v>89301000</v>
      </c>
      <c r="B6732" t="str">
        <f>"535424031"</f>
        <v>535424031</v>
      </c>
      <c r="C6732" s="1">
        <v>45238</v>
      </c>
      <c r="D6732" s="1">
        <v>45244</v>
      </c>
      <c r="E6732">
        <v>1</v>
      </c>
      <c r="F6732" t="str">
        <f>"08-K01-03"</f>
        <v>08-K01-03</v>
      </c>
      <c r="G6732">
        <v>0.59570000000000001</v>
      </c>
      <c r="H6732" t="s">
        <v>11</v>
      </c>
      <c r="I6732" t="s">
        <v>10</v>
      </c>
    </row>
    <row r="6733" spans="1:9" x14ac:dyDescent="0.25">
      <c r="A6733" t="str">
        <f t="shared" si="163"/>
        <v>89301000</v>
      </c>
      <c r="B6733" t="str">
        <f>"535504062"</f>
        <v>535504062</v>
      </c>
      <c r="C6733" s="1">
        <v>45238</v>
      </c>
      <c r="D6733" s="1">
        <v>45240</v>
      </c>
      <c r="E6733">
        <v>1</v>
      </c>
      <c r="F6733" t="str">
        <f>"13-I19-00"</f>
        <v>13-I19-00</v>
      </c>
      <c r="G6733">
        <v>0.28249999999999997</v>
      </c>
      <c r="H6733" t="s">
        <v>11</v>
      </c>
      <c r="I6733" t="s">
        <v>10</v>
      </c>
    </row>
    <row r="6734" spans="1:9" x14ac:dyDescent="0.25">
      <c r="A6734" t="str">
        <f t="shared" si="163"/>
        <v>89301000</v>
      </c>
      <c r="B6734" t="str">
        <f>"535513342"</f>
        <v>535513342</v>
      </c>
      <c r="C6734" s="1">
        <v>45286</v>
      </c>
      <c r="D6734" s="1">
        <v>45289</v>
      </c>
      <c r="E6734">
        <v>1</v>
      </c>
      <c r="F6734" t="str">
        <f>"03-I22-02"</f>
        <v>03-I22-02</v>
      </c>
      <c r="G6734">
        <v>0.49809999999999999</v>
      </c>
      <c r="H6734" t="s">
        <v>11</v>
      </c>
      <c r="I6734" t="s">
        <v>10</v>
      </c>
    </row>
    <row r="6735" spans="1:9" x14ac:dyDescent="0.25">
      <c r="A6735" t="str">
        <f t="shared" si="163"/>
        <v>89301000</v>
      </c>
      <c r="B6735" t="str">
        <f>"535514361"</f>
        <v>535514361</v>
      </c>
      <c r="C6735" s="1">
        <v>45048</v>
      </c>
      <c r="D6735" s="1">
        <v>45078</v>
      </c>
      <c r="E6735">
        <v>1</v>
      </c>
      <c r="F6735" t="str">
        <f>"11-I01-02"</f>
        <v>11-I01-02</v>
      </c>
      <c r="G6735">
        <v>5.6623000000000001</v>
      </c>
      <c r="H6735" t="s">
        <v>14</v>
      </c>
      <c r="I6735" t="s">
        <v>10</v>
      </c>
    </row>
    <row r="6736" spans="1:9" x14ac:dyDescent="0.25">
      <c r="A6736" t="str">
        <f t="shared" si="163"/>
        <v>89301000</v>
      </c>
      <c r="B6736" t="str">
        <f>"535517107"</f>
        <v>535517107</v>
      </c>
      <c r="C6736" s="1">
        <v>45145</v>
      </c>
      <c r="D6736" s="1">
        <v>45145</v>
      </c>
      <c r="E6736">
        <v>1</v>
      </c>
      <c r="F6736" t="str">
        <f>"05-D01-08"</f>
        <v>05-D01-08</v>
      </c>
      <c r="G6736">
        <v>0.2303</v>
      </c>
      <c r="H6736" t="s">
        <v>11</v>
      </c>
      <c r="I6736" t="s">
        <v>10</v>
      </c>
    </row>
    <row r="6737" spans="1:9" x14ac:dyDescent="0.25">
      <c r="A6737" t="str">
        <f t="shared" si="163"/>
        <v>89301000</v>
      </c>
      <c r="B6737" t="str">
        <f>"535518307"</f>
        <v>535518307</v>
      </c>
      <c r="C6737" s="1">
        <v>44937</v>
      </c>
      <c r="D6737" s="1">
        <v>44942</v>
      </c>
      <c r="E6737">
        <v>1</v>
      </c>
      <c r="F6737" t="str">
        <f>"05-M01-03"</f>
        <v>05-M01-03</v>
      </c>
      <c r="G6737">
        <v>11.4411</v>
      </c>
      <c r="H6737" t="s">
        <v>12</v>
      </c>
      <c r="I6737" t="s">
        <v>10</v>
      </c>
    </row>
    <row r="6738" spans="1:9" x14ac:dyDescent="0.25">
      <c r="A6738" t="str">
        <f t="shared" si="163"/>
        <v>89301000</v>
      </c>
      <c r="B6738" t="str">
        <f>"535527002"</f>
        <v>535527002</v>
      </c>
      <c r="C6738" s="1">
        <v>45008</v>
      </c>
      <c r="D6738" s="1">
        <v>45008</v>
      </c>
      <c r="E6738">
        <v>1</v>
      </c>
      <c r="F6738" t="str">
        <f>"05-D01-02"</f>
        <v>05-D01-02</v>
      </c>
      <c r="G6738">
        <v>1.5137</v>
      </c>
      <c r="H6738" t="s">
        <v>11</v>
      </c>
      <c r="I6738" t="s">
        <v>10</v>
      </c>
    </row>
    <row r="6739" spans="1:9" x14ac:dyDescent="0.25">
      <c r="A6739" t="str">
        <f t="shared" si="163"/>
        <v>89301000</v>
      </c>
      <c r="B6739" t="str">
        <f>"535527002"</f>
        <v>535527002</v>
      </c>
      <c r="C6739" s="1">
        <v>45014</v>
      </c>
      <c r="D6739" s="1">
        <v>45016</v>
      </c>
      <c r="E6739">
        <v>1</v>
      </c>
      <c r="F6739" t="str">
        <f>"05-M05-02"</f>
        <v>05-M05-02</v>
      </c>
      <c r="G6739">
        <v>3.4817999999999998</v>
      </c>
      <c r="H6739" t="s">
        <v>14</v>
      </c>
      <c r="I6739" t="s">
        <v>10</v>
      </c>
    </row>
    <row r="6740" spans="1:9" x14ac:dyDescent="0.25">
      <c r="A6740" t="str">
        <f t="shared" si="163"/>
        <v>89301000</v>
      </c>
      <c r="B6740" t="str">
        <f>"535602117"</f>
        <v>535602117</v>
      </c>
      <c r="C6740" s="1">
        <v>45266</v>
      </c>
      <c r="D6740" s="1">
        <v>45273</v>
      </c>
      <c r="E6740">
        <v>4</v>
      </c>
      <c r="F6740" t="str">
        <f>"08-I05-05"</f>
        <v>08-I05-05</v>
      </c>
      <c r="G6740">
        <v>2.2633000000000001</v>
      </c>
      <c r="H6740" t="s">
        <v>12</v>
      </c>
      <c r="I6740" t="s">
        <v>10</v>
      </c>
    </row>
    <row r="6741" spans="1:9" x14ac:dyDescent="0.25">
      <c r="A6741" t="str">
        <f t="shared" si="163"/>
        <v>89301000</v>
      </c>
      <c r="B6741" t="str">
        <f>"535611036"</f>
        <v>535611036</v>
      </c>
      <c r="C6741" s="1">
        <v>45130</v>
      </c>
      <c r="D6741" s="1">
        <v>45141</v>
      </c>
      <c r="E6741">
        <v>4</v>
      </c>
      <c r="F6741" t="str">
        <f>"08-I05-04"</f>
        <v>08-I05-04</v>
      </c>
      <c r="G6741">
        <v>2.4445000000000001</v>
      </c>
      <c r="H6741" t="s">
        <v>12</v>
      </c>
      <c r="I6741" t="s">
        <v>10</v>
      </c>
    </row>
    <row r="6742" spans="1:9" x14ac:dyDescent="0.25">
      <c r="A6742" t="str">
        <f t="shared" si="163"/>
        <v>89301000</v>
      </c>
      <c r="B6742" t="str">
        <f>"535611036"</f>
        <v>535611036</v>
      </c>
      <c r="C6742" s="1">
        <v>45145</v>
      </c>
      <c r="D6742" s="1">
        <v>45167</v>
      </c>
      <c r="E6742">
        <v>2</v>
      </c>
      <c r="F6742" t="str">
        <f>"08-I05-03"</f>
        <v>08-I05-03</v>
      </c>
      <c r="G6742">
        <v>3.1877</v>
      </c>
      <c r="H6742" t="s">
        <v>12</v>
      </c>
      <c r="I6742" t="s">
        <v>10</v>
      </c>
    </row>
    <row r="6743" spans="1:9" x14ac:dyDescent="0.25">
      <c r="A6743" t="str">
        <f t="shared" si="163"/>
        <v>89301000</v>
      </c>
      <c r="B6743" t="str">
        <f>"535611152"</f>
        <v>535611152</v>
      </c>
      <c r="C6743" s="1">
        <v>45009</v>
      </c>
      <c r="D6743" s="1">
        <v>45009</v>
      </c>
      <c r="E6743">
        <v>1</v>
      </c>
      <c r="F6743" t="str">
        <f>"05-D01-08"</f>
        <v>05-D01-08</v>
      </c>
      <c r="G6743">
        <v>0.2303</v>
      </c>
      <c r="H6743" t="s">
        <v>11</v>
      </c>
      <c r="I6743" t="s">
        <v>10</v>
      </c>
    </row>
    <row r="6744" spans="1:9" x14ac:dyDescent="0.25">
      <c r="A6744" t="str">
        <f t="shared" si="163"/>
        <v>89301000</v>
      </c>
      <c r="B6744" t="str">
        <f>"535620145"</f>
        <v>535620145</v>
      </c>
      <c r="C6744" s="1">
        <v>45259</v>
      </c>
      <c r="D6744" s="1">
        <v>45262</v>
      </c>
      <c r="E6744">
        <v>1</v>
      </c>
      <c r="F6744" t="str">
        <f>"08-M03-05"</f>
        <v>08-M03-05</v>
      </c>
      <c r="G6744">
        <v>0.46810000000000002</v>
      </c>
      <c r="H6744" t="s">
        <v>11</v>
      </c>
      <c r="I6744" t="s">
        <v>10</v>
      </c>
    </row>
    <row r="6745" spans="1:9" x14ac:dyDescent="0.25">
      <c r="A6745" t="str">
        <f t="shared" si="163"/>
        <v>89301000</v>
      </c>
      <c r="B6745" t="str">
        <f>"535621026"</f>
        <v>535621026</v>
      </c>
      <c r="C6745" s="1">
        <v>45195</v>
      </c>
      <c r="D6745" s="1">
        <v>45202</v>
      </c>
      <c r="E6745">
        <v>1</v>
      </c>
      <c r="F6745" t="str">
        <f>"07-I08-02"</f>
        <v>07-I08-02</v>
      </c>
      <c r="G6745">
        <v>3.2553000000000001</v>
      </c>
      <c r="H6745" t="s">
        <v>12</v>
      </c>
      <c r="I6745" t="s">
        <v>10</v>
      </c>
    </row>
    <row r="6746" spans="1:9" x14ac:dyDescent="0.25">
      <c r="A6746" t="str">
        <f t="shared" si="163"/>
        <v>89301000</v>
      </c>
      <c r="B6746" t="str">
        <f>"535623133"</f>
        <v>535623133</v>
      </c>
      <c r="C6746" s="1">
        <v>45159</v>
      </c>
      <c r="D6746" s="1">
        <v>45160</v>
      </c>
      <c r="E6746">
        <v>1</v>
      </c>
      <c r="F6746" t="str">
        <f>"04-K05-03"</f>
        <v>04-K05-03</v>
      </c>
      <c r="G6746">
        <v>0.74039999999999995</v>
      </c>
      <c r="H6746" t="s">
        <v>11</v>
      </c>
      <c r="I6746" t="s">
        <v>10</v>
      </c>
    </row>
    <row r="6747" spans="1:9" x14ac:dyDescent="0.25">
      <c r="A6747" t="str">
        <f t="shared" si="163"/>
        <v>89301000</v>
      </c>
      <c r="B6747" t="str">
        <f>"535701154"</f>
        <v>535701154</v>
      </c>
      <c r="C6747" s="1">
        <v>45005</v>
      </c>
      <c r="D6747" s="1">
        <v>45011</v>
      </c>
      <c r="E6747">
        <v>1</v>
      </c>
      <c r="F6747" t="str">
        <f>"03-I16-02"</f>
        <v>03-I16-02</v>
      </c>
      <c r="G6747">
        <v>0.92579999999999996</v>
      </c>
      <c r="H6747" t="s">
        <v>9</v>
      </c>
      <c r="I6747" t="s">
        <v>10</v>
      </c>
    </row>
    <row r="6748" spans="1:9" x14ac:dyDescent="0.25">
      <c r="A6748" t="str">
        <f t="shared" si="163"/>
        <v>89301000</v>
      </c>
      <c r="B6748" t="str">
        <f>"535710121"</f>
        <v>535710121</v>
      </c>
      <c r="C6748" s="1">
        <v>44924</v>
      </c>
      <c r="D6748" s="1">
        <v>44960</v>
      </c>
      <c r="E6748">
        <v>1</v>
      </c>
      <c r="F6748" t="str">
        <f>"08-I05-06"</f>
        <v>08-I05-06</v>
      </c>
      <c r="G6748">
        <v>3.8262999999999998</v>
      </c>
      <c r="H6748" t="s">
        <v>12</v>
      </c>
      <c r="I6748" t="s">
        <v>10</v>
      </c>
    </row>
    <row r="6749" spans="1:9" x14ac:dyDescent="0.25">
      <c r="A6749" t="str">
        <f t="shared" si="163"/>
        <v>89301000</v>
      </c>
      <c r="B6749" t="str">
        <f>"535711121"</f>
        <v>535711121</v>
      </c>
      <c r="C6749" s="1">
        <v>45265</v>
      </c>
      <c r="D6749" s="1">
        <v>45281</v>
      </c>
      <c r="E6749">
        <v>4</v>
      </c>
      <c r="F6749" t="str">
        <f>"05-I20-01"</f>
        <v>05-I20-01</v>
      </c>
      <c r="G6749">
        <v>5.1656000000000004</v>
      </c>
      <c r="H6749" t="s">
        <v>11</v>
      </c>
      <c r="I6749" t="s">
        <v>10</v>
      </c>
    </row>
    <row r="6750" spans="1:9" x14ac:dyDescent="0.25">
      <c r="A6750" t="str">
        <f t="shared" si="163"/>
        <v>89301000</v>
      </c>
      <c r="B6750" t="str">
        <f>"535711121"</f>
        <v>535711121</v>
      </c>
      <c r="C6750" s="1">
        <v>45232</v>
      </c>
      <c r="D6750" s="1">
        <v>45242</v>
      </c>
      <c r="E6750">
        <v>1</v>
      </c>
      <c r="F6750" t="str">
        <f>"05-M04-02"</f>
        <v>05-M04-02</v>
      </c>
      <c r="G6750">
        <v>4.0407000000000002</v>
      </c>
      <c r="H6750" t="s">
        <v>12</v>
      </c>
      <c r="I6750" t="s">
        <v>10</v>
      </c>
    </row>
    <row r="6751" spans="1:9" x14ac:dyDescent="0.25">
      <c r="A6751" t="str">
        <f t="shared" si="163"/>
        <v>89301000</v>
      </c>
      <c r="B6751" t="str">
        <f>"535714001"</f>
        <v>535714001</v>
      </c>
      <c r="C6751" s="1">
        <v>45035</v>
      </c>
      <c r="D6751" s="1">
        <v>45040</v>
      </c>
      <c r="E6751">
        <v>1</v>
      </c>
      <c r="F6751" t="str">
        <f>"02-I06-04"</f>
        <v>02-I06-04</v>
      </c>
      <c r="G6751">
        <v>0.76139999999999997</v>
      </c>
      <c r="H6751" t="s">
        <v>12</v>
      </c>
      <c r="I6751" t="s">
        <v>10</v>
      </c>
    </row>
    <row r="6752" spans="1:9" x14ac:dyDescent="0.25">
      <c r="A6752" t="str">
        <f t="shared" si="163"/>
        <v>89301000</v>
      </c>
      <c r="B6752" t="str">
        <f>"535714001"</f>
        <v>535714001</v>
      </c>
      <c r="C6752" s="1">
        <v>45022</v>
      </c>
      <c r="D6752" s="1">
        <v>45023</v>
      </c>
      <c r="E6752">
        <v>1</v>
      </c>
      <c r="F6752" t="str">
        <f>"05-D01-06"</f>
        <v>05-D01-06</v>
      </c>
      <c r="G6752">
        <v>0.7571</v>
      </c>
      <c r="H6752" t="s">
        <v>11</v>
      </c>
      <c r="I6752" t="s">
        <v>10</v>
      </c>
    </row>
    <row r="6753" spans="1:9" x14ac:dyDescent="0.25">
      <c r="A6753" t="str">
        <f t="shared" si="163"/>
        <v>89301000</v>
      </c>
      <c r="B6753" t="str">
        <f>"535714293"</f>
        <v>535714293</v>
      </c>
      <c r="C6753" s="1">
        <v>44928</v>
      </c>
      <c r="D6753" s="1">
        <v>44930</v>
      </c>
      <c r="E6753">
        <v>1</v>
      </c>
      <c r="F6753" t="str">
        <f>"08-I17-02"</f>
        <v>08-I17-02</v>
      </c>
      <c r="G6753">
        <v>0.89680000000000004</v>
      </c>
      <c r="H6753" t="s">
        <v>11</v>
      </c>
      <c r="I6753" t="s">
        <v>10</v>
      </c>
    </row>
    <row r="6754" spans="1:9" x14ac:dyDescent="0.25">
      <c r="A6754" t="str">
        <f t="shared" si="163"/>
        <v>89301000</v>
      </c>
      <c r="B6754" t="str">
        <f>"535722014"</f>
        <v>535722014</v>
      </c>
      <c r="C6754" s="1">
        <v>45246</v>
      </c>
      <c r="D6754" s="1">
        <v>45247</v>
      </c>
      <c r="E6754">
        <v>1</v>
      </c>
      <c r="F6754" t="str">
        <f>"05-D01-08"</f>
        <v>05-D01-08</v>
      </c>
      <c r="G6754">
        <v>0.43159999999999998</v>
      </c>
      <c r="H6754" t="s">
        <v>11</v>
      </c>
      <c r="I6754" t="s">
        <v>10</v>
      </c>
    </row>
    <row r="6755" spans="1:9" x14ac:dyDescent="0.25">
      <c r="A6755" t="str">
        <f t="shared" si="163"/>
        <v>89301000</v>
      </c>
      <c r="B6755" t="str">
        <f>"535725093"</f>
        <v>535725093</v>
      </c>
      <c r="C6755" s="1">
        <v>44994</v>
      </c>
      <c r="D6755" s="1">
        <v>44994</v>
      </c>
      <c r="E6755">
        <v>1</v>
      </c>
      <c r="F6755" t="str">
        <f>"05-I14-03"</f>
        <v>05-I14-03</v>
      </c>
      <c r="G6755">
        <v>5.6817000000000002</v>
      </c>
      <c r="H6755" t="s">
        <v>12</v>
      </c>
      <c r="I6755" t="s">
        <v>10</v>
      </c>
    </row>
    <row r="6756" spans="1:9" x14ac:dyDescent="0.25">
      <c r="A6756" t="str">
        <f t="shared" si="163"/>
        <v>89301000</v>
      </c>
      <c r="B6756" t="str">
        <f>"535730398"</f>
        <v>535730398</v>
      </c>
      <c r="C6756" s="1">
        <v>45000</v>
      </c>
      <c r="D6756" s="1">
        <v>45003</v>
      </c>
      <c r="E6756">
        <v>1</v>
      </c>
      <c r="F6756" t="str">
        <f>"05-M07-04"</f>
        <v>05-M07-04</v>
      </c>
      <c r="G6756">
        <v>1.7093</v>
      </c>
      <c r="H6756" t="s">
        <v>12</v>
      </c>
      <c r="I6756" t="s">
        <v>10</v>
      </c>
    </row>
    <row r="6757" spans="1:9" x14ac:dyDescent="0.25">
      <c r="A6757" t="str">
        <f t="shared" si="163"/>
        <v>89301000</v>
      </c>
      <c r="B6757" t="str">
        <f>"535801252"</f>
        <v>535801252</v>
      </c>
      <c r="C6757" s="1">
        <v>45111</v>
      </c>
      <c r="D6757" s="1">
        <v>45112</v>
      </c>
      <c r="E6757">
        <v>8</v>
      </c>
      <c r="F6757" t="str">
        <f>"13-K07-02"</f>
        <v>13-K07-02</v>
      </c>
      <c r="G6757">
        <v>0.43559999999999999</v>
      </c>
      <c r="H6757" t="s">
        <v>11</v>
      </c>
      <c r="I6757" t="s">
        <v>10</v>
      </c>
    </row>
    <row r="6758" spans="1:9" x14ac:dyDescent="0.25">
      <c r="A6758" t="str">
        <f t="shared" si="163"/>
        <v>89301000</v>
      </c>
      <c r="B6758" t="str">
        <f>"535801252"</f>
        <v>535801252</v>
      </c>
      <c r="C6758" s="1">
        <v>44921</v>
      </c>
      <c r="D6758" s="1">
        <v>44950</v>
      </c>
      <c r="E6758">
        <v>1</v>
      </c>
      <c r="F6758" t="str">
        <f>"05-K05-01"</f>
        <v>05-K05-01</v>
      </c>
      <c r="G6758">
        <v>2.6682999999999999</v>
      </c>
      <c r="H6758" t="s">
        <v>11</v>
      </c>
      <c r="I6758" t="s">
        <v>10</v>
      </c>
    </row>
    <row r="6759" spans="1:9" x14ac:dyDescent="0.25">
      <c r="A6759" t="str">
        <f t="shared" si="163"/>
        <v>89301000</v>
      </c>
      <c r="B6759" t="str">
        <f>"535804327"</f>
        <v>535804327</v>
      </c>
      <c r="C6759" s="1">
        <v>45097</v>
      </c>
      <c r="D6759" s="1">
        <v>45099</v>
      </c>
      <c r="E6759">
        <v>1</v>
      </c>
      <c r="F6759" t="str">
        <f>"04-K10-02"</f>
        <v>04-K10-02</v>
      </c>
      <c r="G6759">
        <v>0.40129999999999999</v>
      </c>
      <c r="H6759" t="s">
        <v>11</v>
      </c>
      <c r="I6759" t="s">
        <v>10</v>
      </c>
    </row>
    <row r="6760" spans="1:9" x14ac:dyDescent="0.25">
      <c r="A6760" t="str">
        <f t="shared" si="163"/>
        <v>89301000</v>
      </c>
      <c r="B6760" t="str">
        <f>"535807083"</f>
        <v>535807083</v>
      </c>
      <c r="C6760" s="1">
        <v>45261</v>
      </c>
      <c r="D6760" s="1">
        <v>45280</v>
      </c>
      <c r="E6760">
        <v>1</v>
      </c>
      <c r="F6760" t="str">
        <f>"07-M02-01"</f>
        <v>07-M02-01</v>
      </c>
      <c r="G6760">
        <v>2.5592000000000001</v>
      </c>
      <c r="H6760" t="s">
        <v>12</v>
      </c>
      <c r="I6760" t="s">
        <v>10</v>
      </c>
    </row>
    <row r="6761" spans="1:9" x14ac:dyDescent="0.25">
      <c r="A6761" t="str">
        <f t="shared" si="163"/>
        <v>89301000</v>
      </c>
      <c r="B6761" t="str">
        <f>"535809116"</f>
        <v>535809116</v>
      </c>
      <c r="C6761" s="1">
        <v>45271</v>
      </c>
      <c r="D6761" s="1">
        <v>45277</v>
      </c>
      <c r="E6761">
        <v>1</v>
      </c>
      <c r="F6761" t="str">
        <f>"05-K01-02"</f>
        <v>05-K01-02</v>
      </c>
      <c r="G6761">
        <v>0.99</v>
      </c>
      <c r="H6761" t="s">
        <v>11</v>
      </c>
      <c r="I6761" t="s">
        <v>10</v>
      </c>
    </row>
    <row r="6762" spans="1:9" x14ac:dyDescent="0.25">
      <c r="A6762" t="str">
        <f t="shared" si="163"/>
        <v>89301000</v>
      </c>
      <c r="B6762" t="str">
        <f>"535812133"</f>
        <v>535812133</v>
      </c>
      <c r="C6762" s="1">
        <v>45055</v>
      </c>
      <c r="D6762" s="1">
        <v>45057</v>
      </c>
      <c r="E6762">
        <v>1</v>
      </c>
      <c r="F6762" t="str">
        <f>"13-I19-00"</f>
        <v>13-I19-00</v>
      </c>
      <c r="G6762">
        <v>0.28249999999999997</v>
      </c>
      <c r="H6762" t="s">
        <v>11</v>
      </c>
      <c r="I6762" t="s">
        <v>10</v>
      </c>
    </row>
    <row r="6763" spans="1:9" x14ac:dyDescent="0.25">
      <c r="A6763" t="str">
        <f t="shared" si="163"/>
        <v>89301000</v>
      </c>
      <c r="B6763" t="str">
        <f>"535814104"</f>
        <v>535814104</v>
      </c>
      <c r="C6763" s="1">
        <v>45149</v>
      </c>
      <c r="D6763" s="1">
        <v>45159</v>
      </c>
      <c r="E6763">
        <v>1</v>
      </c>
      <c r="F6763" t="str">
        <f>"06-I18-04"</f>
        <v>06-I18-04</v>
      </c>
      <c r="G6763">
        <v>1.3129999999999999</v>
      </c>
      <c r="H6763" t="s">
        <v>9</v>
      </c>
      <c r="I6763" t="s">
        <v>10</v>
      </c>
    </row>
    <row r="6764" spans="1:9" x14ac:dyDescent="0.25">
      <c r="A6764" t="str">
        <f t="shared" si="163"/>
        <v>89301000</v>
      </c>
      <c r="B6764" t="str">
        <f>"535821058"</f>
        <v>535821058</v>
      </c>
      <c r="C6764" s="1">
        <v>45233</v>
      </c>
      <c r="D6764" s="1">
        <v>45260</v>
      </c>
      <c r="E6764">
        <v>4</v>
      </c>
      <c r="F6764" t="str">
        <f>"04-C02-02"</f>
        <v>04-C02-02</v>
      </c>
      <c r="G6764">
        <v>1.4106000000000001</v>
      </c>
      <c r="H6764" t="s">
        <v>11</v>
      </c>
      <c r="I6764" t="s">
        <v>10</v>
      </c>
    </row>
    <row r="6765" spans="1:9" x14ac:dyDescent="0.25">
      <c r="A6765" t="str">
        <f t="shared" si="163"/>
        <v>89301000</v>
      </c>
      <c r="B6765" t="str">
        <f>"535825244"</f>
        <v>535825244</v>
      </c>
      <c r="C6765" s="1">
        <v>45056</v>
      </c>
      <c r="D6765" s="1">
        <v>45058</v>
      </c>
      <c r="E6765">
        <v>1</v>
      </c>
      <c r="F6765" t="str">
        <f>"03-I19-02"</f>
        <v>03-I19-02</v>
      </c>
      <c r="G6765">
        <v>0.7016</v>
      </c>
      <c r="H6765" t="s">
        <v>11</v>
      </c>
      <c r="I6765" t="s">
        <v>10</v>
      </c>
    </row>
    <row r="6766" spans="1:9" x14ac:dyDescent="0.25">
      <c r="A6766" t="str">
        <f t="shared" si="163"/>
        <v>89301000</v>
      </c>
      <c r="B6766" t="str">
        <f>"535826091"</f>
        <v>535826091</v>
      </c>
      <c r="C6766" s="1">
        <v>45257</v>
      </c>
      <c r="D6766" s="1">
        <v>45279</v>
      </c>
      <c r="E6766">
        <v>8</v>
      </c>
      <c r="F6766" t="str">
        <f>"17-C05-01"</f>
        <v>17-C05-01</v>
      </c>
      <c r="G6766">
        <v>7.5799000000000003</v>
      </c>
      <c r="H6766" t="s">
        <v>11</v>
      </c>
      <c r="I6766" t="s">
        <v>10</v>
      </c>
    </row>
    <row r="6767" spans="1:9" x14ac:dyDescent="0.25">
      <c r="A6767" t="str">
        <f t="shared" si="163"/>
        <v>89301000</v>
      </c>
      <c r="B6767" t="str">
        <f>"535831133"</f>
        <v>535831133</v>
      </c>
      <c r="C6767" s="1">
        <v>44994</v>
      </c>
      <c r="D6767" s="1">
        <v>44998</v>
      </c>
      <c r="E6767">
        <v>1</v>
      </c>
      <c r="F6767" t="str">
        <f>"10-I13-02"</f>
        <v>10-I13-02</v>
      </c>
      <c r="G6767">
        <v>1.1227</v>
      </c>
      <c r="H6767" t="s">
        <v>9</v>
      </c>
      <c r="I6767" t="s">
        <v>10</v>
      </c>
    </row>
    <row r="6768" spans="1:9" x14ac:dyDescent="0.25">
      <c r="A6768" t="str">
        <f t="shared" si="163"/>
        <v>89301000</v>
      </c>
      <c r="B6768" t="str">
        <f>"535831133"</f>
        <v>535831133</v>
      </c>
      <c r="C6768" s="1">
        <v>45232</v>
      </c>
      <c r="D6768" s="1">
        <v>45233</v>
      </c>
      <c r="E6768">
        <v>1</v>
      </c>
      <c r="F6768" t="str">
        <f>"16-K02-03"</f>
        <v>16-K02-03</v>
      </c>
      <c r="G6768">
        <v>0.58299999999999996</v>
      </c>
      <c r="H6768" t="s">
        <v>11</v>
      </c>
      <c r="I6768" t="s">
        <v>10</v>
      </c>
    </row>
    <row r="6769" spans="1:9" x14ac:dyDescent="0.25">
      <c r="A6769" t="str">
        <f t="shared" si="163"/>
        <v>89301000</v>
      </c>
      <c r="B6769" t="str">
        <f>"535831133"</f>
        <v>535831133</v>
      </c>
      <c r="C6769" s="1">
        <v>45261</v>
      </c>
      <c r="D6769" s="1">
        <v>45264</v>
      </c>
      <c r="E6769">
        <v>1</v>
      </c>
      <c r="F6769" t="str">
        <f>"16-K02-02"</f>
        <v>16-K02-02</v>
      </c>
      <c r="G6769">
        <v>0.76349999999999996</v>
      </c>
      <c r="H6769" t="s">
        <v>11</v>
      </c>
      <c r="I6769" t="s">
        <v>10</v>
      </c>
    </row>
    <row r="6770" spans="1:9" x14ac:dyDescent="0.25">
      <c r="A6770" t="str">
        <f t="shared" si="163"/>
        <v>89301000</v>
      </c>
      <c r="B6770" t="str">
        <f>"535831133"</f>
        <v>535831133</v>
      </c>
      <c r="C6770" s="1">
        <v>45179</v>
      </c>
      <c r="D6770" s="1">
        <v>45187</v>
      </c>
      <c r="E6770">
        <v>1</v>
      </c>
      <c r="F6770" t="str">
        <f>"08-K08-00"</f>
        <v>08-K08-00</v>
      </c>
      <c r="G6770">
        <v>0.5272</v>
      </c>
      <c r="H6770" t="s">
        <v>11</v>
      </c>
      <c r="I6770" t="s">
        <v>10</v>
      </c>
    </row>
    <row r="6771" spans="1:9" x14ac:dyDescent="0.25">
      <c r="A6771" t="str">
        <f t="shared" si="163"/>
        <v>89301000</v>
      </c>
      <c r="B6771" t="str">
        <f>"535909017"</f>
        <v>535909017</v>
      </c>
      <c r="C6771" s="1">
        <v>44936</v>
      </c>
      <c r="D6771" s="1">
        <v>44950</v>
      </c>
      <c r="E6771">
        <v>1</v>
      </c>
      <c r="F6771" t="str">
        <f>"04-R02-08"</f>
        <v>04-R02-08</v>
      </c>
      <c r="G6771">
        <v>1.0724</v>
      </c>
      <c r="H6771" t="s">
        <v>11</v>
      </c>
      <c r="I6771" t="s">
        <v>10</v>
      </c>
    </row>
    <row r="6772" spans="1:9" x14ac:dyDescent="0.25">
      <c r="A6772" t="str">
        <f t="shared" si="163"/>
        <v>89301000</v>
      </c>
      <c r="B6772" t="str">
        <f>"535909054"</f>
        <v>535909054</v>
      </c>
      <c r="C6772" s="1">
        <v>45075</v>
      </c>
      <c r="D6772" s="1">
        <v>45077</v>
      </c>
      <c r="E6772">
        <v>1</v>
      </c>
      <c r="F6772" t="str">
        <f>"09-I09-02"</f>
        <v>09-I09-02</v>
      </c>
      <c r="G6772">
        <v>0.76900000000000002</v>
      </c>
      <c r="H6772" t="s">
        <v>12</v>
      </c>
      <c r="I6772" t="s">
        <v>10</v>
      </c>
    </row>
    <row r="6773" spans="1:9" x14ac:dyDescent="0.25">
      <c r="A6773" t="str">
        <f t="shared" si="163"/>
        <v>89301000</v>
      </c>
      <c r="B6773" t="str">
        <f>"535910359"</f>
        <v>535910359</v>
      </c>
      <c r="C6773" s="1">
        <v>45078</v>
      </c>
      <c r="D6773" s="1">
        <v>45079</v>
      </c>
      <c r="E6773">
        <v>1</v>
      </c>
      <c r="F6773" t="str">
        <f>"20-K02-03"</f>
        <v>20-K02-03</v>
      </c>
      <c r="G6773">
        <v>0.38350000000000001</v>
      </c>
      <c r="H6773" t="s">
        <v>11</v>
      </c>
      <c r="I6773" t="s">
        <v>10</v>
      </c>
    </row>
    <row r="6774" spans="1:9" x14ac:dyDescent="0.25">
      <c r="A6774" t="str">
        <f t="shared" si="163"/>
        <v>89301000</v>
      </c>
      <c r="B6774" t="str">
        <f>"535912091"</f>
        <v>535912091</v>
      </c>
      <c r="C6774" s="1">
        <v>44987</v>
      </c>
      <c r="D6774" s="1">
        <v>44988</v>
      </c>
      <c r="E6774">
        <v>1</v>
      </c>
      <c r="F6774" t="str">
        <f>"10-K15-02"</f>
        <v>10-K15-02</v>
      </c>
      <c r="G6774">
        <v>0.66379999999999995</v>
      </c>
      <c r="H6774" t="s">
        <v>11</v>
      </c>
      <c r="I6774" t="s">
        <v>10</v>
      </c>
    </row>
    <row r="6775" spans="1:9" x14ac:dyDescent="0.25">
      <c r="A6775" t="str">
        <f t="shared" si="163"/>
        <v>89301000</v>
      </c>
      <c r="B6775" t="str">
        <f>"535912091"</f>
        <v>535912091</v>
      </c>
      <c r="C6775" s="1">
        <v>45044</v>
      </c>
      <c r="D6775" s="1">
        <v>45047</v>
      </c>
      <c r="E6775">
        <v>1</v>
      </c>
      <c r="F6775" t="str">
        <f>"10-K15-02"</f>
        <v>10-K15-02</v>
      </c>
      <c r="G6775">
        <v>0.66379999999999995</v>
      </c>
      <c r="H6775" t="s">
        <v>11</v>
      </c>
      <c r="I6775" t="s">
        <v>10</v>
      </c>
    </row>
    <row r="6776" spans="1:9" x14ac:dyDescent="0.25">
      <c r="A6776" t="str">
        <f t="shared" si="163"/>
        <v>89301000</v>
      </c>
      <c r="B6776" t="str">
        <f>"535916058"</f>
        <v>535916058</v>
      </c>
      <c r="C6776" s="1">
        <v>45257</v>
      </c>
      <c r="D6776" s="1">
        <v>45265</v>
      </c>
      <c r="E6776">
        <v>1</v>
      </c>
      <c r="F6776" t="str">
        <f>"06-K14-01"</f>
        <v>06-K14-01</v>
      </c>
      <c r="G6776">
        <v>1.1639999999999999</v>
      </c>
      <c r="H6776" t="s">
        <v>11</v>
      </c>
      <c r="I6776" t="s">
        <v>10</v>
      </c>
    </row>
    <row r="6777" spans="1:9" x14ac:dyDescent="0.25">
      <c r="A6777" t="str">
        <f t="shared" si="163"/>
        <v>89301000</v>
      </c>
      <c r="B6777" t="str">
        <f>"535916058"</f>
        <v>535916058</v>
      </c>
      <c r="C6777" s="1">
        <v>45218</v>
      </c>
      <c r="D6777" s="1">
        <v>45225</v>
      </c>
      <c r="E6777">
        <v>1</v>
      </c>
      <c r="F6777" t="str">
        <f>"01-I06-04"</f>
        <v>01-I06-04</v>
      </c>
      <c r="G6777">
        <v>3.6478999999999999</v>
      </c>
      <c r="H6777" t="s">
        <v>12</v>
      </c>
      <c r="I6777" t="s">
        <v>10</v>
      </c>
    </row>
    <row r="6778" spans="1:9" x14ac:dyDescent="0.25">
      <c r="A6778" t="str">
        <f t="shared" si="163"/>
        <v>89301000</v>
      </c>
      <c r="B6778" t="str">
        <f>"535922254"</f>
        <v>535922254</v>
      </c>
      <c r="C6778" s="1">
        <v>44937</v>
      </c>
      <c r="D6778" s="1">
        <v>44939</v>
      </c>
      <c r="E6778">
        <v>1</v>
      </c>
      <c r="F6778" t="str">
        <f>"09-I13-05"</f>
        <v>09-I13-05</v>
      </c>
      <c r="G6778">
        <v>0.42570000000000002</v>
      </c>
      <c r="H6778" t="s">
        <v>11</v>
      </c>
      <c r="I6778" t="s">
        <v>10</v>
      </c>
    </row>
    <row r="6779" spans="1:9" x14ac:dyDescent="0.25">
      <c r="A6779" t="str">
        <f t="shared" si="163"/>
        <v>89301000</v>
      </c>
      <c r="B6779" t="str">
        <f>"535922254"</f>
        <v>535922254</v>
      </c>
      <c r="C6779" s="1">
        <v>44970</v>
      </c>
      <c r="D6779" s="1">
        <v>44974</v>
      </c>
      <c r="E6779">
        <v>1</v>
      </c>
      <c r="F6779" t="str">
        <f>"09-I04-02"</f>
        <v>09-I04-02</v>
      </c>
      <c r="G6779">
        <v>1.0899000000000001</v>
      </c>
      <c r="H6779" t="s">
        <v>12</v>
      </c>
      <c r="I6779" t="s">
        <v>10</v>
      </c>
    </row>
    <row r="6780" spans="1:9" x14ac:dyDescent="0.25">
      <c r="A6780" t="str">
        <f t="shared" si="163"/>
        <v>89301000</v>
      </c>
      <c r="B6780" t="str">
        <f>"535926313"</f>
        <v>535926313</v>
      </c>
      <c r="C6780" s="1">
        <v>44970</v>
      </c>
      <c r="D6780" s="1">
        <v>44988</v>
      </c>
      <c r="E6780">
        <v>5</v>
      </c>
      <c r="F6780" t="str">
        <f>"08-I03-03"</f>
        <v>08-I03-03</v>
      </c>
      <c r="G6780">
        <v>4.9530000000000003</v>
      </c>
      <c r="H6780" t="s">
        <v>9</v>
      </c>
      <c r="I6780" t="s">
        <v>10</v>
      </c>
    </row>
    <row r="6781" spans="1:9" x14ac:dyDescent="0.25">
      <c r="A6781" t="str">
        <f t="shared" si="163"/>
        <v>89301000</v>
      </c>
      <c r="B6781" t="str">
        <f>"536001050"</f>
        <v>536001050</v>
      </c>
      <c r="C6781" s="1">
        <v>45061</v>
      </c>
      <c r="D6781" s="1">
        <v>45064</v>
      </c>
      <c r="E6781">
        <v>1</v>
      </c>
      <c r="F6781" t="str">
        <f>"17-K02-02"</f>
        <v>17-K02-02</v>
      </c>
      <c r="G6781">
        <v>0.99860000000000004</v>
      </c>
      <c r="H6781" t="s">
        <v>11</v>
      </c>
      <c r="I6781" t="s">
        <v>10</v>
      </c>
    </row>
    <row r="6782" spans="1:9" x14ac:dyDescent="0.25">
      <c r="A6782" t="str">
        <f t="shared" si="163"/>
        <v>89301000</v>
      </c>
      <c r="B6782" t="str">
        <f>"536014248"</f>
        <v>536014248</v>
      </c>
      <c r="C6782" s="1">
        <v>45202</v>
      </c>
      <c r="D6782" s="1">
        <v>45210</v>
      </c>
      <c r="E6782">
        <v>1</v>
      </c>
      <c r="F6782" t="str">
        <f>"08-K08-00"</f>
        <v>08-K08-00</v>
      </c>
      <c r="G6782">
        <v>0.5272</v>
      </c>
      <c r="H6782" t="s">
        <v>11</v>
      </c>
      <c r="I6782" t="s">
        <v>10</v>
      </c>
    </row>
    <row r="6783" spans="1:9" x14ac:dyDescent="0.25">
      <c r="A6783" t="str">
        <f t="shared" si="163"/>
        <v>89301000</v>
      </c>
      <c r="B6783" t="str">
        <f>"536015303"</f>
        <v>536015303</v>
      </c>
      <c r="C6783" s="1">
        <v>45092</v>
      </c>
      <c r="D6783" s="1">
        <v>45098</v>
      </c>
      <c r="E6783">
        <v>1</v>
      </c>
      <c r="F6783" t="str">
        <f>"08-I04-01"</f>
        <v>08-I04-01</v>
      </c>
      <c r="G6783">
        <v>2.7970000000000002</v>
      </c>
      <c r="H6783" t="s">
        <v>14</v>
      </c>
      <c r="I6783" t="s">
        <v>10</v>
      </c>
    </row>
    <row r="6784" spans="1:9" x14ac:dyDescent="0.25">
      <c r="A6784" t="str">
        <f t="shared" si="163"/>
        <v>89301000</v>
      </c>
      <c r="B6784" t="str">
        <f>"536017188"</f>
        <v>536017188</v>
      </c>
      <c r="C6784" s="1">
        <v>45272</v>
      </c>
      <c r="D6784" s="1">
        <v>45274</v>
      </c>
      <c r="E6784">
        <v>1</v>
      </c>
      <c r="F6784" t="str">
        <f>"01-I11-01"</f>
        <v>01-I11-01</v>
      </c>
      <c r="G6784">
        <v>0.96650000000000003</v>
      </c>
      <c r="H6784" t="s">
        <v>12</v>
      </c>
      <c r="I6784" t="s">
        <v>10</v>
      </c>
    </row>
    <row r="6785" spans="1:9" x14ac:dyDescent="0.25">
      <c r="A6785" t="str">
        <f t="shared" si="163"/>
        <v>89301000</v>
      </c>
      <c r="B6785" t="str">
        <f>"536017188"</f>
        <v>536017188</v>
      </c>
      <c r="C6785" s="1">
        <v>45174</v>
      </c>
      <c r="D6785" s="1">
        <v>45175</v>
      </c>
      <c r="E6785">
        <v>1</v>
      </c>
      <c r="F6785" t="str">
        <f>"01-D01-03"</f>
        <v>01-D01-03</v>
      </c>
      <c r="G6785">
        <v>0.16200000000000001</v>
      </c>
      <c r="H6785" t="s">
        <v>11</v>
      </c>
      <c r="I6785" t="s">
        <v>10</v>
      </c>
    </row>
    <row r="6786" spans="1:9" x14ac:dyDescent="0.25">
      <c r="A6786" t="str">
        <f t="shared" si="163"/>
        <v>89301000</v>
      </c>
      <c r="B6786" t="str">
        <f>"536020044"</f>
        <v>536020044</v>
      </c>
      <c r="C6786" s="1">
        <v>45028</v>
      </c>
      <c r="D6786" s="1">
        <v>45032</v>
      </c>
      <c r="E6786">
        <v>1</v>
      </c>
      <c r="F6786" t="str">
        <f>"13-I13-02"</f>
        <v>13-I13-02</v>
      </c>
      <c r="G6786">
        <v>1.1378999999999999</v>
      </c>
      <c r="H6786" t="s">
        <v>12</v>
      </c>
      <c r="I6786" t="s">
        <v>10</v>
      </c>
    </row>
    <row r="6787" spans="1:9" x14ac:dyDescent="0.25">
      <c r="A6787" t="str">
        <f t="shared" si="163"/>
        <v>89301000</v>
      </c>
      <c r="B6787" t="str">
        <f>"536020062"</f>
        <v>536020062</v>
      </c>
      <c r="C6787" s="1">
        <v>45048</v>
      </c>
      <c r="D6787" s="1">
        <v>45055</v>
      </c>
      <c r="E6787">
        <v>1</v>
      </c>
      <c r="F6787" t="str">
        <f>"04-K10-02"</f>
        <v>04-K10-02</v>
      </c>
      <c r="G6787">
        <v>0.65490000000000004</v>
      </c>
      <c r="H6787" t="s">
        <v>11</v>
      </c>
      <c r="I6787" t="s">
        <v>10</v>
      </c>
    </row>
    <row r="6788" spans="1:9" x14ac:dyDescent="0.25">
      <c r="A6788" t="str">
        <f t="shared" si="163"/>
        <v>89301000</v>
      </c>
      <c r="B6788" t="str">
        <f>"536020062"</f>
        <v>536020062</v>
      </c>
      <c r="C6788" s="1">
        <v>45076</v>
      </c>
      <c r="D6788" s="1">
        <v>45083</v>
      </c>
      <c r="E6788">
        <v>1</v>
      </c>
      <c r="F6788" t="str">
        <f>"04-M02-04"</f>
        <v>04-M02-04</v>
      </c>
      <c r="G6788">
        <v>0.84699999999999998</v>
      </c>
      <c r="H6788" t="s">
        <v>11</v>
      </c>
      <c r="I6788" t="s">
        <v>10</v>
      </c>
    </row>
    <row r="6789" spans="1:9" x14ac:dyDescent="0.25">
      <c r="A6789" t="str">
        <f t="shared" si="163"/>
        <v>89301000</v>
      </c>
      <c r="B6789" t="str">
        <f>"536020062"</f>
        <v>536020062</v>
      </c>
      <c r="C6789" s="1">
        <v>45013</v>
      </c>
      <c r="D6789" s="1">
        <v>45027</v>
      </c>
      <c r="E6789">
        <v>1</v>
      </c>
      <c r="F6789" t="str">
        <f>"04-K10-02"</f>
        <v>04-K10-02</v>
      </c>
      <c r="G6789">
        <v>0.90059999999999996</v>
      </c>
      <c r="H6789" t="s">
        <v>11</v>
      </c>
      <c r="I6789" t="s">
        <v>10</v>
      </c>
    </row>
    <row r="6790" spans="1:9" x14ac:dyDescent="0.25">
      <c r="A6790" t="str">
        <f t="shared" si="163"/>
        <v>89301000</v>
      </c>
      <c r="B6790" t="str">
        <f>"536020062"</f>
        <v>536020062</v>
      </c>
      <c r="C6790" s="1">
        <v>44966</v>
      </c>
      <c r="D6790" s="1">
        <v>44971</v>
      </c>
      <c r="E6790">
        <v>1</v>
      </c>
      <c r="F6790" t="str">
        <f>"04-M02-04"</f>
        <v>04-M02-04</v>
      </c>
      <c r="G6790">
        <v>0.82489999999999997</v>
      </c>
      <c r="H6790" t="s">
        <v>11</v>
      </c>
      <c r="I6790" t="s">
        <v>10</v>
      </c>
    </row>
    <row r="6791" spans="1:9" x14ac:dyDescent="0.25">
      <c r="A6791" t="str">
        <f t="shared" si="163"/>
        <v>89301000</v>
      </c>
      <c r="B6791" t="str">
        <f>"536020199"</f>
        <v>536020199</v>
      </c>
      <c r="C6791" s="1">
        <v>44978</v>
      </c>
      <c r="D6791" s="1">
        <v>44992</v>
      </c>
      <c r="E6791">
        <v>1</v>
      </c>
      <c r="F6791" t="str">
        <f>"00-I05-02"</f>
        <v>00-I05-02</v>
      </c>
      <c r="G6791">
        <v>5.9760999999999997</v>
      </c>
      <c r="H6791" t="s">
        <v>14</v>
      </c>
      <c r="I6791" t="s">
        <v>10</v>
      </c>
    </row>
    <row r="6792" spans="1:9" x14ac:dyDescent="0.25">
      <c r="A6792" t="str">
        <f t="shared" si="163"/>
        <v>89301000</v>
      </c>
      <c r="B6792" t="str">
        <f>"536020199"</f>
        <v>536020199</v>
      </c>
      <c r="C6792" s="1">
        <v>45019</v>
      </c>
      <c r="D6792" s="1">
        <v>45020</v>
      </c>
      <c r="E6792">
        <v>1</v>
      </c>
      <c r="F6792" t="str">
        <f>"11-K03-01"</f>
        <v>11-K03-01</v>
      </c>
      <c r="G6792">
        <v>0.83309999999999995</v>
      </c>
      <c r="H6792" t="s">
        <v>11</v>
      </c>
      <c r="I6792" t="s">
        <v>10</v>
      </c>
    </row>
    <row r="6793" spans="1:9" x14ac:dyDescent="0.25">
      <c r="A6793" t="str">
        <f t="shared" ref="A6793:A6856" si="164">"89301000"</f>
        <v>89301000</v>
      </c>
      <c r="B6793" t="str">
        <f>"536020199"</f>
        <v>536020199</v>
      </c>
      <c r="C6793" s="1">
        <v>45028</v>
      </c>
      <c r="D6793" s="1">
        <v>45033</v>
      </c>
      <c r="E6793">
        <v>1</v>
      </c>
      <c r="F6793" t="str">
        <f>"11-K03-02"</f>
        <v>11-K03-02</v>
      </c>
      <c r="G6793">
        <v>0.63990000000000002</v>
      </c>
      <c r="H6793" t="s">
        <v>11</v>
      </c>
      <c r="I6793" t="s">
        <v>10</v>
      </c>
    </row>
    <row r="6794" spans="1:9" x14ac:dyDescent="0.25">
      <c r="A6794" t="str">
        <f t="shared" si="164"/>
        <v>89301000</v>
      </c>
      <c r="B6794" t="str">
        <f>"536024208"</f>
        <v>536024208</v>
      </c>
      <c r="C6794" s="1">
        <v>45217</v>
      </c>
      <c r="D6794" s="1">
        <v>45221</v>
      </c>
      <c r="E6794">
        <v>1</v>
      </c>
      <c r="F6794" t="str">
        <f>"13-I11-03"</f>
        <v>13-I11-03</v>
      </c>
      <c r="G6794">
        <v>1.4332</v>
      </c>
      <c r="H6794" t="s">
        <v>9</v>
      </c>
      <c r="I6794" t="s">
        <v>10</v>
      </c>
    </row>
    <row r="6795" spans="1:9" x14ac:dyDescent="0.25">
      <c r="A6795" t="str">
        <f t="shared" si="164"/>
        <v>89301000</v>
      </c>
      <c r="B6795" t="str">
        <f>"536025210"</f>
        <v>536025210</v>
      </c>
      <c r="C6795" s="1">
        <v>45003</v>
      </c>
      <c r="D6795" s="1">
        <v>45006</v>
      </c>
      <c r="E6795">
        <v>1</v>
      </c>
      <c r="F6795" t="str">
        <f>"09-K01-04"</f>
        <v>09-K01-04</v>
      </c>
      <c r="G6795">
        <v>0.60570000000000002</v>
      </c>
      <c r="H6795" t="s">
        <v>11</v>
      </c>
      <c r="I6795" t="s">
        <v>10</v>
      </c>
    </row>
    <row r="6796" spans="1:9" x14ac:dyDescent="0.25">
      <c r="A6796" t="str">
        <f t="shared" si="164"/>
        <v>89301000</v>
      </c>
      <c r="B6796" t="str">
        <f>"536025210"</f>
        <v>536025210</v>
      </c>
      <c r="C6796" s="1">
        <v>44977</v>
      </c>
      <c r="D6796" s="1">
        <v>44993</v>
      </c>
      <c r="E6796">
        <v>1</v>
      </c>
      <c r="F6796" t="str">
        <f>"09-K08-02"</f>
        <v>09-K08-02</v>
      </c>
      <c r="G6796">
        <v>0.89200000000000002</v>
      </c>
      <c r="H6796" t="s">
        <v>11</v>
      </c>
      <c r="I6796" t="s">
        <v>10</v>
      </c>
    </row>
    <row r="6797" spans="1:9" x14ac:dyDescent="0.25">
      <c r="A6797" t="str">
        <f t="shared" si="164"/>
        <v>89301000</v>
      </c>
      <c r="B6797" t="str">
        <f>"536025210"</f>
        <v>536025210</v>
      </c>
      <c r="C6797" s="1">
        <v>44947</v>
      </c>
      <c r="D6797" s="1">
        <v>44959</v>
      </c>
      <c r="E6797">
        <v>1</v>
      </c>
      <c r="F6797" t="str">
        <f>"09-K08-01"</f>
        <v>09-K08-01</v>
      </c>
      <c r="G6797">
        <v>1.1941999999999999</v>
      </c>
      <c r="H6797" t="s">
        <v>11</v>
      </c>
      <c r="I6797" t="s">
        <v>10</v>
      </c>
    </row>
    <row r="6798" spans="1:9" x14ac:dyDescent="0.25">
      <c r="A6798" t="str">
        <f t="shared" si="164"/>
        <v>89301000</v>
      </c>
      <c r="B6798" t="str">
        <f>"536026254"</f>
        <v>536026254</v>
      </c>
      <c r="C6798" s="1">
        <v>45187</v>
      </c>
      <c r="D6798" s="1">
        <v>45190</v>
      </c>
      <c r="E6798">
        <v>1</v>
      </c>
      <c r="F6798" t="str">
        <f>"08-M03-02"</f>
        <v>08-M03-02</v>
      </c>
      <c r="G6798">
        <v>0.91359999999999997</v>
      </c>
      <c r="H6798" t="s">
        <v>11</v>
      </c>
      <c r="I6798" t="s">
        <v>10</v>
      </c>
    </row>
    <row r="6799" spans="1:9" x14ac:dyDescent="0.25">
      <c r="A6799" t="str">
        <f t="shared" si="164"/>
        <v>89301000</v>
      </c>
      <c r="B6799" t="str">
        <f>"536026254"</f>
        <v>536026254</v>
      </c>
      <c r="C6799" s="1">
        <v>45075</v>
      </c>
      <c r="D6799" s="1">
        <v>45078</v>
      </c>
      <c r="E6799">
        <v>1</v>
      </c>
      <c r="F6799" t="str">
        <f>"08-M03-05"</f>
        <v>08-M03-05</v>
      </c>
      <c r="G6799">
        <v>0.46810000000000002</v>
      </c>
      <c r="H6799" t="s">
        <v>11</v>
      </c>
      <c r="I6799" t="s">
        <v>10</v>
      </c>
    </row>
    <row r="6800" spans="1:9" x14ac:dyDescent="0.25">
      <c r="A6800" t="str">
        <f t="shared" si="164"/>
        <v>89301000</v>
      </c>
      <c r="B6800" t="str">
        <f>"536026254"</f>
        <v>536026254</v>
      </c>
      <c r="C6800" s="1">
        <v>45042</v>
      </c>
      <c r="D6800" s="1">
        <v>45048</v>
      </c>
      <c r="E6800">
        <v>1</v>
      </c>
      <c r="F6800" t="str">
        <f>"06-I17-02"</f>
        <v>06-I17-02</v>
      </c>
      <c r="G6800">
        <v>1.0106999999999999</v>
      </c>
      <c r="H6800" t="s">
        <v>12</v>
      </c>
      <c r="I6800" t="s">
        <v>10</v>
      </c>
    </row>
    <row r="6801" spans="1:9" x14ac:dyDescent="0.25">
      <c r="A6801" t="str">
        <f t="shared" si="164"/>
        <v>89301000</v>
      </c>
      <c r="B6801" t="str">
        <f>"536030221"</f>
        <v>536030221</v>
      </c>
      <c r="C6801" s="1">
        <v>44949</v>
      </c>
      <c r="D6801" s="1">
        <v>44955</v>
      </c>
      <c r="E6801">
        <v>1</v>
      </c>
      <c r="F6801" t="str">
        <f>"13-I11-03"</f>
        <v>13-I11-03</v>
      </c>
      <c r="G6801">
        <v>1.4332</v>
      </c>
      <c r="H6801" t="s">
        <v>9</v>
      </c>
      <c r="I6801" t="s">
        <v>10</v>
      </c>
    </row>
    <row r="6802" spans="1:9" x14ac:dyDescent="0.25">
      <c r="A6802" t="str">
        <f t="shared" si="164"/>
        <v>89301000</v>
      </c>
      <c r="B6802" t="str">
        <f>"536102252"</f>
        <v>536102252</v>
      </c>
      <c r="C6802" s="1">
        <v>45131</v>
      </c>
      <c r="D6802" s="1">
        <v>45132</v>
      </c>
      <c r="E6802">
        <v>1</v>
      </c>
      <c r="F6802" t="str">
        <f>"17-K03-02"</f>
        <v>17-K03-02</v>
      </c>
      <c r="G6802">
        <v>0.92989999999999995</v>
      </c>
      <c r="H6802" t="s">
        <v>11</v>
      </c>
      <c r="I6802" t="s">
        <v>10</v>
      </c>
    </row>
    <row r="6803" spans="1:9" x14ac:dyDescent="0.25">
      <c r="A6803" t="str">
        <f t="shared" si="164"/>
        <v>89301000</v>
      </c>
      <c r="B6803" t="str">
        <f>"536102252"</f>
        <v>536102252</v>
      </c>
      <c r="C6803" s="1">
        <v>45117</v>
      </c>
      <c r="D6803" s="1">
        <v>45121</v>
      </c>
      <c r="E6803">
        <v>1</v>
      </c>
      <c r="F6803" t="str">
        <f>"17-K03-02"</f>
        <v>17-K03-02</v>
      </c>
      <c r="G6803">
        <v>0.92989999999999995</v>
      </c>
      <c r="H6803" t="s">
        <v>11</v>
      </c>
      <c r="I6803" t="s">
        <v>10</v>
      </c>
    </row>
    <row r="6804" spans="1:9" x14ac:dyDescent="0.25">
      <c r="A6804" t="str">
        <f t="shared" si="164"/>
        <v>89301000</v>
      </c>
      <c r="B6804" t="str">
        <f>"536104228"</f>
        <v>536104228</v>
      </c>
      <c r="C6804" s="1">
        <v>44978</v>
      </c>
      <c r="D6804" s="1">
        <v>44985</v>
      </c>
      <c r="E6804">
        <v>4</v>
      </c>
      <c r="F6804" t="str">
        <f>"08-I05-05"</f>
        <v>08-I05-05</v>
      </c>
      <c r="G6804">
        <v>2.2633000000000001</v>
      </c>
      <c r="H6804" t="s">
        <v>12</v>
      </c>
      <c r="I6804" t="s">
        <v>10</v>
      </c>
    </row>
    <row r="6805" spans="1:9" x14ac:dyDescent="0.25">
      <c r="A6805" t="str">
        <f t="shared" si="164"/>
        <v>89301000</v>
      </c>
      <c r="B6805" t="str">
        <f>"536106082"</f>
        <v>536106082</v>
      </c>
      <c r="C6805" s="1">
        <v>45149</v>
      </c>
      <c r="D6805" s="1">
        <v>45152</v>
      </c>
      <c r="E6805">
        <v>1</v>
      </c>
      <c r="F6805" t="str">
        <f>"01-D01-03"</f>
        <v>01-D01-03</v>
      </c>
      <c r="G6805">
        <v>0.21060000000000001</v>
      </c>
      <c r="H6805" t="s">
        <v>11</v>
      </c>
      <c r="I6805" t="s">
        <v>10</v>
      </c>
    </row>
    <row r="6806" spans="1:9" x14ac:dyDescent="0.25">
      <c r="A6806" t="str">
        <f t="shared" si="164"/>
        <v>89301000</v>
      </c>
      <c r="B6806" t="str">
        <f>"536106082"</f>
        <v>536106082</v>
      </c>
      <c r="C6806" s="1">
        <v>45083</v>
      </c>
      <c r="D6806" s="1">
        <v>45084</v>
      </c>
      <c r="E6806">
        <v>1</v>
      </c>
      <c r="F6806" t="str">
        <f>"01-D01-03"</f>
        <v>01-D01-03</v>
      </c>
      <c r="G6806">
        <v>0.16200000000000001</v>
      </c>
      <c r="H6806" t="s">
        <v>11</v>
      </c>
      <c r="I6806" t="s">
        <v>10</v>
      </c>
    </row>
    <row r="6807" spans="1:9" x14ac:dyDescent="0.25">
      <c r="A6807" t="str">
        <f t="shared" si="164"/>
        <v>89301000</v>
      </c>
      <c r="B6807" t="str">
        <f>"536106273"</f>
        <v>536106273</v>
      </c>
      <c r="C6807" s="1">
        <v>45034</v>
      </c>
      <c r="D6807" s="1">
        <v>45068</v>
      </c>
      <c r="E6807">
        <v>1</v>
      </c>
      <c r="F6807" t="str">
        <f>"03-R01-03"</f>
        <v>03-R01-03</v>
      </c>
      <c r="G6807">
        <v>3.7178</v>
      </c>
      <c r="H6807" t="s">
        <v>11</v>
      </c>
      <c r="I6807" t="s">
        <v>10</v>
      </c>
    </row>
    <row r="6808" spans="1:9" x14ac:dyDescent="0.25">
      <c r="A6808" t="str">
        <f t="shared" si="164"/>
        <v>89301000</v>
      </c>
      <c r="B6808" t="str">
        <f>"536106273"</f>
        <v>536106273</v>
      </c>
      <c r="C6808" s="1">
        <v>45017</v>
      </c>
      <c r="D6808" s="1">
        <v>45021</v>
      </c>
      <c r="E6808">
        <v>1</v>
      </c>
      <c r="F6808" t="str">
        <f>"03-K09-01"</f>
        <v>03-K09-01</v>
      </c>
      <c r="G6808">
        <v>0.58250000000000002</v>
      </c>
      <c r="H6808" t="s">
        <v>11</v>
      </c>
      <c r="I6808" t="s">
        <v>10</v>
      </c>
    </row>
    <row r="6809" spans="1:9" x14ac:dyDescent="0.25">
      <c r="A6809" t="str">
        <f t="shared" si="164"/>
        <v>89301000</v>
      </c>
      <c r="B6809" t="str">
        <f>"536108201"</f>
        <v>536108201</v>
      </c>
      <c r="C6809" s="1">
        <v>45181</v>
      </c>
      <c r="D6809" s="1">
        <v>45185</v>
      </c>
      <c r="E6809">
        <v>1</v>
      </c>
      <c r="F6809" t="str">
        <f>"08-I06-04"</f>
        <v>08-I06-04</v>
      </c>
      <c r="G6809">
        <v>2.3757999999999999</v>
      </c>
      <c r="H6809" t="s">
        <v>9</v>
      </c>
      <c r="I6809" t="s">
        <v>10</v>
      </c>
    </row>
    <row r="6810" spans="1:9" x14ac:dyDescent="0.25">
      <c r="A6810" t="str">
        <f t="shared" si="164"/>
        <v>89301000</v>
      </c>
      <c r="B6810" t="str">
        <f>"536108257"</f>
        <v>536108257</v>
      </c>
      <c r="C6810" s="1">
        <v>45210</v>
      </c>
      <c r="D6810" s="1">
        <v>45216</v>
      </c>
      <c r="E6810">
        <v>1</v>
      </c>
      <c r="F6810" t="str">
        <f>"11-M04-03"</f>
        <v>11-M04-03</v>
      </c>
      <c r="G6810">
        <v>0.95069999999999999</v>
      </c>
      <c r="H6810" t="s">
        <v>11</v>
      </c>
      <c r="I6810" t="s">
        <v>10</v>
      </c>
    </row>
    <row r="6811" spans="1:9" x14ac:dyDescent="0.25">
      <c r="A6811" t="str">
        <f t="shared" si="164"/>
        <v>89301000</v>
      </c>
      <c r="B6811" t="str">
        <f>"536113300"</f>
        <v>536113300</v>
      </c>
      <c r="C6811" s="1">
        <v>45049</v>
      </c>
      <c r="D6811" s="1">
        <v>45057</v>
      </c>
      <c r="E6811">
        <v>2</v>
      </c>
      <c r="F6811" t="str">
        <f>"09-K08-01"</f>
        <v>09-K08-01</v>
      </c>
      <c r="G6811">
        <v>1.1941999999999999</v>
      </c>
      <c r="H6811" t="s">
        <v>11</v>
      </c>
      <c r="I6811" t="s">
        <v>10</v>
      </c>
    </row>
    <row r="6812" spans="1:9" x14ac:dyDescent="0.25">
      <c r="A6812" t="str">
        <f t="shared" si="164"/>
        <v>89301000</v>
      </c>
      <c r="B6812" t="str">
        <f>"536114283"</f>
        <v>536114283</v>
      </c>
      <c r="C6812" s="1">
        <v>45178</v>
      </c>
      <c r="D6812" s="1">
        <v>45183</v>
      </c>
      <c r="E6812">
        <v>4</v>
      </c>
      <c r="F6812" t="str">
        <f>"08-I13-05"</f>
        <v>08-I13-05</v>
      </c>
      <c r="G6812">
        <v>2.343</v>
      </c>
      <c r="H6812" t="s">
        <v>12</v>
      </c>
      <c r="I6812" t="s">
        <v>10</v>
      </c>
    </row>
    <row r="6813" spans="1:9" x14ac:dyDescent="0.25">
      <c r="A6813" t="str">
        <f t="shared" si="164"/>
        <v>89301000</v>
      </c>
      <c r="B6813" t="str">
        <f>"536119110"</f>
        <v>536119110</v>
      </c>
      <c r="C6813" s="1">
        <v>44931</v>
      </c>
      <c r="D6813" s="1">
        <v>44931</v>
      </c>
      <c r="E6813">
        <v>1</v>
      </c>
      <c r="F6813" t="str">
        <f>"04-K15-03"</f>
        <v>04-K15-03</v>
      </c>
      <c r="G6813">
        <v>0.25459999999999999</v>
      </c>
      <c r="H6813" t="s">
        <v>11</v>
      </c>
      <c r="I6813" t="s">
        <v>10</v>
      </c>
    </row>
    <row r="6814" spans="1:9" x14ac:dyDescent="0.25">
      <c r="A6814" t="str">
        <f t="shared" si="164"/>
        <v>89301000</v>
      </c>
      <c r="B6814" t="str">
        <f>"536121356"</f>
        <v>536121356</v>
      </c>
      <c r="C6814" s="1">
        <v>45104</v>
      </c>
      <c r="D6814" s="1">
        <v>45106</v>
      </c>
      <c r="E6814">
        <v>1</v>
      </c>
      <c r="F6814" t="str">
        <f>"17-C05-05"</f>
        <v>17-C05-05</v>
      </c>
      <c r="G6814">
        <v>0.66069999999999995</v>
      </c>
      <c r="H6814" t="s">
        <v>11</v>
      </c>
      <c r="I6814" t="s">
        <v>10</v>
      </c>
    </row>
    <row r="6815" spans="1:9" x14ac:dyDescent="0.25">
      <c r="A6815" t="str">
        <f t="shared" si="164"/>
        <v>89301000</v>
      </c>
      <c r="B6815" t="str">
        <f>"536122110"</f>
        <v>536122110</v>
      </c>
      <c r="C6815" s="1">
        <v>44943</v>
      </c>
      <c r="D6815" s="1">
        <v>44947</v>
      </c>
      <c r="E6815">
        <v>1</v>
      </c>
      <c r="F6815" t="str">
        <f>"08-I04-01"</f>
        <v>08-I04-01</v>
      </c>
      <c r="G6815">
        <v>2.7970000000000002</v>
      </c>
      <c r="H6815" t="s">
        <v>14</v>
      </c>
      <c r="I6815" t="s">
        <v>10</v>
      </c>
    </row>
    <row r="6816" spans="1:9" x14ac:dyDescent="0.25">
      <c r="A6816" t="str">
        <f t="shared" si="164"/>
        <v>89301000</v>
      </c>
      <c r="B6816" t="str">
        <f>"536127212"</f>
        <v>536127212</v>
      </c>
      <c r="C6816" s="1">
        <v>44954</v>
      </c>
      <c r="D6816" s="1">
        <v>44959</v>
      </c>
      <c r="E6816">
        <v>1</v>
      </c>
      <c r="F6816" t="str">
        <f>"03-I11-03"</f>
        <v>03-I11-03</v>
      </c>
      <c r="G6816">
        <v>1.1267</v>
      </c>
      <c r="H6816" t="s">
        <v>12</v>
      </c>
      <c r="I6816" t="s">
        <v>10</v>
      </c>
    </row>
    <row r="6817" spans="1:9" x14ac:dyDescent="0.25">
      <c r="A6817" t="str">
        <f t="shared" si="164"/>
        <v>89301000</v>
      </c>
      <c r="B6817" t="str">
        <f>"536129052"</f>
        <v>536129052</v>
      </c>
      <c r="C6817" s="1">
        <v>45257</v>
      </c>
      <c r="D6817" s="1">
        <v>45261</v>
      </c>
      <c r="E6817">
        <v>1</v>
      </c>
      <c r="F6817" t="str">
        <f>"06-K07-01"</f>
        <v>06-K07-01</v>
      </c>
      <c r="G6817">
        <v>0.79790000000000005</v>
      </c>
      <c r="H6817" t="s">
        <v>11</v>
      </c>
      <c r="I6817" t="s">
        <v>10</v>
      </c>
    </row>
    <row r="6818" spans="1:9" x14ac:dyDescent="0.25">
      <c r="A6818" t="str">
        <f t="shared" si="164"/>
        <v>89301000</v>
      </c>
      <c r="B6818" t="str">
        <f>"536130024"</f>
        <v>536130024</v>
      </c>
      <c r="C6818" s="1">
        <v>44957</v>
      </c>
      <c r="D6818" s="1">
        <v>44960</v>
      </c>
      <c r="E6818">
        <v>1</v>
      </c>
      <c r="F6818" t="str">
        <f>"09-K14-02"</f>
        <v>09-K14-02</v>
      </c>
      <c r="G6818">
        <v>0.5</v>
      </c>
      <c r="H6818" t="s">
        <v>11</v>
      </c>
      <c r="I6818" t="s">
        <v>10</v>
      </c>
    </row>
    <row r="6819" spans="1:9" x14ac:dyDescent="0.25">
      <c r="A6819" t="str">
        <f t="shared" si="164"/>
        <v>89301000</v>
      </c>
      <c r="B6819" t="str">
        <f>"536205203"</f>
        <v>536205203</v>
      </c>
      <c r="C6819" s="1">
        <v>44958</v>
      </c>
      <c r="D6819" s="1">
        <v>44960</v>
      </c>
      <c r="E6819">
        <v>1</v>
      </c>
      <c r="F6819" t="str">
        <f>"11-M05-01"</f>
        <v>11-M05-01</v>
      </c>
      <c r="G6819">
        <v>0.83750000000000002</v>
      </c>
      <c r="H6819" t="s">
        <v>12</v>
      </c>
      <c r="I6819" t="s">
        <v>10</v>
      </c>
    </row>
    <row r="6820" spans="1:9" x14ac:dyDescent="0.25">
      <c r="A6820" t="str">
        <f t="shared" si="164"/>
        <v>89301000</v>
      </c>
      <c r="B6820" t="str">
        <f>"536211122"</f>
        <v>536211122</v>
      </c>
      <c r="C6820" s="1">
        <v>44951</v>
      </c>
      <c r="D6820" s="1">
        <v>44952</v>
      </c>
      <c r="E6820">
        <v>1</v>
      </c>
      <c r="F6820" t="str">
        <f>"11-I17-03"</f>
        <v>11-I17-03</v>
      </c>
      <c r="G6820">
        <v>0.50139999999999996</v>
      </c>
      <c r="H6820" t="s">
        <v>11</v>
      </c>
      <c r="I6820" t="s">
        <v>10</v>
      </c>
    </row>
    <row r="6821" spans="1:9" x14ac:dyDescent="0.25">
      <c r="A6821" t="str">
        <f t="shared" si="164"/>
        <v>89301000</v>
      </c>
      <c r="B6821" t="str">
        <f>"536223193"</f>
        <v>536223193</v>
      </c>
      <c r="C6821" s="1">
        <v>44938</v>
      </c>
      <c r="D6821" s="1">
        <v>44943</v>
      </c>
      <c r="E6821">
        <v>1</v>
      </c>
      <c r="F6821" t="str">
        <f>"08-I03-04"</f>
        <v>08-I03-04</v>
      </c>
      <c r="G6821">
        <v>4.7477999999999998</v>
      </c>
      <c r="H6821" t="s">
        <v>9</v>
      </c>
      <c r="I6821" t="s">
        <v>10</v>
      </c>
    </row>
    <row r="6822" spans="1:9" x14ac:dyDescent="0.25">
      <c r="A6822" t="str">
        <f t="shared" si="164"/>
        <v>89301000</v>
      </c>
      <c r="B6822" t="str">
        <f>"536224236"</f>
        <v>536224236</v>
      </c>
      <c r="C6822" s="1">
        <v>45138</v>
      </c>
      <c r="D6822" s="1">
        <v>45145</v>
      </c>
      <c r="E6822">
        <v>4</v>
      </c>
      <c r="F6822" t="str">
        <f>"08-I13-06"</f>
        <v>08-I13-06</v>
      </c>
      <c r="G6822">
        <v>1.9452</v>
      </c>
      <c r="H6822" t="s">
        <v>12</v>
      </c>
      <c r="I6822" t="s">
        <v>10</v>
      </c>
    </row>
    <row r="6823" spans="1:9" x14ac:dyDescent="0.25">
      <c r="A6823" t="str">
        <f t="shared" si="164"/>
        <v>89301000</v>
      </c>
      <c r="B6823" t="str">
        <f>"536225299"</f>
        <v>536225299</v>
      </c>
      <c r="C6823" s="1">
        <v>45174</v>
      </c>
      <c r="D6823" s="1">
        <v>45176</v>
      </c>
      <c r="E6823">
        <v>1</v>
      </c>
      <c r="F6823" t="str">
        <f>"13-I19-00"</f>
        <v>13-I19-00</v>
      </c>
      <c r="G6823">
        <v>0.28249999999999997</v>
      </c>
      <c r="H6823" t="s">
        <v>11</v>
      </c>
      <c r="I6823" t="s">
        <v>10</v>
      </c>
    </row>
    <row r="6824" spans="1:9" x14ac:dyDescent="0.25">
      <c r="A6824" t="str">
        <f t="shared" si="164"/>
        <v>89301000</v>
      </c>
      <c r="B6824" t="str">
        <f>"5401040579"</f>
        <v>5401040579</v>
      </c>
      <c r="C6824" s="1">
        <v>45219</v>
      </c>
      <c r="D6824" s="1">
        <v>45224</v>
      </c>
      <c r="E6824">
        <v>1</v>
      </c>
      <c r="F6824" t="str">
        <f>"11-M05-01"</f>
        <v>11-M05-01</v>
      </c>
      <c r="G6824">
        <v>0.83750000000000002</v>
      </c>
      <c r="H6824" t="s">
        <v>12</v>
      </c>
      <c r="I6824" t="s">
        <v>10</v>
      </c>
    </row>
    <row r="6825" spans="1:9" x14ac:dyDescent="0.25">
      <c r="A6825" t="str">
        <f t="shared" si="164"/>
        <v>89301000</v>
      </c>
      <c r="B6825" t="str">
        <f>"5401040579"</f>
        <v>5401040579</v>
      </c>
      <c r="C6825" s="1">
        <v>45155</v>
      </c>
      <c r="D6825" s="1">
        <v>45155</v>
      </c>
      <c r="E6825">
        <v>1</v>
      </c>
      <c r="F6825" t="str">
        <f>"05-D01-08"</f>
        <v>05-D01-08</v>
      </c>
      <c r="G6825">
        <v>0.2303</v>
      </c>
      <c r="H6825" t="s">
        <v>11</v>
      </c>
      <c r="I6825" t="s">
        <v>10</v>
      </c>
    </row>
    <row r="6826" spans="1:9" x14ac:dyDescent="0.25">
      <c r="A6826" t="str">
        <f t="shared" si="164"/>
        <v>89301000</v>
      </c>
      <c r="B6826" t="str">
        <f>"5401050358"</f>
        <v>5401050358</v>
      </c>
      <c r="C6826" s="1">
        <v>45035</v>
      </c>
      <c r="D6826" s="1">
        <v>45036</v>
      </c>
      <c r="E6826">
        <v>1</v>
      </c>
      <c r="F6826" t="str">
        <f>"05-D01-08"</f>
        <v>05-D01-08</v>
      </c>
      <c r="G6826">
        <v>0.43159999999999998</v>
      </c>
      <c r="H6826" t="s">
        <v>11</v>
      </c>
      <c r="I6826" t="s">
        <v>10</v>
      </c>
    </row>
    <row r="6827" spans="1:9" x14ac:dyDescent="0.25">
      <c r="A6827" t="str">
        <f t="shared" si="164"/>
        <v>89301000</v>
      </c>
      <c r="B6827" t="str">
        <f>"5401050358"</f>
        <v>5401050358</v>
      </c>
      <c r="C6827" s="1">
        <v>45077</v>
      </c>
      <c r="D6827" s="1">
        <v>45085</v>
      </c>
      <c r="E6827">
        <v>1</v>
      </c>
      <c r="F6827" t="str">
        <f>"05-I16-07"</f>
        <v>05-I16-07</v>
      </c>
      <c r="G6827">
        <v>4.2047999999999996</v>
      </c>
      <c r="H6827" t="s">
        <v>14</v>
      </c>
      <c r="I6827" t="s">
        <v>10</v>
      </c>
    </row>
    <row r="6828" spans="1:9" x14ac:dyDescent="0.25">
      <c r="A6828" t="str">
        <f t="shared" si="164"/>
        <v>89301000</v>
      </c>
      <c r="B6828" t="str">
        <f>"5401051568"</f>
        <v>5401051568</v>
      </c>
      <c r="C6828" s="1">
        <v>45187</v>
      </c>
      <c r="D6828" s="1">
        <v>45188</v>
      </c>
      <c r="E6828">
        <v>1</v>
      </c>
      <c r="F6828" t="str">
        <f>"12-I14-00"</f>
        <v>12-I14-00</v>
      </c>
      <c r="G6828">
        <v>0.42920000000000003</v>
      </c>
      <c r="H6828" t="s">
        <v>11</v>
      </c>
      <c r="I6828" t="s">
        <v>10</v>
      </c>
    </row>
    <row r="6829" spans="1:9" x14ac:dyDescent="0.25">
      <c r="A6829" t="str">
        <f t="shared" si="164"/>
        <v>89301000</v>
      </c>
      <c r="B6829" t="str">
        <f>"5401053867"</f>
        <v>5401053867</v>
      </c>
      <c r="C6829" s="1">
        <v>45056</v>
      </c>
      <c r="D6829" s="1">
        <v>45058</v>
      </c>
      <c r="E6829">
        <v>1</v>
      </c>
      <c r="F6829" t="str">
        <f>"11-K07-02"</f>
        <v>11-K07-02</v>
      </c>
      <c r="G6829">
        <v>0.55010000000000003</v>
      </c>
      <c r="H6829" t="s">
        <v>11</v>
      </c>
      <c r="I6829" t="s">
        <v>10</v>
      </c>
    </row>
    <row r="6830" spans="1:9" x14ac:dyDescent="0.25">
      <c r="A6830" t="str">
        <f t="shared" si="164"/>
        <v>89301000</v>
      </c>
      <c r="B6830" t="str">
        <f>"5401061556"</f>
        <v>5401061556</v>
      </c>
      <c r="C6830" s="1">
        <v>45252</v>
      </c>
      <c r="D6830" s="1">
        <v>45259</v>
      </c>
      <c r="E6830">
        <v>1</v>
      </c>
      <c r="F6830" t="str">
        <f>"05-K05-05"</f>
        <v>05-K05-05</v>
      </c>
      <c r="G6830">
        <v>0.3579</v>
      </c>
      <c r="H6830" t="s">
        <v>11</v>
      </c>
      <c r="I6830" t="s">
        <v>10</v>
      </c>
    </row>
    <row r="6831" spans="1:9" x14ac:dyDescent="0.25">
      <c r="A6831" t="str">
        <f t="shared" si="164"/>
        <v>89301000</v>
      </c>
      <c r="B6831" t="str">
        <f>"5401091630"</f>
        <v>5401091630</v>
      </c>
      <c r="C6831" s="1">
        <v>45242</v>
      </c>
      <c r="D6831" s="1">
        <v>45246</v>
      </c>
      <c r="E6831">
        <v>3</v>
      </c>
      <c r="F6831" t="str">
        <f>"08-I06-05"</f>
        <v>08-I06-05</v>
      </c>
      <c r="G6831">
        <v>2.1507000000000001</v>
      </c>
      <c r="H6831" t="s">
        <v>9</v>
      </c>
      <c r="I6831" t="s">
        <v>10</v>
      </c>
    </row>
    <row r="6832" spans="1:9" x14ac:dyDescent="0.25">
      <c r="A6832" t="str">
        <f t="shared" si="164"/>
        <v>89301000</v>
      </c>
      <c r="B6832" t="str">
        <f>"5401091630"</f>
        <v>5401091630</v>
      </c>
      <c r="C6832" s="1">
        <v>45246</v>
      </c>
      <c r="D6832" s="1">
        <v>45258</v>
      </c>
      <c r="E6832">
        <v>1</v>
      </c>
      <c r="F6832" t="str">
        <f>"24-M07-02"</f>
        <v>24-M07-02</v>
      </c>
      <c r="G6832">
        <v>1.5729</v>
      </c>
      <c r="H6832" t="s">
        <v>11</v>
      </c>
      <c r="I6832" t="s">
        <v>10</v>
      </c>
    </row>
    <row r="6833" spans="1:9" x14ac:dyDescent="0.25">
      <c r="A6833" t="str">
        <f t="shared" si="164"/>
        <v>89301000</v>
      </c>
      <c r="B6833" t="str">
        <f>"5401130207"</f>
        <v>5401130207</v>
      </c>
      <c r="C6833" s="1">
        <v>44994</v>
      </c>
      <c r="D6833" s="1">
        <v>45000</v>
      </c>
      <c r="E6833">
        <v>1</v>
      </c>
      <c r="F6833" t="str">
        <f>"12-I03-01"</f>
        <v>12-I03-01</v>
      </c>
      <c r="G6833">
        <v>2.6934999999999998</v>
      </c>
      <c r="H6833" t="s">
        <v>9</v>
      </c>
      <c r="I6833" t="s">
        <v>10</v>
      </c>
    </row>
    <row r="6834" spans="1:9" x14ac:dyDescent="0.25">
      <c r="A6834" t="str">
        <f t="shared" si="164"/>
        <v>89301000</v>
      </c>
      <c r="B6834" t="str">
        <f>"5401171886"</f>
        <v>5401171886</v>
      </c>
      <c r="C6834" s="1">
        <v>45093</v>
      </c>
      <c r="D6834" s="1">
        <v>45121</v>
      </c>
      <c r="E6834">
        <v>1</v>
      </c>
      <c r="F6834" t="str">
        <f>"01-K18-03"</f>
        <v>01-K18-03</v>
      </c>
      <c r="G6834">
        <v>2.1404999999999998</v>
      </c>
      <c r="H6834" t="s">
        <v>11</v>
      </c>
      <c r="I6834" t="s">
        <v>10</v>
      </c>
    </row>
    <row r="6835" spans="1:9" x14ac:dyDescent="0.25">
      <c r="A6835" t="str">
        <f t="shared" si="164"/>
        <v>89301000</v>
      </c>
      <c r="B6835" t="str">
        <f>"5401171886"</f>
        <v>5401171886</v>
      </c>
      <c r="C6835" s="1">
        <v>44959</v>
      </c>
      <c r="D6835" s="1">
        <v>44967</v>
      </c>
      <c r="E6835">
        <v>2</v>
      </c>
      <c r="F6835" t="str">
        <f>"03-K02-02"</f>
        <v>03-K02-02</v>
      </c>
      <c r="G6835">
        <v>0.57650000000000001</v>
      </c>
      <c r="H6835" t="s">
        <v>11</v>
      </c>
      <c r="I6835" t="s">
        <v>10</v>
      </c>
    </row>
    <row r="6836" spans="1:9" x14ac:dyDescent="0.25">
      <c r="A6836" t="str">
        <f t="shared" si="164"/>
        <v>89301000</v>
      </c>
      <c r="B6836" t="str">
        <f>"5401171886"</f>
        <v>5401171886</v>
      </c>
      <c r="C6836" s="1">
        <v>44930</v>
      </c>
      <c r="D6836" s="1">
        <v>44946</v>
      </c>
      <c r="E6836">
        <v>3</v>
      </c>
      <c r="F6836" t="str">
        <f>"01-K10-03"</f>
        <v>01-K10-03</v>
      </c>
      <c r="G6836">
        <v>1.1995</v>
      </c>
      <c r="H6836" t="s">
        <v>11</v>
      </c>
      <c r="I6836" t="s">
        <v>10</v>
      </c>
    </row>
    <row r="6837" spans="1:9" x14ac:dyDescent="0.25">
      <c r="A6837" t="str">
        <f t="shared" si="164"/>
        <v>89301000</v>
      </c>
      <c r="B6837" t="str">
        <f>"5401171886"</f>
        <v>5401171886</v>
      </c>
      <c r="C6837" s="1">
        <v>44946</v>
      </c>
      <c r="D6837" s="1">
        <v>44959</v>
      </c>
      <c r="E6837">
        <v>3</v>
      </c>
      <c r="F6837" t="str">
        <f>"24-M07-01"</f>
        <v>24-M07-01</v>
      </c>
      <c r="G6837">
        <v>1.7825</v>
      </c>
      <c r="H6837" t="s">
        <v>11</v>
      </c>
      <c r="I6837" t="s">
        <v>10</v>
      </c>
    </row>
    <row r="6838" spans="1:9" x14ac:dyDescent="0.25">
      <c r="A6838" t="str">
        <f t="shared" si="164"/>
        <v>89301000</v>
      </c>
      <c r="B6838" t="str">
        <f>"5401172447"</f>
        <v>5401172447</v>
      </c>
      <c r="C6838" s="1">
        <v>45203</v>
      </c>
      <c r="D6838" s="1">
        <v>45205</v>
      </c>
      <c r="E6838">
        <v>4</v>
      </c>
      <c r="F6838" t="str">
        <f>"07-K04-04"</f>
        <v>07-K04-04</v>
      </c>
      <c r="G6838">
        <v>0.59309999999999996</v>
      </c>
      <c r="H6838" t="s">
        <v>11</v>
      </c>
      <c r="I6838" t="s">
        <v>10</v>
      </c>
    </row>
    <row r="6839" spans="1:9" x14ac:dyDescent="0.25">
      <c r="A6839" t="str">
        <f t="shared" si="164"/>
        <v>89301000</v>
      </c>
      <c r="B6839" t="str">
        <f>"5401172447"</f>
        <v>5401172447</v>
      </c>
      <c r="C6839" s="1">
        <v>45093</v>
      </c>
      <c r="D6839" s="1">
        <v>45096</v>
      </c>
      <c r="E6839">
        <v>1</v>
      </c>
      <c r="F6839" t="str">
        <f>"09-K01-02"</f>
        <v>09-K01-02</v>
      </c>
      <c r="G6839">
        <v>1.0014000000000001</v>
      </c>
      <c r="H6839" t="s">
        <v>11</v>
      </c>
      <c r="I6839" t="s">
        <v>10</v>
      </c>
    </row>
    <row r="6840" spans="1:9" x14ac:dyDescent="0.25">
      <c r="A6840" t="str">
        <f t="shared" si="164"/>
        <v>89301000</v>
      </c>
      <c r="B6840" t="str">
        <f>"5401180367"</f>
        <v>5401180367</v>
      </c>
      <c r="C6840" s="1">
        <v>44950</v>
      </c>
      <c r="D6840" s="1">
        <v>44951</v>
      </c>
      <c r="E6840">
        <v>1</v>
      </c>
      <c r="F6840" t="str">
        <f>"02-I06-04"</f>
        <v>02-I06-04</v>
      </c>
      <c r="G6840">
        <v>0.76139999999999997</v>
      </c>
      <c r="H6840" t="s">
        <v>12</v>
      </c>
      <c r="I6840" t="s">
        <v>10</v>
      </c>
    </row>
    <row r="6841" spans="1:9" x14ac:dyDescent="0.25">
      <c r="A6841" t="str">
        <f t="shared" si="164"/>
        <v>89301000</v>
      </c>
      <c r="B6841" t="str">
        <f>"5401180972"</f>
        <v>5401180972</v>
      </c>
      <c r="C6841" s="1">
        <v>45154</v>
      </c>
      <c r="D6841" s="1">
        <v>45175</v>
      </c>
      <c r="E6841">
        <v>4</v>
      </c>
      <c r="F6841" t="str">
        <f>"18-K01-04"</f>
        <v>18-K01-04</v>
      </c>
      <c r="G6841">
        <v>2.9117000000000002</v>
      </c>
      <c r="H6841" t="s">
        <v>11</v>
      </c>
      <c r="I6841" t="s">
        <v>10</v>
      </c>
    </row>
    <row r="6842" spans="1:9" x14ac:dyDescent="0.25">
      <c r="A6842" t="str">
        <f t="shared" si="164"/>
        <v>89301000</v>
      </c>
      <c r="B6842" t="str">
        <f>"5401243254"</f>
        <v>5401243254</v>
      </c>
      <c r="C6842" s="1">
        <v>45148</v>
      </c>
      <c r="D6842" s="1">
        <v>45154</v>
      </c>
      <c r="E6842">
        <v>1</v>
      </c>
      <c r="F6842" t="str">
        <f>"05-D01-06"</f>
        <v>05-D01-06</v>
      </c>
      <c r="G6842">
        <v>0.7571</v>
      </c>
      <c r="H6842" t="s">
        <v>11</v>
      </c>
      <c r="I6842" t="s">
        <v>10</v>
      </c>
    </row>
    <row r="6843" spans="1:9" x14ac:dyDescent="0.25">
      <c r="A6843" t="str">
        <f t="shared" si="164"/>
        <v>89301000</v>
      </c>
      <c r="B6843" t="str">
        <f>"5401281424"</f>
        <v>5401281424</v>
      </c>
      <c r="C6843" s="1">
        <v>45181</v>
      </c>
      <c r="D6843" s="1">
        <v>45183</v>
      </c>
      <c r="E6843">
        <v>1</v>
      </c>
      <c r="F6843" t="str">
        <f>"03-I19-03"</f>
        <v>03-I19-03</v>
      </c>
      <c r="G6843">
        <v>0.53249999999999997</v>
      </c>
      <c r="H6843" t="s">
        <v>11</v>
      </c>
      <c r="I6843" t="s">
        <v>10</v>
      </c>
    </row>
    <row r="6844" spans="1:9" x14ac:dyDescent="0.25">
      <c r="A6844" t="str">
        <f t="shared" si="164"/>
        <v>89301000</v>
      </c>
      <c r="B6844" t="str">
        <f>"5401310013"</f>
        <v>5401310013</v>
      </c>
      <c r="C6844" s="1">
        <v>44928</v>
      </c>
      <c r="D6844" s="1">
        <v>44928</v>
      </c>
      <c r="E6844">
        <v>1</v>
      </c>
      <c r="F6844" t="str">
        <f>"05-D01-08"</f>
        <v>05-D01-08</v>
      </c>
      <c r="G6844">
        <v>0.2303</v>
      </c>
      <c r="H6844" t="s">
        <v>11</v>
      </c>
      <c r="I6844" t="s">
        <v>10</v>
      </c>
    </row>
    <row r="6845" spans="1:9" x14ac:dyDescent="0.25">
      <c r="A6845" t="str">
        <f t="shared" si="164"/>
        <v>89301000</v>
      </c>
      <c r="B6845" t="str">
        <f>"5401310013"</f>
        <v>5401310013</v>
      </c>
      <c r="C6845" s="1">
        <v>45097</v>
      </c>
      <c r="D6845" s="1">
        <v>45103</v>
      </c>
      <c r="E6845">
        <v>1</v>
      </c>
      <c r="F6845" t="str">
        <f>"08-K08-00"</f>
        <v>08-K08-00</v>
      </c>
      <c r="G6845">
        <v>0.5272</v>
      </c>
      <c r="H6845" t="s">
        <v>11</v>
      </c>
      <c r="I6845" t="s">
        <v>10</v>
      </c>
    </row>
    <row r="6846" spans="1:9" x14ac:dyDescent="0.25">
      <c r="A6846" t="str">
        <f t="shared" si="164"/>
        <v>89301000</v>
      </c>
      <c r="B6846" t="str">
        <f>"5401310013"</f>
        <v>5401310013</v>
      </c>
      <c r="C6846" s="1">
        <v>44936</v>
      </c>
      <c r="D6846" s="1">
        <v>44945</v>
      </c>
      <c r="E6846">
        <v>1</v>
      </c>
      <c r="F6846" t="str">
        <f>"05-I16-06"</f>
        <v>05-I16-06</v>
      </c>
      <c r="G6846">
        <v>5.6303000000000001</v>
      </c>
      <c r="H6846" t="s">
        <v>14</v>
      </c>
      <c r="I6846" t="s">
        <v>10</v>
      </c>
    </row>
    <row r="6847" spans="1:9" x14ac:dyDescent="0.25">
      <c r="A6847" t="str">
        <f t="shared" si="164"/>
        <v>89301000</v>
      </c>
      <c r="B6847" t="str">
        <f>"5402040380"</f>
        <v>5402040380</v>
      </c>
      <c r="C6847" s="1">
        <v>45104</v>
      </c>
      <c r="D6847" s="1">
        <v>45105</v>
      </c>
      <c r="E6847">
        <v>1</v>
      </c>
      <c r="F6847" t="str">
        <f>"08-I17-02"</f>
        <v>08-I17-02</v>
      </c>
      <c r="G6847">
        <v>0.89680000000000004</v>
      </c>
      <c r="H6847" t="s">
        <v>11</v>
      </c>
      <c r="I6847" t="s">
        <v>10</v>
      </c>
    </row>
    <row r="6848" spans="1:9" x14ac:dyDescent="0.25">
      <c r="A6848" t="str">
        <f t="shared" si="164"/>
        <v>89301000</v>
      </c>
      <c r="B6848" t="str">
        <f>"5402091563"</f>
        <v>5402091563</v>
      </c>
      <c r="C6848" s="1">
        <v>45128</v>
      </c>
      <c r="D6848" s="1">
        <v>45135</v>
      </c>
      <c r="E6848">
        <v>1</v>
      </c>
      <c r="F6848" t="str">
        <f>"09-K01-02"</f>
        <v>09-K01-02</v>
      </c>
      <c r="G6848">
        <v>1.0348999999999999</v>
      </c>
      <c r="H6848" t="s">
        <v>11</v>
      </c>
      <c r="I6848" t="s">
        <v>10</v>
      </c>
    </row>
    <row r="6849" spans="1:9" x14ac:dyDescent="0.25">
      <c r="A6849" t="str">
        <f t="shared" si="164"/>
        <v>89301000</v>
      </c>
      <c r="B6849" t="str">
        <f>"5402091563"</f>
        <v>5402091563</v>
      </c>
      <c r="C6849" s="1">
        <v>45007</v>
      </c>
      <c r="D6849" s="1">
        <v>45012</v>
      </c>
      <c r="E6849">
        <v>1</v>
      </c>
      <c r="F6849" t="str">
        <f>"05-K07-04"</f>
        <v>05-K07-04</v>
      </c>
      <c r="G6849">
        <v>1.0598000000000001</v>
      </c>
      <c r="H6849" t="s">
        <v>11</v>
      </c>
      <c r="I6849" t="s">
        <v>10</v>
      </c>
    </row>
    <row r="6850" spans="1:9" x14ac:dyDescent="0.25">
      <c r="A6850" t="str">
        <f t="shared" si="164"/>
        <v>89301000</v>
      </c>
      <c r="B6850" t="str">
        <f>"5402132516"</f>
        <v>5402132516</v>
      </c>
      <c r="C6850" s="1">
        <v>45019</v>
      </c>
      <c r="D6850" s="1">
        <v>45027</v>
      </c>
      <c r="E6850">
        <v>1</v>
      </c>
      <c r="F6850" t="str">
        <f>"08-I04-02"</f>
        <v>08-I04-02</v>
      </c>
      <c r="G6850">
        <v>1.6229</v>
      </c>
      <c r="H6850" t="s">
        <v>14</v>
      </c>
      <c r="I6850" t="s">
        <v>10</v>
      </c>
    </row>
    <row r="6851" spans="1:9" x14ac:dyDescent="0.25">
      <c r="A6851" t="str">
        <f t="shared" si="164"/>
        <v>89301000</v>
      </c>
      <c r="B6851" t="str">
        <f>"5402140315"</f>
        <v>5402140315</v>
      </c>
      <c r="C6851" s="1">
        <v>44992</v>
      </c>
      <c r="D6851" s="1">
        <v>44993</v>
      </c>
      <c r="E6851">
        <v>1</v>
      </c>
      <c r="F6851" t="str">
        <f>"04-K15-03"</f>
        <v>04-K15-03</v>
      </c>
      <c r="G6851">
        <v>0.49790000000000001</v>
      </c>
      <c r="H6851" t="s">
        <v>11</v>
      </c>
      <c r="I6851" t="s">
        <v>10</v>
      </c>
    </row>
    <row r="6852" spans="1:9" x14ac:dyDescent="0.25">
      <c r="A6852" t="str">
        <f t="shared" si="164"/>
        <v>89301000</v>
      </c>
      <c r="B6852" t="str">
        <f>"5402140315"</f>
        <v>5402140315</v>
      </c>
      <c r="C6852" s="1">
        <v>45085</v>
      </c>
      <c r="D6852" s="1">
        <v>45089</v>
      </c>
      <c r="E6852">
        <v>1</v>
      </c>
      <c r="F6852" t="str">
        <f>"05-M03-00"</f>
        <v>05-M03-00</v>
      </c>
      <c r="G6852">
        <v>3.4253999999999998</v>
      </c>
      <c r="H6852" t="s">
        <v>14</v>
      </c>
      <c r="I6852" t="s">
        <v>10</v>
      </c>
    </row>
    <row r="6853" spans="1:9" x14ac:dyDescent="0.25">
      <c r="A6853" t="str">
        <f t="shared" si="164"/>
        <v>89301000</v>
      </c>
      <c r="B6853" t="str">
        <f>"5402190673"</f>
        <v>5402190673</v>
      </c>
      <c r="C6853" s="1">
        <v>44955</v>
      </c>
      <c r="D6853" s="1">
        <v>44957</v>
      </c>
      <c r="E6853">
        <v>1</v>
      </c>
      <c r="F6853" t="str">
        <f>"05-I14-03"</f>
        <v>05-I14-03</v>
      </c>
      <c r="G6853">
        <v>6.0362</v>
      </c>
      <c r="H6853" t="s">
        <v>12</v>
      </c>
      <c r="I6853" t="s">
        <v>10</v>
      </c>
    </row>
    <row r="6854" spans="1:9" x14ac:dyDescent="0.25">
      <c r="A6854" t="str">
        <f t="shared" si="164"/>
        <v>89301000</v>
      </c>
      <c r="B6854" t="str">
        <f>"5402190673"</f>
        <v>5402190673</v>
      </c>
      <c r="C6854" s="1">
        <v>45066</v>
      </c>
      <c r="D6854" s="1">
        <v>45089</v>
      </c>
      <c r="E6854">
        <v>4</v>
      </c>
      <c r="F6854" t="str">
        <f>"10-K04-02"</f>
        <v>10-K04-02</v>
      </c>
      <c r="G6854">
        <v>1.3422000000000001</v>
      </c>
      <c r="H6854" t="s">
        <v>11</v>
      </c>
      <c r="I6854" t="s">
        <v>10</v>
      </c>
    </row>
    <row r="6855" spans="1:9" x14ac:dyDescent="0.25">
      <c r="A6855" t="str">
        <f t="shared" si="164"/>
        <v>89301000</v>
      </c>
      <c r="B6855" t="str">
        <f>"5402280433"</f>
        <v>5402280433</v>
      </c>
      <c r="C6855" s="1">
        <v>44984</v>
      </c>
      <c r="D6855" s="1">
        <v>44985</v>
      </c>
      <c r="E6855">
        <v>1</v>
      </c>
      <c r="F6855" t="str">
        <f>"17-C05-05"</f>
        <v>17-C05-05</v>
      </c>
      <c r="G6855">
        <v>0.66069999999999995</v>
      </c>
      <c r="H6855" t="s">
        <v>11</v>
      </c>
      <c r="I6855" t="s">
        <v>10</v>
      </c>
    </row>
    <row r="6856" spans="1:9" x14ac:dyDescent="0.25">
      <c r="A6856" t="str">
        <f t="shared" si="164"/>
        <v>89301000</v>
      </c>
      <c r="B6856" t="str">
        <f>"5402280433"</f>
        <v>5402280433</v>
      </c>
      <c r="C6856" s="1">
        <v>44991</v>
      </c>
      <c r="D6856" s="1">
        <v>44996</v>
      </c>
      <c r="E6856">
        <v>1</v>
      </c>
      <c r="F6856" t="str">
        <f>"00-M10-01"</f>
        <v>00-M10-01</v>
      </c>
      <c r="G6856">
        <v>1.5888</v>
      </c>
      <c r="H6856" t="s">
        <v>14</v>
      </c>
      <c r="I6856" t="s">
        <v>10</v>
      </c>
    </row>
    <row r="6857" spans="1:9" x14ac:dyDescent="0.25">
      <c r="A6857" t="str">
        <f t="shared" ref="A6857:A6918" si="165">"89301000"</f>
        <v>89301000</v>
      </c>
      <c r="B6857" t="str">
        <f>"5402280433"</f>
        <v>5402280433</v>
      </c>
      <c r="C6857" s="1">
        <v>45048</v>
      </c>
      <c r="D6857" s="1">
        <v>45068</v>
      </c>
      <c r="E6857">
        <v>1</v>
      </c>
      <c r="F6857" t="str">
        <f>"00-M08-00"</f>
        <v>00-M08-00</v>
      </c>
      <c r="G6857">
        <v>4.2076000000000002</v>
      </c>
      <c r="H6857" t="s">
        <v>14</v>
      </c>
      <c r="I6857" t="s">
        <v>10</v>
      </c>
    </row>
    <row r="6858" spans="1:9" x14ac:dyDescent="0.25">
      <c r="A6858" t="str">
        <f t="shared" si="165"/>
        <v>89301000</v>
      </c>
      <c r="B6858" t="str">
        <f>"5403020480"</f>
        <v>5403020480</v>
      </c>
      <c r="C6858" s="1">
        <v>45136</v>
      </c>
      <c r="D6858" s="1">
        <v>45166</v>
      </c>
      <c r="E6858">
        <v>8</v>
      </c>
      <c r="F6858" t="str">
        <f>"04-K05-03"</f>
        <v>04-K05-03</v>
      </c>
      <c r="G6858">
        <v>1.9742</v>
      </c>
      <c r="H6858" t="s">
        <v>11</v>
      </c>
      <c r="I6858" t="s">
        <v>10</v>
      </c>
    </row>
    <row r="6859" spans="1:9" x14ac:dyDescent="0.25">
      <c r="A6859" t="str">
        <f t="shared" si="165"/>
        <v>89301000</v>
      </c>
      <c r="B6859" t="str">
        <f>"5403070794"</f>
        <v>5403070794</v>
      </c>
      <c r="C6859" s="1">
        <v>44960</v>
      </c>
      <c r="D6859" s="1">
        <v>44960</v>
      </c>
      <c r="E6859">
        <v>1</v>
      </c>
      <c r="F6859" t="str">
        <f>"05-D01-06"</f>
        <v>05-D01-06</v>
      </c>
      <c r="G6859">
        <v>0.4037</v>
      </c>
      <c r="H6859" t="s">
        <v>11</v>
      </c>
      <c r="I6859" t="s">
        <v>10</v>
      </c>
    </row>
    <row r="6860" spans="1:9" x14ac:dyDescent="0.25">
      <c r="A6860" t="str">
        <f t="shared" si="165"/>
        <v>89301000</v>
      </c>
      <c r="B6860" t="str">
        <f>"5403171752"</f>
        <v>5403171752</v>
      </c>
      <c r="C6860" s="1">
        <v>44925</v>
      </c>
      <c r="D6860" s="1">
        <v>44936</v>
      </c>
      <c r="E6860">
        <v>4</v>
      </c>
      <c r="F6860" t="str">
        <f>"08-I13-04"</f>
        <v>08-I13-04</v>
      </c>
      <c r="G6860">
        <v>4.1078000000000001</v>
      </c>
      <c r="H6860" t="s">
        <v>12</v>
      </c>
      <c r="I6860" t="s">
        <v>10</v>
      </c>
    </row>
    <row r="6861" spans="1:9" x14ac:dyDescent="0.25">
      <c r="A6861" t="str">
        <f t="shared" si="165"/>
        <v>89301000</v>
      </c>
      <c r="B6861" t="str">
        <f>"5403221571"</f>
        <v>5403221571</v>
      </c>
      <c r="C6861" s="1">
        <v>45075</v>
      </c>
      <c r="D6861" s="1">
        <v>45077</v>
      </c>
      <c r="E6861">
        <v>1</v>
      </c>
      <c r="F6861" t="str">
        <f>"05-K07-03"</f>
        <v>05-K07-03</v>
      </c>
      <c r="G6861">
        <v>1.3220000000000001</v>
      </c>
      <c r="H6861" t="s">
        <v>11</v>
      </c>
      <c r="I6861" t="s">
        <v>10</v>
      </c>
    </row>
    <row r="6862" spans="1:9" x14ac:dyDescent="0.25">
      <c r="A6862" t="str">
        <f t="shared" si="165"/>
        <v>89301000</v>
      </c>
      <c r="B6862" t="str">
        <f>"5403222220"</f>
        <v>5403222220</v>
      </c>
      <c r="C6862" s="1">
        <v>45139</v>
      </c>
      <c r="D6862" s="1">
        <v>45140</v>
      </c>
      <c r="E6862">
        <v>1</v>
      </c>
      <c r="F6862" t="str">
        <f>"17-K10-02"</f>
        <v>17-K10-02</v>
      </c>
      <c r="G6862">
        <v>0.63500000000000001</v>
      </c>
      <c r="H6862" t="s">
        <v>11</v>
      </c>
      <c r="I6862" t="s">
        <v>10</v>
      </c>
    </row>
    <row r="6863" spans="1:9" x14ac:dyDescent="0.25">
      <c r="A6863" t="str">
        <f t="shared" si="165"/>
        <v>89301000</v>
      </c>
      <c r="B6863" t="str">
        <f>"5403261391"</f>
        <v>5403261391</v>
      </c>
      <c r="C6863" s="1">
        <v>44950</v>
      </c>
      <c r="D6863" s="1">
        <v>44953</v>
      </c>
      <c r="E6863">
        <v>1</v>
      </c>
      <c r="F6863" t="str">
        <f>"03-I12-02"</f>
        <v>03-I12-02</v>
      </c>
      <c r="G6863">
        <v>1.3166</v>
      </c>
      <c r="H6863" t="s">
        <v>12</v>
      </c>
      <c r="I6863" t="s">
        <v>10</v>
      </c>
    </row>
    <row r="6864" spans="1:9" x14ac:dyDescent="0.25">
      <c r="A6864" t="str">
        <f t="shared" si="165"/>
        <v>89301000</v>
      </c>
      <c r="B6864" t="str">
        <f>"5403301134"</f>
        <v>5403301134</v>
      </c>
      <c r="C6864" s="1">
        <v>45202</v>
      </c>
      <c r="D6864" s="1">
        <v>45208</v>
      </c>
      <c r="E6864">
        <v>1</v>
      </c>
      <c r="F6864" t="str">
        <f>"11-K01-02"</f>
        <v>11-K01-02</v>
      </c>
      <c r="G6864">
        <v>0.86480000000000001</v>
      </c>
      <c r="H6864" t="s">
        <v>11</v>
      </c>
      <c r="I6864" t="s">
        <v>10</v>
      </c>
    </row>
    <row r="6865" spans="1:9" x14ac:dyDescent="0.25">
      <c r="A6865" t="str">
        <f t="shared" si="165"/>
        <v>89301000</v>
      </c>
      <c r="B6865" t="str">
        <f>"5404012592"</f>
        <v>5404012592</v>
      </c>
      <c r="C6865" s="1">
        <v>45118</v>
      </c>
      <c r="D6865" s="1">
        <v>45124</v>
      </c>
      <c r="E6865">
        <v>1</v>
      </c>
      <c r="F6865" t="str">
        <f>"12-M02-02"</f>
        <v>12-M02-02</v>
      </c>
      <c r="G6865">
        <v>0.95020000000000004</v>
      </c>
      <c r="H6865" t="s">
        <v>9</v>
      </c>
      <c r="I6865" t="s">
        <v>10</v>
      </c>
    </row>
    <row r="6866" spans="1:9" x14ac:dyDescent="0.25">
      <c r="A6866" t="str">
        <f t="shared" si="165"/>
        <v>89301000</v>
      </c>
      <c r="B6866" t="str">
        <f>"5404060563"</f>
        <v>5404060563</v>
      </c>
      <c r="C6866" s="1">
        <v>45181</v>
      </c>
      <c r="D6866" s="1">
        <v>45186</v>
      </c>
      <c r="E6866">
        <v>1</v>
      </c>
      <c r="F6866" t="str">
        <f>"07-I08-02"</f>
        <v>07-I08-02</v>
      </c>
      <c r="G6866">
        <v>3.2553000000000001</v>
      </c>
      <c r="H6866" t="s">
        <v>12</v>
      </c>
      <c r="I6866" t="s">
        <v>10</v>
      </c>
    </row>
    <row r="6867" spans="1:9" x14ac:dyDescent="0.25">
      <c r="A6867" t="str">
        <f t="shared" si="165"/>
        <v>89301000</v>
      </c>
      <c r="B6867" t="str">
        <f>"5404080220"</f>
        <v>5404080220</v>
      </c>
      <c r="C6867" s="1">
        <v>45264</v>
      </c>
      <c r="D6867" s="1">
        <v>45274</v>
      </c>
      <c r="E6867">
        <v>5</v>
      </c>
      <c r="F6867" t="str">
        <f>"04-I09-01"</f>
        <v>04-I09-01</v>
      </c>
      <c r="G6867">
        <v>2.6951000000000001</v>
      </c>
      <c r="H6867" t="s">
        <v>11</v>
      </c>
      <c r="I6867" t="s">
        <v>10</v>
      </c>
    </row>
    <row r="6868" spans="1:9" x14ac:dyDescent="0.25">
      <c r="A6868" t="str">
        <f t="shared" si="165"/>
        <v>89301000</v>
      </c>
      <c r="B6868" t="str">
        <f>"5404080220"</f>
        <v>5404080220</v>
      </c>
      <c r="C6868" s="1">
        <v>44988</v>
      </c>
      <c r="D6868" s="1">
        <v>44998</v>
      </c>
      <c r="E6868">
        <v>1</v>
      </c>
      <c r="F6868" t="str">
        <f>"02-K11-01"</f>
        <v>02-K11-01</v>
      </c>
      <c r="G6868">
        <v>0.87490000000000001</v>
      </c>
      <c r="H6868" t="s">
        <v>11</v>
      </c>
      <c r="I6868" t="s">
        <v>10</v>
      </c>
    </row>
    <row r="6869" spans="1:9" x14ac:dyDescent="0.25">
      <c r="A6869" t="str">
        <f t="shared" si="165"/>
        <v>89301000</v>
      </c>
      <c r="B6869" t="str">
        <f>"5404100559"</f>
        <v>5404100559</v>
      </c>
      <c r="C6869" s="1">
        <v>45181</v>
      </c>
      <c r="D6869" s="1">
        <v>45182</v>
      </c>
      <c r="E6869">
        <v>1</v>
      </c>
      <c r="F6869" t="str">
        <f>"05-M06-08"</f>
        <v>05-M06-08</v>
      </c>
      <c r="G6869">
        <v>1.4228000000000001</v>
      </c>
      <c r="H6869" t="s">
        <v>12</v>
      </c>
      <c r="I6869" t="s">
        <v>10</v>
      </c>
    </row>
    <row r="6870" spans="1:9" x14ac:dyDescent="0.25">
      <c r="A6870" t="str">
        <f t="shared" si="165"/>
        <v>89301000</v>
      </c>
      <c r="B6870" t="str">
        <f>"5404100559"</f>
        <v>5404100559</v>
      </c>
      <c r="C6870" s="1">
        <v>45118</v>
      </c>
      <c r="D6870" s="1">
        <v>45119</v>
      </c>
      <c r="E6870">
        <v>1</v>
      </c>
      <c r="F6870" t="str">
        <f>"05-D01-08"</f>
        <v>05-D01-08</v>
      </c>
      <c r="G6870">
        <v>0.43159999999999998</v>
      </c>
      <c r="H6870" t="s">
        <v>11</v>
      </c>
      <c r="I6870" t="s">
        <v>10</v>
      </c>
    </row>
    <row r="6871" spans="1:9" x14ac:dyDescent="0.25">
      <c r="A6871" t="str">
        <f t="shared" si="165"/>
        <v>89301000</v>
      </c>
      <c r="B6871" t="str">
        <f>"5404164590"</f>
        <v>5404164590</v>
      </c>
      <c r="C6871" s="1">
        <v>45242</v>
      </c>
      <c r="D6871" s="1">
        <v>45244</v>
      </c>
      <c r="E6871">
        <v>1</v>
      </c>
      <c r="F6871" t="str">
        <f>"05-I14-04"</f>
        <v>05-I14-04</v>
      </c>
      <c r="G6871">
        <v>5.2220000000000004</v>
      </c>
      <c r="H6871" t="s">
        <v>12</v>
      </c>
      <c r="I6871" t="s">
        <v>10</v>
      </c>
    </row>
    <row r="6872" spans="1:9" x14ac:dyDescent="0.25">
      <c r="A6872" t="str">
        <f t="shared" si="165"/>
        <v>89301000</v>
      </c>
      <c r="B6872" t="str">
        <f>"5404164590"</f>
        <v>5404164590</v>
      </c>
      <c r="C6872" s="1">
        <v>45233</v>
      </c>
      <c r="D6872" s="1">
        <v>45233</v>
      </c>
      <c r="E6872">
        <v>1</v>
      </c>
      <c r="F6872" t="str">
        <f>"05-D01-08"</f>
        <v>05-D01-08</v>
      </c>
      <c r="G6872">
        <v>0.2303</v>
      </c>
      <c r="H6872" t="s">
        <v>11</v>
      </c>
      <c r="I6872" t="s">
        <v>10</v>
      </c>
    </row>
    <row r="6873" spans="1:9" x14ac:dyDescent="0.25">
      <c r="A6873" t="str">
        <f t="shared" si="165"/>
        <v>89301000</v>
      </c>
      <c r="B6873" t="str">
        <f>"5404164590"</f>
        <v>5404164590</v>
      </c>
      <c r="C6873" s="1">
        <v>45173</v>
      </c>
      <c r="D6873" s="1">
        <v>45187</v>
      </c>
      <c r="E6873">
        <v>1</v>
      </c>
      <c r="F6873" t="str">
        <f>"11-M02-03"</f>
        <v>11-M02-03</v>
      </c>
      <c r="G6873">
        <v>2.6562000000000001</v>
      </c>
      <c r="H6873" t="s">
        <v>11</v>
      </c>
      <c r="I6873" t="s">
        <v>10</v>
      </c>
    </row>
    <row r="6874" spans="1:9" x14ac:dyDescent="0.25">
      <c r="A6874" t="str">
        <f t="shared" si="165"/>
        <v>89301000</v>
      </c>
      <c r="B6874" t="str">
        <f>"5404211549"</f>
        <v>5404211549</v>
      </c>
      <c r="C6874" s="1">
        <v>45193</v>
      </c>
      <c r="D6874" s="1">
        <v>45194</v>
      </c>
      <c r="E6874">
        <v>7</v>
      </c>
      <c r="F6874" t="str">
        <f>"07-K07-02"</f>
        <v>07-K07-02</v>
      </c>
      <c r="G6874">
        <v>0.4839</v>
      </c>
      <c r="H6874" t="s">
        <v>11</v>
      </c>
      <c r="I6874" t="s">
        <v>10</v>
      </c>
    </row>
    <row r="6875" spans="1:9" x14ac:dyDescent="0.25">
      <c r="A6875" t="str">
        <f t="shared" si="165"/>
        <v>89301000</v>
      </c>
      <c r="B6875" t="str">
        <f>"5404212979"</f>
        <v>5404212979</v>
      </c>
      <c r="C6875" s="1">
        <v>44966</v>
      </c>
      <c r="D6875" s="1">
        <v>44969</v>
      </c>
      <c r="E6875">
        <v>1</v>
      </c>
      <c r="F6875" t="str">
        <f>"05-I30-01"</f>
        <v>05-I30-01</v>
      </c>
      <c r="G6875">
        <v>0.60350000000000004</v>
      </c>
      <c r="H6875" t="s">
        <v>12</v>
      </c>
      <c r="I6875" t="s">
        <v>10</v>
      </c>
    </row>
    <row r="6876" spans="1:9" x14ac:dyDescent="0.25">
      <c r="A6876" t="str">
        <f t="shared" si="165"/>
        <v>89301000</v>
      </c>
      <c r="B6876" t="str">
        <f>"5404240468"</f>
        <v>5404240468</v>
      </c>
      <c r="C6876" s="1">
        <v>45267</v>
      </c>
      <c r="D6876" s="1">
        <v>45269</v>
      </c>
      <c r="E6876">
        <v>1</v>
      </c>
      <c r="F6876" t="str">
        <f>"08-M03-06"</f>
        <v>08-M03-06</v>
      </c>
      <c r="G6876">
        <v>0.3916</v>
      </c>
      <c r="H6876" t="s">
        <v>11</v>
      </c>
      <c r="I6876" t="s">
        <v>10</v>
      </c>
    </row>
    <row r="6877" spans="1:9" x14ac:dyDescent="0.25">
      <c r="A6877" t="str">
        <f t="shared" si="165"/>
        <v>89301000</v>
      </c>
      <c r="B6877" t="str">
        <f>"5404240468"</f>
        <v>5404240468</v>
      </c>
      <c r="C6877" s="1">
        <v>45222</v>
      </c>
      <c r="D6877" s="1">
        <v>45225</v>
      </c>
      <c r="E6877">
        <v>1</v>
      </c>
      <c r="F6877" t="str">
        <f>"08-K11-02"</f>
        <v>08-K11-02</v>
      </c>
      <c r="G6877">
        <v>0.57420000000000004</v>
      </c>
      <c r="H6877" t="s">
        <v>11</v>
      </c>
      <c r="I6877" t="s">
        <v>10</v>
      </c>
    </row>
    <row r="6878" spans="1:9" x14ac:dyDescent="0.25">
      <c r="A6878" t="str">
        <f t="shared" si="165"/>
        <v>89301000</v>
      </c>
      <c r="B6878" t="str">
        <f>"5404240941"</f>
        <v>5404240941</v>
      </c>
      <c r="C6878" s="1">
        <v>45054</v>
      </c>
      <c r="D6878" s="1">
        <v>45064</v>
      </c>
      <c r="E6878">
        <v>1</v>
      </c>
      <c r="F6878" t="str">
        <f>"11-K01-02"</f>
        <v>11-K01-02</v>
      </c>
      <c r="G6878">
        <v>0.86480000000000001</v>
      </c>
      <c r="H6878" t="s">
        <v>11</v>
      </c>
      <c r="I6878" t="s">
        <v>10</v>
      </c>
    </row>
    <row r="6879" spans="1:9" x14ac:dyDescent="0.25">
      <c r="A6879" t="str">
        <f t="shared" si="165"/>
        <v>89301000</v>
      </c>
      <c r="B6879" t="str">
        <f>"5404240941"</f>
        <v>5404240941</v>
      </c>
      <c r="C6879" s="1">
        <v>45015</v>
      </c>
      <c r="D6879" s="1">
        <v>45026</v>
      </c>
      <c r="E6879">
        <v>1</v>
      </c>
      <c r="F6879" t="str">
        <f>"11-I01-02"</f>
        <v>11-I01-02</v>
      </c>
      <c r="G6879">
        <v>4.8537999999999997</v>
      </c>
      <c r="H6879" t="s">
        <v>14</v>
      </c>
      <c r="I6879" t="s">
        <v>10</v>
      </c>
    </row>
    <row r="6880" spans="1:9" x14ac:dyDescent="0.25">
      <c r="A6880" t="str">
        <f t="shared" si="165"/>
        <v>89301000</v>
      </c>
      <c r="B6880" t="str">
        <f>"5404261170"</f>
        <v>5404261170</v>
      </c>
      <c r="C6880" s="1">
        <v>44992</v>
      </c>
      <c r="D6880" s="1">
        <v>44993</v>
      </c>
      <c r="E6880">
        <v>1</v>
      </c>
      <c r="F6880" t="str">
        <f>"02-M01-02"</f>
        <v>02-M01-02</v>
      </c>
      <c r="G6880">
        <v>0.63149999999999995</v>
      </c>
      <c r="H6880" t="s">
        <v>11</v>
      </c>
      <c r="I6880" t="s">
        <v>10</v>
      </c>
    </row>
    <row r="6881" spans="1:9" x14ac:dyDescent="0.25">
      <c r="A6881" t="str">
        <f t="shared" si="165"/>
        <v>89301000</v>
      </c>
      <c r="B6881" t="str">
        <f>"5404303278"</f>
        <v>5404303278</v>
      </c>
      <c r="C6881" s="1">
        <v>44992</v>
      </c>
      <c r="D6881" s="1">
        <v>44995</v>
      </c>
      <c r="E6881">
        <v>1</v>
      </c>
      <c r="F6881" t="str">
        <f>"05-M05-02"</f>
        <v>05-M05-02</v>
      </c>
      <c r="G6881">
        <v>3.4817999999999998</v>
      </c>
      <c r="H6881" t="s">
        <v>14</v>
      </c>
      <c r="I6881" t="s">
        <v>10</v>
      </c>
    </row>
    <row r="6882" spans="1:9" x14ac:dyDescent="0.25">
      <c r="A6882" t="str">
        <f t="shared" si="165"/>
        <v>89301000</v>
      </c>
      <c r="B6882" t="str">
        <f>"5404303278"</f>
        <v>5404303278</v>
      </c>
      <c r="C6882" s="1">
        <v>44929</v>
      </c>
      <c r="D6882" s="1">
        <v>44931</v>
      </c>
      <c r="E6882">
        <v>1</v>
      </c>
      <c r="F6882" t="str">
        <f>"05-M05-02"</f>
        <v>05-M05-02</v>
      </c>
      <c r="G6882">
        <v>3.4817999999999998</v>
      </c>
      <c r="H6882" t="s">
        <v>14</v>
      </c>
      <c r="I6882" t="s">
        <v>10</v>
      </c>
    </row>
    <row r="6883" spans="1:9" x14ac:dyDescent="0.25">
      <c r="A6883" t="str">
        <f t="shared" si="165"/>
        <v>89301000</v>
      </c>
      <c r="B6883" t="str">
        <f>"5405032468"</f>
        <v>5405032468</v>
      </c>
      <c r="C6883" s="1">
        <v>45259</v>
      </c>
      <c r="D6883" s="1">
        <v>45260</v>
      </c>
      <c r="E6883">
        <v>1</v>
      </c>
      <c r="F6883" t="str">
        <f>"10-K04-04"</f>
        <v>10-K04-04</v>
      </c>
      <c r="G6883">
        <v>0.53949999999999998</v>
      </c>
      <c r="H6883" t="s">
        <v>11</v>
      </c>
      <c r="I6883" t="s">
        <v>10</v>
      </c>
    </row>
    <row r="6884" spans="1:9" x14ac:dyDescent="0.25">
      <c r="A6884" t="str">
        <f t="shared" si="165"/>
        <v>89301000</v>
      </c>
      <c r="B6884" t="str">
        <f>"5405042830"</f>
        <v>5405042830</v>
      </c>
      <c r="C6884" s="1">
        <v>45155</v>
      </c>
      <c r="D6884" s="1">
        <v>45159</v>
      </c>
      <c r="E6884">
        <v>5</v>
      </c>
      <c r="F6884" t="str">
        <f>"05-M06-05"</f>
        <v>05-M06-05</v>
      </c>
      <c r="G6884">
        <v>2.3681000000000001</v>
      </c>
      <c r="H6884" t="s">
        <v>12</v>
      </c>
      <c r="I6884" t="s">
        <v>10</v>
      </c>
    </row>
    <row r="6885" spans="1:9" x14ac:dyDescent="0.25">
      <c r="A6885" t="str">
        <f t="shared" si="165"/>
        <v>89301000</v>
      </c>
      <c r="B6885" t="str">
        <f>"5405064159"</f>
        <v>5405064159</v>
      </c>
      <c r="C6885" s="1">
        <v>45232</v>
      </c>
      <c r="D6885" s="1">
        <v>45236</v>
      </c>
      <c r="E6885">
        <v>1</v>
      </c>
      <c r="F6885" t="str">
        <f>"01-K08-02"</f>
        <v>01-K08-02</v>
      </c>
      <c r="G6885">
        <v>0.60619999999999996</v>
      </c>
      <c r="H6885" t="s">
        <v>11</v>
      </c>
      <c r="I6885" t="s">
        <v>10</v>
      </c>
    </row>
    <row r="6886" spans="1:9" x14ac:dyDescent="0.25">
      <c r="A6886" t="str">
        <f t="shared" si="165"/>
        <v>89301000</v>
      </c>
      <c r="B6886" t="str">
        <f>"5405070407"</f>
        <v>5405070407</v>
      </c>
      <c r="C6886" s="1">
        <v>45085</v>
      </c>
      <c r="D6886" s="1">
        <v>45086</v>
      </c>
      <c r="E6886">
        <v>1</v>
      </c>
      <c r="F6886" t="str">
        <f>"05-M06-04"</f>
        <v>05-M06-04</v>
      </c>
      <c r="G6886">
        <v>2.4176000000000002</v>
      </c>
      <c r="H6886" t="s">
        <v>12</v>
      </c>
      <c r="I6886" t="s">
        <v>10</v>
      </c>
    </row>
    <row r="6887" spans="1:9" x14ac:dyDescent="0.25">
      <c r="A6887" t="str">
        <f t="shared" si="165"/>
        <v>89301000</v>
      </c>
      <c r="B6887" t="str">
        <f>"5405070407"</f>
        <v>5405070407</v>
      </c>
      <c r="C6887" s="1">
        <v>45109</v>
      </c>
      <c r="D6887" s="1">
        <v>45111</v>
      </c>
      <c r="E6887">
        <v>1</v>
      </c>
      <c r="F6887" t="str">
        <f>"05-I14-04"</f>
        <v>05-I14-04</v>
      </c>
      <c r="G6887">
        <v>5.2220000000000004</v>
      </c>
      <c r="H6887" t="s">
        <v>12</v>
      </c>
      <c r="I6887" t="s">
        <v>10</v>
      </c>
    </row>
    <row r="6888" spans="1:9" x14ac:dyDescent="0.25">
      <c r="A6888" t="str">
        <f t="shared" si="165"/>
        <v>89301000</v>
      </c>
      <c r="B6888" t="str">
        <f>"5405082551"</f>
        <v>5405082551</v>
      </c>
      <c r="C6888" s="1">
        <v>45101</v>
      </c>
      <c r="D6888" s="1">
        <v>45126</v>
      </c>
      <c r="E6888">
        <v>1</v>
      </c>
      <c r="F6888" t="str">
        <f>"17-K07-01"</f>
        <v>17-K07-01</v>
      </c>
      <c r="G6888">
        <v>5.1096000000000004</v>
      </c>
      <c r="H6888" t="s">
        <v>11</v>
      </c>
      <c r="I6888" t="s">
        <v>10</v>
      </c>
    </row>
    <row r="6889" spans="1:9" x14ac:dyDescent="0.25">
      <c r="A6889" t="str">
        <f t="shared" si="165"/>
        <v>89301000</v>
      </c>
      <c r="B6889" t="str">
        <f>"5405082551"</f>
        <v>5405082551</v>
      </c>
      <c r="C6889" s="1">
        <v>45224</v>
      </c>
      <c r="D6889" s="1">
        <v>45253</v>
      </c>
      <c r="E6889">
        <v>1</v>
      </c>
      <c r="F6889" t="str">
        <f>"17-K07-01"</f>
        <v>17-K07-01</v>
      </c>
      <c r="G6889">
        <v>4.1942000000000004</v>
      </c>
      <c r="H6889" t="s">
        <v>11</v>
      </c>
      <c r="I6889" t="s">
        <v>10</v>
      </c>
    </row>
    <row r="6890" spans="1:9" x14ac:dyDescent="0.25">
      <c r="A6890" t="str">
        <f t="shared" si="165"/>
        <v>89301000</v>
      </c>
      <c r="B6890" t="str">
        <f>"5405082551"</f>
        <v>5405082551</v>
      </c>
      <c r="C6890" s="1">
        <v>44943</v>
      </c>
      <c r="D6890" s="1">
        <v>44981</v>
      </c>
      <c r="E6890">
        <v>1</v>
      </c>
      <c r="F6890" t="str">
        <f>"00-M06-02"</f>
        <v>00-M06-02</v>
      </c>
      <c r="G6890">
        <v>20.672000000000001</v>
      </c>
      <c r="H6890" t="s">
        <v>12</v>
      </c>
      <c r="I6890" t="s">
        <v>10</v>
      </c>
    </row>
    <row r="6891" spans="1:9" x14ac:dyDescent="0.25">
      <c r="A6891" t="str">
        <f t="shared" si="165"/>
        <v>89301000</v>
      </c>
      <c r="B6891" t="str">
        <f>"5405091406"</f>
        <v>5405091406</v>
      </c>
      <c r="C6891" s="1">
        <v>44959</v>
      </c>
      <c r="D6891" s="1">
        <v>44965</v>
      </c>
      <c r="E6891">
        <v>1</v>
      </c>
      <c r="F6891" t="str">
        <f>"12-I03-01"</f>
        <v>12-I03-01</v>
      </c>
      <c r="G6891">
        <v>2.6934999999999998</v>
      </c>
      <c r="H6891" t="s">
        <v>9</v>
      </c>
      <c r="I6891" t="s">
        <v>10</v>
      </c>
    </row>
    <row r="6892" spans="1:9" x14ac:dyDescent="0.25">
      <c r="A6892" t="str">
        <f t="shared" si="165"/>
        <v>89301000</v>
      </c>
      <c r="B6892" t="str">
        <f t="shared" ref="B6892:B6902" si="166">"5405113131"</f>
        <v>5405113131</v>
      </c>
      <c r="C6892" s="1">
        <v>45204</v>
      </c>
      <c r="D6892" s="1">
        <v>45206</v>
      </c>
      <c r="E6892">
        <v>1</v>
      </c>
      <c r="F6892" t="str">
        <f t="shared" ref="F6892:F6902" si="167">"06-C02-01"</f>
        <v>06-C02-01</v>
      </c>
      <c r="G6892">
        <v>0.31909999999999999</v>
      </c>
      <c r="H6892" t="s">
        <v>11</v>
      </c>
      <c r="I6892" t="s">
        <v>10</v>
      </c>
    </row>
    <row r="6893" spans="1:9" x14ac:dyDescent="0.25">
      <c r="A6893" t="str">
        <f t="shared" si="165"/>
        <v>89301000</v>
      </c>
      <c r="B6893" t="str">
        <f t="shared" si="166"/>
        <v>5405113131</v>
      </c>
      <c r="C6893" s="1">
        <v>45250</v>
      </c>
      <c r="D6893" s="1">
        <v>45252</v>
      </c>
      <c r="E6893">
        <v>1</v>
      </c>
      <c r="F6893" t="str">
        <f t="shared" si="167"/>
        <v>06-C02-01</v>
      </c>
      <c r="G6893">
        <v>0.31909999999999999</v>
      </c>
      <c r="H6893" t="s">
        <v>11</v>
      </c>
      <c r="I6893" t="s">
        <v>10</v>
      </c>
    </row>
    <row r="6894" spans="1:9" x14ac:dyDescent="0.25">
      <c r="A6894" t="str">
        <f t="shared" si="165"/>
        <v>89301000</v>
      </c>
      <c r="B6894" t="str">
        <f t="shared" si="166"/>
        <v>5405113131</v>
      </c>
      <c r="C6894" s="1">
        <v>45278</v>
      </c>
      <c r="D6894" s="1">
        <v>45280</v>
      </c>
      <c r="E6894">
        <v>1</v>
      </c>
      <c r="F6894" t="str">
        <f t="shared" si="167"/>
        <v>06-C02-01</v>
      </c>
      <c r="G6894">
        <v>0.31909999999999999</v>
      </c>
      <c r="H6894" t="s">
        <v>11</v>
      </c>
      <c r="I6894" t="s">
        <v>10</v>
      </c>
    </row>
    <row r="6895" spans="1:9" x14ac:dyDescent="0.25">
      <c r="A6895" t="str">
        <f t="shared" si="165"/>
        <v>89301000</v>
      </c>
      <c r="B6895" t="str">
        <f t="shared" si="166"/>
        <v>5405113131</v>
      </c>
      <c r="C6895" s="1">
        <v>45264</v>
      </c>
      <c r="D6895" s="1">
        <v>45266</v>
      </c>
      <c r="E6895">
        <v>1</v>
      </c>
      <c r="F6895" t="str">
        <f t="shared" si="167"/>
        <v>06-C02-01</v>
      </c>
      <c r="G6895">
        <v>0.31909999999999999</v>
      </c>
      <c r="H6895" t="s">
        <v>11</v>
      </c>
      <c r="I6895" t="s">
        <v>10</v>
      </c>
    </row>
    <row r="6896" spans="1:9" x14ac:dyDescent="0.25">
      <c r="A6896" t="str">
        <f t="shared" si="165"/>
        <v>89301000</v>
      </c>
      <c r="B6896" t="str">
        <f t="shared" si="166"/>
        <v>5405113131</v>
      </c>
      <c r="C6896" s="1">
        <v>45232</v>
      </c>
      <c r="D6896" s="1">
        <v>45234</v>
      </c>
      <c r="E6896">
        <v>1</v>
      </c>
      <c r="F6896" t="str">
        <f t="shared" si="167"/>
        <v>06-C02-01</v>
      </c>
      <c r="G6896">
        <v>0.31909999999999999</v>
      </c>
      <c r="H6896" t="s">
        <v>11</v>
      </c>
      <c r="I6896" t="s">
        <v>10</v>
      </c>
    </row>
    <row r="6897" spans="1:9" x14ac:dyDescent="0.25">
      <c r="A6897" t="str">
        <f t="shared" si="165"/>
        <v>89301000</v>
      </c>
      <c r="B6897" t="str">
        <f t="shared" si="166"/>
        <v>5405113131</v>
      </c>
      <c r="C6897" s="1">
        <v>45218</v>
      </c>
      <c r="D6897" s="1">
        <v>45220</v>
      </c>
      <c r="E6897">
        <v>1</v>
      </c>
      <c r="F6897" t="str">
        <f t="shared" si="167"/>
        <v>06-C02-01</v>
      </c>
      <c r="G6897">
        <v>0.31909999999999999</v>
      </c>
      <c r="H6897" t="s">
        <v>11</v>
      </c>
      <c r="I6897" t="s">
        <v>10</v>
      </c>
    </row>
    <row r="6898" spans="1:9" x14ac:dyDescent="0.25">
      <c r="A6898" t="str">
        <f t="shared" si="165"/>
        <v>89301000</v>
      </c>
      <c r="B6898" t="str">
        <f t="shared" si="166"/>
        <v>5405113131</v>
      </c>
      <c r="C6898" s="1">
        <v>45190</v>
      </c>
      <c r="D6898" s="1">
        <v>45192</v>
      </c>
      <c r="E6898">
        <v>1</v>
      </c>
      <c r="F6898" t="str">
        <f t="shared" si="167"/>
        <v>06-C02-01</v>
      </c>
      <c r="G6898">
        <v>0.31909999999999999</v>
      </c>
      <c r="H6898" t="s">
        <v>11</v>
      </c>
      <c r="I6898" t="s">
        <v>10</v>
      </c>
    </row>
    <row r="6899" spans="1:9" x14ac:dyDescent="0.25">
      <c r="A6899" t="str">
        <f t="shared" si="165"/>
        <v>89301000</v>
      </c>
      <c r="B6899" t="str">
        <f t="shared" si="166"/>
        <v>5405113131</v>
      </c>
      <c r="C6899" s="1">
        <v>45176</v>
      </c>
      <c r="D6899" s="1">
        <v>45178</v>
      </c>
      <c r="E6899">
        <v>1</v>
      </c>
      <c r="F6899" t="str">
        <f t="shared" si="167"/>
        <v>06-C02-01</v>
      </c>
      <c r="G6899">
        <v>0.31909999999999999</v>
      </c>
      <c r="H6899" t="s">
        <v>11</v>
      </c>
      <c r="I6899" t="s">
        <v>10</v>
      </c>
    </row>
    <row r="6900" spans="1:9" x14ac:dyDescent="0.25">
      <c r="A6900" t="str">
        <f t="shared" si="165"/>
        <v>89301000</v>
      </c>
      <c r="B6900" t="str">
        <f t="shared" si="166"/>
        <v>5405113131</v>
      </c>
      <c r="C6900" s="1">
        <v>45162</v>
      </c>
      <c r="D6900" s="1">
        <v>45164</v>
      </c>
      <c r="E6900">
        <v>1</v>
      </c>
      <c r="F6900" t="str">
        <f t="shared" si="167"/>
        <v>06-C02-01</v>
      </c>
      <c r="G6900">
        <v>0.31909999999999999</v>
      </c>
      <c r="H6900" t="s">
        <v>11</v>
      </c>
      <c r="I6900" t="s">
        <v>10</v>
      </c>
    </row>
    <row r="6901" spans="1:9" x14ac:dyDescent="0.25">
      <c r="A6901" t="str">
        <f t="shared" si="165"/>
        <v>89301000</v>
      </c>
      <c r="B6901" t="str">
        <f t="shared" si="166"/>
        <v>5405113131</v>
      </c>
      <c r="C6901" s="1">
        <v>45147</v>
      </c>
      <c r="D6901" s="1">
        <v>45148</v>
      </c>
      <c r="E6901">
        <v>1</v>
      </c>
      <c r="F6901" t="str">
        <f t="shared" si="167"/>
        <v>06-C02-01</v>
      </c>
      <c r="G6901">
        <v>0.31909999999999999</v>
      </c>
      <c r="H6901" t="s">
        <v>11</v>
      </c>
      <c r="I6901" t="s">
        <v>10</v>
      </c>
    </row>
    <row r="6902" spans="1:9" x14ac:dyDescent="0.25">
      <c r="A6902" t="str">
        <f t="shared" si="165"/>
        <v>89301000</v>
      </c>
      <c r="B6902" t="str">
        <f t="shared" si="166"/>
        <v>5405113131</v>
      </c>
      <c r="C6902" s="1">
        <v>45133</v>
      </c>
      <c r="D6902" s="1">
        <v>45136</v>
      </c>
      <c r="E6902">
        <v>1</v>
      </c>
      <c r="F6902" t="str">
        <f t="shared" si="167"/>
        <v>06-C02-01</v>
      </c>
      <c r="G6902">
        <v>0.31909999999999999</v>
      </c>
      <c r="H6902" t="s">
        <v>11</v>
      </c>
      <c r="I6902" t="s">
        <v>10</v>
      </c>
    </row>
    <row r="6903" spans="1:9" x14ac:dyDescent="0.25">
      <c r="A6903" t="str">
        <f t="shared" si="165"/>
        <v>89301000</v>
      </c>
      <c r="B6903" t="str">
        <f>"5405130269"</f>
        <v>5405130269</v>
      </c>
      <c r="C6903" s="1">
        <v>45219</v>
      </c>
      <c r="D6903" s="1">
        <v>45220</v>
      </c>
      <c r="E6903">
        <v>1</v>
      </c>
      <c r="F6903" t="str">
        <f>"05-I14-04"</f>
        <v>05-I14-04</v>
      </c>
      <c r="G6903">
        <v>5.2220000000000004</v>
      </c>
      <c r="H6903" t="s">
        <v>12</v>
      </c>
      <c r="I6903" t="s">
        <v>10</v>
      </c>
    </row>
    <row r="6904" spans="1:9" x14ac:dyDescent="0.25">
      <c r="A6904" t="str">
        <f t="shared" si="165"/>
        <v>89301000</v>
      </c>
      <c r="B6904" t="str">
        <f>"5405170507"</f>
        <v>5405170507</v>
      </c>
      <c r="C6904" s="1">
        <v>45164</v>
      </c>
      <c r="D6904" s="1">
        <v>45203</v>
      </c>
      <c r="E6904">
        <v>1</v>
      </c>
      <c r="F6904" t="str">
        <f>"05-I25-01"</f>
        <v>05-I25-01</v>
      </c>
      <c r="G6904">
        <v>6.2571000000000003</v>
      </c>
      <c r="H6904" t="s">
        <v>12</v>
      </c>
      <c r="I6904" t="s">
        <v>10</v>
      </c>
    </row>
    <row r="6905" spans="1:9" x14ac:dyDescent="0.25">
      <c r="A6905" t="str">
        <f t="shared" si="165"/>
        <v>89301000</v>
      </c>
      <c r="B6905" t="str">
        <f>"5405170507"</f>
        <v>5405170507</v>
      </c>
      <c r="C6905" s="1">
        <v>45090</v>
      </c>
      <c r="D6905" s="1">
        <v>45092</v>
      </c>
      <c r="E6905">
        <v>1</v>
      </c>
      <c r="F6905" t="str">
        <f>"05-M05-02"</f>
        <v>05-M05-02</v>
      </c>
      <c r="G6905">
        <v>3.4817999999999998</v>
      </c>
      <c r="H6905" t="s">
        <v>14</v>
      </c>
      <c r="I6905" t="s">
        <v>10</v>
      </c>
    </row>
    <row r="6906" spans="1:9" x14ac:dyDescent="0.25">
      <c r="A6906" t="str">
        <f t="shared" si="165"/>
        <v>89301000</v>
      </c>
      <c r="B6906" t="str">
        <f>"5405190296"</f>
        <v>5405190296</v>
      </c>
      <c r="C6906" s="1">
        <v>44993</v>
      </c>
      <c r="D6906" s="1">
        <v>44993</v>
      </c>
      <c r="E6906">
        <v>1</v>
      </c>
      <c r="F6906" t="str">
        <f>"05-D01-08"</f>
        <v>05-D01-08</v>
      </c>
      <c r="G6906">
        <v>0.2303</v>
      </c>
      <c r="H6906" t="s">
        <v>11</v>
      </c>
      <c r="I6906" t="s">
        <v>10</v>
      </c>
    </row>
    <row r="6907" spans="1:9" x14ac:dyDescent="0.25">
      <c r="A6907" t="str">
        <f t="shared" si="165"/>
        <v>89301000</v>
      </c>
      <c r="B6907" t="str">
        <f>"5405190296"</f>
        <v>5405190296</v>
      </c>
      <c r="C6907" s="1">
        <v>45194</v>
      </c>
      <c r="D6907" s="1">
        <v>45196</v>
      </c>
      <c r="E6907">
        <v>1</v>
      </c>
      <c r="F6907" t="str">
        <f>"04-K09-03"</f>
        <v>04-K09-03</v>
      </c>
      <c r="G6907">
        <v>0.65600000000000003</v>
      </c>
      <c r="H6907" t="s">
        <v>11</v>
      </c>
      <c r="I6907" t="s">
        <v>10</v>
      </c>
    </row>
    <row r="6908" spans="1:9" x14ac:dyDescent="0.25">
      <c r="A6908" t="str">
        <f t="shared" si="165"/>
        <v>89301000</v>
      </c>
      <c r="B6908" t="str">
        <f>"5405220326"</f>
        <v>5405220326</v>
      </c>
      <c r="C6908" s="1">
        <v>45041</v>
      </c>
      <c r="D6908" s="1">
        <v>45045</v>
      </c>
      <c r="E6908">
        <v>8</v>
      </c>
      <c r="F6908" t="str">
        <f>"01-K11-02"</f>
        <v>01-K11-02</v>
      </c>
      <c r="G6908">
        <v>2.2850000000000001</v>
      </c>
      <c r="H6908" t="s">
        <v>11</v>
      </c>
      <c r="I6908" t="s">
        <v>10</v>
      </c>
    </row>
    <row r="6909" spans="1:9" x14ac:dyDescent="0.25">
      <c r="A6909" t="str">
        <f t="shared" si="165"/>
        <v>89301000</v>
      </c>
      <c r="B6909" t="str">
        <f>"5405220656"</f>
        <v>5405220656</v>
      </c>
      <c r="C6909" s="1">
        <v>45248</v>
      </c>
      <c r="D6909" s="1">
        <v>45251</v>
      </c>
      <c r="E6909">
        <v>5</v>
      </c>
      <c r="F6909" t="str">
        <f>"05-K03-02"</f>
        <v>05-K03-02</v>
      </c>
      <c r="G6909">
        <v>0.89</v>
      </c>
      <c r="H6909" t="s">
        <v>11</v>
      </c>
      <c r="I6909" t="s">
        <v>10</v>
      </c>
    </row>
    <row r="6910" spans="1:9" x14ac:dyDescent="0.25">
      <c r="A6910" t="str">
        <f t="shared" si="165"/>
        <v>89301000</v>
      </c>
      <c r="B6910" t="str">
        <f>"5405221129"</f>
        <v>5405221129</v>
      </c>
      <c r="C6910" s="1">
        <v>44961</v>
      </c>
      <c r="D6910" s="1">
        <v>44982</v>
      </c>
      <c r="E6910">
        <v>7</v>
      </c>
      <c r="F6910" t="str">
        <f>"00-M02-02"</f>
        <v>00-M02-02</v>
      </c>
      <c r="G6910">
        <v>18.759899999999998</v>
      </c>
      <c r="H6910" t="s">
        <v>11</v>
      </c>
      <c r="I6910" t="s">
        <v>10</v>
      </c>
    </row>
    <row r="6911" spans="1:9" x14ac:dyDescent="0.25">
      <c r="A6911" t="str">
        <f t="shared" si="165"/>
        <v>89301000</v>
      </c>
      <c r="B6911" t="str">
        <f>"5405250202"</f>
        <v>5405250202</v>
      </c>
      <c r="C6911" s="1">
        <v>45050</v>
      </c>
      <c r="D6911" s="1">
        <v>45054</v>
      </c>
      <c r="E6911">
        <v>1</v>
      </c>
      <c r="F6911" t="str">
        <f>"03-I12-02"</f>
        <v>03-I12-02</v>
      </c>
      <c r="G6911">
        <v>1.3028</v>
      </c>
      <c r="H6911" t="s">
        <v>12</v>
      </c>
      <c r="I6911" t="s">
        <v>10</v>
      </c>
    </row>
    <row r="6912" spans="1:9" x14ac:dyDescent="0.25">
      <c r="A6912" t="str">
        <f t="shared" si="165"/>
        <v>89301000</v>
      </c>
      <c r="B6912" t="str">
        <f>"5405280947"</f>
        <v>5405280947</v>
      </c>
      <c r="C6912" s="1">
        <v>45068</v>
      </c>
      <c r="D6912" s="1">
        <v>45070</v>
      </c>
      <c r="E6912">
        <v>5</v>
      </c>
      <c r="F6912" t="str">
        <f>"05-I21-02"</f>
        <v>05-I21-02</v>
      </c>
      <c r="G6912">
        <v>1.8880999999999999</v>
      </c>
      <c r="H6912" t="s">
        <v>12</v>
      </c>
      <c r="I6912" t="s">
        <v>10</v>
      </c>
    </row>
    <row r="6913" spans="1:9" x14ac:dyDescent="0.25">
      <c r="A6913" t="str">
        <f t="shared" si="165"/>
        <v>89301000</v>
      </c>
      <c r="B6913" t="str">
        <f>"5406021082"</f>
        <v>5406021082</v>
      </c>
      <c r="C6913" s="1">
        <v>45270</v>
      </c>
      <c r="D6913" s="1">
        <v>45272</v>
      </c>
      <c r="E6913">
        <v>1</v>
      </c>
      <c r="F6913" t="str">
        <f>"05-M05-02"</f>
        <v>05-M05-02</v>
      </c>
      <c r="G6913">
        <v>3.4817999999999998</v>
      </c>
      <c r="H6913" t="s">
        <v>14</v>
      </c>
      <c r="I6913" t="s">
        <v>10</v>
      </c>
    </row>
    <row r="6914" spans="1:9" x14ac:dyDescent="0.25">
      <c r="A6914" t="str">
        <f t="shared" si="165"/>
        <v>89301000</v>
      </c>
      <c r="B6914" t="str">
        <f>"5406033237"</f>
        <v>5406033237</v>
      </c>
      <c r="C6914" s="1">
        <v>45085</v>
      </c>
      <c r="D6914" s="1">
        <v>45089</v>
      </c>
      <c r="E6914">
        <v>1</v>
      </c>
      <c r="F6914" t="str">
        <f>"05-D01-08"</f>
        <v>05-D01-08</v>
      </c>
      <c r="G6914">
        <v>0.43159999999999998</v>
      </c>
      <c r="H6914" t="s">
        <v>11</v>
      </c>
      <c r="I6914" t="s">
        <v>10</v>
      </c>
    </row>
    <row r="6915" spans="1:9" x14ac:dyDescent="0.25">
      <c r="A6915" t="str">
        <f t="shared" si="165"/>
        <v>89301000</v>
      </c>
      <c r="B6915" t="str">
        <f>"5406041432"</f>
        <v>5406041432</v>
      </c>
      <c r="C6915" s="1">
        <v>45264</v>
      </c>
      <c r="D6915" s="1">
        <v>45264</v>
      </c>
      <c r="E6915">
        <v>1</v>
      </c>
      <c r="F6915" t="str">
        <f>"05-M06-08"</f>
        <v>05-M06-08</v>
      </c>
      <c r="G6915">
        <v>1.1012</v>
      </c>
      <c r="H6915" t="s">
        <v>12</v>
      </c>
      <c r="I6915" t="s">
        <v>10</v>
      </c>
    </row>
    <row r="6916" spans="1:9" x14ac:dyDescent="0.25">
      <c r="A6916" t="str">
        <f t="shared" si="165"/>
        <v>89301000</v>
      </c>
      <c r="B6916" t="str">
        <f>"5406060473"</f>
        <v>5406060473</v>
      </c>
      <c r="C6916" s="1">
        <v>45242</v>
      </c>
      <c r="D6916" s="1">
        <v>45245</v>
      </c>
      <c r="E6916">
        <v>1</v>
      </c>
      <c r="F6916" t="str">
        <f>"06-I22-01"</f>
        <v>06-I22-01</v>
      </c>
      <c r="G6916">
        <v>0.68120000000000003</v>
      </c>
      <c r="H6916" t="s">
        <v>12</v>
      </c>
      <c r="I6916" t="s">
        <v>10</v>
      </c>
    </row>
    <row r="6917" spans="1:9" x14ac:dyDescent="0.25">
      <c r="A6917" t="str">
        <f t="shared" si="165"/>
        <v>89301000</v>
      </c>
      <c r="B6917" t="str">
        <f>"5406080163"</f>
        <v>5406080163</v>
      </c>
      <c r="C6917" s="1">
        <v>45012</v>
      </c>
      <c r="D6917" s="1">
        <v>45022</v>
      </c>
      <c r="E6917">
        <v>4</v>
      </c>
      <c r="F6917" t="str">
        <f>"09-K01-01"</f>
        <v>09-K01-01</v>
      </c>
      <c r="G6917">
        <v>2.7812000000000001</v>
      </c>
      <c r="H6917" t="s">
        <v>11</v>
      </c>
      <c r="I6917" t="s">
        <v>10</v>
      </c>
    </row>
    <row r="6918" spans="1:9" x14ac:dyDescent="0.25">
      <c r="A6918" t="str">
        <f t="shared" si="165"/>
        <v>89301000</v>
      </c>
      <c r="B6918" t="str">
        <f>"5406080163"</f>
        <v>5406080163</v>
      </c>
      <c r="C6918" s="1">
        <v>44969</v>
      </c>
      <c r="D6918" s="1">
        <v>45000</v>
      </c>
      <c r="E6918">
        <v>1</v>
      </c>
      <c r="F6918" t="str">
        <f>"09-K01-02"</f>
        <v>09-K01-02</v>
      </c>
      <c r="G6918">
        <v>1.8761000000000001</v>
      </c>
      <c r="H6918" t="s">
        <v>11</v>
      </c>
      <c r="I6918" t="s">
        <v>10</v>
      </c>
    </row>
    <row r="6919" spans="1:9" x14ac:dyDescent="0.25">
      <c r="A6919" t="str">
        <f t="shared" ref="A6919:A6982" si="168">"89301000"</f>
        <v>89301000</v>
      </c>
      <c r="B6919" t="str">
        <f>"5406091845"</f>
        <v>5406091845</v>
      </c>
      <c r="C6919" s="1">
        <v>45226</v>
      </c>
      <c r="D6919" s="1">
        <v>45238</v>
      </c>
      <c r="E6919">
        <v>1</v>
      </c>
      <c r="F6919" t="str">
        <f>"24-M07-02"</f>
        <v>24-M07-02</v>
      </c>
      <c r="G6919">
        <v>1.5729</v>
      </c>
      <c r="H6919" t="s">
        <v>11</v>
      </c>
      <c r="I6919" t="s">
        <v>10</v>
      </c>
    </row>
    <row r="6920" spans="1:9" x14ac:dyDescent="0.25">
      <c r="A6920" t="str">
        <f t="shared" si="168"/>
        <v>89301000</v>
      </c>
      <c r="B6920" t="str">
        <f>"5406091845"</f>
        <v>5406091845</v>
      </c>
      <c r="C6920" s="1">
        <v>45197</v>
      </c>
      <c r="D6920" s="1">
        <v>45226</v>
      </c>
      <c r="E6920">
        <v>3</v>
      </c>
      <c r="F6920" t="str">
        <f>"01-K01-01"</f>
        <v>01-K01-01</v>
      </c>
      <c r="G6920">
        <v>2.1269</v>
      </c>
      <c r="H6920" t="s">
        <v>11</v>
      </c>
      <c r="I6920" t="s">
        <v>10</v>
      </c>
    </row>
    <row r="6921" spans="1:9" x14ac:dyDescent="0.25">
      <c r="A6921" t="str">
        <f t="shared" si="168"/>
        <v>89301000</v>
      </c>
      <c r="B6921" t="str">
        <f>"5406102020"</f>
        <v>5406102020</v>
      </c>
      <c r="C6921" s="1">
        <v>45126</v>
      </c>
      <c r="D6921" s="1">
        <v>45128</v>
      </c>
      <c r="E6921">
        <v>1</v>
      </c>
      <c r="F6921" t="str">
        <f>"11-K14-03"</f>
        <v>11-K14-03</v>
      </c>
      <c r="G6921">
        <v>0.30259999999999998</v>
      </c>
      <c r="H6921" t="s">
        <v>11</v>
      </c>
      <c r="I6921" t="s">
        <v>10</v>
      </c>
    </row>
    <row r="6922" spans="1:9" x14ac:dyDescent="0.25">
      <c r="A6922" t="str">
        <f t="shared" si="168"/>
        <v>89301000</v>
      </c>
      <c r="B6922" t="str">
        <f>"5406102053"</f>
        <v>5406102053</v>
      </c>
      <c r="C6922" s="1">
        <v>45220</v>
      </c>
      <c r="D6922" s="1">
        <v>45225</v>
      </c>
      <c r="E6922">
        <v>1</v>
      </c>
      <c r="F6922" t="str">
        <f>"04-K15-01"</f>
        <v>04-K15-01</v>
      </c>
      <c r="G6922">
        <v>2.5966999999999998</v>
      </c>
      <c r="H6922" t="s">
        <v>11</v>
      </c>
      <c r="I6922" t="s">
        <v>10</v>
      </c>
    </row>
    <row r="6923" spans="1:9" x14ac:dyDescent="0.25">
      <c r="A6923" t="str">
        <f t="shared" si="168"/>
        <v>89301000</v>
      </c>
      <c r="B6923" t="str">
        <f>"5406102053"</f>
        <v>5406102053</v>
      </c>
      <c r="C6923" s="1">
        <v>45190</v>
      </c>
      <c r="D6923" s="1">
        <v>45191</v>
      </c>
      <c r="E6923">
        <v>1</v>
      </c>
      <c r="F6923" t="str">
        <f>"16-K02-03"</f>
        <v>16-K02-03</v>
      </c>
      <c r="G6923">
        <v>0.46679999999999999</v>
      </c>
      <c r="H6923" t="s">
        <v>11</v>
      </c>
      <c r="I6923" t="s">
        <v>10</v>
      </c>
    </row>
    <row r="6924" spans="1:9" x14ac:dyDescent="0.25">
      <c r="A6924" t="str">
        <f t="shared" si="168"/>
        <v>89301000</v>
      </c>
      <c r="B6924" t="str">
        <f>"5406140003"</f>
        <v>5406140003</v>
      </c>
      <c r="C6924" s="1">
        <v>44977</v>
      </c>
      <c r="D6924" s="1">
        <v>44979</v>
      </c>
      <c r="E6924">
        <v>1</v>
      </c>
      <c r="F6924" t="str">
        <f>"05-I14-03"</f>
        <v>05-I14-03</v>
      </c>
      <c r="G6924">
        <v>6.0362</v>
      </c>
      <c r="H6924" t="s">
        <v>12</v>
      </c>
      <c r="I6924" t="s">
        <v>10</v>
      </c>
    </row>
    <row r="6925" spans="1:9" x14ac:dyDescent="0.25">
      <c r="A6925" t="str">
        <f t="shared" si="168"/>
        <v>89301000</v>
      </c>
      <c r="B6925" t="str">
        <f>"5406140003"</f>
        <v>5406140003</v>
      </c>
      <c r="C6925" s="1">
        <v>45266</v>
      </c>
      <c r="D6925" s="1">
        <v>45269</v>
      </c>
      <c r="E6925">
        <v>1</v>
      </c>
      <c r="F6925" t="str">
        <f>"05-M05-02"</f>
        <v>05-M05-02</v>
      </c>
      <c r="G6925">
        <v>3.4817999999999998</v>
      </c>
      <c r="H6925" t="s">
        <v>14</v>
      </c>
      <c r="I6925" t="s">
        <v>10</v>
      </c>
    </row>
    <row r="6926" spans="1:9" x14ac:dyDescent="0.25">
      <c r="A6926" t="str">
        <f t="shared" si="168"/>
        <v>89301000</v>
      </c>
      <c r="B6926" t="str">
        <f>"5406180736"</f>
        <v>5406180736</v>
      </c>
      <c r="C6926" s="1">
        <v>45118</v>
      </c>
      <c r="D6926" s="1">
        <v>45120</v>
      </c>
      <c r="E6926">
        <v>1</v>
      </c>
      <c r="F6926" t="str">
        <f>"06-K15-01"</f>
        <v>06-K15-01</v>
      </c>
      <c r="G6926">
        <v>0.58350000000000002</v>
      </c>
      <c r="H6926" t="s">
        <v>11</v>
      </c>
      <c r="I6926" t="s">
        <v>10</v>
      </c>
    </row>
    <row r="6927" spans="1:9" x14ac:dyDescent="0.25">
      <c r="A6927" t="str">
        <f t="shared" si="168"/>
        <v>89301000</v>
      </c>
      <c r="B6927" t="str">
        <f>"5406180736"</f>
        <v>5406180736</v>
      </c>
      <c r="C6927" s="1">
        <v>45056</v>
      </c>
      <c r="D6927" s="1">
        <v>45085</v>
      </c>
      <c r="E6927">
        <v>1</v>
      </c>
      <c r="F6927" t="str">
        <f>"08-K01-01"</f>
        <v>08-K01-01</v>
      </c>
      <c r="G6927">
        <v>2.3647</v>
      </c>
      <c r="H6927" t="s">
        <v>11</v>
      </c>
      <c r="I6927" t="s">
        <v>10</v>
      </c>
    </row>
    <row r="6928" spans="1:9" x14ac:dyDescent="0.25">
      <c r="A6928" t="str">
        <f t="shared" si="168"/>
        <v>89301000</v>
      </c>
      <c r="B6928" t="str">
        <f>"5406180736"</f>
        <v>5406180736</v>
      </c>
      <c r="C6928" s="1">
        <v>45167</v>
      </c>
      <c r="D6928" s="1">
        <v>45169</v>
      </c>
      <c r="E6928">
        <v>1</v>
      </c>
      <c r="F6928" t="str">
        <f>"11-M05-02"</f>
        <v>11-M05-02</v>
      </c>
      <c r="G6928">
        <v>0.6694</v>
      </c>
      <c r="H6928" t="s">
        <v>12</v>
      </c>
      <c r="I6928" t="s">
        <v>10</v>
      </c>
    </row>
    <row r="6929" spans="1:9" x14ac:dyDescent="0.25">
      <c r="A6929" t="str">
        <f t="shared" si="168"/>
        <v>89301000</v>
      </c>
      <c r="B6929" t="str">
        <f>"5406180736"</f>
        <v>5406180736</v>
      </c>
      <c r="C6929" s="1">
        <v>45145</v>
      </c>
      <c r="D6929" s="1">
        <v>45148</v>
      </c>
      <c r="E6929">
        <v>1</v>
      </c>
      <c r="F6929" t="str">
        <f>"06-K15-01"</f>
        <v>06-K15-01</v>
      </c>
      <c r="G6929">
        <v>0.60450000000000004</v>
      </c>
      <c r="H6929" t="s">
        <v>11</v>
      </c>
      <c r="I6929" t="s">
        <v>10</v>
      </c>
    </row>
    <row r="6930" spans="1:9" x14ac:dyDescent="0.25">
      <c r="A6930" t="str">
        <f t="shared" si="168"/>
        <v>89301000</v>
      </c>
      <c r="B6930" t="str">
        <f>"5406180736"</f>
        <v>5406180736</v>
      </c>
      <c r="C6930" s="1">
        <v>45180</v>
      </c>
      <c r="D6930" s="1">
        <v>45190</v>
      </c>
      <c r="E6930">
        <v>8</v>
      </c>
      <c r="F6930" t="str">
        <f>"11-K01-02"</f>
        <v>11-K01-02</v>
      </c>
      <c r="G6930">
        <v>0.86480000000000001</v>
      </c>
      <c r="H6930" t="s">
        <v>11</v>
      </c>
      <c r="I6930" t="s">
        <v>10</v>
      </c>
    </row>
    <row r="6931" spans="1:9" x14ac:dyDescent="0.25">
      <c r="A6931" t="str">
        <f t="shared" si="168"/>
        <v>89301000</v>
      </c>
      <c r="B6931" t="str">
        <f>"5406191978"</f>
        <v>5406191978</v>
      </c>
      <c r="C6931" s="1">
        <v>45039</v>
      </c>
      <c r="D6931" s="1">
        <v>45045</v>
      </c>
      <c r="E6931">
        <v>1</v>
      </c>
      <c r="F6931" t="str">
        <f>"12-I03-01"</f>
        <v>12-I03-01</v>
      </c>
      <c r="G6931">
        <v>2.6934999999999998</v>
      </c>
      <c r="H6931" t="s">
        <v>9</v>
      </c>
      <c r="I6931" t="s">
        <v>10</v>
      </c>
    </row>
    <row r="6932" spans="1:9" x14ac:dyDescent="0.25">
      <c r="A6932" t="str">
        <f t="shared" si="168"/>
        <v>89301000</v>
      </c>
      <c r="B6932" t="str">
        <f>"5406201856"</f>
        <v>5406201856</v>
      </c>
      <c r="C6932" s="1">
        <v>44929</v>
      </c>
      <c r="D6932" s="1">
        <v>44938</v>
      </c>
      <c r="E6932">
        <v>1</v>
      </c>
      <c r="F6932" t="str">
        <f>"05-I16-04"</f>
        <v>05-I16-04</v>
      </c>
      <c r="G6932">
        <v>5.8036000000000003</v>
      </c>
      <c r="H6932" t="s">
        <v>14</v>
      </c>
      <c r="I6932" t="s">
        <v>10</v>
      </c>
    </row>
    <row r="6933" spans="1:9" x14ac:dyDescent="0.25">
      <c r="A6933" t="str">
        <f t="shared" si="168"/>
        <v>89301000</v>
      </c>
      <c r="B6933" t="str">
        <f>"5406221810"</f>
        <v>5406221810</v>
      </c>
      <c r="C6933" s="1">
        <v>45138</v>
      </c>
      <c r="D6933" s="1">
        <v>45143</v>
      </c>
      <c r="E6933">
        <v>1</v>
      </c>
      <c r="F6933" t="str">
        <f>"12-I03-01"</f>
        <v>12-I03-01</v>
      </c>
      <c r="G6933">
        <v>2.6934999999999998</v>
      </c>
      <c r="H6933" t="s">
        <v>9</v>
      </c>
      <c r="I6933" t="s">
        <v>10</v>
      </c>
    </row>
    <row r="6934" spans="1:9" x14ac:dyDescent="0.25">
      <c r="A6934" t="str">
        <f t="shared" si="168"/>
        <v>89301000</v>
      </c>
      <c r="B6934" t="str">
        <f>"5406250344"</f>
        <v>5406250344</v>
      </c>
      <c r="C6934" s="1">
        <v>45065</v>
      </c>
      <c r="D6934" s="1">
        <v>45069</v>
      </c>
      <c r="E6934">
        <v>1</v>
      </c>
      <c r="F6934" t="str">
        <f>"05-M06-06"</f>
        <v>05-M06-06</v>
      </c>
      <c r="G6934">
        <v>1.8264</v>
      </c>
      <c r="H6934" t="s">
        <v>12</v>
      </c>
      <c r="I6934" t="s">
        <v>10</v>
      </c>
    </row>
    <row r="6935" spans="1:9" x14ac:dyDescent="0.25">
      <c r="A6935" t="str">
        <f t="shared" si="168"/>
        <v>89301000</v>
      </c>
      <c r="B6935" t="str">
        <f>"5406272267"</f>
        <v>5406272267</v>
      </c>
      <c r="C6935" s="1">
        <v>45144</v>
      </c>
      <c r="D6935" s="1">
        <v>45150</v>
      </c>
      <c r="E6935">
        <v>1</v>
      </c>
      <c r="F6935" t="str">
        <f>"12-I03-01"</f>
        <v>12-I03-01</v>
      </c>
      <c r="G6935">
        <v>2.6934999999999998</v>
      </c>
      <c r="H6935" t="s">
        <v>9</v>
      </c>
      <c r="I6935" t="s">
        <v>10</v>
      </c>
    </row>
    <row r="6936" spans="1:9" x14ac:dyDescent="0.25">
      <c r="A6936" t="str">
        <f t="shared" si="168"/>
        <v>89301000</v>
      </c>
      <c r="B6936" t="str">
        <f>"5407010587"</f>
        <v>5407010587</v>
      </c>
      <c r="C6936" s="1">
        <v>44941</v>
      </c>
      <c r="D6936" s="1">
        <v>44949</v>
      </c>
      <c r="E6936">
        <v>4</v>
      </c>
      <c r="F6936" t="str">
        <f>"08-I06-04"</f>
        <v>08-I06-04</v>
      </c>
      <c r="G6936">
        <v>1.5186999999999999</v>
      </c>
      <c r="H6936" t="s">
        <v>9</v>
      </c>
      <c r="I6936" t="s">
        <v>10</v>
      </c>
    </row>
    <row r="6937" spans="1:9" x14ac:dyDescent="0.25">
      <c r="A6937" t="str">
        <f t="shared" si="168"/>
        <v>89301000</v>
      </c>
      <c r="B6937" t="str">
        <f>"5407053894"</f>
        <v>5407053894</v>
      </c>
      <c r="C6937" s="1">
        <v>44939</v>
      </c>
      <c r="D6937" s="1">
        <v>44940</v>
      </c>
      <c r="E6937">
        <v>1</v>
      </c>
      <c r="F6937" t="str">
        <f>"05-D01-06"</f>
        <v>05-D01-06</v>
      </c>
      <c r="G6937">
        <v>0.7571</v>
      </c>
      <c r="H6937" t="s">
        <v>11</v>
      </c>
      <c r="I6937" t="s">
        <v>10</v>
      </c>
    </row>
    <row r="6938" spans="1:9" x14ac:dyDescent="0.25">
      <c r="A6938" t="str">
        <f t="shared" si="168"/>
        <v>89301000</v>
      </c>
      <c r="B6938" t="str">
        <f>"5407053894"</f>
        <v>5407053894</v>
      </c>
      <c r="C6938" s="1">
        <v>44992</v>
      </c>
      <c r="D6938" s="1">
        <v>44994</v>
      </c>
      <c r="E6938">
        <v>1</v>
      </c>
      <c r="F6938" t="str">
        <f>"05-I14-03"</f>
        <v>05-I14-03</v>
      </c>
      <c r="G6938">
        <v>6.0362</v>
      </c>
      <c r="H6938" t="s">
        <v>12</v>
      </c>
      <c r="I6938" t="s">
        <v>10</v>
      </c>
    </row>
    <row r="6939" spans="1:9" x14ac:dyDescent="0.25">
      <c r="A6939" t="str">
        <f t="shared" si="168"/>
        <v>89301000</v>
      </c>
      <c r="B6939" t="str">
        <f>"5407091327"</f>
        <v>5407091327</v>
      </c>
      <c r="C6939" s="1">
        <v>45154</v>
      </c>
      <c r="D6939" s="1">
        <v>45162</v>
      </c>
      <c r="E6939">
        <v>4</v>
      </c>
      <c r="F6939" t="str">
        <f>"04-K06-03"</f>
        <v>04-K06-03</v>
      </c>
      <c r="G6939">
        <v>0.62519999999999998</v>
      </c>
      <c r="H6939" t="s">
        <v>11</v>
      </c>
      <c r="I6939" t="s">
        <v>10</v>
      </c>
    </row>
    <row r="6940" spans="1:9" x14ac:dyDescent="0.25">
      <c r="A6940" t="str">
        <f t="shared" si="168"/>
        <v>89301000</v>
      </c>
      <c r="B6940" t="str">
        <f>"5407091327"</f>
        <v>5407091327</v>
      </c>
      <c r="C6940" s="1">
        <v>45226</v>
      </c>
      <c r="D6940" s="1">
        <v>45237</v>
      </c>
      <c r="E6940">
        <v>4</v>
      </c>
      <c r="F6940" t="str">
        <f>"04-K02-03"</f>
        <v>04-K02-03</v>
      </c>
      <c r="G6940">
        <v>1.298</v>
      </c>
      <c r="H6940" t="s">
        <v>11</v>
      </c>
      <c r="I6940" t="s">
        <v>10</v>
      </c>
    </row>
    <row r="6941" spans="1:9" x14ac:dyDescent="0.25">
      <c r="A6941" t="str">
        <f t="shared" si="168"/>
        <v>89301000</v>
      </c>
      <c r="B6941" t="str">
        <f>"5407103801"</f>
        <v>5407103801</v>
      </c>
      <c r="C6941" s="1">
        <v>45000</v>
      </c>
      <c r="D6941" s="1">
        <v>45016</v>
      </c>
      <c r="E6941">
        <v>1</v>
      </c>
      <c r="F6941" t="str">
        <f>"08-I03-03"</f>
        <v>08-I03-03</v>
      </c>
      <c r="G6941">
        <v>4.9530000000000003</v>
      </c>
      <c r="H6941" t="s">
        <v>9</v>
      </c>
      <c r="I6941" t="s">
        <v>10</v>
      </c>
    </row>
    <row r="6942" spans="1:9" x14ac:dyDescent="0.25">
      <c r="A6942" t="str">
        <f t="shared" si="168"/>
        <v>89301000</v>
      </c>
      <c r="B6942" t="str">
        <f>"5407280571"</f>
        <v>5407280571</v>
      </c>
      <c r="C6942" s="1">
        <v>44997</v>
      </c>
      <c r="D6942" s="1">
        <v>45007</v>
      </c>
      <c r="E6942">
        <v>1</v>
      </c>
      <c r="F6942" t="str">
        <f>"05-I18-04"</f>
        <v>05-I18-04</v>
      </c>
      <c r="G6942">
        <v>3.3858000000000001</v>
      </c>
      <c r="H6942" t="s">
        <v>12</v>
      </c>
      <c r="I6942" t="s">
        <v>10</v>
      </c>
    </row>
    <row r="6943" spans="1:9" x14ac:dyDescent="0.25">
      <c r="A6943" t="str">
        <f t="shared" si="168"/>
        <v>89301000</v>
      </c>
      <c r="B6943" t="str">
        <f>"5407292517"</f>
        <v>5407292517</v>
      </c>
      <c r="C6943" s="1">
        <v>45034</v>
      </c>
      <c r="D6943" s="1">
        <v>45040</v>
      </c>
      <c r="E6943">
        <v>4</v>
      </c>
      <c r="F6943" t="str">
        <f>"08-I06-04"</f>
        <v>08-I06-04</v>
      </c>
      <c r="G6943">
        <v>2.3740999999999999</v>
      </c>
      <c r="H6943" t="s">
        <v>9</v>
      </c>
      <c r="I6943" t="s">
        <v>10</v>
      </c>
    </row>
    <row r="6944" spans="1:9" x14ac:dyDescent="0.25">
      <c r="A6944" t="str">
        <f t="shared" si="168"/>
        <v>89301000</v>
      </c>
      <c r="B6944" t="str">
        <f>"5408021432"</f>
        <v>5408021432</v>
      </c>
      <c r="C6944" s="1">
        <v>45203</v>
      </c>
      <c r="D6944" s="1">
        <v>45204</v>
      </c>
      <c r="E6944">
        <v>1</v>
      </c>
      <c r="F6944" t="str">
        <f>"04-K15-03"</f>
        <v>04-K15-03</v>
      </c>
      <c r="G6944">
        <v>0.49790000000000001</v>
      </c>
      <c r="H6944" t="s">
        <v>11</v>
      </c>
      <c r="I6944" t="s">
        <v>10</v>
      </c>
    </row>
    <row r="6945" spans="1:9" x14ac:dyDescent="0.25">
      <c r="A6945" t="str">
        <f t="shared" si="168"/>
        <v>89301000</v>
      </c>
      <c r="B6945" t="str">
        <f>"5408040220"</f>
        <v>5408040220</v>
      </c>
      <c r="C6945" s="1">
        <v>44924</v>
      </c>
      <c r="D6945" s="1">
        <v>44930</v>
      </c>
      <c r="E6945">
        <v>1</v>
      </c>
      <c r="F6945" t="str">
        <f>"01-K10-03"</f>
        <v>01-K10-03</v>
      </c>
      <c r="G6945">
        <v>1.0443</v>
      </c>
      <c r="H6945" t="s">
        <v>11</v>
      </c>
      <c r="I6945" t="s">
        <v>10</v>
      </c>
    </row>
    <row r="6946" spans="1:9" x14ac:dyDescent="0.25">
      <c r="A6946" t="str">
        <f t="shared" si="168"/>
        <v>89301000</v>
      </c>
      <c r="B6946" t="str">
        <f>"5408070877"</f>
        <v>5408070877</v>
      </c>
      <c r="C6946" s="1">
        <v>45172</v>
      </c>
      <c r="D6946" s="1">
        <v>45176</v>
      </c>
      <c r="E6946">
        <v>1</v>
      </c>
      <c r="F6946" t="str">
        <f>"06-I16-04"</f>
        <v>06-I16-04</v>
      </c>
      <c r="G6946">
        <v>0.68920000000000003</v>
      </c>
      <c r="H6946" t="s">
        <v>9</v>
      </c>
      <c r="I6946" t="s">
        <v>10</v>
      </c>
    </row>
    <row r="6947" spans="1:9" x14ac:dyDescent="0.25">
      <c r="A6947" t="str">
        <f t="shared" si="168"/>
        <v>89301000</v>
      </c>
      <c r="B6947" t="str">
        <f>"5408100918"</f>
        <v>5408100918</v>
      </c>
      <c r="C6947" s="1">
        <v>45117</v>
      </c>
      <c r="D6947" s="1">
        <v>45119</v>
      </c>
      <c r="E6947">
        <v>1</v>
      </c>
      <c r="F6947" t="str">
        <f>"09-I13-04"</f>
        <v>09-I13-04</v>
      </c>
      <c r="G6947">
        <v>0.54139999999999999</v>
      </c>
      <c r="H6947" t="s">
        <v>11</v>
      </c>
      <c r="I6947" t="s">
        <v>10</v>
      </c>
    </row>
    <row r="6948" spans="1:9" x14ac:dyDescent="0.25">
      <c r="A6948" t="str">
        <f t="shared" si="168"/>
        <v>89301000</v>
      </c>
      <c r="B6948" t="str">
        <f>"5408110653"</f>
        <v>5408110653</v>
      </c>
      <c r="C6948" s="1">
        <v>45090</v>
      </c>
      <c r="D6948" s="1">
        <v>45097</v>
      </c>
      <c r="E6948">
        <v>1</v>
      </c>
      <c r="F6948" t="str">
        <f>"04-K02-04"</f>
        <v>04-K02-04</v>
      </c>
      <c r="G6948">
        <v>0.82099999999999995</v>
      </c>
      <c r="H6948" t="s">
        <v>11</v>
      </c>
      <c r="I6948" t="s">
        <v>10</v>
      </c>
    </row>
    <row r="6949" spans="1:9" x14ac:dyDescent="0.25">
      <c r="A6949" t="str">
        <f t="shared" si="168"/>
        <v>89301000</v>
      </c>
      <c r="B6949" t="str">
        <f>"5408163761"</f>
        <v>5408163761</v>
      </c>
      <c r="C6949" s="1">
        <v>45251</v>
      </c>
      <c r="D6949" s="1">
        <v>45251</v>
      </c>
      <c r="E6949">
        <v>1</v>
      </c>
      <c r="F6949" t="str">
        <f>"05-M06-08"</f>
        <v>05-M06-08</v>
      </c>
      <c r="G6949">
        <v>1.1012</v>
      </c>
      <c r="H6949" t="s">
        <v>12</v>
      </c>
      <c r="I6949" t="s">
        <v>10</v>
      </c>
    </row>
    <row r="6950" spans="1:9" x14ac:dyDescent="0.25">
      <c r="A6950" t="str">
        <f t="shared" si="168"/>
        <v>89301000</v>
      </c>
      <c r="B6950" t="str">
        <f>"5408180426"</f>
        <v>5408180426</v>
      </c>
      <c r="C6950" s="1">
        <v>44946</v>
      </c>
      <c r="D6950" s="1">
        <v>44951</v>
      </c>
      <c r="E6950">
        <v>8</v>
      </c>
      <c r="F6950" t="str">
        <f>"00-M01-03"</f>
        <v>00-M01-03</v>
      </c>
      <c r="G6950">
        <v>10.3605</v>
      </c>
      <c r="H6950" t="s">
        <v>11</v>
      </c>
      <c r="I6950" t="s">
        <v>10</v>
      </c>
    </row>
    <row r="6951" spans="1:9" x14ac:dyDescent="0.25">
      <c r="A6951" t="str">
        <f t="shared" si="168"/>
        <v>89301000</v>
      </c>
      <c r="B6951" t="str">
        <f>"5408230344"</f>
        <v>5408230344</v>
      </c>
      <c r="C6951" s="1">
        <v>45008</v>
      </c>
      <c r="D6951" s="1">
        <v>45012</v>
      </c>
      <c r="E6951">
        <v>1</v>
      </c>
      <c r="F6951" t="str">
        <f>"07-I10-06"</f>
        <v>07-I10-06</v>
      </c>
      <c r="G6951">
        <v>0.98419999999999996</v>
      </c>
      <c r="H6951" t="s">
        <v>12</v>
      </c>
      <c r="I6951" t="s">
        <v>10</v>
      </c>
    </row>
    <row r="6952" spans="1:9" x14ac:dyDescent="0.25">
      <c r="A6952" t="str">
        <f t="shared" si="168"/>
        <v>89301000</v>
      </c>
      <c r="B6952" t="str">
        <f>"5409012972"</f>
        <v>5409012972</v>
      </c>
      <c r="C6952" s="1">
        <v>44977</v>
      </c>
      <c r="D6952" s="1">
        <v>44983</v>
      </c>
      <c r="E6952">
        <v>1</v>
      </c>
      <c r="F6952" t="str">
        <f>"08-I04-02"</f>
        <v>08-I04-02</v>
      </c>
      <c r="G6952">
        <v>1.6229</v>
      </c>
      <c r="H6952" t="s">
        <v>14</v>
      </c>
      <c r="I6952" t="s">
        <v>10</v>
      </c>
    </row>
    <row r="6953" spans="1:9" x14ac:dyDescent="0.25">
      <c r="A6953" t="str">
        <f t="shared" si="168"/>
        <v>89301000</v>
      </c>
      <c r="B6953" t="str">
        <f>"5409012972"</f>
        <v>5409012972</v>
      </c>
      <c r="C6953" s="1">
        <v>45271</v>
      </c>
      <c r="D6953" s="1">
        <v>45276</v>
      </c>
      <c r="E6953">
        <v>1</v>
      </c>
      <c r="F6953" t="str">
        <f>"12-I03-01"</f>
        <v>12-I03-01</v>
      </c>
      <c r="G6953">
        <v>2.6934999999999998</v>
      </c>
      <c r="H6953" t="s">
        <v>9</v>
      </c>
      <c r="I6953" t="s">
        <v>10</v>
      </c>
    </row>
    <row r="6954" spans="1:9" x14ac:dyDescent="0.25">
      <c r="A6954" t="str">
        <f t="shared" si="168"/>
        <v>89301000</v>
      </c>
      <c r="B6954" t="str">
        <f>"5409022707"</f>
        <v>5409022707</v>
      </c>
      <c r="C6954" s="1">
        <v>45140</v>
      </c>
      <c r="D6954" s="1">
        <v>45153</v>
      </c>
      <c r="E6954">
        <v>1</v>
      </c>
      <c r="F6954" t="str">
        <f>"06-I04-03"</f>
        <v>06-I04-03</v>
      </c>
      <c r="G6954">
        <v>4.1456999999999997</v>
      </c>
      <c r="H6954" t="s">
        <v>12</v>
      </c>
      <c r="I6954" t="s">
        <v>10</v>
      </c>
    </row>
    <row r="6955" spans="1:9" x14ac:dyDescent="0.25">
      <c r="A6955" t="str">
        <f t="shared" si="168"/>
        <v>89301000</v>
      </c>
      <c r="B6955" t="str">
        <f>"5409023983"</f>
        <v>5409023983</v>
      </c>
      <c r="C6955" s="1">
        <v>45092</v>
      </c>
      <c r="D6955" s="1">
        <v>45097</v>
      </c>
      <c r="E6955">
        <v>1</v>
      </c>
      <c r="F6955" t="str">
        <f>"12-I02-01"</f>
        <v>12-I02-01</v>
      </c>
      <c r="G6955">
        <v>3.3855</v>
      </c>
      <c r="H6955" t="s">
        <v>9</v>
      </c>
      <c r="I6955" t="s">
        <v>10</v>
      </c>
    </row>
    <row r="6956" spans="1:9" x14ac:dyDescent="0.25">
      <c r="A6956" t="str">
        <f t="shared" si="168"/>
        <v>89301000</v>
      </c>
      <c r="B6956" t="str">
        <f>"5409041110"</f>
        <v>5409041110</v>
      </c>
      <c r="C6956" s="1">
        <v>45183</v>
      </c>
      <c r="D6956" s="1">
        <v>45189</v>
      </c>
      <c r="E6956">
        <v>1</v>
      </c>
      <c r="F6956" t="str">
        <f>"12-I03-01"</f>
        <v>12-I03-01</v>
      </c>
      <c r="G6956">
        <v>2.6934999999999998</v>
      </c>
      <c r="H6956" t="s">
        <v>9</v>
      </c>
      <c r="I6956" t="s">
        <v>10</v>
      </c>
    </row>
    <row r="6957" spans="1:9" x14ac:dyDescent="0.25">
      <c r="A6957" t="str">
        <f t="shared" si="168"/>
        <v>89301000</v>
      </c>
      <c r="B6957" t="str">
        <f>"5409050405"</f>
        <v>5409050405</v>
      </c>
      <c r="C6957" s="1">
        <v>45236</v>
      </c>
      <c r="D6957" s="1">
        <v>45238</v>
      </c>
      <c r="E6957">
        <v>1</v>
      </c>
      <c r="F6957" t="str">
        <f>"05-I30-02"</f>
        <v>05-I30-02</v>
      </c>
      <c r="G6957">
        <v>0.41699999999999998</v>
      </c>
      <c r="H6957" t="s">
        <v>12</v>
      </c>
      <c r="I6957" t="s">
        <v>10</v>
      </c>
    </row>
    <row r="6958" spans="1:9" x14ac:dyDescent="0.25">
      <c r="A6958" t="str">
        <f t="shared" si="168"/>
        <v>89301000</v>
      </c>
      <c r="B6958" t="str">
        <f>"5409061812"</f>
        <v>5409061812</v>
      </c>
      <c r="C6958" s="1">
        <v>45240</v>
      </c>
      <c r="D6958" s="1">
        <v>45241</v>
      </c>
      <c r="E6958">
        <v>1</v>
      </c>
      <c r="F6958" t="str">
        <f>"12-I14-00"</f>
        <v>12-I14-00</v>
      </c>
      <c r="G6958">
        <v>0.42920000000000003</v>
      </c>
      <c r="H6958" t="s">
        <v>11</v>
      </c>
      <c r="I6958" t="s">
        <v>10</v>
      </c>
    </row>
    <row r="6959" spans="1:9" x14ac:dyDescent="0.25">
      <c r="A6959" t="str">
        <f t="shared" si="168"/>
        <v>89301000</v>
      </c>
      <c r="B6959" t="str">
        <f>"5409080688"</f>
        <v>5409080688</v>
      </c>
      <c r="C6959" s="1">
        <v>45092</v>
      </c>
      <c r="D6959" s="1">
        <v>45096</v>
      </c>
      <c r="E6959">
        <v>1</v>
      </c>
      <c r="F6959" t="str">
        <f>"01-K08-02"</f>
        <v>01-K08-02</v>
      </c>
      <c r="G6959">
        <v>0.60619999999999996</v>
      </c>
      <c r="H6959" t="s">
        <v>11</v>
      </c>
      <c r="I6959" t="s">
        <v>10</v>
      </c>
    </row>
    <row r="6960" spans="1:9" x14ac:dyDescent="0.25">
      <c r="A6960" t="str">
        <f t="shared" si="168"/>
        <v>89301000</v>
      </c>
      <c r="B6960" t="str">
        <f>"5409080688"</f>
        <v>5409080688</v>
      </c>
      <c r="C6960" s="1">
        <v>44935</v>
      </c>
      <c r="D6960" s="1">
        <v>44939</v>
      </c>
      <c r="E6960">
        <v>5</v>
      </c>
      <c r="F6960" t="str">
        <f>"08-I04-02"</f>
        <v>08-I04-02</v>
      </c>
      <c r="G6960">
        <v>1.6229</v>
      </c>
      <c r="H6960" t="s">
        <v>14</v>
      </c>
      <c r="I6960" t="s">
        <v>10</v>
      </c>
    </row>
    <row r="6961" spans="1:9" x14ac:dyDescent="0.25">
      <c r="A6961" t="str">
        <f t="shared" si="168"/>
        <v>89301000</v>
      </c>
      <c r="B6961" t="str">
        <f>"5409110333"</f>
        <v>5409110333</v>
      </c>
      <c r="C6961" s="1">
        <v>45155</v>
      </c>
      <c r="D6961" s="1">
        <v>45163</v>
      </c>
      <c r="E6961">
        <v>1</v>
      </c>
      <c r="F6961" t="str">
        <f>"06-I13-03"</f>
        <v>06-I13-03</v>
      </c>
      <c r="G6961">
        <v>1.5217000000000001</v>
      </c>
      <c r="H6961" t="s">
        <v>11</v>
      </c>
      <c r="I6961" t="s">
        <v>10</v>
      </c>
    </row>
    <row r="6962" spans="1:9" x14ac:dyDescent="0.25">
      <c r="A6962" t="str">
        <f t="shared" si="168"/>
        <v>89301000</v>
      </c>
      <c r="B6962" t="str">
        <f>"5409110333"</f>
        <v>5409110333</v>
      </c>
      <c r="C6962" s="1">
        <v>45030</v>
      </c>
      <c r="D6962" s="1">
        <v>45034</v>
      </c>
      <c r="E6962">
        <v>1</v>
      </c>
      <c r="F6962" t="str">
        <f>"06-K14-01"</f>
        <v>06-K14-01</v>
      </c>
      <c r="G6962">
        <v>1.2667999999999999</v>
      </c>
      <c r="H6962" t="s">
        <v>11</v>
      </c>
      <c r="I6962" t="s">
        <v>10</v>
      </c>
    </row>
    <row r="6963" spans="1:9" x14ac:dyDescent="0.25">
      <c r="A6963" t="str">
        <f t="shared" si="168"/>
        <v>89301000</v>
      </c>
      <c r="B6963" t="str">
        <f>"5409110333"</f>
        <v>5409110333</v>
      </c>
      <c r="C6963" s="1">
        <v>45076</v>
      </c>
      <c r="D6963" s="1">
        <v>45086</v>
      </c>
      <c r="E6963">
        <v>1</v>
      </c>
      <c r="F6963" t="str">
        <f>"06-I05-01"</f>
        <v>06-I05-01</v>
      </c>
      <c r="G6963">
        <v>3.8811</v>
      </c>
      <c r="H6963" t="s">
        <v>12</v>
      </c>
      <c r="I6963" t="s">
        <v>10</v>
      </c>
    </row>
    <row r="6964" spans="1:9" x14ac:dyDescent="0.25">
      <c r="A6964" t="str">
        <f t="shared" si="168"/>
        <v>89301000</v>
      </c>
      <c r="B6964" t="str">
        <f>"5409110839"</f>
        <v>5409110839</v>
      </c>
      <c r="C6964" s="1">
        <v>45260</v>
      </c>
      <c r="D6964" s="1">
        <v>45264</v>
      </c>
      <c r="E6964">
        <v>1</v>
      </c>
      <c r="F6964" t="str">
        <f>"21-K06-02"</f>
        <v>21-K06-02</v>
      </c>
      <c r="G6964">
        <v>0.52149999999999996</v>
      </c>
      <c r="H6964" t="s">
        <v>11</v>
      </c>
      <c r="I6964" t="s">
        <v>10</v>
      </c>
    </row>
    <row r="6965" spans="1:9" x14ac:dyDescent="0.25">
      <c r="A6965" t="str">
        <f t="shared" si="168"/>
        <v>89301000</v>
      </c>
      <c r="B6965" t="str">
        <f>"5409120354"</f>
        <v>5409120354</v>
      </c>
      <c r="C6965" s="1">
        <v>45079</v>
      </c>
      <c r="D6965" s="1">
        <v>45083</v>
      </c>
      <c r="E6965">
        <v>7</v>
      </c>
      <c r="F6965" t="str">
        <f>"18-K01-04"</f>
        <v>18-K01-04</v>
      </c>
      <c r="G6965">
        <v>2.9117000000000002</v>
      </c>
      <c r="H6965" t="s">
        <v>11</v>
      </c>
      <c r="I6965" t="s">
        <v>10</v>
      </c>
    </row>
    <row r="6966" spans="1:9" x14ac:dyDescent="0.25">
      <c r="A6966" t="str">
        <f t="shared" si="168"/>
        <v>89301000</v>
      </c>
      <c r="B6966" t="str">
        <f>"5409120354"</f>
        <v>5409120354</v>
      </c>
      <c r="C6966" s="1">
        <v>45062</v>
      </c>
      <c r="D6966" s="1">
        <v>45071</v>
      </c>
      <c r="E6966">
        <v>1</v>
      </c>
      <c r="F6966" t="str">
        <f>"11-K02-02"</f>
        <v>11-K02-02</v>
      </c>
      <c r="G6966">
        <v>1.4524999999999999</v>
      </c>
      <c r="H6966" t="s">
        <v>11</v>
      </c>
      <c r="I6966" t="s">
        <v>10</v>
      </c>
    </row>
    <row r="6967" spans="1:9" x14ac:dyDescent="0.25">
      <c r="A6967" t="str">
        <f t="shared" si="168"/>
        <v>89301000</v>
      </c>
      <c r="B6967" t="str">
        <f>"5409151330"</f>
        <v>5409151330</v>
      </c>
      <c r="C6967" s="1">
        <v>45093</v>
      </c>
      <c r="D6967" s="1">
        <v>45110</v>
      </c>
      <c r="E6967">
        <v>1</v>
      </c>
      <c r="F6967" t="str">
        <f>"11-I01-01"</f>
        <v>11-I01-01</v>
      </c>
      <c r="G6967">
        <v>7.1615000000000002</v>
      </c>
      <c r="H6967" t="s">
        <v>14</v>
      </c>
      <c r="I6967" t="s">
        <v>10</v>
      </c>
    </row>
    <row r="6968" spans="1:9" x14ac:dyDescent="0.25">
      <c r="A6968" t="str">
        <f t="shared" si="168"/>
        <v>89301000</v>
      </c>
      <c r="B6968" t="str">
        <f>"5409151671"</f>
        <v>5409151671</v>
      </c>
      <c r="C6968" s="1">
        <v>45002</v>
      </c>
      <c r="D6968" s="1">
        <v>45024</v>
      </c>
      <c r="E6968">
        <v>8</v>
      </c>
      <c r="F6968" t="str">
        <f>"00-M01-01"</f>
        <v>00-M01-01</v>
      </c>
      <c r="G6968">
        <v>16.065100000000001</v>
      </c>
      <c r="H6968" t="s">
        <v>11</v>
      </c>
      <c r="I6968" t="s">
        <v>10</v>
      </c>
    </row>
    <row r="6969" spans="1:9" x14ac:dyDescent="0.25">
      <c r="A6969" t="str">
        <f t="shared" si="168"/>
        <v>89301000</v>
      </c>
      <c r="B6969" t="str">
        <f>"5409170822"</f>
        <v>5409170822</v>
      </c>
      <c r="C6969" s="1">
        <v>45204</v>
      </c>
      <c r="D6969" s="1">
        <v>45208</v>
      </c>
      <c r="E6969">
        <v>1</v>
      </c>
      <c r="F6969" t="str">
        <f>"10-K04-04"</f>
        <v>10-K04-04</v>
      </c>
      <c r="G6969">
        <v>0.53949999999999998</v>
      </c>
      <c r="H6969" t="s">
        <v>11</v>
      </c>
      <c r="I6969" t="s">
        <v>10</v>
      </c>
    </row>
    <row r="6970" spans="1:9" x14ac:dyDescent="0.25">
      <c r="A6970" t="str">
        <f t="shared" si="168"/>
        <v>89301000</v>
      </c>
      <c r="B6970" t="str">
        <f>"5409301304"</f>
        <v>5409301304</v>
      </c>
      <c r="C6970" s="1">
        <v>45202</v>
      </c>
      <c r="D6970" s="1">
        <v>45205</v>
      </c>
      <c r="E6970">
        <v>4</v>
      </c>
      <c r="F6970" t="str">
        <f>"04-M02-04"</f>
        <v>04-M02-04</v>
      </c>
      <c r="G6970">
        <v>0.82489999999999997</v>
      </c>
      <c r="H6970" t="s">
        <v>11</v>
      </c>
      <c r="I6970" t="s">
        <v>10</v>
      </c>
    </row>
    <row r="6971" spans="1:9" x14ac:dyDescent="0.25">
      <c r="A6971" t="str">
        <f t="shared" si="168"/>
        <v>89301000</v>
      </c>
      <c r="B6971" t="str">
        <f>"5409303790"</f>
        <v>5409303790</v>
      </c>
      <c r="C6971" s="1">
        <v>45233</v>
      </c>
      <c r="D6971" s="1">
        <v>45234</v>
      </c>
      <c r="E6971">
        <v>1</v>
      </c>
      <c r="F6971" t="str">
        <f>"06-K04-03"</f>
        <v>06-K04-03</v>
      </c>
      <c r="G6971">
        <v>0.42299999999999999</v>
      </c>
      <c r="H6971" t="s">
        <v>11</v>
      </c>
      <c r="I6971" t="s">
        <v>10</v>
      </c>
    </row>
    <row r="6972" spans="1:9" x14ac:dyDescent="0.25">
      <c r="A6972" t="str">
        <f t="shared" si="168"/>
        <v>89301000</v>
      </c>
      <c r="B6972" t="str">
        <f>"5410013477"</f>
        <v>5410013477</v>
      </c>
      <c r="C6972" s="1">
        <v>45033</v>
      </c>
      <c r="D6972" s="1">
        <v>45044</v>
      </c>
      <c r="E6972">
        <v>4</v>
      </c>
      <c r="F6972" t="str">
        <f>"19-K04-02"</f>
        <v>19-K04-02</v>
      </c>
      <c r="G6972">
        <v>1.3379000000000001</v>
      </c>
      <c r="H6972" t="s">
        <v>15</v>
      </c>
      <c r="I6972" t="s">
        <v>10</v>
      </c>
    </row>
    <row r="6973" spans="1:9" x14ac:dyDescent="0.25">
      <c r="A6973" t="str">
        <f t="shared" si="168"/>
        <v>89301000</v>
      </c>
      <c r="B6973" t="str">
        <f>"5410051603"</f>
        <v>5410051603</v>
      </c>
      <c r="C6973" s="1">
        <v>44979</v>
      </c>
      <c r="D6973" s="1">
        <v>44983</v>
      </c>
      <c r="E6973">
        <v>1</v>
      </c>
      <c r="F6973" t="str">
        <f>"12-M02-01"</f>
        <v>12-M02-01</v>
      </c>
      <c r="G6973">
        <v>1.2426999999999999</v>
      </c>
      <c r="H6973" t="s">
        <v>9</v>
      </c>
      <c r="I6973" t="s">
        <v>10</v>
      </c>
    </row>
    <row r="6974" spans="1:9" x14ac:dyDescent="0.25">
      <c r="A6974" t="str">
        <f t="shared" si="168"/>
        <v>89301000</v>
      </c>
      <c r="B6974" t="str">
        <f>"5410053748"</f>
        <v>5410053748</v>
      </c>
      <c r="C6974" s="1">
        <v>45194</v>
      </c>
      <c r="D6974" s="1">
        <v>45195</v>
      </c>
      <c r="E6974">
        <v>6</v>
      </c>
      <c r="F6974" t="str">
        <f>"05-M06-06"</f>
        <v>05-M06-06</v>
      </c>
      <c r="G6974">
        <v>1.8264</v>
      </c>
      <c r="H6974" t="s">
        <v>12</v>
      </c>
      <c r="I6974" t="s">
        <v>10</v>
      </c>
    </row>
    <row r="6975" spans="1:9" x14ac:dyDescent="0.25">
      <c r="A6975" t="str">
        <f t="shared" si="168"/>
        <v>89301000</v>
      </c>
      <c r="B6975" t="str">
        <f>"5410090290"</f>
        <v>5410090290</v>
      </c>
      <c r="C6975" s="1">
        <v>45186</v>
      </c>
      <c r="D6975" s="1">
        <v>45188</v>
      </c>
      <c r="E6975">
        <v>1</v>
      </c>
      <c r="F6975" t="str">
        <f>"08-M03-05"</f>
        <v>08-M03-05</v>
      </c>
      <c r="G6975">
        <v>0.46810000000000002</v>
      </c>
      <c r="H6975" t="s">
        <v>11</v>
      </c>
      <c r="I6975" t="s">
        <v>10</v>
      </c>
    </row>
    <row r="6976" spans="1:9" x14ac:dyDescent="0.25">
      <c r="A6976" t="str">
        <f t="shared" si="168"/>
        <v>89301000</v>
      </c>
      <c r="B6976" t="str">
        <f>"5410093051"</f>
        <v>5410093051</v>
      </c>
      <c r="C6976" s="1">
        <v>45210</v>
      </c>
      <c r="D6976" s="1">
        <v>45222</v>
      </c>
      <c r="E6976">
        <v>1</v>
      </c>
      <c r="F6976" t="str">
        <f>"04-K02-04"</f>
        <v>04-K02-04</v>
      </c>
      <c r="G6976">
        <v>0.83699999999999997</v>
      </c>
      <c r="H6976" t="s">
        <v>11</v>
      </c>
      <c r="I6976" t="s">
        <v>10</v>
      </c>
    </row>
    <row r="6977" spans="1:9" x14ac:dyDescent="0.25">
      <c r="A6977" t="str">
        <f t="shared" si="168"/>
        <v>89301000</v>
      </c>
      <c r="B6977" t="str">
        <f>"5410093051"</f>
        <v>5410093051</v>
      </c>
      <c r="C6977" s="1">
        <v>45236</v>
      </c>
      <c r="D6977" s="1">
        <v>45242</v>
      </c>
      <c r="E6977">
        <v>1</v>
      </c>
      <c r="F6977" t="str">
        <f>"04-K02-04"</f>
        <v>04-K02-04</v>
      </c>
      <c r="G6977">
        <v>0.82099999999999995</v>
      </c>
      <c r="H6977" t="s">
        <v>11</v>
      </c>
      <c r="I6977" t="s">
        <v>10</v>
      </c>
    </row>
    <row r="6978" spans="1:9" x14ac:dyDescent="0.25">
      <c r="A6978" t="str">
        <f t="shared" si="168"/>
        <v>89301000</v>
      </c>
      <c r="B6978" t="str">
        <f>"5410093051"</f>
        <v>5410093051</v>
      </c>
      <c r="C6978" s="1">
        <v>45198</v>
      </c>
      <c r="D6978" s="1">
        <v>45200</v>
      </c>
      <c r="E6978">
        <v>1</v>
      </c>
      <c r="F6978" t="str">
        <f>"03-K09-01"</f>
        <v>03-K09-01</v>
      </c>
      <c r="G6978">
        <v>0.54100000000000004</v>
      </c>
      <c r="H6978" t="s">
        <v>11</v>
      </c>
      <c r="I6978" t="s">
        <v>10</v>
      </c>
    </row>
    <row r="6979" spans="1:9" x14ac:dyDescent="0.25">
      <c r="A6979" t="str">
        <f t="shared" si="168"/>
        <v>89301000</v>
      </c>
      <c r="B6979" t="str">
        <f>"5410123873"</f>
        <v>5410123873</v>
      </c>
      <c r="C6979" s="1">
        <v>45260</v>
      </c>
      <c r="D6979" s="1">
        <v>45268</v>
      </c>
      <c r="E6979">
        <v>1</v>
      </c>
      <c r="F6979" t="str">
        <f>"05-I11-04"</f>
        <v>05-I11-04</v>
      </c>
      <c r="G6979">
        <v>6.915</v>
      </c>
      <c r="H6979" t="s">
        <v>14</v>
      </c>
      <c r="I6979" t="s">
        <v>10</v>
      </c>
    </row>
    <row r="6980" spans="1:9" x14ac:dyDescent="0.25">
      <c r="A6980" t="str">
        <f t="shared" si="168"/>
        <v>89301000</v>
      </c>
      <c r="B6980" t="str">
        <f>"5410123873"</f>
        <v>5410123873</v>
      </c>
      <c r="C6980" s="1">
        <v>45219</v>
      </c>
      <c r="D6980" s="1">
        <v>45223</v>
      </c>
      <c r="E6980">
        <v>1</v>
      </c>
      <c r="F6980" t="str">
        <f>"05-D01-08"</f>
        <v>05-D01-08</v>
      </c>
      <c r="G6980">
        <v>0.43159999999999998</v>
      </c>
      <c r="H6980" t="s">
        <v>11</v>
      </c>
      <c r="I6980" t="s">
        <v>10</v>
      </c>
    </row>
    <row r="6981" spans="1:9" x14ac:dyDescent="0.25">
      <c r="A6981" t="str">
        <f t="shared" si="168"/>
        <v>89301000</v>
      </c>
      <c r="B6981" t="str">
        <f>"5410151131"</f>
        <v>5410151131</v>
      </c>
      <c r="C6981" s="1">
        <v>45257</v>
      </c>
      <c r="D6981" s="1">
        <v>45259</v>
      </c>
      <c r="E6981">
        <v>1</v>
      </c>
      <c r="F6981" t="str">
        <f>"05-K05-05"</f>
        <v>05-K05-05</v>
      </c>
      <c r="G6981">
        <v>0.35659999999999997</v>
      </c>
      <c r="H6981" t="s">
        <v>11</v>
      </c>
      <c r="I6981" t="s">
        <v>10</v>
      </c>
    </row>
    <row r="6982" spans="1:9" x14ac:dyDescent="0.25">
      <c r="A6982" t="str">
        <f t="shared" si="168"/>
        <v>89301000</v>
      </c>
      <c r="B6982" t="str">
        <f>"5410151131"</f>
        <v>5410151131</v>
      </c>
      <c r="C6982" s="1">
        <v>45243</v>
      </c>
      <c r="D6982" s="1">
        <v>45243</v>
      </c>
      <c r="E6982">
        <v>1</v>
      </c>
      <c r="F6982" t="str">
        <f>"05-D01-08"</f>
        <v>05-D01-08</v>
      </c>
      <c r="G6982">
        <v>0.2303</v>
      </c>
      <c r="H6982" t="s">
        <v>11</v>
      </c>
      <c r="I6982" t="s">
        <v>10</v>
      </c>
    </row>
    <row r="6983" spans="1:9" x14ac:dyDescent="0.25">
      <c r="A6983" t="str">
        <f t="shared" ref="A6983:A7044" si="169">"89301000"</f>
        <v>89301000</v>
      </c>
      <c r="B6983" t="str">
        <f>"5410180325"</f>
        <v>5410180325</v>
      </c>
      <c r="C6983" s="1">
        <v>45210</v>
      </c>
      <c r="D6983" s="1">
        <v>45223</v>
      </c>
      <c r="E6983">
        <v>1</v>
      </c>
      <c r="F6983" t="str">
        <f>"06-I04-03"</f>
        <v>06-I04-03</v>
      </c>
      <c r="G6983">
        <v>4.1456999999999997</v>
      </c>
      <c r="H6983" t="s">
        <v>12</v>
      </c>
      <c r="I6983" t="s">
        <v>10</v>
      </c>
    </row>
    <row r="6984" spans="1:9" x14ac:dyDescent="0.25">
      <c r="A6984" t="str">
        <f t="shared" si="169"/>
        <v>89301000</v>
      </c>
      <c r="B6984" t="str">
        <f>"5410203557"</f>
        <v>5410203557</v>
      </c>
      <c r="C6984" s="1">
        <v>44920</v>
      </c>
      <c r="D6984" s="1">
        <v>44929</v>
      </c>
      <c r="E6984">
        <v>1</v>
      </c>
      <c r="F6984" t="str">
        <f>"03-K02-02"</f>
        <v>03-K02-02</v>
      </c>
      <c r="G6984">
        <v>0.59530000000000005</v>
      </c>
      <c r="H6984" t="s">
        <v>11</v>
      </c>
      <c r="I6984" t="s">
        <v>10</v>
      </c>
    </row>
    <row r="6985" spans="1:9" x14ac:dyDescent="0.25">
      <c r="A6985" t="str">
        <f t="shared" si="169"/>
        <v>89301000</v>
      </c>
      <c r="B6985" t="str">
        <f>"5410262990"</f>
        <v>5410262990</v>
      </c>
      <c r="C6985" s="1">
        <v>44951</v>
      </c>
      <c r="D6985" s="1">
        <v>44952</v>
      </c>
      <c r="E6985">
        <v>1</v>
      </c>
      <c r="F6985" t="str">
        <f>"02-I09-03"</f>
        <v>02-I09-03</v>
      </c>
      <c r="G6985">
        <v>0.88970000000000005</v>
      </c>
      <c r="H6985" t="s">
        <v>11</v>
      </c>
      <c r="I6985" t="s">
        <v>10</v>
      </c>
    </row>
    <row r="6986" spans="1:9" x14ac:dyDescent="0.25">
      <c r="A6986" t="str">
        <f t="shared" si="169"/>
        <v>89301000</v>
      </c>
      <c r="B6986" t="str">
        <f>"5410300654"</f>
        <v>5410300654</v>
      </c>
      <c r="C6986" s="1">
        <v>45259</v>
      </c>
      <c r="D6986" s="1">
        <v>45264</v>
      </c>
      <c r="E6986">
        <v>1</v>
      </c>
      <c r="F6986" t="str">
        <f>"08-I13-06"</f>
        <v>08-I13-06</v>
      </c>
      <c r="G6986">
        <v>1.9452</v>
      </c>
      <c r="H6986" t="s">
        <v>12</v>
      </c>
      <c r="I6986" t="s">
        <v>10</v>
      </c>
    </row>
    <row r="6987" spans="1:9" x14ac:dyDescent="0.25">
      <c r="A6987" t="str">
        <f t="shared" si="169"/>
        <v>89301000</v>
      </c>
      <c r="B6987" t="str">
        <f>"5410303723"</f>
        <v>5410303723</v>
      </c>
      <c r="C6987" s="1">
        <v>45258</v>
      </c>
      <c r="D6987" s="1">
        <v>45264</v>
      </c>
      <c r="E6987">
        <v>1</v>
      </c>
      <c r="F6987" t="str">
        <f>"04-I03-04"</f>
        <v>04-I03-04</v>
      </c>
      <c r="G6987">
        <v>1.9829000000000001</v>
      </c>
      <c r="H6987" t="s">
        <v>14</v>
      </c>
      <c r="I6987" t="s">
        <v>10</v>
      </c>
    </row>
    <row r="6988" spans="1:9" x14ac:dyDescent="0.25">
      <c r="A6988" t="str">
        <f t="shared" si="169"/>
        <v>89301000</v>
      </c>
      <c r="B6988" t="str">
        <f>"5411032517"</f>
        <v>5411032517</v>
      </c>
      <c r="C6988" s="1">
        <v>45193</v>
      </c>
      <c r="D6988" s="1">
        <v>45196</v>
      </c>
      <c r="E6988">
        <v>1</v>
      </c>
      <c r="F6988" t="str">
        <f>"02-I01-00"</f>
        <v>02-I01-00</v>
      </c>
      <c r="G6988">
        <v>1.3263</v>
      </c>
      <c r="H6988" t="s">
        <v>12</v>
      </c>
      <c r="I6988" t="s">
        <v>10</v>
      </c>
    </row>
    <row r="6989" spans="1:9" x14ac:dyDescent="0.25">
      <c r="A6989" t="str">
        <f t="shared" si="169"/>
        <v>89301000</v>
      </c>
      <c r="B6989" t="str">
        <f>"5411032517"</f>
        <v>5411032517</v>
      </c>
      <c r="C6989" s="1">
        <v>45201</v>
      </c>
      <c r="D6989" s="1">
        <v>45202</v>
      </c>
      <c r="E6989">
        <v>1</v>
      </c>
      <c r="F6989" t="str">
        <f>"02-K03-00"</f>
        <v>02-K03-00</v>
      </c>
      <c r="G6989">
        <v>0.58779999999999999</v>
      </c>
      <c r="H6989" t="s">
        <v>11</v>
      </c>
      <c r="I6989" t="s">
        <v>10</v>
      </c>
    </row>
    <row r="6990" spans="1:9" x14ac:dyDescent="0.25">
      <c r="A6990" t="str">
        <f t="shared" si="169"/>
        <v>89301000</v>
      </c>
      <c r="B6990" t="str">
        <f>"5411052636"</f>
        <v>5411052636</v>
      </c>
      <c r="C6990" s="1">
        <v>45032</v>
      </c>
      <c r="D6990" s="1">
        <v>45037</v>
      </c>
      <c r="E6990">
        <v>1</v>
      </c>
      <c r="F6990" t="str">
        <f>"06-I17-02"</f>
        <v>06-I17-02</v>
      </c>
      <c r="G6990">
        <v>1.0106999999999999</v>
      </c>
      <c r="H6990" t="s">
        <v>12</v>
      </c>
      <c r="I6990" t="s">
        <v>10</v>
      </c>
    </row>
    <row r="6991" spans="1:9" x14ac:dyDescent="0.25">
      <c r="A6991" t="str">
        <f t="shared" si="169"/>
        <v>89301000</v>
      </c>
      <c r="B6991" t="str">
        <f>"5411123366"</f>
        <v>5411123366</v>
      </c>
      <c r="C6991" s="1">
        <v>45065</v>
      </c>
      <c r="D6991" s="1">
        <v>45068</v>
      </c>
      <c r="E6991">
        <v>1</v>
      </c>
      <c r="F6991" t="str">
        <f>"01-D01-03"</f>
        <v>01-D01-03</v>
      </c>
      <c r="G6991">
        <v>0.21060000000000001</v>
      </c>
      <c r="H6991" t="s">
        <v>11</v>
      </c>
      <c r="I6991" t="s">
        <v>10</v>
      </c>
    </row>
    <row r="6992" spans="1:9" x14ac:dyDescent="0.25">
      <c r="A6992" t="str">
        <f t="shared" si="169"/>
        <v>89301000</v>
      </c>
      <c r="B6992" t="str">
        <f>"5411123366"</f>
        <v>5411123366</v>
      </c>
      <c r="C6992" s="1">
        <v>45007</v>
      </c>
      <c r="D6992" s="1">
        <v>45008</v>
      </c>
      <c r="E6992">
        <v>1</v>
      </c>
      <c r="F6992" t="str">
        <f>"01-D01-03"</f>
        <v>01-D01-03</v>
      </c>
      <c r="G6992">
        <v>0.16200000000000001</v>
      </c>
      <c r="H6992" t="s">
        <v>11</v>
      </c>
      <c r="I6992" t="s">
        <v>10</v>
      </c>
    </row>
    <row r="6993" spans="1:9" x14ac:dyDescent="0.25">
      <c r="A6993" t="str">
        <f t="shared" si="169"/>
        <v>89301000</v>
      </c>
      <c r="B6993" t="str">
        <f>"5411173064"</f>
        <v>5411173064</v>
      </c>
      <c r="C6993" s="1">
        <v>45223</v>
      </c>
      <c r="D6993" s="1">
        <v>45230</v>
      </c>
      <c r="E6993">
        <v>1</v>
      </c>
      <c r="F6993" t="str">
        <f>"05-I21-01"</f>
        <v>05-I21-01</v>
      </c>
      <c r="G6993">
        <v>3.6871999999999998</v>
      </c>
      <c r="H6993" t="s">
        <v>12</v>
      </c>
      <c r="I6993" t="s">
        <v>10</v>
      </c>
    </row>
    <row r="6994" spans="1:9" x14ac:dyDescent="0.25">
      <c r="A6994" t="str">
        <f t="shared" si="169"/>
        <v>89301000</v>
      </c>
      <c r="B6994" t="str">
        <f>"5411173064"</f>
        <v>5411173064</v>
      </c>
      <c r="C6994" s="1">
        <v>44952</v>
      </c>
      <c r="D6994" s="1">
        <v>44954</v>
      </c>
      <c r="E6994">
        <v>1</v>
      </c>
      <c r="F6994" t="str">
        <f>"05-I21-02"</f>
        <v>05-I21-02</v>
      </c>
      <c r="G6994">
        <v>2.9087999999999998</v>
      </c>
      <c r="H6994" t="s">
        <v>12</v>
      </c>
      <c r="I6994" t="s">
        <v>10</v>
      </c>
    </row>
    <row r="6995" spans="1:9" x14ac:dyDescent="0.25">
      <c r="A6995" t="str">
        <f t="shared" si="169"/>
        <v>89301000</v>
      </c>
      <c r="B6995" t="str">
        <f>"5411243519"</f>
        <v>5411243519</v>
      </c>
      <c r="C6995" s="1">
        <v>45229</v>
      </c>
      <c r="D6995" s="1">
        <v>45229</v>
      </c>
      <c r="E6995">
        <v>1</v>
      </c>
      <c r="F6995" t="str">
        <f>"05-D01-08"</f>
        <v>05-D01-08</v>
      </c>
      <c r="G6995">
        <v>0.46439999999999998</v>
      </c>
      <c r="H6995" t="s">
        <v>11</v>
      </c>
      <c r="I6995" t="s">
        <v>10</v>
      </c>
    </row>
    <row r="6996" spans="1:9" x14ac:dyDescent="0.25">
      <c r="A6996" t="str">
        <f t="shared" si="169"/>
        <v>89301000</v>
      </c>
      <c r="B6996" t="str">
        <f>"5412022440"</f>
        <v>5412022440</v>
      </c>
      <c r="C6996" s="1">
        <v>45191</v>
      </c>
      <c r="D6996" s="1">
        <v>45192</v>
      </c>
      <c r="E6996">
        <v>1</v>
      </c>
      <c r="F6996" t="str">
        <f>"05-M06-08"</f>
        <v>05-M06-08</v>
      </c>
      <c r="G6996">
        <v>1.4228000000000001</v>
      </c>
      <c r="H6996" t="s">
        <v>12</v>
      </c>
      <c r="I6996" t="s">
        <v>10</v>
      </c>
    </row>
    <row r="6997" spans="1:9" x14ac:dyDescent="0.25">
      <c r="A6997" t="str">
        <f t="shared" si="169"/>
        <v>89301000</v>
      </c>
      <c r="B6997" t="str">
        <f>"5412023045"</f>
        <v>5412023045</v>
      </c>
      <c r="C6997" s="1">
        <v>45201</v>
      </c>
      <c r="D6997" s="1">
        <v>45203</v>
      </c>
      <c r="E6997">
        <v>1</v>
      </c>
      <c r="F6997" t="str">
        <f>"03-I11-03"</f>
        <v>03-I11-03</v>
      </c>
      <c r="G6997">
        <v>1.1267</v>
      </c>
      <c r="H6997" t="s">
        <v>12</v>
      </c>
      <c r="I6997" t="s">
        <v>10</v>
      </c>
    </row>
    <row r="6998" spans="1:9" x14ac:dyDescent="0.25">
      <c r="A6998" t="str">
        <f t="shared" si="169"/>
        <v>89301000</v>
      </c>
      <c r="B6998" t="str">
        <f>"5412063481"</f>
        <v>5412063481</v>
      </c>
      <c r="C6998" s="1">
        <v>45156</v>
      </c>
      <c r="D6998" s="1">
        <v>45160</v>
      </c>
      <c r="E6998">
        <v>1</v>
      </c>
      <c r="F6998" t="str">
        <f>"05-K13-02"</f>
        <v>05-K13-02</v>
      </c>
      <c r="G6998">
        <v>0.57220000000000004</v>
      </c>
      <c r="H6998" t="s">
        <v>11</v>
      </c>
      <c r="I6998" t="s">
        <v>10</v>
      </c>
    </row>
    <row r="6999" spans="1:9" x14ac:dyDescent="0.25">
      <c r="A6999" t="str">
        <f t="shared" si="169"/>
        <v>89301000</v>
      </c>
      <c r="B6999" t="str">
        <f>"5412183590"</f>
        <v>5412183590</v>
      </c>
      <c r="C6999" s="1">
        <v>45019</v>
      </c>
      <c r="D6999" s="1">
        <v>45022</v>
      </c>
      <c r="E6999">
        <v>1</v>
      </c>
      <c r="F6999" t="str">
        <f>"09-K02-00"</f>
        <v>09-K02-00</v>
      </c>
      <c r="G6999">
        <v>0.99539999999999995</v>
      </c>
      <c r="H6999" t="s">
        <v>11</v>
      </c>
      <c r="I6999" t="s">
        <v>10</v>
      </c>
    </row>
    <row r="7000" spans="1:9" x14ac:dyDescent="0.25">
      <c r="A7000" t="str">
        <f t="shared" si="169"/>
        <v>89301000</v>
      </c>
      <c r="B7000" t="str">
        <f>"5412183590"</f>
        <v>5412183590</v>
      </c>
      <c r="C7000" s="1">
        <v>45077</v>
      </c>
      <c r="D7000" s="1">
        <v>45092</v>
      </c>
      <c r="E7000">
        <v>1</v>
      </c>
      <c r="F7000" t="str">
        <f>"01-K02-04"</f>
        <v>01-K02-04</v>
      </c>
      <c r="G7000">
        <v>1.2504</v>
      </c>
      <c r="H7000" t="s">
        <v>11</v>
      </c>
      <c r="I7000" t="s">
        <v>10</v>
      </c>
    </row>
    <row r="7001" spans="1:9" x14ac:dyDescent="0.25">
      <c r="A7001" t="str">
        <f t="shared" si="169"/>
        <v>89301000</v>
      </c>
      <c r="B7001" t="str">
        <f>"5412183590"</f>
        <v>5412183590</v>
      </c>
      <c r="C7001" s="1">
        <v>45117</v>
      </c>
      <c r="D7001" s="1">
        <v>45119</v>
      </c>
      <c r="E7001">
        <v>1</v>
      </c>
      <c r="F7001" t="str">
        <f>"01-K02-04"</f>
        <v>01-K02-04</v>
      </c>
      <c r="G7001">
        <v>1.3052999999999999</v>
      </c>
      <c r="H7001" t="s">
        <v>11</v>
      </c>
      <c r="I7001" t="s">
        <v>10</v>
      </c>
    </row>
    <row r="7002" spans="1:9" x14ac:dyDescent="0.25">
      <c r="A7002" t="str">
        <f t="shared" si="169"/>
        <v>89301000</v>
      </c>
      <c r="B7002" t="str">
        <f>"5412223267"</f>
        <v>5412223267</v>
      </c>
      <c r="C7002" s="1">
        <v>44977</v>
      </c>
      <c r="D7002" s="1">
        <v>44979</v>
      </c>
      <c r="E7002">
        <v>1</v>
      </c>
      <c r="F7002" t="str">
        <f>"03-I22-01"</f>
        <v>03-I22-01</v>
      </c>
      <c r="G7002">
        <v>0.62490000000000001</v>
      </c>
      <c r="H7002" t="s">
        <v>11</v>
      </c>
      <c r="I7002" t="s">
        <v>10</v>
      </c>
    </row>
    <row r="7003" spans="1:9" x14ac:dyDescent="0.25">
      <c r="A7003" t="str">
        <f t="shared" si="169"/>
        <v>89301000</v>
      </c>
      <c r="B7003" t="str">
        <f>"5412231836"</f>
        <v>5412231836</v>
      </c>
      <c r="C7003" s="1">
        <v>45272</v>
      </c>
      <c r="D7003" s="1">
        <v>45277</v>
      </c>
      <c r="E7003">
        <v>1</v>
      </c>
      <c r="F7003" t="str">
        <f>"11-I07-01"</f>
        <v>11-I07-01</v>
      </c>
      <c r="G7003">
        <v>2.7482000000000002</v>
      </c>
      <c r="H7003" t="s">
        <v>9</v>
      </c>
      <c r="I7003" t="s">
        <v>10</v>
      </c>
    </row>
    <row r="7004" spans="1:9" x14ac:dyDescent="0.25">
      <c r="A7004" t="str">
        <f t="shared" si="169"/>
        <v>89301000</v>
      </c>
      <c r="B7004" t="str">
        <f>"5412250261"</f>
        <v>5412250261</v>
      </c>
      <c r="C7004" s="1">
        <v>45006</v>
      </c>
      <c r="D7004" s="1">
        <v>45012</v>
      </c>
      <c r="E7004">
        <v>1</v>
      </c>
      <c r="F7004" t="str">
        <f>"04-I08-02"</f>
        <v>04-I08-02</v>
      </c>
      <c r="G7004">
        <v>2.0312999999999999</v>
      </c>
      <c r="H7004" t="s">
        <v>11</v>
      </c>
      <c r="I7004" t="s">
        <v>10</v>
      </c>
    </row>
    <row r="7005" spans="1:9" x14ac:dyDescent="0.25">
      <c r="A7005" t="str">
        <f t="shared" si="169"/>
        <v>89301000</v>
      </c>
      <c r="B7005" t="str">
        <f>"5412260260"</f>
        <v>5412260260</v>
      </c>
      <c r="C7005" s="1">
        <v>45034</v>
      </c>
      <c r="D7005" s="1">
        <v>45062</v>
      </c>
      <c r="E7005">
        <v>4</v>
      </c>
      <c r="F7005" t="str">
        <f>"00-M02-03"</f>
        <v>00-M02-03</v>
      </c>
      <c r="G7005">
        <v>16.0107</v>
      </c>
      <c r="H7005" t="s">
        <v>11</v>
      </c>
      <c r="I7005" t="s">
        <v>10</v>
      </c>
    </row>
    <row r="7006" spans="1:9" x14ac:dyDescent="0.25">
      <c r="A7006" t="str">
        <f t="shared" si="169"/>
        <v>89301000</v>
      </c>
      <c r="B7006" t="str">
        <f>"5451090590"</f>
        <v>5451090590</v>
      </c>
      <c r="C7006" s="1">
        <v>45245</v>
      </c>
      <c r="D7006" s="1">
        <v>45247</v>
      </c>
      <c r="E7006">
        <v>1</v>
      </c>
      <c r="F7006" t="str">
        <f>"08-M03-05"</f>
        <v>08-M03-05</v>
      </c>
      <c r="G7006">
        <v>0.46810000000000002</v>
      </c>
      <c r="H7006" t="s">
        <v>11</v>
      </c>
      <c r="I7006" t="s">
        <v>10</v>
      </c>
    </row>
    <row r="7007" spans="1:9" x14ac:dyDescent="0.25">
      <c r="A7007" t="str">
        <f t="shared" si="169"/>
        <v>89301000</v>
      </c>
      <c r="B7007" t="str">
        <f>"5451120642"</f>
        <v>5451120642</v>
      </c>
      <c r="C7007" s="1">
        <v>44949</v>
      </c>
      <c r="D7007" s="1">
        <v>44952</v>
      </c>
      <c r="E7007">
        <v>1</v>
      </c>
      <c r="F7007" t="str">
        <f>"07-K07-02"</f>
        <v>07-K07-02</v>
      </c>
      <c r="G7007">
        <v>0.4839</v>
      </c>
      <c r="H7007" t="s">
        <v>11</v>
      </c>
      <c r="I7007" t="s">
        <v>10</v>
      </c>
    </row>
    <row r="7008" spans="1:9" x14ac:dyDescent="0.25">
      <c r="A7008" t="str">
        <f t="shared" si="169"/>
        <v>89301000</v>
      </c>
      <c r="B7008" t="str">
        <f>"5451142367"</f>
        <v>5451142367</v>
      </c>
      <c r="C7008" s="1">
        <v>45201</v>
      </c>
      <c r="D7008" s="1">
        <v>45209</v>
      </c>
      <c r="E7008">
        <v>1</v>
      </c>
      <c r="F7008" t="str">
        <f>"07-M02-03"</f>
        <v>07-M02-03</v>
      </c>
      <c r="G7008">
        <v>1.2942</v>
      </c>
      <c r="H7008" t="s">
        <v>12</v>
      </c>
      <c r="I7008" t="s">
        <v>10</v>
      </c>
    </row>
    <row r="7009" spans="1:9" x14ac:dyDescent="0.25">
      <c r="A7009" t="str">
        <f t="shared" si="169"/>
        <v>89301000</v>
      </c>
      <c r="B7009" t="str">
        <f>"5451181791"</f>
        <v>5451181791</v>
      </c>
      <c r="C7009" s="1">
        <v>44929</v>
      </c>
      <c r="D7009" s="1">
        <v>44930</v>
      </c>
      <c r="E7009">
        <v>1</v>
      </c>
      <c r="F7009" t="str">
        <f>"08-I32-00"</f>
        <v>08-I32-00</v>
      </c>
      <c r="G7009">
        <v>0.4093</v>
      </c>
      <c r="H7009" t="s">
        <v>11</v>
      </c>
      <c r="I7009" t="s">
        <v>10</v>
      </c>
    </row>
    <row r="7010" spans="1:9" x14ac:dyDescent="0.25">
      <c r="A7010" t="str">
        <f t="shared" si="169"/>
        <v>89301000</v>
      </c>
      <c r="B7010" t="str">
        <f>"5451250915"</f>
        <v>5451250915</v>
      </c>
      <c r="C7010" s="1">
        <v>45231</v>
      </c>
      <c r="D7010" s="1">
        <v>45236</v>
      </c>
      <c r="E7010">
        <v>1</v>
      </c>
      <c r="F7010" t="str">
        <f>"01-K01-02"</f>
        <v>01-K01-02</v>
      </c>
      <c r="G7010">
        <v>0.442</v>
      </c>
      <c r="H7010" t="s">
        <v>11</v>
      </c>
      <c r="I7010" t="s">
        <v>10</v>
      </c>
    </row>
    <row r="7011" spans="1:9" x14ac:dyDescent="0.25">
      <c r="A7011" t="str">
        <f t="shared" si="169"/>
        <v>89301000</v>
      </c>
      <c r="B7011" t="str">
        <f>"5451250915"</f>
        <v>5451250915</v>
      </c>
      <c r="C7011" s="1">
        <v>45035</v>
      </c>
      <c r="D7011" s="1">
        <v>45040</v>
      </c>
      <c r="E7011">
        <v>1</v>
      </c>
      <c r="F7011" t="str">
        <f>"01-K01-02"</f>
        <v>01-K01-02</v>
      </c>
      <c r="G7011">
        <v>0.442</v>
      </c>
      <c r="H7011" t="s">
        <v>11</v>
      </c>
      <c r="I7011" t="s">
        <v>10</v>
      </c>
    </row>
    <row r="7012" spans="1:9" x14ac:dyDescent="0.25">
      <c r="A7012" t="str">
        <f t="shared" si="169"/>
        <v>89301000</v>
      </c>
      <c r="B7012" t="str">
        <f>"5451250915"</f>
        <v>5451250915</v>
      </c>
      <c r="C7012" s="1">
        <v>44950</v>
      </c>
      <c r="D7012" s="1">
        <v>44955</v>
      </c>
      <c r="E7012">
        <v>1</v>
      </c>
      <c r="F7012" t="str">
        <f>"01-K01-02"</f>
        <v>01-K01-02</v>
      </c>
      <c r="G7012">
        <v>0.442</v>
      </c>
      <c r="H7012" t="s">
        <v>11</v>
      </c>
      <c r="I7012" t="s">
        <v>10</v>
      </c>
    </row>
    <row r="7013" spans="1:9" x14ac:dyDescent="0.25">
      <c r="A7013" t="str">
        <f t="shared" si="169"/>
        <v>89301000</v>
      </c>
      <c r="B7013" t="str">
        <f>"5451250915"</f>
        <v>5451250915</v>
      </c>
      <c r="C7013" s="1">
        <v>45133</v>
      </c>
      <c r="D7013" s="1">
        <v>45138</v>
      </c>
      <c r="E7013">
        <v>1</v>
      </c>
      <c r="F7013" t="str">
        <f>"01-K01-02"</f>
        <v>01-K01-02</v>
      </c>
      <c r="G7013">
        <v>0.442</v>
      </c>
      <c r="H7013" t="s">
        <v>11</v>
      </c>
      <c r="I7013" t="s">
        <v>10</v>
      </c>
    </row>
    <row r="7014" spans="1:9" x14ac:dyDescent="0.25">
      <c r="A7014" t="str">
        <f t="shared" si="169"/>
        <v>89301000</v>
      </c>
      <c r="B7014" t="str">
        <f>"5451273377"</f>
        <v>5451273377</v>
      </c>
      <c r="C7014" s="1">
        <v>45070</v>
      </c>
      <c r="D7014" s="1">
        <v>45072</v>
      </c>
      <c r="E7014">
        <v>1</v>
      </c>
      <c r="F7014" t="str">
        <f>"08-K02-02"</f>
        <v>08-K02-02</v>
      </c>
      <c r="G7014">
        <v>0.81369999999999998</v>
      </c>
      <c r="H7014" t="s">
        <v>11</v>
      </c>
      <c r="I7014" t="s">
        <v>10</v>
      </c>
    </row>
    <row r="7015" spans="1:9" x14ac:dyDescent="0.25">
      <c r="A7015" t="str">
        <f t="shared" si="169"/>
        <v>89301000</v>
      </c>
      <c r="B7015" t="str">
        <f>"5452080293"</f>
        <v>5452080293</v>
      </c>
      <c r="C7015" s="1">
        <v>45032</v>
      </c>
      <c r="D7015" s="1">
        <v>45040</v>
      </c>
      <c r="E7015">
        <v>1</v>
      </c>
      <c r="F7015" t="str">
        <f>"06-K07-02"</f>
        <v>06-K07-02</v>
      </c>
      <c r="G7015">
        <v>0.4385</v>
      </c>
      <c r="H7015" t="s">
        <v>11</v>
      </c>
      <c r="I7015" t="s">
        <v>10</v>
      </c>
    </row>
    <row r="7016" spans="1:9" x14ac:dyDescent="0.25">
      <c r="A7016" t="str">
        <f t="shared" si="169"/>
        <v>89301000</v>
      </c>
      <c r="B7016" t="str">
        <f>"5452080293"</f>
        <v>5452080293</v>
      </c>
      <c r="C7016" s="1">
        <v>44927</v>
      </c>
      <c r="D7016" s="1">
        <v>44931</v>
      </c>
      <c r="E7016">
        <v>1</v>
      </c>
      <c r="F7016" t="str">
        <f>"10-I13-02"</f>
        <v>10-I13-02</v>
      </c>
      <c r="G7016">
        <v>1.1124000000000001</v>
      </c>
      <c r="H7016" t="s">
        <v>9</v>
      </c>
      <c r="I7016" t="s">
        <v>10</v>
      </c>
    </row>
    <row r="7017" spans="1:9" x14ac:dyDescent="0.25">
      <c r="A7017" t="str">
        <f t="shared" si="169"/>
        <v>89301000</v>
      </c>
      <c r="B7017" t="str">
        <f>"5452090688"</f>
        <v>5452090688</v>
      </c>
      <c r="C7017" s="1">
        <v>45184</v>
      </c>
      <c r="D7017" s="1">
        <v>45188</v>
      </c>
      <c r="E7017">
        <v>1</v>
      </c>
      <c r="F7017" t="str">
        <f>"04-K10-02"</f>
        <v>04-K10-02</v>
      </c>
      <c r="G7017">
        <v>0.40129999999999999</v>
      </c>
      <c r="H7017" t="s">
        <v>11</v>
      </c>
      <c r="I7017" t="s">
        <v>10</v>
      </c>
    </row>
    <row r="7018" spans="1:9" x14ac:dyDescent="0.25">
      <c r="A7018" t="str">
        <f t="shared" si="169"/>
        <v>89301000</v>
      </c>
      <c r="B7018" t="str">
        <f>"5452090688"</f>
        <v>5452090688</v>
      </c>
      <c r="C7018" s="1">
        <v>45280</v>
      </c>
      <c r="D7018" s="1">
        <v>45281</v>
      </c>
      <c r="E7018">
        <v>1</v>
      </c>
      <c r="F7018" t="str">
        <f>"04-C02-02"</f>
        <v>04-C02-02</v>
      </c>
      <c r="G7018">
        <v>0.36070000000000002</v>
      </c>
      <c r="H7018" t="s">
        <v>11</v>
      </c>
      <c r="I7018" t="s">
        <v>10</v>
      </c>
    </row>
    <row r="7019" spans="1:9" x14ac:dyDescent="0.25">
      <c r="A7019" t="str">
        <f t="shared" si="169"/>
        <v>89301000</v>
      </c>
      <c r="B7019" t="str">
        <f>"5452090688"</f>
        <v>5452090688</v>
      </c>
      <c r="C7019" s="1">
        <v>45259</v>
      </c>
      <c r="D7019" s="1">
        <v>45260</v>
      </c>
      <c r="E7019">
        <v>1</v>
      </c>
      <c r="F7019" t="str">
        <f>"04-C02-02"</f>
        <v>04-C02-02</v>
      </c>
      <c r="G7019">
        <v>0.36070000000000002</v>
      </c>
      <c r="H7019" t="s">
        <v>11</v>
      </c>
      <c r="I7019" t="s">
        <v>10</v>
      </c>
    </row>
    <row r="7020" spans="1:9" x14ac:dyDescent="0.25">
      <c r="A7020" t="str">
        <f t="shared" si="169"/>
        <v>89301000</v>
      </c>
      <c r="B7020" t="str">
        <f>"5452090688"</f>
        <v>5452090688</v>
      </c>
      <c r="C7020" s="1">
        <v>45223</v>
      </c>
      <c r="D7020" s="1">
        <v>45237</v>
      </c>
      <c r="E7020">
        <v>1</v>
      </c>
      <c r="F7020" t="str">
        <f>"04-I02-02"</f>
        <v>04-I02-02</v>
      </c>
      <c r="G7020">
        <v>4.6359000000000004</v>
      </c>
      <c r="H7020" t="s">
        <v>14</v>
      </c>
      <c r="I7020" t="s">
        <v>10</v>
      </c>
    </row>
    <row r="7021" spans="1:9" x14ac:dyDescent="0.25">
      <c r="A7021" t="str">
        <f t="shared" si="169"/>
        <v>89301000</v>
      </c>
      <c r="B7021" t="str">
        <f>"5452100577"</f>
        <v>5452100577</v>
      </c>
      <c r="C7021" s="1">
        <v>45057</v>
      </c>
      <c r="D7021" s="1">
        <v>45064</v>
      </c>
      <c r="E7021">
        <v>1</v>
      </c>
      <c r="F7021" t="str">
        <f>"08-I03-06"</f>
        <v>08-I03-06</v>
      </c>
      <c r="G7021">
        <v>2.9377</v>
      </c>
      <c r="H7021" t="s">
        <v>9</v>
      </c>
      <c r="I7021" t="s">
        <v>10</v>
      </c>
    </row>
    <row r="7022" spans="1:9" x14ac:dyDescent="0.25">
      <c r="A7022" t="str">
        <f t="shared" si="169"/>
        <v>89301000</v>
      </c>
      <c r="B7022" t="str">
        <f>"5452280394"</f>
        <v>5452280394</v>
      </c>
      <c r="C7022" s="1">
        <v>45278</v>
      </c>
      <c r="D7022" s="1">
        <v>45279</v>
      </c>
      <c r="E7022">
        <v>1</v>
      </c>
      <c r="F7022" t="str">
        <f>"17-C05-05"</f>
        <v>17-C05-05</v>
      </c>
      <c r="G7022">
        <v>0.66069999999999995</v>
      </c>
      <c r="H7022" t="s">
        <v>11</v>
      </c>
      <c r="I7022" t="s">
        <v>10</v>
      </c>
    </row>
    <row r="7023" spans="1:9" x14ac:dyDescent="0.25">
      <c r="A7023" t="str">
        <f t="shared" si="169"/>
        <v>89301000</v>
      </c>
      <c r="B7023" t="str">
        <f>"5452280394"</f>
        <v>5452280394</v>
      </c>
      <c r="C7023" s="1">
        <v>45261</v>
      </c>
      <c r="D7023" s="1">
        <v>45265</v>
      </c>
      <c r="E7023">
        <v>1</v>
      </c>
      <c r="F7023" t="str">
        <f>"17-K05-02"</f>
        <v>17-K05-02</v>
      </c>
      <c r="G7023">
        <v>0.71850000000000003</v>
      </c>
      <c r="H7023" t="s">
        <v>11</v>
      </c>
      <c r="I7023" t="s">
        <v>10</v>
      </c>
    </row>
    <row r="7024" spans="1:9" x14ac:dyDescent="0.25">
      <c r="A7024" t="str">
        <f t="shared" si="169"/>
        <v>89301000</v>
      </c>
      <c r="B7024" t="str">
        <f>"5453010321"</f>
        <v>5453010321</v>
      </c>
      <c r="C7024" s="1">
        <v>45278</v>
      </c>
      <c r="D7024" s="1">
        <v>45280</v>
      </c>
      <c r="E7024">
        <v>1</v>
      </c>
      <c r="F7024" t="str">
        <f>"08-M03-05"</f>
        <v>08-M03-05</v>
      </c>
      <c r="G7024">
        <v>0.46810000000000002</v>
      </c>
      <c r="H7024" t="s">
        <v>11</v>
      </c>
      <c r="I7024" t="s">
        <v>10</v>
      </c>
    </row>
    <row r="7025" spans="1:9" x14ac:dyDescent="0.25">
      <c r="A7025" t="str">
        <f t="shared" si="169"/>
        <v>89301000</v>
      </c>
      <c r="B7025" t="str">
        <f>"5453100521"</f>
        <v>5453100521</v>
      </c>
      <c r="C7025" s="1">
        <v>45028</v>
      </c>
      <c r="D7025" s="1">
        <v>45035</v>
      </c>
      <c r="E7025">
        <v>1</v>
      </c>
      <c r="F7025" t="str">
        <f>"19-K03-03"</f>
        <v>19-K03-03</v>
      </c>
      <c r="G7025">
        <v>0.90410000000000001</v>
      </c>
      <c r="H7025" t="s">
        <v>15</v>
      </c>
      <c r="I7025" t="s">
        <v>10</v>
      </c>
    </row>
    <row r="7026" spans="1:9" x14ac:dyDescent="0.25">
      <c r="A7026" t="str">
        <f t="shared" si="169"/>
        <v>89301000</v>
      </c>
      <c r="B7026" t="str">
        <f>"5453103304"</f>
        <v>5453103304</v>
      </c>
      <c r="C7026" s="1">
        <v>45223</v>
      </c>
      <c r="D7026" s="1">
        <v>45227</v>
      </c>
      <c r="E7026">
        <v>1</v>
      </c>
      <c r="F7026" t="str">
        <f>"08-I04-02"</f>
        <v>08-I04-02</v>
      </c>
      <c r="G7026">
        <v>1.6229</v>
      </c>
      <c r="H7026" t="s">
        <v>14</v>
      </c>
      <c r="I7026" t="s">
        <v>10</v>
      </c>
    </row>
    <row r="7027" spans="1:9" x14ac:dyDescent="0.25">
      <c r="A7027" t="str">
        <f t="shared" si="169"/>
        <v>89301000</v>
      </c>
      <c r="B7027" t="str">
        <f>"5453130859"</f>
        <v>5453130859</v>
      </c>
      <c r="C7027" s="1">
        <v>45151</v>
      </c>
      <c r="D7027" s="1">
        <v>45155</v>
      </c>
      <c r="E7027">
        <v>1</v>
      </c>
      <c r="F7027" t="str">
        <f>"10-I13-02"</f>
        <v>10-I13-02</v>
      </c>
      <c r="G7027">
        <v>1.1124000000000001</v>
      </c>
      <c r="H7027" t="s">
        <v>9</v>
      </c>
      <c r="I7027" t="s">
        <v>10</v>
      </c>
    </row>
    <row r="7028" spans="1:9" x14ac:dyDescent="0.25">
      <c r="A7028" t="str">
        <f t="shared" si="169"/>
        <v>89301000</v>
      </c>
      <c r="B7028" t="str">
        <f>"5453140946"</f>
        <v>5453140946</v>
      </c>
      <c r="C7028" s="1">
        <v>44994</v>
      </c>
      <c r="D7028" s="1">
        <v>45000</v>
      </c>
      <c r="E7028">
        <v>4</v>
      </c>
      <c r="F7028" t="str">
        <f>"08-I05-04"</f>
        <v>08-I05-04</v>
      </c>
      <c r="G7028">
        <v>2.367</v>
      </c>
      <c r="H7028" t="s">
        <v>12</v>
      </c>
      <c r="I7028" t="s">
        <v>10</v>
      </c>
    </row>
    <row r="7029" spans="1:9" x14ac:dyDescent="0.25">
      <c r="A7029" t="str">
        <f t="shared" si="169"/>
        <v>89301000</v>
      </c>
      <c r="B7029" t="str">
        <f>"5453142486"</f>
        <v>5453142486</v>
      </c>
      <c r="C7029" s="1">
        <v>45188</v>
      </c>
      <c r="D7029" s="1">
        <v>45189</v>
      </c>
      <c r="E7029">
        <v>1</v>
      </c>
      <c r="F7029" t="str">
        <f>"01-D01-03"</f>
        <v>01-D01-03</v>
      </c>
      <c r="G7029">
        <v>0.16200000000000001</v>
      </c>
      <c r="H7029" t="s">
        <v>11</v>
      </c>
      <c r="I7029" t="s">
        <v>10</v>
      </c>
    </row>
    <row r="7030" spans="1:9" x14ac:dyDescent="0.25">
      <c r="A7030" t="str">
        <f t="shared" si="169"/>
        <v>89301000</v>
      </c>
      <c r="B7030" t="str">
        <f>"5453190204"</f>
        <v>5453190204</v>
      </c>
      <c r="C7030" s="1">
        <v>45018</v>
      </c>
      <c r="D7030" s="1">
        <v>45027</v>
      </c>
      <c r="E7030">
        <v>4</v>
      </c>
      <c r="F7030" t="str">
        <f>"08-I06-04"</f>
        <v>08-I06-04</v>
      </c>
      <c r="G7030">
        <v>2.4180000000000001</v>
      </c>
      <c r="H7030" t="s">
        <v>9</v>
      </c>
      <c r="I7030" t="s">
        <v>10</v>
      </c>
    </row>
    <row r="7031" spans="1:9" x14ac:dyDescent="0.25">
      <c r="A7031" t="str">
        <f t="shared" si="169"/>
        <v>89301000</v>
      </c>
      <c r="B7031" t="str">
        <f>"5453202007"</f>
        <v>5453202007</v>
      </c>
      <c r="C7031" s="1">
        <v>45253</v>
      </c>
      <c r="D7031" s="1">
        <v>45255</v>
      </c>
      <c r="E7031">
        <v>1</v>
      </c>
      <c r="F7031" t="str">
        <f>"08-M03-02"</f>
        <v>08-M03-02</v>
      </c>
      <c r="G7031">
        <v>0.91359999999999997</v>
      </c>
      <c r="H7031" t="s">
        <v>11</v>
      </c>
      <c r="I7031" t="s">
        <v>10</v>
      </c>
    </row>
    <row r="7032" spans="1:9" x14ac:dyDescent="0.25">
      <c r="A7032" t="str">
        <f t="shared" si="169"/>
        <v>89301000</v>
      </c>
      <c r="B7032" t="str">
        <f>"5453231696"</f>
        <v>5453231696</v>
      </c>
      <c r="C7032" s="1">
        <v>45183</v>
      </c>
      <c r="D7032" s="1">
        <v>45185</v>
      </c>
      <c r="E7032">
        <v>1</v>
      </c>
      <c r="F7032" t="str">
        <f>"09-I06-04"</f>
        <v>09-I06-04</v>
      </c>
      <c r="G7032">
        <v>0.95069999999999999</v>
      </c>
      <c r="H7032" t="s">
        <v>12</v>
      </c>
      <c r="I7032" t="s">
        <v>10</v>
      </c>
    </row>
    <row r="7033" spans="1:9" x14ac:dyDescent="0.25">
      <c r="A7033" t="str">
        <f t="shared" si="169"/>
        <v>89301000</v>
      </c>
      <c r="B7033" t="str">
        <f>"5453232411"</f>
        <v>5453232411</v>
      </c>
      <c r="C7033" s="1">
        <v>45184</v>
      </c>
      <c r="D7033" s="1">
        <v>45184</v>
      </c>
      <c r="E7033">
        <v>1</v>
      </c>
      <c r="F7033" t="str">
        <f>"05-D01-06"</f>
        <v>05-D01-06</v>
      </c>
      <c r="G7033">
        <v>0.4037</v>
      </c>
      <c r="H7033" t="s">
        <v>11</v>
      </c>
      <c r="I7033" t="s">
        <v>10</v>
      </c>
    </row>
    <row r="7034" spans="1:9" x14ac:dyDescent="0.25">
      <c r="A7034" t="str">
        <f t="shared" si="169"/>
        <v>89301000</v>
      </c>
      <c r="B7034" t="str">
        <f>"5453232411"</f>
        <v>5453232411</v>
      </c>
      <c r="C7034" s="1">
        <v>45274</v>
      </c>
      <c r="D7034" s="1">
        <v>45276</v>
      </c>
      <c r="E7034">
        <v>1</v>
      </c>
      <c r="F7034" t="str">
        <f>"06-C02-03"</f>
        <v>06-C02-03</v>
      </c>
      <c r="G7034">
        <v>0.32650000000000001</v>
      </c>
      <c r="H7034" t="s">
        <v>11</v>
      </c>
      <c r="I7034" t="s">
        <v>10</v>
      </c>
    </row>
    <row r="7035" spans="1:9" x14ac:dyDescent="0.25">
      <c r="A7035" t="str">
        <f t="shared" si="169"/>
        <v>89301000</v>
      </c>
      <c r="B7035" t="str">
        <f>"5453232411"</f>
        <v>5453232411</v>
      </c>
      <c r="C7035" s="1">
        <v>45288</v>
      </c>
      <c r="D7035" s="1">
        <v>45290</v>
      </c>
      <c r="E7035">
        <v>1</v>
      </c>
      <c r="F7035" t="str">
        <f>"06-C02-03"</f>
        <v>06-C02-03</v>
      </c>
      <c r="G7035">
        <v>0.32650000000000001</v>
      </c>
      <c r="H7035" t="s">
        <v>11</v>
      </c>
      <c r="I7035" t="s">
        <v>10</v>
      </c>
    </row>
    <row r="7036" spans="1:9" x14ac:dyDescent="0.25">
      <c r="A7036" t="str">
        <f t="shared" si="169"/>
        <v>89301000</v>
      </c>
      <c r="B7036" t="str">
        <f>"5453232411"</f>
        <v>5453232411</v>
      </c>
      <c r="C7036" s="1">
        <v>45222</v>
      </c>
      <c r="D7036" s="1">
        <v>45229</v>
      </c>
      <c r="E7036">
        <v>1</v>
      </c>
      <c r="F7036" t="str">
        <f>"06-I07-05"</f>
        <v>06-I07-05</v>
      </c>
      <c r="G7036">
        <v>2.7919999999999998</v>
      </c>
      <c r="H7036" t="s">
        <v>12</v>
      </c>
      <c r="I7036" t="s">
        <v>10</v>
      </c>
    </row>
    <row r="7037" spans="1:9" x14ac:dyDescent="0.25">
      <c r="A7037" t="str">
        <f t="shared" si="169"/>
        <v>89301000</v>
      </c>
      <c r="B7037" t="str">
        <f>"5453240254"</f>
        <v>5453240254</v>
      </c>
      <c r="C7037" s="1">
        <v>45082</v>
      </c>
      <c r="D7037" s="1">
        <v>45084</v>
      </c>
      <c r="E7037">
        <v>1</v>
      </c>
      <c r="F7037" t="str">
        <f>"17-K03-02"</f>
        <v>17-K03-02</v>
      </c>
      <c r="G7037">
        <v>1.008</v>
      </c>
      <c r="H7037" t="s">
        <v>11</v>
      </c>
      <c r="I7037" t="s">
        <v>10</v>
      </c>
    </row>
    <row r="7038" spans="1:9" x14ac:dyDescent="0.25">
      <c r="A7038" t="str">
        <f t="shared" si="169"/>
        <v>89301000</v>
      </c>
      <c r="B7038" t="str">
        <f>"5453251463"</f>
        <v>5453251463</v>
      </c>
      <c r="C7038" s="1">
        <v>45087</v>
      </c>
      <c r="D7038" s="1">
        <v>45093</v>
      </c>
      <c r="E7038">
        <v>1</v>
      </c>
      <c r="F7038" t="str">
        <f>"01-K10-03"</f>
        <v>01-K10-03</v>
      </c>
      <c r="G7038">
        <v>1.0443</v>
      </c>
      <c r="H7038" t="s">
        <v>11</v>
      </c>
      <c r="I7038" t="s">
        <v>10</v>
      </c>
    </row>
    <row r="7039" spans="1:9" x14ac:dyDescent="0.25">
      <c r="A7039" t="str">
        <f t="shared" si="169"/>
        <v>89301000</v>
      </c>
      <c r="B7039" t="str">
        <f>"5453292856"</f>
        <v>5453292856</v>
      </c>
      <c r="C7039" s="1">
        <v>45210</v>
      </c>
      <c r="D7039" s="1">
        <v>45217</v>
      </c>
      <c r="E7039">
        <v>4</v>
      </c>
      <c r="F7039" t="str">
        <f>"08-I05-03"</f>
        <v>08-I05-03</v>
      </c>
      <c r="G7039">
        <v>3.3738000000000001</v>
      </c>
      <c r="H7039" t="s">
        <v>12</v>
      </c>
      <c r="I7039" t="s">
        <v>10</v>
      </c>
    </row>
    <row r="7040" spans="1:9" x14ac:dyDescent="0.25">
      <c r="A7040" t="str">
        <f t="shared" si="169"/>
        <v>89301000</v>
      </c>
      <c r="B7040" t="str">
        <f>"5454022585"</f>
        <v>5454022585</v>
      </c>
      <c r="C7040" s="1">
        <v>45127</v>
      </c>
      <c r="D7040" s="1">
        <v>45133</v>
      </c>
      <c r="E7040">
        <v>5</v>
      </c>
      <c r="F7040" t="str">
        <f>"08-I03-04"</f>
        <v>08-I03-04</v>
      </c>
      <c r="G7040">
        <v>4.6356999999999999</v>
      </c>
      <c r="H7040" t="s">
        <v>9</v>
      </c>
      <c r="I7040" t="s">
        <v>10</v>
      </c>
    </row>
    <row r="7041" spans="1:9" x14ac:dyDescent="0.25">
      <c r="A7041" t="str">
        <f t="shared" si="169"/>
        <v>89301000</v>
      </c>
      <c r="B7041" t="str">
        <f>"5454061800"</f>
        <v>5454061800</v>
      </c>
      <c r="C7041" s="1">
        <v>45235</v>
      </c>
      <c r="D7041" s="1">
        <v>45251</v>
      </c>
      <c r="E7041">
        <v>4</v>
      </c>
      <c r="F7041" t="str">
        <f>"09-K01-02"</f>
        <v>09-K01-02</v>
      </c>
      <c r="G7041">
        <v>1.0348999999999999</v>
      </c>
      <c r="H7041" t="s">
        <v>11</v>
      </c>
      <c r="I7041" t="s">
        <v>10</v>
      </c>
    </row>
    <row r="7042" spans="1:9" x14ac:dyDescent="0.25">
      <c r="A7042" t="str">
        <f t="shared" si="169"/>
        <v>89301000</v>
      </c>
      <c r="B7042" t="str">
        <f>"5454082997"</f>
        <v>5454082997</v>
      </c>
      <c r="C7042" s="1">
        <v>45071</v>
      </c>
      <c r="D7042" s="1">
        <v>45086</v>
      </c>
      <c r="E7042">
        <v>1</v>
      </c>
      <c r="F7042" t="str">
        <f>"06-K06-01"</f>
        <v>06-K06-01</v>
      </c>
      <c r="G7042">
        <v>1.1567000000000001</v>
      </c>
      <c r="H7042" t="s">
        <v>11</v>
      </c>
      <c r="I7042" t="s">
        <v>10</v>
      </c>
    </row>
    <row r="7043" spans="1:9" x14ac:dyDescent="0.25">
      <c r="A7043" t="str">
        <f t="shared" si="169"/>
        <v>89301000</v>
      </c>
      <c r="B7043" t="str">
        <f>"5454082997"</f>
        <v>5454082997</v>
      </c>
      <c r="C7043" s="1">
        <v>45006</v>
      </c>
      <c r="D7043" s="1">
        <v>45022</v>
      </c>
      <c r="E7043">
        <v>1</v>
      </c>
      <c r="F7043" t="str">
        <f>"06-K01-01"</f>
        <v>06-K01-01</v>
      </c>
      <c r="G7043">
        <v>2.6581000000000001</v>
      </c>
      <c r="H7043" t="s">
        <v>11</v>
      </c>
      <c r="I7043" t="s">
        <v>10</v>
      </c>
    </row>
    <row r="7044" spans="1:9" x14ac:dyDescent="0.25">
      <c r="A7044" t="str">
        <f t="shared" si="169"/>
        <v>89301000</v>
      </c>
      <c r="B7044" t="str">
        <f>"5454123202"</f>
        <v>5454123202</v>
      </c>
      <c r="C7044" s="1">
        <v>44942</v>
      </c>
      <c r="D7044" s="1">
        <v>44944</v>
      </c>
      <c r="E7044">
        <v>1</v>
      </c>
      <c r="F7044" t="str">
        <f>"07-K05-03"</f>
        <v>07-K05-03</v>
      </c>
      <c r="G7044">
        <v>0.44369999999999998</v>
      </c>
      <c r="H7044" t="s">
        <v>11</v>
      </c>
      <c r="I7044" t="s">
        <v>10</v>
      </c>
    </row>
    <row r="7045" spans="1:9" x14ac:dyDescent="0.25">
      <c r="A7045" t="str">
        <f t="shared" ref="A7045:A7106" si="170">"89301000"</f>
        <v>89301000</v>
      </c>
      <c r="B7045" t="str">
        <f>"5454123202"</f>
        <v>5454123202</v>
      </c>
      <c r="C7045" s="1">
        <v>44973</v>
      </c>
      <c r="D7045" s="1">
        <v>44974</v>
      </c>
      <c r="E7045">
        <v>1</v>
      </c>
      <c r="F7045" t="str">
        <f>"07-M02-04"</f>
        <v>07-M02-04</v>
      </c>
      <c r="G7045">
        <v>0.77339999999999998</v>
      </c>
      <c r="H7045" t="s">
        <v>12</v>
      </c>
      <c r="I7045" t="s">
        <v>10</v>
      </c>
    </row>
    <row r="7046" spans="1:9" x14ac:dyDescent="0.25">
      <c r="A7046" t="str">
        <f t="shared" si="170"/>
        <v>89301000</v>
      </c>
      <c r="B7046" t="str">
        <f>"5454192139"</f>
        <v>5454192139</v>
      </c>
      <c r="C7046" s="1">
        <v>45009</v>
      </c>
      <c r="D7046" s="1">
        <v>45013</v>
      </c>
      <c r="E7046">
        <v>1</v>
      </c>
      <c r="F7046" t="str">
        <f>"08-K01-03"</f>
        <v>08-K01-03</v>
      </c>
      <c r="G7046">
        <v>0.59189999999999998</v>
      </c>
      <c r="H7046" t="s">
        <v>11</v>
      </c>
      <c r="I7046" t="s">
        <v>10</v>
      </c>
    </row>
    <row r="7047" spans="1:9" x14ac:dyDescent="0.25">
      <c r="A7047" t="str">
        <f t="shared" si="170"/>
        <v>89301000</v>
      </c>
      <c r="B7047" t="str">
        <f>"5454290369"</f>
        <v>5454290369</v>
      </c>
      <c r="C7047" s="1">
        <v>45260</v>
      </c>
      <c r="D7047" s="1">
        <v>45263</v>
      </c>
      <c r="E7047">
        <v>1</v>
      </c>
      <c r="F7047" t="str">
        <f>"08-M03-05"</f>
        <v>08-M03-05</v>
      </c>
      <c r="G7047">
        <v>0.46910000000000002</v>
      </c>
      <c r="H7047" t="s">
        <v>11</v>
      </c>
      <c r="I7047" t="s">
        <v>10</v>
      </c>
    </row>
    <row r="7048" spans="1:9" x14ac:dyDescent="0.25">
      <c r="A7048" t="str">
        <f t="shared" si="170"/>
        <v>89301000</v>
      </c>
      <c r="B7048" t="str">
        <f>"5454291073"</f>
        <v>5454291073</v>
      </c>
      <c r="C7048" s="1">
        <v>45018</v>
      </c>
      <c r="D7048" s="1">
        <v>45028</v>
      </c>
      <c r="E7048">
        <v>2</v>
      </c>
      <c r="F7048" t="str">
        <f>"08-K08-00"</f>
        <v>08-K08-00</v>
      </c>
      <c r="G7048">
        <v>0.5272</v>
      </c>
      <c r="H7048" t="s">
        <v>11</v>
      </c>
      <c r="I7048" t="s">
        <v>10</v>
      </c>
    </row>
    <row r="7049" spans="1:9" x14ac:dyDescent="0.25">
      <c r="A7049" t="str">
        <f t="shared" si="170"/>
        <v>89301000</v>
      </c>
      <c r="B7049" t="str">
        <f>"5454293240"</f>
        <v>5454293240</v>
      </c>
      <c r="C7049" s="1">
        <v>45084</v>
      </c>
      <c r="D7049" s="1">
        <v>45093</v>
      </c>
      <c r="E7049">
        <v>1</v>
      </c>
      <c r="F7049" t="str">
        <f>"09-K03-01"</f>
        <v>09-K03-01</v>
      </c>
      <c r="G7049">
        <v>1.1378999999999999</v>
      </c>
      <c r="H7049" t="s">
        <v>11</v>
      </c>
      <c r="I7049" t="s">
        <v>10</v>
      </c>
    </row>
    <row r="7050" spans="1:9" x14ac:dyDescent="0.25">
      <c r="A7050" t="str">
        <f t="shared" si="170"/>
        <v>89301000</v>
      </c>
      <c r="B7050" t="str">
        <f>"5454293240"</f>
        <v>5454293240</v>
      </c>
      <c r="C7050" s="1">
        <v>45146</v>
      </c>
      <c r="D7050" s="1">
        <v>45181</v>
      </c>
      <c r="E7050">
        <v>4</v>
      </c>
      <c r="F7050" t="str">
        <f>"09-I05-02"</f>
        <v>09-I05-02</v>
      </c>
      <c r="G7050">
        <v>2.4659</v>
      </c>
      <c r="H7050" t="s">
        <v>11</v>
      </c>
      <c r="I7050" t="s">
        <v>10</v>
      </c>
    </row>
    <row r="7051" spans="1:9" x14ac:dyDescent="0.25">
      <c r="A7051" t="str">
        <f t="shared" si="170"/>
        <v>89301000</v>
      </c>
      <c r="B7051" t="str">
        <f>"5454300181"</f>
        <v>5454300181</v>
      </c>
      <c r="C7051" s="1">
        <v>45173</v>
      </c>
      <c r="D7051" s="1">
        <v>45184</v>
      </c>
      <c r="E7051">
        <v>1</v>
      </c>
      <c r="F7051" t="str">
        <f>"24-M06-02"</f>
        <v>24-M06-02</v>
      </c>
      <c r="G7051">
        <v>1.0699000000000001</v>
      </c>
      <c r="H7051" t="s">
        <v>11</v>
      </c>
      <c r="I7051" t="s">
        <v>10</v>
      </c>
    </row>
    <row r="7052" spans="1:9" x14ac:dyDescent="0.25">
      <c r="A7052" t="str">
        <f t="shared" si="170"/>
        <v>89301000</v>
      </c>
      <c r="B7052" t="str">
        <f>"5454300181"</f>
        <v>5454300181</v>
      </c>
      <c r="C7052" s="1">
        <v>45168</v>
      </c>
      <c r="D7052" s="1">
        <v>45173</v>
      </c>
      <c r="E7052">
        <v>3</v>
      </c>
      <c r="F7052" t="str">
        <f>"08-I06-04"</f>
        <v>08-I06-04</v>
      </c>
      <c r="G7052">
        <v>2.4030999999999998</v>
      </c>
      <c r="H7052" t="s">
        <v>9</v>
      </c>
      <c r="I7052" t="s">
        <v>10</v>
      </c>
    </row>
    <row r="7053" spans="1:9" x14ac:dyDescent="0.25">
      <c r="A7053" t="str">
        <f t="shared" si="170"/>
        <v>89301000</v>
      </c>
      <c r="B7053" t="str">
        <f>"5455072403"</f>
        <v>5455072403</v>
      </c>
      <c r="C7053" s="1">
        <v>45239</v>
      </c>
      <c r="D7053" s="1">
        <v>45240</v>
      </c>
      <c r="E7053">
        <v>1</v>
      </c>
      <c r="F7053" t="str">
        <f>"05-M05-02"</f>
        <v>05-M05-02</v>
      </c>
      <c r="G7053">
        <v>3.5493000000000001</v>
      </c>
      <c r="H7053" t="s">
        <v>14</v>
      </c>
      <c r="I7053" t="s">
        <v>10</v>
      </c>
    </row>
    <row r="7054" spans="1:9" x14ac:dyDescent="0.25">
      <c r="A7054" t="str">
        <f t="shared" si="170"/>
        <v>89301000</v>
      </c>
      <c r="B7054" t="str">
        <f>"5455100772"</f>
        <v>5455100772</v>
      </c>
      <c r="C7054" s="1">
        <v>44922</v>
      </c>
      <c r="D7054" s="1">
        <v>44930</v>
      </c>
      <c r="E7054">
        <v>1</v>
      </c>
      <c r="F7054" t="str">
        <f>"04-K09-02"</f>
        <v>04-K09-02</v>
      </c>
      <c r="G7054">
        <v>1.155</v>
      </c>
      <c r="H7054" t="s">
        <v>11</v>
      </c>
      <c r="I7054" t="s">
        <v>10</v>
      </c>
    </row>
    <row r="7055" spans="1:9" x14ac:dyDescent="0.25">
      <c r="A7055" t="str">
        <f t="shared" si="170"/>
        <v>89301000</v>
      </c>
      <c r="B7055" t="str">
        <f>"5455111739"</f>
        <v>5455111739</v>
      </c>
      <c r="C7055" s="1">
        <v>45075</v>
      </c>
      <c r="D7055" s="1">
        <v>45096</v>
      </c>
      <c r="E7055">
        <v>1</v>
      </c>
      <c r="F7055" t="str">
        <f>"08-I05-07"</f>
        <v>08-I05-07</v>
      </c>
      <c r="G7055">
        <v>2.0836999999999999</v>
      </c>
      <c r="H7055" t="s">
        <v>12</v>
      </c>
      <c r="I7055" t="s">
        <v>10</v>
      </c>
    </row>
    <row r="7056" spans="1:9" x14ac:dyDescent="0.25">
      <c r="A7056" t="str">
        <f t="shared" si="170"/>
        <v>89301000</v>
      </c>
      <c r="B7056" t="str">
        <f>"5455120616"</f>
        <v>5455120616</v>
      </c>
      <c r="C7056" s="1">
        <v>44927</v>
      </c>
      <c r="D7056" s="1">
        <v>44935</v>
      </c>
      <c r="E7056">
        <v>3</v>
      </c>
      <c r="F7056" t="str">
        <f>"08-I06-04"</f>
        <v>08-I06-04</v>
      </c>
      <c r="G7056">
        <v>2.3565</v>
      </c>
      <c r="H7056" t="s">
        <v>9</v>
      </c>
      <c r="I7056" t="s">
        <v>10</v>
      </c>
    </row>
    <row r="7057" spans="1:9" x14ac:dyDescent="0.25">
      <c r="A7057" t="str">
        <f t="shared" si="170"/>
        <v>89301000</v>
      </c>
      <c r="B7057" t="str">
        <f>"5455120616"</f>
        <v>5455120616</v>
      </c>
      <c r="C7057" s="1">
        <v>44935</v>
      </c>
      <c r="D7057" s="1">
        <v>44945</v>
      </c>
      <c r="E7057">
        <v>1</v>
      </c>
      <c r="F7057" t="str">
        <f>"24-M06-02"</f>
        <v>24-M06-02</v>
      </c>
      <c r="G7057">
        <v>1.0699000000000001</v>
      </c>
      <c r="H7057" t="s">
        <v>11</v>
      </c>
      <c r="I7057" t="s">
        <v>10</v>
      </c>
    </row>
    <row r="7058" spans="1:9" x14ac:dyDescent="0.25">
      <c r="A7058" t="str">
        <f t="shared" si="170"/>
        <v>89301000</v>
      </c>
      <c r="B7058" t="str">
        <f>"5455283768"</f>
        <v>5455283768</v>
      </c>
      <c r="C7058" s="1">
        <v>45124</v>
      </c>
      <c r="D7058" s="1">
        <v>45135</v>
      </c>
      <c r="E7058">
        <v>1</v>
      </c>
      <c r="F7058" t="str">
        <f>"24-M06-02"</f>
        <v>24-M06-02</v>
      </c>
      <c r="G7058">
        <v>1.0699000000000001</v>
      </c>
      <c r="H7058" t="s">
        <v>11</v>
      </c>
      <c r="I7058" t="s">
        <v>10</v>
      </c>
    </row>
    <row r="7059" spans="1:9" x14ac:dyDescent="0.25">
      <c r="A7059" t="str">
        <f t="shared" si="170"/>
        <v>89301000</v>
      </c>
      <c r="B7059" t="str">
        <f>"5455283768"</f>
        <v>5455283768</v>
      </c>
      <c r="C7059" s="1">
        <v>45092</v>
      </c>
      <c r="D7059" s="1">
        <v>45096</v>
      </c>
      <c r="E7059">
        <v>1</v>
      </c>
      <c r="F7059" t="str">
        <f>"08-I08-02"</f>
        <v>08-I08-02</v>
      </c>
      <c r="G7059">
        <v>3.4279999999999999</v>
      </c>
      <c r="H7059" t="s">
        <v>12</v>
      </c>
      <c r="I7059" t="s">
        <v>10</v>
      </c>
    </row>
    <row r="7060" spans="1:9" x14ac:dyDescent="0.25">
      <c r="A7060" t="str">
        <f t="shared" si="170"/>
        <v>89301000</v>
      </c>
      <c r="B7060" t="str">
        <f>"5456022341"</f>
        <v>5456022341</v>
      </c>
      <c r="C7060" s="1">
        <v>45253</v>
      </c>
      <c r="D7060" s="1">
        <v>45261</v>
      </c>
      <c r="E7060">
        <v>1</v>
      </c>
      <c r="F7060" t="str">
        <f>"02-K11-02"</f>
        <v>02-K11-02</v>
      </c>
      <c r="G7060">
        <v>0.65039999999999998</v>
      </c>
      <c r="H7060" t="s">
        <v>11</v>
      </c>
      <c r="I7060" t="s">
        <v>10</v>
      </c>
    </row>
    <row r="7061" spans="1:9" x14ac:dyDescent="0.25">
      <c r="A7061" t="str">
        <f t="shared" si="170"/>
        <v>89301000</v>
      </c>
      <c r="B7061" t="str">
        <f>"5456032417"</f>
        <v>5456032417</v>
      </c>
      <c r="C7061" s="1">
        <v>45250</v>
      </c>
      <c r="D7061" s="1">
        <v>45253</v>
      </c>
      <c r="E7061">
        <v>1</v>
      </c>
      <c r="F7061" t="str">
        <f>"08-I10-01"</f>
        <v>08-I10-01</v>
      </c>
      <c r="G7061">
        <v>1.2010000000000001</v>
      </c>
      <c r="H7061" t="s">
        <v>12</v>
      </c>
      <c r="I7061" t="s">
        <v>10</v>
      </c>
    </row>
    <row r="7062" spans="1:9" x14ac:dyDescent="0.25">
      <c r="A7062" t="str">
        <f t="shared" si="170"/>
        <v>89301000</v>
      </c>
      <c r="B7062" t="str">
        <f>"5456052305"</f>
        <v>5456052305</v>
      </c>
      <c r="C7062" s="1">
        <v>45173</v>
      </c>
      <c r="D7062" s="1">
        <v>45175</v>
      </c>
      <c r="E7062">
        <v>1</v>
      </c>
      <c r="F7062" t="str">
        <f>"08-M03-05"</f>
        <v>08-M03-05</v>
      </c>
      <c r="G7062">
        <v>0.46810000000000002</v>
      </c>
      <c r="H7062" t="s">
        <v>11</v>
      </c>
      <c r="I7062" t="s">
        <v>10</v>
      </c>
    </row>
    <row r="7063" spans="1:9" x14ac:dyDescent="0.25">
      <c r="A7063" t="str">
        <f t="shared" si="170"/>
        <v>89301000</v>
      </c>
      <c r="B7063" t="str">
        <f>"5456060533"</f>
        <v>5456060533</v>
      </c>
      <c r="C7063" s="1">
        <v>44958</v>
      </c>
      <c r="D7063" s="1">
        <v>44973</v>
      </c>
      <c r="E7063">
        <v>2</v>
      </c>
      <c r="F7063" t="str">
        <f>"01-K04-02"</f>
        <v>01-K04-02</v>
      </c>
      <c r="G7063">
        <v>0.79990000000000006</v>
      </c>
      <c r="H7063" t="s">
        <v>11</v>
      </c>
      <c r="I7063" t="s">
        <v>10</v>
      </c>
    </row>
    <row r="7064" spans="1:9" x14ac:dyDescent="0.25">
      <c r="A7064" t="str">
        <f t="shared" si="170"/>
        <v>89301000</v>
      </c>
      <c r="B7064" t="str">
        <f>"5456080476"</f>
        <v>5456080476</v>
      </c>
      <c r="C7064" s="1">
        <v>44957</v>
      </c>
      <c r="D7064" s="1">
        <v>44960</v>
      </c>
      <c r="E7064">
        <v>1</v>
      </c>
      <c r="F7064" t="str">
        <f>"08-K08-00"</f>
        <v>08-K08-00</v>
      </c>
      <c r="G7064">
        <v>0.5272</v>
      </c>
      <c r="H7064" t="s">
        <v>11</v>
      </c>
      <c r="I7064" t="s">
        <v>10</v>
      </c>
    </row>
    <row r="7065" spans="1:9" x14ac:dyDescent="0.25">
      <c r="A7065" t="str">
        <f t="shared" si="170"/>
        <v>89301000</v>
      </c>
      <c r="B7065" t="str">
        <f>"5456080773"</f>
        <v>5456080773</v>
      </c>
      <c r="C7065" s="1">
        <v>45274</v>
      </c>
      <c r="D7065" s="1">
        <v>45278</v>
      </c>
      <c r="E7065">
        <v>2</v>
      </c>
      <c r="F7065" t="str">
        <f>"08-I06-04"</f>
        <v>08-I06-04</v>
      </c>
      <c r="G7065">
        <v>2.4180000000000001</v>
      </c>
      <c r="H7065" t="s">
        <v>9</v>
      </c>
      <c r="I7065" t="s">
        <v>10</v>
      </c>
    </row>
    <row r="7066" spans="1:9" x14ac:dyDescent="0.25">
      <c r="A7066" t="str">
        <f t="shared" si="170"/>
        <v>89301000</v>
      </c>
      <c r="B7066" t="str">
        <f>"5456100540"</f>
        <v>5456100540</v>
      </c>
      <c r="C7066" s="1">
        <v>45242</v>
      </c>
      <c r="D7066" s="1">
        <v>45244</v>
      </c>
      <c r="E7066">
        <v>1</v>
      </c>
      <c r="F7066" t="str">
        <f>"05-I14-03"</f>
        <v>05-I14-03</v>
      </c>
      <c r="G7066">
        <v>6.0362</v>
      </c>
      <c r="H7066" t="s">
        <v>12</v>
      </c>
      <c r="I7066" t="s">
        <v>10</v>
      </c>
    </row>
    <row r="7067" spans="1:9" x14ac:dyDescent="0.25">
      <c r="A7067" t="str">
        <f t="shared" si="170"/>
        <v>89301000</v>
      </c>
      <c r="B7067" t="str">
        <f>"5456100540"</f>
        <v>5456100540</v>
      </c>
      <c r="C7067" s="1">
        <v>45232</v>
      </c>
      <c r="D7067" s="1">
        <v>45233</v>
      </c>
      <c r="E7067">
        <v>5</v>
      </c>
      <c r="F7067" t="str">
        <f>"05-M06-06"</f>
        <v>05-M06-06</v>
      </c>
      <c r="G7067">
        <v>1.8264</v>
      </c>
      <c r="H7067" t="s">
        <v>12</v>
      </c>
      <c r="I7067" t="s">
        <v>10</v>
      </c>
    </row>
    <row r="7068" spans="1:9" x14ac:dyDescent="0.25">
      <c r="A7068" t="str">
        <f t="shared" si="170"/>
        <v>89301000</v>
      </c>
      <c r="B7068" t="str">
        <f>"5456100738"</f>
        <v>5456100738</v>
      </c>
      <c r="C7068" s="1">
        <v>45175</v>
      </c>
      <c r="D7068" s="1">
        <v>45188</v>
      </c>
      <c r="E7068">
        <v>1</v>
      </c>
      <c r="F7068" t="str">
        <f>"13-I06-02"</f>
        <v>13-I06-02</v>
      </c>
      <c r="G7068">
        <v>1.8261000000000001</v>
      </c>
      <c r="H7068" t="s">
        <v>14</v>
      </c>
      <c r="I7068" t="s">
        <v>10</v>
      </c>
    </row>
    <row r="7069" spans="1:9" x14ac:dyDescent="0.25">
      <c r="A7069" t="str">
        <f t="shared" si="170"/>
        <v>89301000</v>
      </c>
      <c r="B7069" t="str">
        <f>"5456100738"</f>
        <v>5456100738</v>
      </c>
      <c r="C7069" s="1">
        <v>45217</v>
      </c>
      <c r="D7069" s="1">
        <v>45219</v>
      </c>
      <c r="E7069">
        <v>1</v>
      </c>
      <c r="F7069" t="str">
        <f>"13-K09-02"</f>
        <v>13-K09-02</v>
      </c>
      <c r="G7069">
        <v>0.5867</v>
      </c>
      <c r="H7069" t="s">
        <v>11</v>
      </c>
      <c r="I7069" t="s">
        <v>10</v>
      </c>
    </row>
    <row r="7070" spans="1:9" x14ac:dyDescent="0.25">
      <c r="A7070" t="str">
        <f t="shared" si="170"/>
        <v>89301000</v>
      </c>
      <c r="B7070" t="str">
        <f>"5456170687"</f>
        <v>5456170687</v>
      </c>
      <c r="C7070" s="1">
        <v>44932</v>
      </c>
      <c r="D7070" s="1">
        <v>44933</v>
      </c>
      <c r="E7070">
        <v>1</v>
      </c>
      <c r="F7070" t="str">
        <f>"05-D01-08"</f>
        <v>05-D01-08</v>
      </c>
      <c r="G7070">
        <v>0.43159999999999998</v>
      </c>
      <c r="H7070" t="s">
        <v>11</v>
      </c>
      <c r="I7070" t="s">
        <v>10</v>
      </c>
    </row>
    <row r="7071" spans="1:9" x14ac:dyDescent="0.25">
      <c r="A7071" t="str">
        <f t="shared" si="170"/>
        <v>89301000</v>
      </c>
      <c r="B7071" t="str">
        <f>"5457061522"</f>
        <v>5457061522</v>
      </c>
      <c r="C7071" s="1">
        <v>45091</v>
      </c>
      <c r="D7071" s="1">
        <v>45092</v>
      </c>
      <c r="E7071">
        <v>1</v>
      </c>
      <c r="F7071" t="str">
        <f>"05-D01-08"</f>
        <v>05-D01-08</v>
      </c>
      <c r="G7071">
        <v>0.43159999999999998</v>
      </c>
      <c r="H7071" t="s">
        <v>11</v>
      </c>
      <c r="I7071" t="s">
        <v>10</v>
      </c>
    </row>
    <row r="7072" spans="1:9" x14ac:dyDescent="0.25">
      <c r="A7072" t="str">
        <f t="shared" si="170"/>
        <v>89301000</v>
      </c>
      <c r="B7072" t="str">
        <f>"5457071323"</f>
        <v>5457071323</v>
      </c>
      <c r="C7072" s="1">
        <v>45239</v>
      </c>
      <c r="D7072" s="1">
        <v>45243</v>
      </c>
      <c r="E7072">
        <v>1</v>
      </c>
      <c r="F7072" t="str">
        <f>"08-I08-03"</f>
        <v>08-I08-03</v>
      </c>
      <c r="G7072">
        <v>2.8258999999999999</v>
      </c>
      <c r="H7072" t="s">
        <v>12</v>
      </c>
      <c r="I7072" t="s">
        <v>10</v>
      </c>
    </row>
    <row r="7073" spans="1:9" x14ac:dyDescent="0.25">
      <c r="A7073" t="str">
        <f t="shared" si="170"/>
        <v>89301000</v>
      </c>
      <c r="B7073" t="str">
        <f>"5457071323"</f>
        <v>5457071323</v>
      </c>
      <c r="C7073" s="1">
        <v>45271</v>
      </c>
      <c r="D7073" s="1">
        <v>45276</v>
      </c>
      <c r="E7073">
        <v>1</v>
      </c>
      <c r="F7073" t="str">
        <f>"24-M05-02"</f>
        <v>24-M05-02</v>
      </c>
      <c r="G7073">
        <v>0.58660000000000001</v>
      </c>
      <c r="H7073" t="s">
        <v>11</v>
      </c>
      <c r="I7073" t="s">
        <v>10</v>
      </c>
    </row>
    <row r="7074" spans="1:9" x14ac:dyDescent="0.25">
      <c r="A7074" t="str">
        <f t="shared" si="170"/>
        <v>89301000</v>
      </c>
      <c r="B7074" t="str">
        <f>"5457091574"</f>
        <v>5457091574</v>
      </c>
      <c r="C7074" s="1">
        <v>44972</v>
      </c>
      <c r="D7074" s="1">
        <v>44975</v>
      </c>
      <c r="E7074">
        <v>1</v>
      </c>
      <c r="F7074" t="str">
        <f>"13-I14-03"</f>
        <v>13-I14-03</v>
      </c>
      <c r="G7074">
        <v>0.87760000000000005</v>
      </c>
      <c r="H7074" t="s">
        <v>9</v>
      </c>
      <c r="I7074" t="s">
        <v>10</v>
      </c>
    </row>
    <row r="7075" spans="1:9" x14ac:dyDescent="0.25">
      <c r="A7075" t="str">
        <f t="shared" si="170"/>
        <v>89301000</v>
      </c>
      <c r="B7075" t="str">
        <f>"5457092311"</f>
        <v>5457092311</v>
      </c>
      <c r="C7075" s="1">
        <v>45107</v>
      </c>
      <c r="D7075" s="1">
        <v>45117</v>
      </c>
      <c r="E7075">
        <v>1</v>
      </c>
      <c r="F7075" t="str">
        <f>"04-K06-03"</f>
        <v>04-K06-03</v>
      </c>
      <c r="G7075">
        <v>0.62519999999999998</v>
      </c>
      <c r="H7075" t="s">
        <v>11</v>
      </c>
      <c r="I7075" t="s">
        <v>10</v>
      </c>
    </row>
    <row r="7076" spans="1:9" x14ac:dyDescent="0.25">
      <c r="A7076" t="str">
        <f t="shared" si="170"/>
        <v>89301000</v>
      </c>
      <c r="B7076" t="str">
        <f>"5457092311"</f>
        <v>5457092311</v>
      </c>
      <c r="C7076" s="1">
        <v>45035</v>
      </c>
      <c r="D7076" s="1">
        <v>45048</v>
      </c>
      <c r="E7076">
        <v>1</v>
      </c>
      <c r="F7076" t="str">
        <f>"04-K06-03"</f>
        <v>04-K06-03</v>
      </c>
      <c r="G7076">
        <v>0.62519999999999998</v>
      </c>
      <c r="H7076" t="s">
        <v>11</v>
      </c>
      <c r="I7076" t="s">
        <v>10</v>
      </c>
    </row>
    <row r="7077" spans="1:9" x14ac:dyDescent="0.25">
      <c r="A7077" t="str">
        <f t="shared" si="170"/>
        <v>89301000</v>
      </c>
      <c r="B7077" t="str">
        <f>"5457092311"</f>
        <v>5457092311</v>
      </c>
      <c r="C7077" s="1">
        <v>44997</v>
      </c>
      <c r="D7077" s="1">
        <v>45002</v>
      </c>
      <c r="E7077">
        <v>1</v>
      </c>
      <c r="F7077" t="str">
        <f>"05-K07-04"</f>
        <v>05-K07-04</v>
      </c>
      <c r="G7077">
        <v>1.0598000000000001</v>
      </c>
      <c r="H7077" t="s">
        <v>11</v>
      </c>
      <c r="I7077" t="s">
        <v>10</v>
      </c>
    </row>
    <row r="7078" spans="1:9" x14ac:dyDescent="0.25">
      <c r="A7078" t="str">
        <f t="shared" si="170"/>
        <v>89301000</v>
      </c>
      <c r="B7078" t="str">
        <f>"5457161633"</f>
        <v>5457161633</v>
      </c>
      <c r="C7078" s="1">
        <v>44949</v>
      </c>
      <c r="D7078" s="1">
        <v>44956</v>
      </c>
      <c r="E7078">
        <v>1</v>
      </c>
      <c r="F7078" t="str">
        <f>"07-I10-04"</f>
        <v>07-I10-04</v>
      </c>
      <c r="G7078">
        <v>1.4211</v>
      </c>
      <c r="H7078" t="s">
        <v>12</v>
      </c>
      <c r="I7078" t="s">
        <v>10</v>
      </c>
    </row>
    <row r="7079" spans="1:9" x14ac:dyDescent="0.25">
      <c r="A7079" t="str">
        <f t="shared" si="170"/>
        <v>89301000</v>
      </c>
      <c r="B7079" t="str">
        <f>"5457173656"</f>
        <v>5457173656</v>
      </c>
      <c r="C7079" s="1">
        <v>45265</v>
      </c>
      <c r="D7079" s="1">
        <v>45267</v>
      </c>
      <c r="E7079">
        <v>1</v>
      </c>
      <c r="F7079" t="str">
        <f>"05-K14-03"</f>
        <v>05-K14-03</v>
      </c>
      <c r="G7079">
        <v>0.3962</v>
      </c>
      <c r="H7079" t="s">
        <v>11</v>
      </c>
      <c r="I7079" t="s">
        <v>10</v>
      </c>
    </row>
    <row r="7080" spans="1:9" x14ac:dyDescent="0.25">
      <c r="A7080" t="str">
        <f t="shared" si="170"/>
        <v>89301000</v>
      </c>
      <c r="B7080" t="str">
        <f>"5457202047"</f>
        <v>5457202047</v>
      </c>
      <c r="C7080" s="1">
        <v>45275</v>
      </c>
      <c r="D7080" s="1">
        <v>45275</v>
      </c>
      <c r="E7080">
        <v>1</v>
      </c>
      <c r="F7080" t="str">
        <f>"05-M06-08"</f>
        <v>05-M06-08</v>
      </c>
      <c r="G7080">
        <v>1.1012</v>
      </c>
      <c r="H7080" t="s">
        <v>12</v>
      </c>
      <c r="I7080" t="s">
        <v>10</v>
      </c>
    </row>
    <row r="7081" spans="1:9" x14ac:dyDescent="0.25">
      <c r="A7081" t="str">
        <f t="shared" si="170"/>
        <v>89301000</v>
      </c>
      <c r="B7081" t="str">
        <f>"5457232396"</f>
        <v>5457232396</v>
      </c>
      <c r="C7081" s="1">
        <v>44929</v>
      </c>
      <c r="D7081" s="1">
        <v>44935</v>
      </c>
      <c r="E7081">
        <v>4</v>
      </c>
      <c r="F7081" t="str">
        <f>"08-I05-04"</f>
        <v>08-I05-04</v>
      </c>
      <c r="G7081">
        <v>2.4445000000000001</v>
      </c>
      <c r="H7081" t="s">
        <v>12</v>
      </c>
      <c r="I7081" t="s">
        <v>10</v>
      </c>
    </row>
    <row r="7082" spans="1:9" x14ac:dyDescent="0.25">
      <c r="A7082" t="str">
        <f t="shared" si="170"/>
        <v>89301000</v>
      </c>
      <c r="B7082" t="str">
        <f>"5457232396"</f>
        <v>5457232396</v>
      </c>
      <c r="C7082" s="1">
        <v>45099</v>
      </c>
      <c r="D7082" s="1">
        <v>45104</v>
      </c>
      <c r="E7082">
        <v>1</v>
      </c>
      <c r="F7082" t="str">
        <f>"11-I08-03"</f>
        <v>11-I08-03</v>
      </c>
      <c r="G7082">
        <v>2.0529999999999999</v>
      </c>
      <c r="H7082" t="s">
        <v>9</v>
      </c>
      <c r="I7082" t="s">
        <v>10</v>
      </c>
    </row>
    <row r="7083" spans="1:9" x14ac:dyDescent="0.25">
      <c r="A7083" t="str">
        <f t="shared" si="170"/>
        <v>89301000</v>
      </c>
      <c r="B7083" t="str">
        <f>"5457272183"</f>
        <v>5457272183</v>
      </c>
      <c r="C7083" s="1">
        <v>45269</v>
      </c>
      <c r="D7083" s="1">
        <v>45272</v>
      </c>
      <c r="E7083">
        <v>1</v>
      </c>
      <c r="F7083" t="str">
        <f>"05-K15-02"</f>
        <v>05-K15-02</v>
      </c>
      <c r="G7083">
        <v>0.45369999999999999</v>
      </c>
      <c r="H7083" t="s">
        <v>11</v>
      </c>
      <c r="I7083" t="s">
        <v>10</v>
      </c>
    </row>
    <row r="7084" spans="1:9" x14ac:dyDescent="0.25">
      <c r="A7084" t="str">
        <f t="shared" si="170"/>
        <v>89301000</v>
      </c>
      <c r="B7084" t="str">
        <f>"5457310892"</f>
        <v>5457310892</v>
      </c>
      <c r="C7084" s="1">
        <v>45020</v>
      </c>
      <c r="D7084" s="1">
        <v>45024</v>
      </c>
      <c r="E7084">
        <v>1</v>
      </c>
      <c r="F7084" t="str">
        <f>"06-I22-02"</f>
        <v>06-I22-02</v>
      </c>
      <c r="G7084">
        <v>0.41810000000000003</v>
      </c>
      <c r="H7084" t="s">
        <v>12</v>
      </c>
      <c r="I7084" t="s">
        <v>10</v>
      </c>
    </row>
    <row r="7085" spans="1:9" x14ac:dyDescent="0.25">
      <c r="A7085" t="str">
        <f t="shared" si="170"/>
        <v>89301000</v>
      </c>
      <c r="B7085" t="str">
        <f>"5457312322"</f>
        <v>5457312322</v>
      </c>
      <c r="C7085" s="1">
        <v>45180</v>
      </c>
      <c r="D7085" s="1">
        <v>45191</v>
      </c>
      <c r="E7085">
        <v>1</v>
      </c>
      <c r="F7085" t="str">
        <f>"01-K04-02"</f>
        <v>01-K04-02</v>
      </c>
      <c r="G7085">
        <v>0.80210000000000004</v>
      </c>
      <c r="H7085" t="s">
        <v>11</v>
      </c>
      <c r="I7085" t="s">
        <v>10</v>
      </c>
    </row>
    <row r="7086" spans="1:9" x14ac:dyDescent="0.25">
      <c r="A7086" t="str">
        <f t="shared" si="170"/>
        <v>89301000</v>
      </c>
      <c r="B7086" t="str">
        <f>"5458054426"</f>
        <v>5458054426</v>
      </c>
      <c r="C7086" s="1">
        <v>45091</v>
      </c>
      <c r="D7086" s="1">
        <v>45104</v>
      </c>
      <c r="E7086">
        <v>1</v>
      </c>
      <c r="F7086" t="str">
        <f>"08-M03-05"</f>
        <v>08-M03-05</v>
      </c>
      <c r="G7086">
        <v>1.3213999999999999</v>
      </c>
      <c r="H7086" t="s">
        <v>11</v>
      </c>
      <c r="I7086" t="s">
        <v>10</v>
      </c>
    </row>
    <row r="7087" spans="1:9" x14ac:dyDescent="0.25">
      <c r="A7087" t="str">
        <f t="shared" si="170"/>
        <v>89301000</v>
      </c>
      <c r="B7087" t="str">
        <f>"5458134000"</f>
        <v>5458134000</v>
      </c>
      <c r="C7087" s="1">
        <v>44927</v>
      </c>
      <c r="D7087" s="1">
        <v>44931</v>
      </c>
      <c r="E7087">
        <v>1</v>
      </c>
      <c r="F7087" t="str">
        <f>"10-I13-04"</f>
        <v>10-I13-04</v>
      </c>
      <c r="G7087">
        <v>0.67210000000000003</v>
      </c>
      <c r="H7087" t="s">
        <v>9</v>
      </c>
      <c r="I7087" t="s">
        <v>10</v>
      </c>
    </row>
    <row r="7088" spans="1:9" x14ac:dyDescent="0.25">
      <c r="A7088" t="str">
        <f t="shared" si="170"/>
        <v>89301000</v>
      </c>
      <c r="B7088" t="str">
        <f>"5458170234"</f>
        <v>5458170234</v>
      </c>
      <c r="C7088" s="1">
        <v>45187</v>
      </c>
      <c r="D7088" s="1">
        <v>45196</v>
      </c>
      <c r="E7088">
        <v>1</v>
      </c>
      <c r="F7088" t="str">
        <f>"17-I01-00"</f>
        <v>17-I01-00</v>
      </c>
      <c r="G7088">
        <v>5.8076999999999996</v>
      </c>
      <c r="H7088" t="s">
        <v>12</v>
      </c>
      <c r="I7088" t="s">
        <v>10</v>
      </c>
    </row>
    <row r="7089" spans="1:9" x14ac:dyDescent="0.25">
      <c r="A7089" t="str">
        <f t="shared" si="170"/>
        <v>89301000</v>
      </c>
      <c r="B7089" t="str">
        <f>"5458171906"</f>
        <v>5458171906</v>
      </c>
      <c r="C7089" s="1">
        <v>45272</v>
      </c>
      <c r="D7089" s="1">
        <v>45283</v>
      </c>
      <c r="E7089">
        <v>1</v>
      </c>
      <c r="F7089" t="str">
        <f>"11-I01-02"</f>
        <v>11-I01-02</v>
      </c>
      <c r="G7089">
        <v>4.8537999999999997</v>
      </c>
      <c r="H7089" t="s">
        <v>14</v>
      </c>
      <c r="I7089" t="s">
        <v>10</v>
      </c>
    </row>
    <row r="7090" spans="1:9" x14ac:dyDescent="0.25">
      <c r="A7090" t="str">
        <f t="shared" si="170"/>
        <v>89301000</v>
      </c>
      <c r="B7090" t="str">
        <f>"5458171906"</f>
        <v>5458171906</v>
      </c>
      <c r="C7090" s="1">
        <v>45070</v>
      </c>
      <c r="D7090" s="1">
        <v>45073</v>
      </c>
      <c r="E7090">
        <v>1</v>
      </c>
      <c r="F7090" t="str">
        <f>"11-M06-03"</f>
        <v>11-M06-03</v>
      </c>
      <c r="G7090">
        <v>0.62009999999999998</v>
      </c>
      <c r="H7090" t="s">
        <v>12</v>
      </c>
      <c r="I7090" t="s">
        <v>10</v>
      </c>
    </row>
    <row r="7091" spans="1:9" x14ac:dyDescent="0.25">
      <c r="A7091" t="str">
        <f t="shared" si="170"/>
        <v>89301000</v>
      </c>
      <c r="B7091" t="str">
        <f>"5458171906"</f>
        <v>5458171906</v>
      </c>
      <c r="C7091" s="1">
        <v>45111</v>
      </c>
      <c r="D7091" s="1">
        <v>45113</v>
      </c>
      <c r="E7091">
        <v>1</v>
      </c>
      <c r="F7091" t="str">
        <f>"11-M06-03"</f>
        <v>11-M06-03</v>
      </c>
      <c r="G7091">
        <v>0.62009999999999998</v>
      </c>
      <c r="H7091" t="s">
        <v>12</v>
      </c>
      <c r="I7091" t="s">
        <v>10</v>
      </c>
    </row>
    <row r="7092" spans="1:9" x14ac:dyDescent="0.25">
      <c r="A7092" t="str">
        <f t="shared" si="170"/>
        <v>89301000</v>
      </c>
      <c r="B7092" t="str">
        <f>"5458171906"</f>
        <v>5458171906</v>
      </c>
      <c r="C7092" s="1">
        <v>45233</v>
      </c>
      <c r="D7092" s="1">
        <v>45238</v>
      </c>
      <c r="E7092">
        <v>1</v>
      </c>
      <c r="F7092" t="str">
        <f>"11-K08-02"</f>
        <v>11-K08-02</v>
      </c>
      <c r="G7092">
        <v>0.50570000000000004</v>
      </c>
      <c r="H7092" t="s">
        <v>11</v>
      </c>
      <c r="I7092" t="s">
        <v>10</v>
      </c>
    </row>
    <row r="7093" spans="1:9" x14ac:dyDescent="0.25">
      <c r="A7093" t="str">
        <f t="shared" si="170"/>
        <v>89301000</v>
      </c>
      <c r="B7093" t="str">
        <f>"5458191123"</f>
        <v>5458191123</v>
      </c>
      <c r="C7093" s="1">
        <v>45257</v>
      </c>
      <c r="D7093" s="1">
        <v>45259</v>
      </c>
      <c r="E7093">
        <v>1</v>
      </c>
      <c r="F7093" t="str">
        <f>"09-I06-04"</f>
        <v>09-I06-04</v>
      </c>
      <c r="G7093">
        <v>0.95069999999999999</v>
      </c>
      <c r="H7093" t="s">
        <v>12</v>
      </c>
      <c r="I7093" t="s">
        <v>10</v>
      </c>
    </row>
    <row r="7094" spans="1:9" x14ac:dyDescent="0.25">
      <c r="A7094" t="str">
        <f t="shared" si="170"/>
        <v>89301000</v>
      </c>
      <c r="B7094" t="str">
        <f>"5458201408"</f>
        <v>5458201408</v>
      </c>
      <c r="C7094" s="1">
        <v>45153</v>
      </c>
      <c r="D7094" s="1">
        <v>45154</v>
      </c>
      <c r="E7094">
        <v>1</v>
      </c>
      <c r="F7094" t="str">
        <f>"01-D01-03"</f>
        <v>01-D01-03</v>
      </c>
      <c r="G7094">
        <v>0.16200000000000001</v>
      </c>
      <c r="H7094" t="s">
        <v>11</v>
      </c>
      <c r="I7094" t="s">
        <v>10</v>
      </c>
    </row>
    <row r="7095" spans="1:9" x14ac:dyDescent="0.25">
      <c r="A7095" t="str">
        <f t="shared" si="170"/>
        <v>89301000</v>
      </c>
      <c r="B7095" t="str">
        <f>"5458303389"</f>
        <v>5458303389</v>
      </c>
      <c r="C7095" s="1">
        <v>45278</v>
      </c>
      <c r="D7095" s="1">
        <v>45289</v>
      </c>
      <c r="E7095">
        <v>1</v>
      </c>
      <c r="F7095" t="str">
        <f>"04-K02-04"</f>
        <v>04-K02-04</v>
      </c>
      <c r="G7095">
        <v>0.82099999999999995</v>
      </c>
      <c r="H7095" t="s">
        <v>11</v>
      </c>
      <c r="I7095" t="s">
        <v>10</v>
      </c>
    </row>
    <row r="7096" spans="1:9" x14ac:dyDescent="0.25">
      <c r="A7096" t="str">
        <f t="shared" si="170"/>
        <v>89301000</v>
      </c>
      <c r="B7096" t="str">
        <f>"5459063247"</f>
        <v>5459063247</v>
      </c>
      <c r="C7096" s="1">
        <v>44979</v>
      </c>
      <c r="D7096" s="1">
        <v>44986</v>
      </c>
      <c r="E7096">
        <v>1</v>
      </c>
      <c r="F7096" t="str">
        <f>"19-K03-01"</f>
        <v>19-K03-01</v>
      </c>
      <c r="G7096">
        <v>1.2786</v>
      </c>
      <c r="H7096" t="s">
        <v>15</v>
      </c>
      <c r="I7096" t="s">
        <v>10</v>
      </c>
    </row>
    <row r="7097" spans="1:9" x14ac:dyDescent="0.25">
      <c r="A7097" t="str">
        <f t="shared" si="170"/>
        <v>89301000</v>
      </c>
      <c r="B7097" t="str">
        <f>"5459110283"</f>
        <v>5459110283</v>
      </c>
      <c r="C7097" s="1">
        <v>45259</v>
      </c>
      <c r="D7097" s="1">
        <v>45262</v>
      </c>
      <c r="E7097">
        <v>1</v>
      </c>
      <c r="F7097" t="str">
        <f>"13-I11-03"</f>
        <v>13-I11-03</v>
      </c>
      <c r="G7097">
        <v>2.0968</v>
      </c>
      <c r="H7097" t="s">
        <v>9</v>
      </c>
      <c r="I7097" t="s">
        <v>10</v>
      </c>
    </row>
    <row r="7098" spans="1:9" x14ac:dyDescent="0.25">
      <c r="A7098" t="str">
        <f t="shared" si="170"/>
        <v>89301000</v>
      </c>
      <c r="B7098" t="str">
        <f>"5459170387"</f>
        <v>5459170387</v>
      </c>
      <c r="C7098" s="1">
        <v>45209</v>
      </c>
      <c r="D7098" s="1">
        <v>45211</v>
      </c>
      <c r="E7098">
        <v>1</v>
      </c>
      <c r="F7098" t="str">
        <f>"11-I14-02"</f>
        <v>11-I14-02</v>
      </c>
      <c r="G7098">
        <v>0.61839999999999995</v>
      </c>
      <c r="H7098" t="s">
        <v>9</v>
      </c>
      <c r="I7098" t="s">
        <v>10</v>
      </c>
    </row>
    <row r="7099" spans="1:9" x14ac:dyDescent="0.25">
      <c r="A7099" t="str">
        <f t="shared" si="170"/>
        <v>89301000</v>
      </c>
      <c r="B7099" t="str">
        <f>"5459171267"</f>
        <v>5459171267</v>
      </c>
      <c r="C7099" s="1">
        <v>45027</v>
      </c>
      <c r="D7099" s="1">
        <v>45034</v>
      </c>
      <c r="E7099">
        <v>1</v>
      </c>
      <c r="F7099" t="str">
        <f>"06-I05-01"</f>
        <v>06-I05-01</v>
      </c>
      <c r="G7099">
        <v>3.8811</v>
      </c>
      <c r="H7099" t="s">
        <v>12</v>
      </c>
      <c r="I7099" t="s">
        <v>10</v>
      </c>
    </row>
    <row r="7100" spans="1:9" x14ac:dyDescent="0.25">
      <c r="A7100" t="str">
        <f t="shared" si="170"/>
        <v>89301000</v>
      </c>
      <c r="B7100" t="str">
        <f>"5459240127"</f>
        <v>5459240127</v>
      </c>
      <c r="C7100" s="1">
        <v>45206</v>
      </c>
      <c r="D7100" s="1">
        <v>45210</v>
      </c>
      <c r="E7100">
        <v>1</v>
      </c>
      <c r="F7100" t="str">
        <f>"01-K10-03"</f>
        <v>01-K10-03</v>
      </c>
      <c r="G7100">
        <v>1.0443</v>
      </c>
      <c r="H7100" t="s">
        <v>11</v>
      </c>
      <c r="I7100" t="s">
        <v>10</v>
      </c>
    </row>
    <row r="7101" spans="1:9" x14ac:dyDescent="0.25">
      <c r="A7101" t="str">
        <f t="shared" si="170"/>
        <v>89301000</v>
      </c>
      <c r="B7101" t="str">
        <f>"5459301584"</f>
        <v>5459301584</v>
      </c>
      <c r="C7101" s="1">
        <v>44993</v>
      </c>
      <c r="D7101" s="1">
        <v>44997</v>
      </c>
      <c r="E7101">
        <v>1</v>
      </c>
      <c r="F7101" t="str">
        <f>"10-I13-02"</f>
        <v>10-I13-02</v>
      </c>
      <c r="G7101">
        <v>1.1124000000000001</v>
      </c>
      <c r="H7101" t="s">
        <v>9</v>
      </c>
      <c r="I7101" t="s">
        <v>10</v>
      </c>
    </row>
    <row r="7102" spans="1:9" x14ac:dyDescent="0.25">
      <c r="A7102" t="str">
        <f t="shared" si="170"/>
        <v>89301000</v>
      </c>
      <c r="B7102" t="str">
        <f>"5460083101"</f>
        <v>5460083101</v>
      </c>
      <c r="C7102" s="1">
        <v>45030</v>
      </c>
      <c r="D7102" s="1">
        <v>45031</v>
      </c>
      <c r="E7102">
        <v>1</v>
      </c>
      <c r="F7102" t="str">
        <f>"02-I06-04"</f>
        <v>02-I06-04</v>
      </c>
      <c r="G7102">
        <v>0.79630000000000001</v>
      </c>
      <c r="H7102" t="s">
        <v>12</v>
      </c>
      <c r="I7102" t="s">
        <v>10</v>
      </c>
    </row>
    <row r="7103" spans="1:9" x14ac:dyDescent="0.25">
      <c r="A7103" t="str">
        <f t="shared" si="170"/>
        <v>89301000</v>
      </c>
      <c r="B7103" t="str">
        <f>"5460092946"</f>
        <v>5460092946</v>
      </c>
      <c r="C7103" s="1">
        <v>44965</v>
      </c>
      <c r="D7103" s="1">
        <v>44966</v>
      </c>
      <c r="E7103">
        <v>1</v>
      </c>
      <c r="F7103" t="str">
        <f>"05-M06-08"</f>
        <v>05-M06-08</v>
      </c>
      <c r="G7103">
        <v>1.4228000000000001</v>
      </c>
      <c r="H7103" t="s">
        <v>12</v>
      </c>
      <c r="I7103" t="s">
        <v>10</v>
      </c>
    </row>
    <row r="7104" spans="1:9" x14ac:dyDescent="0.25">
      <c r="A7104" t="str">
        <f t="shared" si="170"/>
        <v>89301000</v>
      </c>
      <c r="B7104" t="str">
        <f>"5460092946"</f>
        <v>5460092946</v>
      </c>
      <c r="C7104" s="1">
        <v>45000</v>
      </c>
      <c r="D7104" s="1">
        <v>45000</v>
      </c>
      <c r="E7104">
        <v>1</v>
      </c>
      <c r="F7104" t="str">
        <f>"05-M06-08"</f>
        <v>05-M06-08</v>
      </c>
      <c r="G7104">
        <v>1.1012</v>
      </c>
      <c r="H7104" t="s">
        <v>12</v>
      </c>
      <c r="I7104" t="s">
        <v>10</v>
      </c>
    </row>
    <row r="7105" spans="1:9" x14ac:dyDescent="0.25">
      <c r="A7105" t="str">
        <f t="shared" si="170"/>
        <v>89301000</v>
      </c>
      <c r="B7105" t="str">
        <f>"5460220942"</f>
        <v>5460220942</v>
      </c>
      <c r="C7105" s="1">
        <v>44937</v>
      </c>
      <c r="D7105" s="1">
        <v>44942</v>
      </c>
      <c r="E7105">
        <v>1</v>
      </c>
      <c r="F7105" t="str">
        <f>"23-K05-01"</f>
        <v>23-K05-01</v>
      </c>
      <c r="G7105">
        <v>0.56269999999999998</v>
      </c>
      <c r="H7105" t="s">
        <v>11</v>
      </c>
      <c r="I7105" t="s">
        <v>10</v>
      </c>
    </row>
    <row r="7106" spans="1:9" x14ac:dyDescent="0.25">
      <c r="A7106" t="str">
        <f t="shared" si="170"/>
        <v>89301000</v>
      </c>
      <c r="B7106" t="str">
        <f>"5460222713"</f>
        <v>5460222713</v>
      </c>
      <c r="C7106" s="1">
        <v>45006</v>
      </c>
      <c r="D7106" s="1">
        <v>45015</v>
      </c>
      <c r="E7106">
        <v>4</v>
      </c>
      <c r="F7106" t="str">
        <f>"08-I05-06"</f>
        <v>08-I05-06</v>
      </c>
      <c r="G7106">
        <v>2.0308000000000002</v>
      </c>
      <c r="H7106" t="s">
        <v>12</v>
      </c>
      <c r="I7106" t="s">
        <v>10</v>
      </c>
    </row>
    <row r="7107" spans="1:9" x14ac:dyDescent="0.25">
      <c r="A7107" t="str">
        <f t="shared" ref="A7107:A7169" si="171">"89301000"</f>
        <v>89301000</v>
      </c>
      <c r="B7107" t="str">
        <f>"5460241468"</f>
        <v>5460241468</v>
      </c>
      <c r="C7107" s="1">
        <v>45155</v>
      </c>
      <c r="D7107" s="1">
        <v>45160</v>
      </c>
      <c r="E7107">
        <v>4</v>
      </c>
      <c r="F7107" t="str">
        <f>"08-I05-04"</f>
        <v>08-I05-04</v>
      </c>
      <c r="G7107">
        <v>2.4445000000000001</v>
      </c>
      <c r="H7107" t="s">
        <v>12</v>
      </c>
      <c r="I7107" t="s">
        <v>10</v>
      </c>
    </row>
    <row r="7108" spans="1:9" x14ac:dyDescent="0.25">
      <c r="A7108" t="str">
        <f t="shared" si="171"/>
        <v>89301000</v>
      </c>
      <c r="B7108" t="str">
        <f>"5460281574"</f>
        <v>5460281574</v>
      </c>
      <c r="C7108" s="1">
        <v>45041</v>
      </c>
      <c r="D7108" s="1">
        <v>45042</v>
      </c>
      <c r="E7108">
        <v>1</v>
      </c>
      <c r="F7108" t="str">
        <f>"05-I30-02"</f>
        <v>05-I30-02</v>
      </c>
      <c r="G7108">
        <v>0.41699999999999998</v>
      </c>
      <c r="H7108" t="s">
        <v>12</v>
      </c>
      <c r="I7108" t="s">
        <v>10</v>
      </c>
    </row>
    <row r="7109" spans="1:9" x14ac:dyDescent="0.25">
      <c r="A7109" t="str">
        <f t="shared" si="171"/>
        <v>89301000</v>
      </c>
      <c r="B7109" t="str">
        <f>"5461030003"</f>
        <v>5461030003</v>
      </c>
      <c r="C7109" s="1">
        <v>45180</v>
      </c>
      <c r="D7109" s="1">
        <v>45182</v>
      </c>
      <c r="E7109">
        <v>1</v>
      </c>
      <c r="F7109" t="str">
        <f>"05-M05-02"</f>
        <v>05-M05-02</v>
      </c>
      <c r="G7109">
        <v>3.5567000000000002</v>
      </c>
      <c r="H7109" t="s">
        <v>14</v>
      </c>
      <c r="I7109" t="s">
        <v>10</v>
      </c>
    </row>
    <row r="7110" spans="1:9" x14ac:dyDescent="0.25">
      <c r="A7110" t="str">
        <f t="shared" si="171"/>
        <v>89301000</v>
      </c>
      <c r="B7110" t="str">
        <f>"5461092472"</f>
        <v>5461092472</v>
      </c>
      <c r="C7110" s="1">
        <v>45055</v>
      </c>
      <c r="D7110" s="1">
        <v>45056</v>
      </c>
      <c r="E7110">
        <v>1</v>
      </c>
      <c r="F7110" t="str">
        <f>"02-I13-02"</f>
        <v>02-I13-02</v>
      </c>
      <c r="G7110">
        <v>0.4259</v>
      </c>
      <c r="H7110" t="s">
        <v>11</v>
      </c>
      <c r="I7110" t="s">
        <v>10</v>
      </c>
    </row>
    <row r="7111" spans="1:9" x14ac:dyDescent="0.25">
      <c r="A7111" t="str">
        <f t="shared" si="171"/>
        <v>89301000</v>
      </c>
      <c r="B7111" t="str">
        <f>"5461140729"</f>
        <v>5461140729</v>
      </c>
      <c r="C7111" s="1">
        <v>44967</v>
      </c>
      <c r="D7111" s="1">
        <v>44969</v>
      </c>
      <c r="E7111">
        <v>1</v>
      </c>
      <c r="F7111" t="str">
        <f>"05-M06-08"</f>
        <v>05-M06-08</v>
      </c>
      <c r="G7111">
        <v>1.4228000000000001</v>
      </c>
      <c r="H7111" t="s">
        <v>12</v>
      </c>
      <c r="I7111" t="s">
        <v>10</v>
      </c>
    </row>
    <row r="7112" spans="1:9" x14ac:dyDescent="0.25">
      <c r="A7112" t="str">
        <f t="shared" si="171"/>
        <v>89301000</v>
      </c>
      <c r="B7112" t="str">
        <f>"5461142291"</f>
        <v>5461142291</v>
      </c>
      <c r="C7112" s="1">
        <v>45145</v>
      </c>
      <c r="D7112" s="1">
        <v>45147</v>
      </c>
      <c r="E7112">
        <v>1</v>
      </c>
      <c r="F7112" t="str">
        <f>"11-I17-03"</f>
        <v>11-I17-03</v>
      </c>
      <c r="G7112">
        <v>0.50139999999999996</v>
      </c>
      <c r="H7112" t="s">
        <v>11</v>
      </c>
      <c r="I7112" t="s">
        <v>10</v>
      </c>
    </row>
    <row r="7113" spans="1:9" x14ac:dyDescent="0.25">
      <c r="A7113" t="str">
        <f t="shared" si="171"/>
        <v>89301000</v>
      </c>
      <c r="B7113" t="str">
        <f>"5461153357"</f>
        <v>5461153357</v>
      </c>
      <c r="C7113" s="1">
        <v>45196</v>
      </c>
      <c r="D7113" s="1">
        <v>45204</v>
      </c>
      <c r="E7113">
        <v>1</v>
      </c>
      <c r="F7113" t="str">
        <f>"08-K08-00"</f>
        <v>08-K08-00</v>
      </c>
      <c r="G7113">
        <v>0.5272</v>
      </c>
      <c r="H7113" t="s">
        <v>11</v>
      </c>
      <c r="I7113" t="s">
        <v>10</v>
      </c>
    </row>
    <row r="7114" spans="1:9" x14ac:dyDescent="0.25">
      <c r="A7114" t="str">
        <f t="shared" si="171"/>
        <v>89301000</v>
      </c>
      <c r="B7114" t="str">
        <f>"5461153357"</f>
        <v>5461153357</v>
      </c>
      <c r="C7114" s="1">
        <v>45003</v>
      </c>
      <c r="D7114" s="1">
        <v>45016</v>
      </c>
      <c r="E7114">
        <v>4</v>
      </c>
      <c r="F7114" t="str">
        <f>"08-I04-01"</f>
        <v>08-I04-01</v>
      </c>
      <c r="G7114">
        <v>2.7970000000000002</v>
      </c>
      <c r="H7114" t="s">
        <v>14</v>
      </c>
      <c r="I7114" t="s">
        <v>10</v>
      </c>
    </row>
    <row r="7115" spans="1:9" x14ac:dyDescent="0.25">
      <c r="A7115" t="str">
        <f t="shared" si="171"/>
        <v>89301000</v>
      </c>
      <c r="B7115" t="str">
        <f>"5461172277"</f>
        <v>5461172277</v>
      </c>
      <c r="C7115" s="1">
        <v>45055</v>
      </c>
      <c r="D7115" s="1">
        <v>45070</v>
      </c>
      <c r="E7115">
        <v>1</v>
      </c>
      <c r="F7115" t="str">
        <f>"17-R01-06"</f>
        <v>17-R01-06</v>
      </c>
      <c r="G7115">
        <v>1.762</v>
      </c>
      <c r="H7115" t="s">
        <v>11</v>
      </c>
      <c r="I7115" t="s">
        <v>10</v>
      </c>
    </row>
    <row r="7116" spans="1:9" x14ac:dyDescent="0.25">
      <c r="A7116" t="str">
        <f t="shared" si="171"/>
        <v>89301000</v>
      </c>
      <c r="B7116" t="str">
        <f>"5461172277"</f>
        <v>5461172277</v>
      </c>
      <c r="C7116" s="1">
        <v>45048</v>
      </c>
      <c r="D7116" s="1">
        <v>45051</v>
      </c>
      <c r="E7116">
        <v>1</v>
      </c>
      <c r="F7116" t="str">
        <f>"13-R01-08"</f>
        <v>13-R01-08</v>
      </c>
      <c r="G7116">
        <v>0.8387</v>
      </c>
      <c r="H7116" t="s">
        <v>11</v>
      </c>
      <c r="I7116" t="s">
        <v>10</v>
      </c>
    </row>
    <row r="7117" spans="1:9" x14ac:dyDescent="0.25">
      <c r="A7117" t="str">
        <f t="shared" si="171"/>
        <v>89301000</v>
      </c>
      <c r="B7117" t="str">
        <f>"5461172277"</f>
        <v>5461172277</v>
      </c>
      <c r="C7117" s="1">
        <v>45027</v>
      </c>
      <c r="D7117" s="1">
        <v>45044</v>
      </c>
      <c r="E7117">
        <v>1</v>
      </c>
      <c r="F7117" t="str">
        <f>"13-R01-04"</f>
        <v>13-R01-04</v>
      </c>
      <c r="G7117">
        <v>3.2189000000000001</v>
      </c>
      <c r="H7117" t="s">
        <v>11</v>
      </c>
      <c r="I7117" t="s">
        <v>10</v>
      </c>
    </row>
    <row r="7118" spans="1:9" x14ac:dyDescent="0.25">
      <c r="A7118" t="str">
        <f t="shared" si="171"/>
        <v>89301000</v>
      </c>
      <c r="B7118" t="str">
        <f>"5462031377"</f>
        <v>5462031377</v>
      </c>
      <c r="C7118" s="1">
        <v>45103</v>
      </c>
      <c r="D7118" s="1">
        <v>45107</v>
      </c>
      <c r="E7118">
        <v>1</v>
      </c>
      <c r="F7118" t="str">
        <f>"09-I09-02"</f>
        <v>09-I09-02</v>
      </c>
      <c r="G7118">
        <v>0.76900000000000002</v>
      </c>
      <c r="H7118" t="s">
        <v>12</v>
      </c>
      <c r="I7118" t="s">
        <v>10</v>
      </c>
    </row>
    <row r="7119" spans="1:9" x14ac:dyDescent="0.25">
      <c r="A7119" t="str">
        <f t="shared" si="171"/>
        <v>89301000</v>
      </c>
      <c r="B7119" t="str">
        <f>"5462052717"</f>
        <v>5462052717</v>
      </c>
      <c r="C7119" s="1">
        <v>44988</v>
      </c>
      <c r="D7119" s="1">
        <v>45009</v>
      </c>
      <c r="E7119">
        <v>1</v>
      </c>
      <c r="F7119" t="str">
        <f>"05-I07-03"</f>
        <v>05-I07-03</v>
      </c>
      <c r="G7119">
        <v>9.2418999999999993</v>
      </c>
      <c r="H7119" t="s">
        <v>14</v>
      </c>
      <c r="I7119" t="s">
        <v>10</v>
      </c>
    </row>
    <row r="7120" spans="1:9" x14ac:dyDescent="0.25">
      <c r="A7120" t="str">
        <f t="shared" si="171"/>
        <v>89301000</v>
      </c>
      <c r="B7120" t="str">
        <f>"5462072682"</f>
        <v>5462072682</v>
      </c>
      <c r="C7120" s="1">
        <v>45199</v>
      </c>
      <c r="D7120" s="1">
        <v>45209</v>
      </c>
      <c r="E7120">
        <v>1</v>
      </c>
      <c r="F7120" t="str">
        <f>"04-I08-04"</f>
        <v>04-I08-04</v>
      </c>
      <c r="G7120">
        <v>0.90800000000000003</v>
      </c>
      <c r="H7120" t="s">
        <v>11</v>
      </c>
      <c r="I7120" t="s">
        <v>10</v>
      </c>
    </row>
    <row r="7121" spans="1:9" x14ac:dyDescent="0.25">
      <c r="A7121" t="str">
        <f t="shared" si="171"/>
        <v>89301000</v>
      </c>
      <c r="B7121" t="str">
        <f t="shared" ref="B7121:B7127" si="172">"5462092702"</f>
        <v>5462092702</v>
      </c>
      <c r="C7121" s="1">
        <v>45182</v>
      </c>
      <c r="D7121" s="1">
        <v>45184</v>
      </c>
      <c r="E7121">
        <v>1</v>
      </c>
      <c r="F7121" t="str">
        <f>"11-K03-02"</f>
        <v>11-K03-02</v>
      </c>
      <c r="G7121">
        <v>0.622</v>
      </c>
      <c r="H7121" t="s">
        <v>11</v>
      </c>
      <c r="I7121" t="s">
        <v>10</v>
      </c>
    </row>
    <row r="7122" spans="1:9" x14ac:dyDescent="0.25">
      <c r="A7122" t="str">
        <f t="shared" si="171"/>
        <v>89301000</v>
      </c>
      <c r="B7122" t="str">
        <f t="shared" si="172"/>
        <v>5462092702</v>
      </c>
      <c r="C7122" s="1">
        <v>45133</v>
      </c>
      <c r="D7122" s="1">
        <v>45141</v>
      </c>
      <c r="E7122">
        <v>1</v>
      </c>
      <c r="F7122" t="str">
        <f>"05-K07-03"</f>
        <v>05-K07-03</v>
      </c>
      <c r="G7122">
        <v>1.8048</v>
      </c>
      <c r="H7122" t="s">
        <v>11</v>
      </c>
      <c r="I7122" t="s">
        <v>10</v>
      </c>
    </row>
    <row r="7123" spans="1:9" x14ac:dyDescent="0.25">
      <c r="A7123" t="str">
        <f t="shared" si="171"/>
        <v>89301000</v>
      </c>
      <c r="B7123" t="str">
        <f t="shared" si="172"/>
        <v>5462092702</v>
      </c>
      <c r="C7123" s="1">
        <v>45040</v>
      </c>
      <c r="D7123" s="1">
        <v>45044</v>
      </c>
      <c r="E7123">
        <v>1</v>
      </c>
      <c r="F7123" t="str">
        <f>"11-K03-02"</f>
        <v>11-K03-02</v>
      </c>
      <c r="G7123">
        <v>0.65110000000000001</v>
      </c>
      <c r="H7123" t="s">
        <v>11</v>
      </c>
      <c r="I7123" t="s">
        <v>10</v>
      </c>
    </row>
    <row r="7124" spans="1:9" x14ac:dyDescent="0.25">
      <c r="A7124" t="str">
        <f t="shared" si="171"/>
        <v>89301000</v>
      </c>
      <c r="B7124" t="str">
        <f t="shared" si="172"/>
        <v>5462092702</v>
      </c>
      <c r="C7124" s="1">
        <v>45263</v>
      </c>
      <c r="D7124" s="1">
        <v>45272</v>
      </c>
      <c r="E7124">
        <v>1</v>
      </c>
      <c r="F7124" t="str">
        <f>"05-K05-01"</f>
        <v>05-K05-01</v>
      </c>
      <c r="G7124">
        <v>1.9744999999999999</v>
      </c>
      <c r="H7124" t="s">
        <v>11</v>
      </c>
      <c r="I7124" t="s">
        <v>10</v>
      </c>
    </row>
    <row r="7125" spans="1:9" x14ac:dyDescent="0.25">
      <c r="A7125" t="str">
        <f t="shared" si="171"/>
        <v>89301000</v>
      </c>
      <c r="B7125" t="str">
        <f t="shared" si="172"/>
        <v>5462092702</v>
      </c>
      <c r="C7125" s="1">
        <v>45174</v>
      </c>
      <c r="D7125" s="1">
        <v>45177</v>
      </c>
      <c r="E7125">
        <v>1</v>
      </c>
      <c r="F7125" t="str">
        <f>"05-I29-03"</f>
        <v>05-I29-03</v>
      </c>
      <c r="G7125">
        <v>1.0078</v>
      </c>
      <c r="H7125" t="s">
        <v>12</v>
      </c>
      <c r="I7125" t="s">
        <v>10</v>
      </c>
    </row>
    <row r="7126" spans="1:9" x14ac:dyDescent="0.25">
      <c r="A7126" t="str">
        <f t="shared" si="171"/>
        <v>89301000</v>
      </c>
      <c r="B7126" t="str">
        <f t="shared" si="172"/>
        <v>5462092702</v>
      </c>
      <c r="C7126" s="1">
        <v>44877</v>
      </c>
      <c r="D7126" s="1">
        <v>44936</v>
      </c>
      <c r="E7126">
        <v>1</v>
      </c>
      <c r="F7126" t="str">
        <f>"21-K05-01"</f>
        <v>21-K05-01</v>
      </c>
      <c r="G7126">
        <v>7.3064999999999998</v>
      </c>
      <c r="H7126" t="s">
        <v>11</v>
      </c>
      <c r="I7126" t="s">
        <v>10</v>
      </c>
    </row>
    <row r="7127" spans="1:9" x14ac:dyDescent="0.25">
      <c r="A7127" t="str">
        <f t="shared" si="171"/>
        <v>89301000</v>
      </c>
      <c r="B7127" t="str">
        <f t="shared" si="172"/>
        <v>5462092702</v>
      </c>
      <c r="C7127" s="1">
        <v>44951</v>
      </c>
      <c r="D7127" s="1">
        <v>44958</v>
      </c>
      <c r="E7127">
        <v>1</v>
      </c>
      <c r="F7127" t="str">
        <f>"11-K03-02"</f>
        <v>11-K03-02</v>
      </c>
      <c r="G7127">
        <v>0.63990000000000002</v>
      </c>
      <c r="H7127" t="s">
        <v>11</v>
      </c>
      <c r="I7127" t="s">
        <v>10</v>
      </c>
    </row>
    <row r="7128" spans="1:9" x14ac:dyDescent="0.25">
      <c r="A7128" t="str">
        <f t="shared" si="171"/>
        <v>89301000</v>
      </c>
      <c r="B7128" t="str">
        <f>"5462103163"</f>
        <v>5462103163</v>
      </c>
      <c r="C7128" s="1">
        <v>45272</v>
      </c>
      <c r="D7128" s="1">
        <v>45281</v>
      </c>
      <c r="E7128">
        <v>1</v>
      </c>
      <c r="F7128" t="str">
        <f>"13-K07-02"</f>
        <v>13-K07-02</v>
      </c>
      <c r="G7128">
        <v>0.43559999999999999</v>
      </c>
      <c r="H7128" t="s">
        <v>11</v>
      </c>
      <c r="I7128" t="s">
        <v>10</v>
      </c>
    </row>
    <row r="7129" spans="1:9" x14ac:dyDescent="0.25">
      <c r="A7129" t="str">
        <f t="shared" si="171"/>
        <v>89301000</v>
      </c>
      <c r="B7129" t="str">
        <f>"5462103163"</f>
        <v>5462103163</v>
      </c>
      <c r="C7129" s="1">
        <v>45197</v>
      </c>
      <c r="D7129" s="1">
        <v>45205</v>
      </c>
      <c r="E7129">
        <v>1</v>
      </c>
      <c r="F7129" t="str">
        <f>"06-I12-03"</f>
        <v>06-I12-03</v>
      </c>
      <c r="G7129">
        <v>1.9540999999999999</v>
      </c>
      <c r="H7129" t="s">
        <v>11</v>
      </c>
      <c r="I7129" t="s">
        <v>10</v>
      </c>
    </row>
    <row r="7130" spans="1:9" x14ac:dyDescent="0.25">
      <c r="A7130" t="str">
        <f t="shared" si="171"/>
        <v>89301000</v>
      </c>
      <c r="B7130" t="str">
        <f>"5462163025"</f>
        <v>5462163025</v>
      </c>
      <c r="C7130" s="1">
        <v>45278</v>
      </c>
      <c r="D7130" s="1">
        <v>45282</v>
      </c>
      <c r="E7130">
        <v>1</v>
      </c>
      <c r="F7130" t="str">
        <f>"09-I06-04"</f>
        <v>09-I06-04</v>
      </c>
      <c r="G7130">
        <v>0.95069999999999999</v>
      </c>
      <c r="H7130" t="s">
        <v>12</v>
      </c>
      <c r="I7130" t="s">
        <v>10</v>
      </c>
    </row>
    <row r="7131" spans="1:9" x14ac:dyDescent="0.25">
      <c r="A7131" t="str">
        <f t="shared" si="171"/>
        <v>89301000</v>
      </c>
      <c r="B7131" t="str">
        <f>"5462210204"</f>
        <v>5462210204</v>
      </c>
      <c r="C7131" s="1">
        <v>45254</v>
      </c>
      <c r="D7131" s="1">
        <v>45261</v>
      </c>
      <c r="E7131">
        <v>1</v>
      </c>
      <c r="F7131" t="str">
        <f>"04-K03-02"</f>
        <v>04-K03-02</v>
      </c>
      <c r="G7131">
        <v>0.80810000000000004</v>
      </c>
      <c r="H7131" t="s">
        <v>11</v>
      </c>
      <c r="I7131" t="s">
        <v>10</v>
      </c>
    </row>
    <row r="7132" spans="1:9" x14ac:dyDescent="0.25">
      <c r="A7132" t="str">
        <f t="shared" si="171"/>
        <v>89301000</v>
      </c>
      <c r="B7132" t="str">
        <f>"5462223085"</f>
        <v>5462223085</v>
      </c>
      <c r="C7132" s="1">
        <v>45190</v>
      </c>
      <c r="D7132" s="1">
        <v>45194</v>
      </c>
      <c r="E7132">
        <v>1</v>
      </c>
      <c r="F7132" t="str">
        <f>"17-C05-05"</f>
        <v>17-C05-05</v>
      </c>
      <c r="G7132">
        <v>0.66069999999999995</v>
      </c>
      <c r="H7132" t="s">
        <v>11</v>
      </c>
      <c r="I7132" t="s">
        <v>10</v>
      </c>
    </row>
    <row r="7133" spans="1:9" x14ac:dyDescent="0.25">
      <c r="A7133" t="str">
        <f t="shared" si="171"/>
        <v>89301000</v>
      </c>
      <c r="B7133" t="str">
        <f>"5462223085"</f>
        <v>5462223085</v>
      </c>
      <c r="C7133" s="1">
        <v>45170</v>
      </c>
      <c r="D7133" s="1">
        <v>45173</v>
      </c>
      <c r="E7133">
        <v>1</v>
      </c>
      <c r="F7133" t="str">
        <f>"17-C05-05"</f>
        <v>17-C05-05</v>
      </c>
      <c r="G7133">
        <v>0.66069999999999995</v>
      </c>
      <c r="H7133" t="s">
        <v>11</v>
      </c>
      <c r="I7133" t="s">
        <v>10</v>
      </c>
    </row>
    <row r="7134" spans="1:9" x14ac:dyDescent="0.25">
      <c r="A7134" t="str">
        <f t="shared" si="171"/>
        <v>89301000</v>
      </c>
      <c r="B7134" t="str">
        <f>"5462223085"</f>
        <v>5462223085</v>
      </c>
      <c r="C7134" s="1">
        <v>45146</v>
      </c>
      <c r="D7134" s="1">
        <v>45152</v>
      </c>
      <c r="E7134">
        <v>1</v>
      </c>
      <c r="F7134" t="str">
        <f>"17-C05-05"</f>
        <v>17-C05-05</v>
      </c>
      <c r="G7134">
        <v>0.66069999999999995</v>
      </c>
      <c r="H7134" t="s">
        <v>11</v>
      </c>
      <c r="I7134" t="s">
        <v>10</v>
      </c>
    </row>
    <row r="7135" spans="1:9" x14ac:dyDescent="0.25">
      <c r="A7135" t="str">
        <f t="shared" si="171"/>
        <v>89301000</v>
      </c>
      <c r="B7135" t="str">
        <f>"5462223085"</f>
        <v>5462223085</v>
      </c>
      <c r="C7135" s="1">
        <v>45103</v>
      </c>
      <c r="D7135" s="1">
        <v>45140</v>
      </c>
      <c r="E7135">
        <v>1</v>
      </c>
      <c r="F7135" t="str">
        <f>"17-C05-02"</f>
        <v>17-C05-02</v>
      </c>
      <c r="G7135">
        <v>3.4754</v>
      </c>
      <c r="H7135" t="s">
        <v>11</v>
      </c>
      <c r="I7135" t="s">
        <v>10</v>
      </c>
    </row>
    <row r="7136" spans="1:9" x14ac:dyDescent="0.25">
      <c r="A7136" t="str">
        <f t="shared" si="171"/>
        <v>89301000</v>
      </c>
      <c r="B7136" t="str">
        <f>"5462293001"</f>
        <v>5462293001</v>
      </c>
      <c r="C7136" s="1">
        <v>45259</v>
      </c>
      <c r="D7136" s="1">
        <v>45261</v>
      </c>
      <c r="E7136">
        <v>1</v>
      </c>
      <c r="F7136" t="str">
        <f>"07-C01-02"</f>
        <v>07-C01-02</v>
      </c>
      <c r="G7136">
        <v>0.3483</v>
      </c>
      <c r="H7136" t="s">
        <v>11</v>
      </c>
      <c r="I7136" t="s">
        <v>10</v>
      </c>
    </row>
    <row r="7137" spans="1:9" x14ac:dyDescent="0.25">
      <c r="A7137" t="str">
        <f t="shared" si="171"/>
        <v>89301000</v>
      </c>
      <c r="B7137" t="str">
        <f>"5462293001"</f>
        <v>5462293001</v>
      </c>
      <c r="C7137" s="1">
        <v>45237</v>
      </c>
      <c r="D7137" s="1">
        <v>45238</v>
      </c>
      <c r="E7137">
        <v>1</v>
      </c>
      <c r="F7137" t="str">
        <f>"07-K07-02"</f>
        <v>07-K07-02</v>
      </c>
      <c r="G7137">
        <v>0.53069999999999995</v>
      </c>
      <c r="H7137" t="s">
        <v>11</v>
      </c>
      <c r="I7137" t="s">
        <v>10</v>
      </c>
    </row>
    <row r="7138" spans="1:9" x14ac:dyDescent="0.25">
      <c r="A7138" t="str">
        <f t="shared" si="171"/>
        <v>89301000</v>
      </c>
      <c r="B7138" t="str">
        <f>"5462312119"</f>
        <v>5462312119</v>
      </c>
      <c r="C7138" s="1">
        <v>44931</v>
      </c>
      <c r="D7138" s="1">
        <v>44933</v>
      </c>
      <c r="E7138">
        <v>1</v>
      </c>
      <c r="F7138" t="str">
        <f>"05-I30-01"</f>
        <v>05-I30-01</v>
      </c>
      <c r="G7138">
        <v>0.60309999999999997</v>
      </c>
      <c r="H7138" t="s">
        <v>12</v>
      </c>
      <c r="I7138" t="s">
        <v>10</v>
      </c>
    </row>
    <row r="7139" spans="1:9" x14ac:dyDescent="0.25">
      <c r="A7139" t="str">
        <f t="shared" si="171"/>
        <v>89301000</v>
      </c>
      <c r="B7139" t="str">
        <f>"5501011824"</f>
        <v>5501011824</v>
      </c>
      <c r="C7139" s="1">
        <v>45229</v>
      </c>
      <c r="D7139" s="1">
        <v>45232</v>
      </c>
      <c r="E7139">
        <v>1</v>
      </c>
      <c r="F7139" t="str">
        <f>"08-M03-02"</f>
        <v>08-M03-02</v>
      </c>
      <c r="G7139">
        <v>0.91359999999999997</v>
      </c>
      <c r="H7139" t="s">
        <v>11</v>
      </c>
      <c r="I7139" t="s">
        <v>10</v>
      </c>
    </row>
    <row r="7140" spans="1:9" x14ac:dyDescent="0.25">
      <c r="A7140" t="str">
        <f t="shared" si="171"/>
        <v>89301000</v>
      </c>
      <c r="B7140" t="str">
        <f>"5501072192"</f>
        <v>5501072192</v>
      </c>
      <c r="C7140" s="1">
        <v>45216</v>
      </c>
      <c r="D7140" s="1">
        <v>45222</v>
      </c>
      <c r="E7140">
        <v>3</v>
      </c>
      <c r="F7140" t="str">
        <f>"08-I06-04"</f>
        <v>08-I06-04</v>
      </c>
      <c r="G7140">
        <v>2.3995000000000002</v>
      </c>
      <c r="H7140" t="s">
        <v>9</v>
      </c>
      <c r="I7140" t="s">
        <v>10</v>
      </c>
    </row>
    <row r="7141" spans="1:9" x14ac:dyDescent="0.25">
      <c r="A7141" t="str">
        <f t="shared" si="171"/>
        <v>89301000</v>
      </c>
      <c r="B7141" t="str">
        <f>"5501072192"</f>
        <v>5501072192</v>
      </c>
      <c r="C7141" s="1">
        <v>45222</v>
      </c>
      <c r="D7141" s="1">
        <v>45239</v>
      </c>
      <c r="E7141">
        <v>1</v>
      </c>
      <c r="F7141" t="str">
        <f>"24-M07-02"</f>
        <v>24-M07-02</v>
      </c>
      <c r="G7141">
        <v>1.5729</v>
      </c>
      <c r="H7141" t="s">
        <v>11</v>
      </c>
      <c r="I7141" t="s">
        <v>10</v>
      </c>
    </row>
    <row r="7142" spans="1:9" x14ac:dyDescent="0.25">
      <c r="A7142" t="str">
        <f t="shared" si="171"/>
        <v>89301000</v>
      </c>
      <c r="B7142" t="str">
        <f>"5501101738"</f>
        <v>5501101738</v>
      </c>
      <c r="C7142" s="1">
        <v>45175</v>
      </c>
      <c r="D7142" s="1">
        <v>45176</v>
      </c>
      <c r="E7142">
        <v>1</v>
      </c>
      <c r="F7142" t="str">
        <f>"10-K15-01"</f>
        <v>10-K15-01</v>
      </c>
      <c r="G7142">
        <v>0.75619999999999998</v>
      </c>
      <c r="H7142" t="s">
        <v>11</v>
      </c>
      <c r="I7142" t="s">
        <v>10</v>
      </c>
    </row>
    <row r="7143" spans="1:9" x14ac:dyDescent="0.25">
      <c r="A7143" t="str">
        <f t="shared" si="171"/>
        <v>89301000</v>
      </c>
      <c r="B7143" t="str">
        <f>"5501111495"</f>
        <v>5501111495</v>
      </c>
      <c r="C7143" s="1">
        <v>45084</v>
      </c>
      <c r="D7143" s="1">
        <v>45091</v>
      </c>
      <c r="E7143">
        <v>1</v>
      </c>
      <c r="F7143" t="str">
        <f>"08-K01-03"</f>
        <v>08-K01-03</v>
      </c>
      <c r="G7143">
        <v>0.59189999999999998</v>
      </c>
      <c r="H7143" t="s">
        <v>11</v>
      </c>
      <c r="I7143" t="s">
        <v>10</v>
      </c>
    </row>
    <row r="7144" spans="1:9" x14ac:dyDescent="0.25">
      <c r="A7144" t="str">
        <f t="shared" si="171"/>
        <v>89301000</v>
      </c>
      <c r="B7144" t="str">
        <f>"5501152151"</f>
        <v>5501152151</v>
      </c>
      <c r="C7144" s="1">
        <v>44913</v>
      </c>
      <c r="D7144" s="1">
        <v>44944</v>
      </c>
      <c r="E7144">
        <v>4</v>
      </c>
      <c r="F7144" t="str">
        <f>"08-I13-05"</f>
        <v>08-I13-05</v>
      </c>
      <c r="G7144">
        <v>3.3412999999999999</v>
      </c>
      <c r="H7144" t="s">
        <v>12</v>
      </c>
      <c r="I7144" t="s">
        <v>10</v>
      </c>
    </row>
    <row r="7145" spans="1:9" x14ac:dyDescent="0.25">
      <c r="A7145" t="str">
        <f t="shared" si="171"/>
        <v>89301000</v>
      </c>
      <c r="B7145" t="str">
        <f>"5501221011"</f>
        <v>5501221011</v>
      </c>
      <c r="C7145" s="1">
        <v>45005</v>
      </c>
      <c r="D7145" s="1">
        <v>45007</v>
      </c>
      <c r="E7145">
        <v>1</v>
      </c>
      <c r="F7145" t="str">
        <f>"06-K15-02"</f>
        <v>06-K15-02</v>
      </c>
      <c r="G7145">
        <v>0.26600000000000001</v>
      </c>
      <c r="H7145" t="s">
        <v>11</v>
      </c>
      <c r="I7145" t="s">
        <v>10</v>
      </c>
    </row>
    <row r="7146" spans="1:9" x14ac:dyDescent="0.25">
      <c r="A7146" t="str">
        <f t="shared" si="171"/>
        <v>89301000</v>
      </c>
      <c r="B7146" t="str">
        <f>"5501291026"</f>
        <v>5501291026</v>
      </c>
      <c r="C7146" s="1">
        <v>45238</v>
      </c>
      <c r="D7146" s="1">
        <v>45246</v>
      </c>
      <c r="E7146">
        <v>1</v>
      </c>
      <c r="F7146" t="str">
        <f>"05-I16-02"</f>
        <v>05-I16-02</v>
      </c>
      <c r="G7146">
        <v>8.7934999999999999</v>
      </c>
      <c r="H7146" t="s">
        <v>14</v>
      </c>
      <c r="I7146" t="s">
        <v>10</v>
      </c>
    </row>
    <row r="7147" spans="1:9" x14ac:dyDescent="0.25">
      <c r="A7147" t="str">
        <f t="shared" si="171"/>
        <v>89301000</v>
      </c>
      <c r="B7147" t="str">
        <f>"5501291026"</f>
        <v>5501291026</v>
      </c>
      <c r="C7147" s="1">
        <v>45191</v>
      </c>
      <c r="D7147" s="1">
        <v>45191</v>
      </c>
      <c r="E7147">
        <v>1</v>
      </c>
      <c r="F7147" t="str">
        <f>"05-D01-08"</f>
        <v>05-D01-08</v>
      </c>
      <c r="G7147">
        <v>0.2303</v>
      </c>
      <c r="H7147" t="s">
        <v>11</v>
      </c>
      <c r="I7147" t="s">
        <v>10</v>
      </c>
    </row>
    <row r="7148" spans="1:9" x14ac:dyDescent="0.25">
      <c r="A7148" t="str">
        <f t="shared" si="171"/>
        <v>89301000</v>
      </c>
      <c r="B7148" t="str">
        <f>"5501311233"</f>
        <v>5501311233</v>
      </c>
      <c r="C7148" s="1">
        <v>45245</v>
      </c>
      <c r="D7148" s="1">
        <v>45246</v>
      </c>
      <c r="E7148">
        <v>1</v>
      </c>
      <c r="F7148" t="str">
        <f>"07-M02-04"</f>
        <v>07-M02-04</v>
      </c>
      <c r="G7148">
        <v>0.77339999999999998</v>
      </c>
      <c r="H7148" t="s">
        <v>12</v>
      </c>
      <c r="I7148" t="s">
        <v>10</v>
      </c>
    </row>
    <row r="7149" spans="1:9" x14ac:dyDescent="0.25">
      <c r="A7149" t="str">
        <f t="shared" si="171"/>
        <v>89301000</v>
      </c>
      <c r="B7149" t="str">
        <f>"5501311233"</f>
        <v>5501311233</v>
      </c>
      <c r="C7149" s="1">
        <v>45064</v>
      </c>
      <c r="D7149" s="1">
        <v>45067</v>
      </c>
      <c r="E7149">
        <v>1</v>
      </c>
      <c r="F7149" t="str">
        <f>"07-M02-04"</f>
        <v>07-M02-04</v>
      </c>
      <c r="G7149">
        <v>0.77339999999999998</v>
      </c>
      <c r="H7149" t="s">
        <v>12</v>
      </c>
      <c r="I7149" t="s">
        <v>10</v>
      </c>
    </row>
    <row r="7150" spans="1:9" x14ac:dyDescent="0.25">
      <c r="A7150" t="str">
        <f t="shared" si="171"/>
        <v>89301000</v>
      </c>
      <c r="B7150" t="str">
        <f>"5502011383"</f>
        <v>5502011383</v>
      </c>
      <c r="C7150" s="1">
        <v>45134</v>
      </c>
      <c r="D7150" s="1">
        <v>45138</v>
      </c>
      <c r="E7150">
        <v>3</v>
      </c>
      <c r="F7150" t="str">
        <f>"08-I06-04"</f>
        <v>08-I06-04</v>
      </c>
      <c r="G7150">
        <v>2.4180000000000001</v>
      </c>
      <c r="H7150" t="s">
        <v>9</v>
      </c>
      <c r="I7150" t="s">
        <v>10</v>
      </c>
    </row>
    <row r="7151" spans="1:9" x14ac:dyDescent="0.25">
      <c r="A7151" t="str">
        <f t="shared" si="171"/>
        <v>89301000</v>
      </c>
      <c r="B7151" t="str">
        <f>"5502011383"</f>
        <v>5502011383</v>
      </c>
      <c r="C7151" s="1">
        <v>45138</v>
      </c>
      <c r="D7151" s="1">
        <v>45148</v>
      </c>
      <c r="E7151">
        <v>4</v>
      </c>
      <c r="F7151" t="str">
        <f>"24-M06-02"</f>
        <v>24-M06-02</v>
      </c>
      <c r="G7151">
        <v>1.0699000000000001</v>
      </c>
      <c r="H7151" t="s">
        <v>11</v>
      </c>
      <c r="I7151" t="s">
        <v>10</v>
      </c>
    </row>
    <row r="7152" spans="1:9" x14ac:dyDescent="0.25">
      <c r="A7152" t="str">
        <f t="shared" si="171"/>
        <v>89301000</v>
      </c>
      <c r="B7152" t="str">
        <f>"5502021096"</f>
        <v>5502021096</v>
      </c>
      <c r="C7152" s="1">
        <v>45200</v>
      </c>
      <c r="D7152" s="1">
        <v>45206</v>
      </c>
      <c r="E7152">
        <v>1</v>
      </c>
      <c r="F7152" t="str">
        <f>"12-I02-01"</f>
        <v>12-I02-01</v>
      </c>
      <c r="G7152">
        <v>3.3855</v>
      </c>
      <c r="H7152" t="s">
        <v>9</v>
      </c>
      <c r="I7152" t="s">
        <v>10</v>
      </c>
    </row>
    <row r="7153" spans="1:9" x14ac:dyDescent="0.25">
      <c r="A7153" t="str">
        <f t="shared" si="171"/>
        <v>89301000</v>
      </c>
      <c r="B7153" t="str">
        <f>"5502022438"</f>
        <v>5502022438</v>
      </c>
      <c r="C7153" s="1">
        <v>45257</v>
      </c>
      <c r="D7153" s="1">
        <v>45259</v>
      </c>
      <c r="E7153">
        <v>1</v>
      </c>
      <c r="F7153" t="str">
        <f>"04-K10-02"</f>
        <v>04-K10-02</v>
      </c>
      <c r="G7153">
        <v>0.40129999999999999</v>
      </c>
      <c r="H7153" t="s">
        <v>11</v>
      </c>
      <c r="I7153" t="s">
        <v>10</v>
      </c>
    </row>
    <row r="7154" spans="1:9" x14ac:dyDescent="0.25">
      <c r="A7154" t="str">
        <f t="shared" si="171"/>
        <v>89301000</v>
      </c>
      <c r="B7154" t="str">
        <f>"5502022438"</f>
        <v>5502022438</v>
      </c>
      <c r="C7154" s="1">
        <v>45270</v>
      </c>
      <c r="D7154" s="1">
        <v>45276</v>
      </c>
      <c r="E7154">
        <v>1</v>
      </c>
      <c r="F7154" t="str">
        <f>"04-I02-03"</f>
        <v>04-I02-03</v>
      </c>
      <c r="G7154">
        <v>3.6791</v>
      </c>
      <c r="H7154" t="s">
        <v>14</v>
      </c>
      <c r="I7154" t="s">
        <v>10</v>
      </c>
    </row>
    <row r="7155" spans="1:9" x14ac:dyDescent="0.25">
      <c r="A7155" t="str">
        <f t="shared" si="171"/>
        <v>89301000</v>
      </c>
      <c r="B7155" t="str">
        <f>"5502061895"</f>
        <v>5502061895</v>
      </c>
      <c r="C7155" s="1">
        <v>44939</v>
      </c>
      <c r="D7155" s="1">
        <v>44940</v>
      </c>
      <c r="E7155">
        <v>1</v>
      </c>
      <c r="F7155" t="str">
        <f>"05-D01-06"</f>
        <v>05-D01-06</v>
      </c>
      <c r="G7155">
        <v>0.7571</v>
      </c>
      <c r="H7155" t="s">
        <v>11</v>
      </c>
      <c r="I7155" t="s">
        <v>10</v>
      </c>
    </row>
    <row r="7156" spans="1:9" x14ac:dyDescent="0.25">
      <c r="A7156" t="str">
        <f t="shared" si="171"/>
        <v>89301000</v>
      </c>
      <c r="B7156" t="str">
        <f>"5502061895"</f>
        <v>5502061895</v>
      </c>
      <c r="C7156" s="1">
        <v>44980</v>
      </c>
      <c r="D7156" s="1">
        <v>44988</v>
      </c>
      <c r="E7156">
        <v>1</v>
      </c>
      <c r="F7156" t="str">
        <f>"05-I12-03"</f>
        <v>05-I12-03</v>
      </c>
      <c r="G7156">
        <v>6.7502000000000004</v>
      </c>
      <c r="H7156" t="s">
        <v>14</v>
      </c>
      <c r="I7156" t="s">
        <v>10</v>
      </c>
    </row>
    <row r="7157" spans="1:9" x14ac:dyDescent="0.25">
      <c r="A7157" t="str">
        <f t="shared" si="171"/>
        <v>89301000</v>
      </c>
      <c r="B7157" t="str">
        <f>"5502111175"</f>
        <v>5502111175</v>
      </c>
      <c r="C7157" s="1">
        <v>45139</v>
      </c>
      <c r="D7157" s="1">
        <v>45142</v>
      </c>
      <c r="E7157">
        <v>1</v>
      </c>
      <c r="F7157" t="str">
        <f>"06-M01-02"</f>
        <v>06-M01-02</v>
      </c>
      <c r="G7157">
        <v>1.2206999999999999</v>
      </c>
      <c r="H7157" t="s">
        <v>11</v>
      </c>
      <c r="I7157" t="s">
        <v>10</v>
      </c>
    </row>
    <row r="7158" spans="1:9" x14ac:dyDescent="0.25">
      <c r="A7158" t="str">
        <f t="shared" si="171"/>
        <v>89301000</v>
      </c>
      <c r="B7158" t="str">
        <f>"5502121955"</f>
        <v>5502121955</v>
      </c>
      <c r="C7158" s="1">
        <v>44929</v>
      </c>
      <c r="D7158" s="1">
        <v>44930</v>
      </c>
      <c r="E7158">
        <v>1</v>
      </c>
      <c r="F7158" t="str">
        <f>"05-I25-03"</f>
        <v>05-I25-03</v>
      </c>
      <c r="G7158">
        <v>1.633</v>
      </c>
      <c r="H7158" t="s">
        <v>12</v>
      </c>
      <c r="I7158" t="s">
        <v>10</v>
      </c>
    </row>
    <row r="7159" spans="1:9" x14ac:dyDescent="0.25">
      <c r="A7159" t="str">
        <f t="shared" si="171"/>
        <v>89301000</v>
      </c>
      <c r="B7159" t="str">
        <f t="shared" ref="B7159:B7176" si="173">"5502151138"</f>
        <v>5502151138</v>
      </c>
      <c r="C7159" s="1">
        <v>44998</v>
      </c>
      <c r="D7159" s="1">
        <v>45000</v>
      </c>
      <c r="E7159">
        <v>1</v>
      </c>
      <c r="F7159" t="str">
        <f>"06-C02-01"</f>
        <v>06-C02-01</v>
      </c>
      <c r="G7159">
        <v>0.31909999999999999</v>
      </c>
      <c r="H7159" t="s">
        <v>11</v>
      </c>
      <c r="I7159" t="s">
        <v>10</v>
      </c>
    </row>
    <row r="7160" spans="1:9" x14ac:dyDescent="0.25">
      <c r="A7160" t="str">
        <f t="shared" si="171"/>
        <v>89301000</v>
      </c>
      <c r="B7160" t="str">
        <f t="shared" si="173"/>
        <v>5502151138</v>
      </c>
      <c r="C7160" s="1">
        <v>45012</v>
      </c>
      <c r="D7160" s="1">
        <v>45014</v>
      </c>
      <c r="E7160">
        <v>1</v>
      </c>
      <c r="F7160" t="str">
        <f>"06-C02-01"</f>
        <v>06-C02-01</v>
      </c>
      <c r="G7160">
        <v>0.31909999999999999</v>
      </c>
      <c r="H7160" t="s">
        <v>11</v>
      </c>
      <c r="I7160" t="s">
        <v>10</v>
      </c>
    </row>
    <row r="7161" spans="1:9" x14ac:dyDescent="0.25">
      <c r="A7161" t="str">
        <f t="shared" si="171"/>
        <v>89301000</v>
      </c>
      <c r="B7161" t="str">
        <f t="shared" si="173"/>
        <v>5502151138</v>
      </c>
      <c r="C7161" s="1">
        <v>45027</v>
      </c>
      <c r="D7161" s="1">
        <v>45029</v>
      </c>
      <c r="E7161">
        <v>1</v>
      </c>
      <c r="F7161" t="str">
        <f>"06-C02-01"</f>
        <v>06-C02-01</v>
      </c>
      <c r="G7161">
        <v>0.31909999999999999</v>
      </c>
      <c r="H7161" t="s">
        <v>11</v>
      </c>
      <c r="I7161" t="s">
        <v>10</v>
      </c>
    </row>
    <row r="7162" spans="1:9" x14ac:dyDescent="0.25">
      <c r="A7162" t="str">
        <f t="shared" si="171"/>
        <v>89301000</v>
      </c>
      <c r="B7162" t="str">
        <f t="shared" si="173"/>
        <v>5502151138</v>
      </c>
      <c r="C7162" s="1">
        <v>45040</v>
      </c>
      <c r="D7162" s="1">
        <v>45042</v>
      </c>
      <c r="E7162">
        <v>1</v>
      </c>
      <c r="F7162" t="str">
        <f>"06-C02-01"</f>
        <v>06-C02-01</v>
      </c>
      <c r="G7162">
        <v>0.31909999999999999</v>
      </c>
      <c r="H7162" t="s">
        <v>11</v>
      </c>
      <c r="I7162" t="s">
        <v>10</v>
      </c>
    </row>
    <row r="7163" spans="1:9" x14ac:dyDescent="0.25">
      <c r="A7163" t="str">
        <f t="shared" si="171"/>
        <v>89301000</v>
      </c>
      <c r="B7163" t="str">
        <f t="shared" si="173"/>
        <v>5502151138</v>
      </c>
      <c r="C7163" s="1">
        <v>45068</v>
      </c>
      <c r="D7163" s="1">
        <v>45070</v>
      </c>
      <c r="E7163">
        <v>1</v>
      </c>
      <c r="F7163" t="str">
        <f>"05-K14-02"</f>
        <v>05-K14-02</v>
      </c>
      <c r="G7163">
        <v>0.92110000000000003</v>
      </c>
      <c r="H7163" t="s">
        <v>11</v>
      </c>
      <c r="I7163" t="s">
        <v>10</v>
      </c>
    </row>
    <row r="7164" spans="1:9" x14ac:dyDescent="0.25">
      <c r="A7164" t="str">
        <f t="shared" si="171"/>
        <v>89301000</v>
      </c>
      <c r="B7164" t="str">
        <f t="shared" si="173"/>
        <v>5502151138</v>
      </c>
      <c r="C7164" s="1">
        <v>45082</v>
      </c>
      <c r="D7164" s="1">
        <v>45084</v>
      </c>
      <c r="E7164">
        <v>1</v>
      </c>
      <c r="F7164" t="str">
        <f t="shared" ref="F7164:F7176" si="174">"06-C02-01"</f>
        <v>06-C02-01</v>
      </c>
      <c r="G7164">
        <v>0.31909999999999999</v>
      </c>
      <c r="H7164" t="s">
        <v>11</v>
      </c>
      <c r="I7164" t="s">
        <v>10</v>
      </c>
    </row>
    <row r="7165" spans="1:9" x14ac:dyDescent="0.25">
      <c r="A7165" t="str">
        <f t="shared" si="171"/>
        <v>89301000</v>
      </c>
      <c r="B7165" t="str">
        <f t="shared" si="173"/>
        <v>5502151138</v>
      </c>
      <c r="C7165" s="1">
        <v>45120</v>
      </c>
      <c r="D7165" s="1">
        <v>45122</v>
      </c>
      <c r="E7165">
        <v>1</v>
      </c>
      <c r="F7165" t="str">
        <f t="shared" si="174"/>
        <v>06-C02-01</v>
      </c>
      <c r="G7165">
        <v>0.31909999999999999</v>
      </c>
      <c r="H7165" t="s">
        <v>11</v>
      </c>
      <c r="I7165" t="s">
        <v>10</v>
      </c>
    </row>
    <row r="7166" spans="1:9" x14ac:dyDescent="0.25">
      <c r="A7166" t="str">
        <f t="shared" si="171"/>
        <v>89301000</v>
      </c>
      <c r="B7166" t="str">
        <f t="shared" si="173"/>
        <v>5502151138</v>
      </c>
      <c r="C7166" s="1">
        <v>45138</v>
      </c>
      <c r="D7166" s="1">
        <v>45140</v>
      </c>
      <c r="E7166">
        <v>1</v>
      </c>
      <c r="F7166" t="str">
        <f t="shared" si="174"/>
        <v>06-C02-01</v>
      </c>
      <c r="G7166">
        <v>0.31909999999999999</v>
      </c>
      <c r="H7166" t="s">
        <v>11</v>
      </c>
      <c r="I7166" t="s">
        <v>10</v>
      </c>
    </row>
    <row r="7167" spans="1:9" x14ac:dyDescent="0.25">
      <c r="A7167" t="str">
        <f t="shared" si="171"/>
        <v>89301000</v>
      </c>
      <c r="B7167" t="str">
        <f t="shared" si="173"/>
        <v>5502151138</v>
      </c>
      <c r="C7167" s="1">
        <v>45152</v>
      </c>
      <c r="D7167" s="1">
        <v>45154</v>
      </c>
      <c r="E7167">
        <v>1</v>
      </c>
      <c r="F7167" t="str">
        <f t="shared" si="174"/>
        <v>06-C02-01</v>
      </c>
      <c r="G7167">
        <v>0.31909999999999999</v>
      </c>
      <c r="H7167" t="s">
        <v>11</v>
      </c>
      <c r="I7167" t="s">
        <v>10</v>
      </c>
    </row>
    <row r="7168" spans="1:9" x14ac:dyDescent="0.25">
      <c r="A7168" t="str">
        <f t="shared" si="171"/>
        <v>89301000</v>
      </c>
      <c r="B7168" t="str">
        <f t="shared" si="173"/>
        <v>5502151138</v>
      </c>
      <c r="C7168" s="1">
        <v>45166</v>
      </c>
      <c r="D7168" s="1">
        <v>45168</v>
      </c>
      <c r="E7168">
        <v>1</v>
      </c>
      <c r="F7168" t="str">
        <f t="shared" si="174"/>
        <v>06-C02-01</v>
      </c>
      <c r="G7168">
        <v>0.31909999999999999</v>
      </c>
      <c r="H7168" t="s">
        <v>11</v>
      </c>
      <c r="I7168" t="s">
        <v>10</v>
      </c>
    </row>
    <row r="7169" spans="1:9" x14ac:dyDescent="0.25">
      <c r="A7169" t="str">
        <f t="shared" si="171"/>
        <v>89301000</v>
      </c>
      <c r="B7169" t="str">
        <f t="shared" si="173"/>
        <v>5502151138</v>
      </c>
      <c r="C7169" s="1">
        <v>45180</v>
      </c>
      <c r="D7169" s="1">
        <v>45182</v>
      </c>
      <c r="E7169">
        <v>1</v>
      </c>
      <c r="F7169" t="str">
        <f t="shared" si="174"/>
        <v>06-C02-01</v>
      </c>
      <c r="G7169">
        <v>0.31909999999999999</v>
      </c>
      <c r="H7169" t="s">
        <v>11</v>
      </c>
      <c r="I7169" t="s">
        <v>10</v>
      </c>
    </row>
    <row r="7170" spans="1:9" x14ac:dyDescent="0.25">
      <c r="A7170" t="str">
        <f t="shared" ref="A7170:A7233" si="175">"89301000"</f>
        <v>89301000</v>
      </c>
      <c r="B7170" t="str">
        <f t="shared" si="173"/>
        <v>5502151138</v>
      </c>
      <c r="C7170" s="1">
        <v>45194</v>
      </c>
      <c r="D7170" s="1">
        <v>45196</v>
      </c>
      <c r="E7170">
        <v>1</v>
      </c>
      <c r="F7170" t="str">
        <f t="shared" si="174"/>
        <v>06-C02-01</v>
      </c>
      <c r="G7170">
        <v>0.31909999999999999</v>
      </c>
      <c r="H7170" t="s">
        <v>11</v>
      </c>
      <c r="I7170" t="s">
        <v>10</v>
      </c>
    </row>
    <row r="7171" spans="1:9" x14ac:dyDescent="0.25">
      <c r="A7171" t="str">
        <f t="shared" si="175"/>
        <v>89301000</v>
      </c>
      <c r="B7171" t="str">
        <f t="shared" si="173"/>
        <v>5502151138</v>
      </c>
      <c r="C7171" s="1">
        <v>44928</v>
      </c>
      <c r="D7171" s="1">
        <v>44930</v>
      </c>
      <c r="E7171">
        <v>1</v>
      </c>
      <c r="F7171" t="str">
        <f t="shared" si="174"/>
        <v>06-C02-01</v>
      </c>
      <c r="G7171">
        <v>0.31909999999999999</v>
      </c>
      <c r="H7171" t="s">
        <v>11</v>
      </c>
      <c r="I7171" t="s">
        <v>10</v>
      </c>
    </row>
    <row r="7172" spans="1:9" x14ac:dyDescent="0.25">
      <c r="A7172" t="str">
        <f t="shared" si="175"/>
        <v>89301000</v>
      </c>
      <c r="B7172" t="str">
        <f t="shared" si="173"/>
        <v>5502151138</v>
      </c>
      <c r="C7172" s="1">
        <v>45096</v>
      </c>
      <c r="D7172" s="1">
        <v>45098</v>
      </c>
      <c r="E7172">
        <v>1</v>
      </c>
      <c r="F7172" t="str">
        <f t="shared" si="174"/>
        <v>06-C02-01</v>
      </c>
      <c r="G7172">
        <v>0.31909999999999999</v>
      </c>
      <c r="H7172" t="s">
        <v>11</v>
      </c>
      <c r="I7172" t="s">
        <v>10</v>
      </c>
    </row>
    <row r="7173" spans="1:9" x14ac:dyDescent="0.25">
      <c r="A7173" t="str">
        <f t="shared" si="175"/>
        <v>89301000</v>
      </c>
      <c r="B7173" t="str">
        <f t="shared" si="173"/>
        <v>5502151138</v>
      </c>
      <c r="C7173" s="1">
        <v>44942</v>
      </c>
      <c r="D7173" s="1">
        <v>44944</v>
      </c>
      <c r="E7173">
        <v>1</v>
      </c>
      <c r="F7173" t="str">
        <f t="shared" si="174"/>
        <v>06-C02-01</v>
      </c>
      <c r="G7173">
        <v>0.31909999999999999</v>
      </c>
      <c r="H7173" t="s">
        <v>11</v>
      </c>
      <c r="I7173" t="s">
        <v>10</v>
      </c>
    </row>
    <row r="7174" spans="1:9" x14ac:dyDescent="0.25">
      <c r="A7174" t="str">
        <f t="shared" si="175"/>
        <v>89301000</v>
      </c>
      <c r="B7174" t="str">
        <f t="shared" si="173"/>
        <v>5502151138</v>
      </c>
      <c r="C7174" s="1">
        <v>44971</v>
      </c>
      <c r="D7174" s="1">
        <v>44973</v>
      </c>
      <c r="E7174">
        <v>1</v>
      </c>
      <c r="F7174" t="str">
        <f t="shared" si="174"/>
        <v>06-C02-01</v>
      </c>
      <c r="G7174">
        <v>0.31909999999999999</v>
      </c>
      <c r="H7174" t="s">
        <v>11</v>
      </c>
      <c r="I7174" t="s">
        <v>10</v>
      </c>
    </row>
    <row r="7175" spans="1:9" x14ac:dyDescent="0.25">
      <c r="A7175" t="str">
        <f t="shared" si="175"/>
        <v>89301000</v>
      </c>
      <c r="B7175" t="str">
        <f t="shared" si="173"/>
        <v>5502151138</v>
      </c>
      <c r="C7175" s="1">
        <v>44984</v>
      </c>
      <c r="D7175" s="1">
        <v>44986</v>
      </c>
      <c r="E7175">
        <v>1</v>
      </c>
      <c r="F7175" t="str">
        <f t="shared" si="174"/>
        <v>06-C02-01</v>
      </c>
      <c r="G7175">
        <v>0.31909999999999999</v>
      </c>
      <c r="H7175" t="s">
        <v>11</v>
      </c>
      <c r="I7175" t="s">
        <v>10</v>
      </c>
    </row>
    <row r="7176" spans="1:9" x14ac:dyDescent="0.25">
      <c r="A7176" t="str">
        <f t="shared" si="175"/>
        <v>89301000</v>
      </c>
      <c r="B7176" t="str">
        <f t="shared" si="173"/>
        <v>5502151138</v>
      </c>
      <c r="C7176" s="1">
        <v>44956</v>
      </c>
      <c r="D7176" s="1">
        <v>44958</v>
      </c>
      <c r="E7176">
        <v>1</v>
      </c>
      <c r="F7176" t="str">
        <f t="shared" si="174"/>
        <v>06-C02-01</v>
      </c>
      <c r="G7176">
        <v>0.31909999999999999</v>
      </c>
      <c r="H7176" t="s">
        <v>11</v>
      </c>
      <c r="I7176" t="s">
        <v>10</v>
      </c>
    </row>
    <row r="7177" spans="1:9" x14ac:dyDescent="0.25">
      <c r="A7177" t="str">
        <f t="shared" si="175"/>
        <v>89301000</v>
      </c>
      <c r="B7177" t="str">
        <f>"5502181839"</f>
        <v>5502181839</v>
      </c>
      <c r="C7177" s="1">
        <v>45103</v>
      </c>
      <c r="D7177" s="1">
        <v>45119</v>
      </c>
      <c r="E7177">
        <v>1</v>
      </c>
      <c r="F7177" t="str">
        <f>"05-I18-02"</f>
        <v>05-I18-02</v>
      </c>
      <c r="G7177">
        <v>8.4535</v>
      </c>
      <c r="H7177" t="s">
        <v>12</v>
      </c>
      <c r="I7177" t="s">
        <v>10</v>
      </c>
    </row>
    <row r="7178" spans="1:9" x14ac:dyDescent="0.25">
      <c r="A7178" t="str">
        <f t="shared" si="175"/>
        <v>89301000</v>
      </c>
      <c r="B7178" t="str">
        <f>"5502182092"</f>
        <v>5502182092</v>
      </c>
      <c r="C7178" s="1">
        <v>44996</v>
      </c>
      <c r="D7178" s="1">
        <v>45005</v>
      </c>
      <c r="E7178">
        <v>1</v>
      </c>
      <c r="F7178" t="str">
        <f>"05-I16-04"</f>
        <v>05-I16-04</v>
      </c>
      <c r="G7178">
        <v>6.2375999999999996</v>
      </c>
      <c r="H7178" t="s">
        <v>14</v>
      </c>
      <c r="I7178" t="s">
        <v>10</v>
      </c>
    </row>
    <row r="7179" spans="1:9" x14ac:dyDescent="0.25">
      <c r="A7179" t="str">
        <f t="shared" si="175"/>
        <v>89301000</v>
      </c>
      <c r="B7179" t="str">
        <f>"5502271302"</f>
        <v>5502271302</v>
      </c>
      <c r="C7179" s="1">
        <v>45169</v>
      </c>
      <c r="D7179" s="1">
        <v>45172</v>
      </c>
      <c r="E7179">
        <v>7</v>
      </c>
      <c r="F7179" t="str">
        <f>"01-I06-02"</f>
        <v>01-I06-02</v>
      </c>
      <c r="G7179">
        <v>5.1349</v>
      </c>
      <c r="H7179" t="s">
        <v>12</v>
      </c>
      <c r="I7179" t="s">
        <v>10</v>
      </c>
    </row>
    <row r="7180" spans="1:9" x14ac:dyDescent="0.25">
      <c r="A7180" t="str">
        <f t="shared" si="175"/>
        <v>89301000</v>
      </c>
      <c r="B7180" t="str">
        <f>"5503032051"</f>
        <v>5503032051</v>
      </c>
      <c r="C7180" s="1">
        <v>45162</v>
      </c>
      <c r="D7180" s="1">
        <v>45167</v>
      </c>
      <c r="E7180">
        <v>1</v>
      </c>
      <c r="F7180" t="str">
        <f>"10-I11-00"</f>
        <v>10-I11-00</v>
      </c>
      <c r="G7180">
        <v>2.0297000000000001</v>
      </c>
      <c r="H7180" t="s">
        <v>9</v>
      </c>
      <c r="I7180" t="s">
        <v>10</v>
      </c>
    </row>
    <row r="7181" spans="1:9" x14ac:dyDescent="0.25">
      <c r="A7181" t="str">
        <f t="shared" si="175"/>
        <v>89301000</v>
      </c>
      <c r="B7181" t="str">
        <f>"5503041907"</f>
        <v>5503041907</v>
      </c>
      <c r="C7181" s="1">
        <v>45271</v>
      </c>
      <c r="D7181" s="1">
        <v>45275</v>
      </c>
      <c r="E7181">
        <v>1</v>
      </c>
      <c r="F7181" t="str">
        <f>"08-I06-05"</f>
        <v>08-I06-05</v>
      </c>
      <c r="G7181">
        <v>2.1507000000000001</v>
      </c>
      <c r="H7181" t="s">
        <v>9</v>
      </c>
      <c r="I7181" t="s">
        <v>10</v>
      </c>
    </row>
    <row r="7182" spans="1:9" x14ac:dyDescent="0.25">
      <c r="A7182" t="str">
        <f t="shared" si="175"/>
        <v>89301000</v>
      </c>
      <c r="B7182" t="str">
        <f>"5503042655"</f>
        <v>5503042655</v>
      </c>
      <c r="C7182" s="1">
        <v>44931</v>
      </c>
      <c r="D7182" s="1">
        <v>44934</v>
      </c>
      <c r="E7182">
        <v>1</v>
      </c>
      <c r="F7182" t="str">
        <f>"05-D01-08"</f>
        <v>05-D01-08</v>
      </c>
      <c r="G7182">
        <v>0.43159999999999998</v>
      </c>
      <c r="H7182" t="s">
        <v>11</v>
      </c>
      <c r="I7182" t="s">
        <v>10</v>
      </c>
    </row>
    <row r="7183" spans="1:9" x14ac:dyDescent="0.25">
      <c r="A7183" t="str">
        <f t="shared" si="175"/>
        <v>89301000</v>
      </c>
      <c r="B7183" t="str">
        <f>"5503051620"</f>
        <v>5503051620</v>
      </c>
      <c r="C7183" s="1">
        <v>45028</v>
      </c>
      <c r="D7183" s="1">
        <v>45032</v>
      </c>
      <c r="E7183">
        <v>1</v>
      </c>
      <c r="F7183" t="str">
        <f>"23-K05-01"</f>
        <v>23-K05-01</v>
      </c>
      <c r="G7183">
        <v>0.56269999999999998</v>
      </c>
      <c r="H7183" t="s">
        <v>11</v>
      </c>
      <c r="I7183" t="s">
        <v>10</v>
      </c>
    </row>
    <row r="7184" spans="1:9" x14ac:dyDescent="0.25">
      <c r="A7184" t="str">
        <f t="shared" si="175"/>
        <v>89301000</v>
      </c>
      <c r="B7184" t="str">
        <f>"5503102264"</f>
        <v>5503102264</v>
      </c>
      <c r="C7184" s="1">
        <v>45040</v>
      </c>
      <c r="D7184" s="1">
        <v>45042</v>
      </c>
      <c r="E7184">
        <v>1</v>
      </c>
      <c r="F7184" t="str">
        <f>"03-I22-01"</f>
        <v>03-I22-01</v>
      </c>
      <c r="G7184">
        <v>0.62490000000000001</v>
      </c>
      <c r="H7184" t="s">
        <v>11</v>
      </c>
      <c r="I7184" t="s">
        <v>10</v>
      </c>
    </row>
    <row r="7185" spans="1:9" x14ac:dyDescent="0.25">
      <c r="A7185" t="str">
        <f t="shared" si="175"/>
        <v>89301000</v>
      </c>
      <c r="B7185" t="str">
        <f>"5503111614"</f>
        <v>5503111614</v>
      </c>
      <c r="C7185" s="1">
        <v>45140</v>
      </c>
      <c r="D7185" s="1">
        <v>45149</v>
      </c>
      <c r="E7185">
        <v>1</v>
      </c>
      <c r="F7185" t="str">
        <f>"08-K08-00"</f>
        <v>08-K08-00</v>
      </c>
      <c r="G7185">
        <v>0.5272</v>
      </c>
      <c r="H7185" t="s">
        <v>11</v>
      </c>
      <c r="I7185" t="s">
        <v>10</v>
      </c>
    </row>
    <row r="7186" spans="1:9" x14ac:dyDescent="0.25">
      <c r="A7186" t="str">
        <f t="shared" si="175"/>
        <v>89301000</v>
      </c>
      <c r="B7186" t="str">
        <f>"5503242723"</f>
        <v>5503242723</v>
      </c>
      <c r="C7186" s="1">
        <v>45168</v>
      </c>
      <c r="D7186" s="1">
        <v>45182</v>
      </c>
      <c r="E7186">
        <v>1</v>
      </c>
      <c r="F7186" t="str">
        <f>"07-M02-03"</f>
        <v>07-M02-03</v>
      </c>
      <c r="G7186">
        <v>1.2942</v>
      </c>
      <c r="H7186" t="s">
        <v>12</v>
      </c>
      <c r="I7186" t="s">
        <v>10</v>
      </c>
    </row>
    <row r="7187" spans="1:9" x14ac:dyDescent="0.25">
      <c r="A7187" t="str">
        <f t="shared" si="175"/>
        <v>89301000</v>
      </c>
      <c r="B7187" t="str">
        <f>"5503261434"</f>
        <v>5503261434</v>
      </c>
      <c r="C7187" s="1">
        <v>45059</v>
      </c>
      <c r="D7187" s="1">
        <v>45064</v>
      </c>
      <c r="E7187">
        <v>1</v>
      </c>
      <c r="F7187" t="str">
        <f>"03-K13-02"</f>
        <v>03-K13-02</v>
      </c>
      <c r="G7187">
        <v>0.24440000000000001</v>
      </c>
      <c r="H7187" t="s">
        <v>11</v>
      </c>
      <c r="I7187" t="s">
        <v>10</v>
      </c>
    </row>
    <row r="7188" spans="1:9" x14ac:dyDescent="0.25">
      <c r="A7188" t="str">
        <f t="shared" si="175"/>
        <v>89301000</v>
      </c>
      <c r="B7188" t="str">
        <f>"5503262204"</f>
        <v>5503262204</v>
      </c>
      <c r="C7188" s="1">
        <v>44978</v>
      </c>
      <c r="D7188" s="1">
        <v>44983</v>
      </c>
      <c r="E7188">
        <v>1</v>
      </c>
      <c r="F7188" t="str">
        <f>"12-M02-02"</f>
        <v>12-M02-02</v>
      </c>
      <c r="G7188">
        <v>0.95020000000000004</v>
      </c>
      <c r="H7188" t="s">
        <v>9</v>
      </c>
      <c r="I7188" t="s">
        <v>10</v>
      </c>
    </row>
    <row r="7189" spans="1:9" x14ac:dyDescent="0.25">
      <c r="A7189" t="str">
        <f t="shared" si="175"/>
        <v>89301000</v>
      </c>
      <c r="B7189" t="str">
        <f>"5504022623"</f>
        <v>5504022623</v>
      </c>
      <c r="C7189" s="1">
        <v>45258</v>
      </c>
      <c r="D7189" s="1">
        <v>45259</v>
      </c>
      <c r="E7189">
        <v>1</v>
      </c>
      <c r="F7189" t="str">
        <f>"05-I14-03"</f>
        <v>05-I14-03</v>
      </c>
      <c r="G7189">
        <v>6.0362</v>
      </c>
      <c r="H7189" t="s">
        <v>12</v>
      </c>
      <c r="I7189" t="s">
        <v>10</v>
      </c>
    </row>
    <row r="7190" spans="1:9" x14ac:dyDescent="0.25">
      <c r="A7190" t="str">
        <f t="shared" si="175"/>
        <v>89301000</v>
      </c>
      <c r="B7190" t="str">
        <f>"5504022623"</f>
        <v>5504022623</v>
      </c>
      <c r="C7190" s="1">
        <v>45230</v>
      </c>
      <c r="D7190" s="1">
        <v>45232</v>
      </c>
      <c r="E7190">
        <v>1</v>
      </c>
      <c r="F7190" t="str">
        <f>"05-D01-06"</f>
        <v>05-D01-06</v>
      </c>
      <c r="G7190">
        <v>0.7571</v>
      </c>
      <c r="H7190" t="s">
        <v>11</v>
      </c>
      <c r="I7190" t="s">
        <v>10</v>
      </c>
    </row>
    <row r="7191" spans="1:9" x14ac:dyDescent="0.25">
      <c r="A7191" t="str">
        <f t="shared" si="175"/>
        <v>89301000</v>
      </c>
      <c r="B7191" t="str">
        <f>"5504041433"</f>
        <v>5504041433</v>
      </c>
      <c r="C7191" s="1">
        <v>45257</v>
      </c>
      <c r="D7191" s="1">
        <v>45261</v>
      </c>
      <c r="E7191">
        <v>1</v>
      </c>
      <c r="F7191" t="str">
        <f>"05-M02-03"</f>
        <v>05-M02-03</v>
      </c>
      <c r="G7191">
        <v>7.0293999999999999</v>
      </c>
      <c r="H7191" t="s">
        <v>14</v>
      </c>
      <c r="I7191" t="s">
        <v>10</v>
      </c>
    </row>
    <row r="7192" spans="1:9" x14ac:dyDescent="0.25">
      <c r="A7192" t="str">
        <f t="shared" si="175"/>
        <v>89301000</v>
      </c>
      <c r="B7192" t="str">
        <f>"5504080956"</f>
        <v>5504080956</v>
      </c>
      <c r="C7192" s="1">
        <v>44945</v>
      </c>
      <c r="D7192" s="1">
        <v>44949</v>
      </c>
      <c r="E7192">
        <v>1</v>
      </c>
      <c r="F7192" t="str">
        <f>"11-K08-02"</f>
        <v>11-K08-02</v>
      </c>
      <c r="G7192">
        <v>0.50570000000000004</v>
      </c>
      <c r="H7192" t="s">
        <v>11</v>
      </c>
      <c r="I7192" t="s">
        <v>10</v>
      </c>
    </row>
    <row r="7193" spans="1:9" x14ac:dyDescent="0.25">
      <c r="A7193" t="str">
        <f t="shared" si="175"/>
        <v>89301000</v>
      </c>
      <c r="B7193" t="str">
        <f>"5504080956"</f>
        <v>5504080956</v>
      </c>
      <c r="C7193" s="1">
        <v>44999</v>
      </c>
      <c r="D7193" s="1">
        <v>45001</v>
      </c>
      <c r="E7193">
        <v>1</v>
      </c>
      <c r="F7193" t="str">
        <f>"11-M06-03"</f>
        <v>11-M06-03</v>
      </c>
      <c r="G7193">
        <v>0.62009999999999998</v>
      </c>
      <c r="H7193" t="s">
        <v>12</v>
      </c>
      <c r="I7193" t="s">
        <v>10</v>
      </c>
    </row>
    <row r="7194" spans="1:9" x14ac:dyDescent="0.25">
      <c r="A7194" t="str">
        <f t="shared" si="175"/>
        <v>89301000</v>
      </c>
      <c r="B7194" t="str">
        <f>"5504092231"</f>
        <v>5504092231</v>
      </c>
      <c r="C7194" s="1">
        <v>45264</v>
      </c>
      <c r="D7194" s="1">
        <v>45268</v>
      </c>
      <c r="E7194">
        <v>1</v>
      </c>
      <c r="F7194" t="str">
        <f>"12-D01-00"</f>
        <v>12-D01-00</v>
      </c>
      <c r="G7194">
        <v>0.2772</v>
      </c>
      <c r="H7194" t="s">
        <v>11</v>
      </c>
      <c r="I7194" t="s">
        <v>10</v>
      </c>
    </row>
    <row r="7195" spans="1:9" x14ac:dyDescent="0.25">
      <c r="A7195" t="str">
        <f t="shared" si="175"/>
        <v>89301000</v>
      </c>
      <c r="B7195" t="str">
        <f>"5504112229"</f>
        <v>5504112229</v>
      </c>
      <c r="C7195" s="1">
        <v>45203</v>
      </c>
      <c r="D7195" s="1">
        <v>45218</v>
      </c>
      <c r="E7195">
        <v>1</v>
      </c>
      <c r="F7195" t="str">
        <f>"05-I17-00"</f>
        <v>05-I17-00</v>
      </c>
      <c r="G7195">
        <v>4.0366999999999997</v>
      </c>
      <c r="H7195" t="s">
        <v>12</v>
      </c>
      <c r="I7195" t="s">
        <v>10</v>
      </c>
    </row>
    <row r="7196" spans="1:9" x14ac:dyDescent="0.25">
      <c r="A7196" t="str">
        <f t="shared" si="175"/>
        <v>89301000</v>
      </c>
      <c r="B7196" t="str">
        <f>"5504141984"</f>
        <v>5504141984</v>
      </c>
      <c r="C7196" s="1">
        <v>45169</v>
      </c>
      <c r="D7196" s="1">
        <v>45173</v>
      </c>
      <c r="E7196">
        <v>1</v>
      </c>
      <c r="F7196" t="str">
        <f>"10-K04-04"</f>
        <v>10-K04-04</v>
      </c>
      <c r="G7196">
        <v>0.53949999999999998</v>
      </c>
      <c r="H7196" t="s">
        <v>11</v>
      </c>
      <c r="I7196" t="s">
        <v>10</v>
      </c>
    </row>
    <row r="7197" spans="1:9" x14ac:dyDescent="0.25">
      <c r="A7197" t="str">
        <f t="shared" si="175"/>
        <v>89301000</v>
      </c>
      <c r="B7197" t="str">
        <f>"5504141984"</f>
        <v>5504141984</v>
      </c>
      <c r="C7197" s="1">
        <v>44956</v>
      </c>
      <c r="D7197" s="1">
        <v>44960</v>
      </c>
      <c r="E7197">
        <v>1</v>
      </c>
      <c r="F7197" t="str">
        <f>"10-K04-04"</f>
        <v>10-K04-04</v>
      </c>
      <c r="G7197">
        <v>0.53949999999999998</v>
      </c>
      <c r="H7197" t="s">
        <v>11</v>
      </c>
      <c r="I7197" t="s">
        <v>10</v>
      </c>
    </row>
    <row r="7198" spans="1:9" x14ac:dyDescent="0.25">
      <c r="A7198" t="str">
        <f t="shared" si="175"/>
        <v>89301000</v>
      </c>
      <c r="B7198" t="str">
        <f>"5504182398"</f>
        <v>5504182398</v>
      </c>
      <c r="C7198" s="1">
        <v>45014</v>
      </c>
      <c r="D7198" s="1">
        <v>45015</v>
      </c>
      <c r="E7198">
        <v>1</v>
      </c>
      <c r="F7198" t="str">
        <f>"06-M01-05"</f>
        <v>06-M01-05</v>
      </c>
      <c r="G7198">
        <v>0.4178</v>
      </c>
      <c r="H7198" t="s">
        <v>11</v>
      </c>
      <c r="I7198" t="s">
        <v>10</v>
      </c>
    </row>
    <row r="7199" spans="1:9" x14ac:dyDescent="0.25">
      <c r="A7199" t="str">
        <f t="shared" si="175"/>
        <v>89301000</v>
      </c>
      <c r="B7199" t="str">
        <f>"5504212472"</f>
        <v>5504212472</v>
      </c>
      <c r="C7199" s="1">
        <v>45013</v>
      </c>
      <c r="D7199" s="1">
        <v>45035</v>
      </c>
      <c r="E7199">
        <v>1</v>
      </c>
      <c r="F7199" t="str">
        <f>"00-M08-00"</f>
        <v>00-M08-00</v>
      </c>
      <c r="G7199">
        <v>4.2076000000000002</v>
      </c>
      <c r="H7199" t="s">
        <v>14</v>
      </c>
      <c r="I7199" t="s">
        <v>10</v>
      </c>
    </row>
    <row r="7200" spans="1:9" x14ac:dyDescent="0.25">
      <c r="A7200" t="str">
        <f t="shared" si="175"/>
        <v>89301000</v>
      </c>
      <c r="B7200" t="str">
        <f>"5504232822"</f>
        <v>5504232822</v>
      </c>
      <c r="C7200" s="1">
        <v>44952</v>
      </c>
      <c r="D7200" s="1">
        <v>44952</v>
      </c>
      <c r="E7200">
        <v>1</v>
      </c>
      <c r="F7200" t="str">
        <f>"05-D01-08"</f>
        <v>05-D01-08</v>
      </c>
      <c r="G7200">
        <v>0.47120000000000001</v>
      </c>
      <c r="H7200" t="s">
        <v>11</v>
      </c>
      <c r="I7200" t="s">
        <v>10</v>
      </c>
    </row>
    <row r="7201" spans="1:9" x14ac:dyDescent="0.25">
      <c r="A7201" t="str">
        <f t="shared" si="175"/>
        <v>89301000</v>
      </c>
      <c r="B7201" t="str">
        <f>"5505050650"</f>
        <v>5505050650</v>
      </c>
      <c r="C7201" s="1">
        <v>44977</v>
      </c>
      <c r="D7201" s="1">
        <v>44979</v>
      </c>
      <c r="E7201">
        <v>1</v>
      </c>
      <c r="F7201" t="str">
        <f>"10-K04-04"</f>
        <v>10-K04-04</v>
      </c>
      <c r="G7201">
        <v>0.53949999999999998</v>
      </c>
      <c r="H7201" t="s">
        <v>11</v>
      </c>
      <c r="I7201" t="s">
        <v>10</v>
      </c>
    </row>
    <row r="7202" spans="1:9" x14ac:dyDescent="0.25">
      <c r="A7202" t="str">
        <f t="shared" si="175"/>
        <v>89301000</v>
      </c>
      <c r="B7202" t="str">
        <f>"5505050650"</f>
        <v>5505050650</v>
      </c>
      <c r="C7202" s="1">
        <v>44985</v>
      </c>
      <c r="D7202" s="1">
        <v>44991</v>
      </c>
      <c r="E7202">
        <v>4</v>
      </c>
      <c r="F7202" t="str">
        <f>"08-I04-02"</f>
        <v>08-I04-02</v>
      </c>
      <c r="G7202">
        <v>1.6229</v>
      </c>
      <c r="H7202" t="s">
        <v>14</v>
      </c>
      <c r="I7202" t="s">
        <v>10</v>
      </c>
    </row>
    <row r="7203" spans="1:9" x14ac:dyDescent="0.25">
      <c r="A7203" t="str">
        <f t="shared" si="175"/>
        <v>89301000</v>
      </c>
      <c r="B7203" t="str">
        <f>"5505091757"</f>
        <v>5505091757</v>
      </c>
      <c r="C7203" s="1">
        <v>45075</v>
      </c>
      <c r="D7203" s="1">
        <v>45078</v>
      </c>
      <c r="E7203">
        <v>5</v>
      </c>
      <c r="F7203" t="str">
        <f>"03-I16-01"</f>
        <v>03-I16-01</v>
      </c>
      <c r="G7203">
        <v>1.7911999999999999</v>
      </c>
      <c r="H7203" t="s">
        <v>9</v>
      </c>
      <c r="I7203" t="s">
        <v>10</v>
      </c>
    </row>
    <row r="7204" spans="1:9" x14ac:dyDescent="0.25">
      <c r="A7204" t="str">
        <f t="shared" si="175"/>
        <v>89301000</v>
      </c>
      <c r="B7204" t="str">
        <f>"5505112195"</f>
        <v>5505112195</v>
      </c>
      <c r="C7204" s="1">
        <v>45137</v>
      </c>
      <c r="D7204" s="1">
        <v>45143</v>
      </c>
      <c r="E7204">
        <v>1</v>
      </c>
      <c r="F7204" t="str">
        <f>"11-I08-03"</f>
        <v>11-I08-03</v>
      </c>
      <c r="G7204">
        <v>2.0529999999999999</v>
      </c>
      <c r="H7204" t="s">
        <v>9</v>
      </c>
      <c r="I7204" t="s">
        <v>10</v>
      </c>
    </row>
    <row r="7205" spans="1:9" x14ac:dyDescent="0.25">
      <c r="A7205" t="str">
        <f t="shared" si="175"/>
        <v>89301000</v>
      </c>
      <c r="B7205" t="str">
        <f>"5505162003"</f>
        <v>5505162003</v>
      </c>
      <c r="C7205" s="1">
        <v>45252</v>
      </c>
      <c r="D7205" s="1">
        <v>45253</v>
      </c>
      <c r="E7205">
        <v>1</v>
      </c>
      <c r="F7205" t="str">
        <f>"01-D01-03"</f>
        <v>01-D01-03</v>
      </c>
      <c r="G7205">
        <v>0.16200000000000001</v>
      </c>
      <c r="H7205" t="s">
        <v>11</v>
      </c>
      <c r="I7205" t="s">
        <v>10</v>
      </c>
    </row>
    <row r="7206" spans="1:9" x14ac:dyDescent="0.25">
      <c r="A7206" t="str">
        <f t="shared" si="175"/>
        <v>89301000</v>
      </c>
      <c r="B7206" t="str">
        <f>"5505171287"</f>
        <v>5505171287</v>
      </c>
      <c r="C7206" s="1">
        <v>44938</v>
      </c>
      <c r="D7206" s="1">
        <v>44940</v>
      </c>
      <c r="E7206">
        <v>1</v>
      </c>
      <c r="F7206" t="str">
        <f>"05-I25-03"</f>
        <v>05-I25-03</v>
      </c>
      <c r="G7206">
        <v>1.633</v>
      </c>
      <c r="H7206" t="s">
        <v>12</v>
      </c>
      <c r="I7206" t="s">
        <v>10</v>
      </c>
    </row>
    <row r="7207" spans="1:9" x14ac:dyDescent="0.25">
      <c r="A7207" t="str">
        <f t="shared" si="175"/>
        <v>89301000</v>
      </c>
      <c r="B7207" t="str">
        <f>"5505181935"</f>
        <v>5505181935</v>
      </c>
      <c r="C7207" s="1">
        <v>45198</v>
      </c>
      <c r="D7207" s="1">
        <v>45209</v>
      </c>
      <c r="E7207">
        <v>1</v>
      </c>
      <c r="F7207" t="str">
        <f>"01-K13-02"</f>
        <v>01-K13-02</v>
      </c>
      <c r="G7207">
        <v>0.72440000000000004</v>
      </c>
      <c r="H7207" t="s">
        <v>11</v>
      </c>
      <c r="I7207" t="s">
        <v>10</v>
      </c>
    </row>
    <row r="7208" spans="1:9" x14ac:dyDescent="0.25">
      <c r="A7208" t="str">
        <f t="shared" si="175"/>
        <v>89301000</v>
      </c>
      <c r="B7208" t="str">
        <f>"5505181935"</f>
        <v>5505181935</v>
      </c>
      <c r="C7208" s="1">
        <v>45223</v>
      </c>
      <c r="D7208" s="1">
        <v>45236</v>
      </c>
      <c r="E7208">
        <v>1</v>
      </c>
      <c r="F7208" t="str">
        <f>"01-I06-01"</f>
        <v>01-I06-01</v>
      </c>
      <c r="G7208">
        <v>7.8842999999999996</v>
      </c>
      <c r="H7208" t="s">
        <v>12</v>
      </c>
      <c r="I7208" t="s">
        <v>10</v>
      </c>
    </row>
    <row r="7209" spans="1:9" x14ac:dyDescent="0.25">
      <c r="A7209" t="str">
        <f t="shared" si="175"/>
        <v>89301000</v>
      </c>
      <c r="B7209" t="str">
        <f>"5505200756"</f>
        <v>5505200756</v>
      </c>
      <c r="C7209" s="1">
        <v>45185</v>
      </c>
      <c r="D7209" s="1">
        <v>45190</v>
      </c>
      <c r="E7209">
        <v>1</v>
      </c>
      <c r="F7209" t="str">
        <f>"09-K01-03"</f>
        <v>09-K01-03</v>
      </c>
      <c r="G7209">
        <v>0.85919999999999996</v>
      </c>
      <c r="H7209" t="s">
        <v>11</v>
      </c>
      <c r="I7209" t="s">
        <v>10</v>
      </c>
    </row>
    <row r="7210" spans="1:9" x14ac:dyDescent="0.25">
      <c r="A7210" t="str">
        <f t="shared" si="175"/>
        <v>89301000</v>
      </c>
      <c r="B7210" t="str">
        <f>"5505211943"</f>
        <v>5505211943</v>
      </c>
      <c r="C7210" s="1">
        <v>45138</v>
      </c>
      <c r="D7210" s="1">
        <v>45146</v>
      </c>
      <c r="E7210">
        <v>1</v>
      </c>
      <c r="F7210" t="str">
        <f>"11-M06-03"</f>
        <v>11-M06-03</v>
      </c>
      <c r="G7210">
        <v>0.69350000000000001</v>
      </c>
      <c r="H7210" t="s">
        <v>12</v>
      </c>
      <c r="I7210" t="s">
        <v>10</v>
      </c>
    </row>
    <row r="7211" spans="1:9" x14ac:dyDescent="0.25">
      <c r="A7211" t="str">
        <f t="shared" si="175"/>
        <v>89301000</v>
      </c>
      <c r="B7211" t="str">
        <f>"5505231589"</f>
        <v>5505231589</v>
      </c>
      <c r="C7211" s="1">
        <v>44984</v>
      </c>
      <c r="D7211" s="1">
        <v>44993</v>
      </c>
      <c r="E7211">
        <v>1</v>
      </c>
      <c r="F7211" t="str">
        <f>"04-K02-02"</f>
        <v>04-K02-02</v>
      </c>
      <c r="G7211">
        <v>2.8616999999999999</v>
      </c>
      <c r="H7211" t="s">
        <v>11</v>
      </c>
      <c r="I7211" t="s">
        <v>10</v>
      </c>
    </row>
    <row r="7212" spans="1:9" x14ac:dyDescent="0.25">
      <c r="A7212" t="str">
        <f t="shared" si="175"/>
        <v>89301000</v>
      </c>
      <c r="B7212" t="str">
        <f>"5505231589"</f>
        <v>5505231589</v>
      </c>
      <c r="C7212" s="1">
        <v>45004</v>
      </c>
      <c r="D7212" s="1">
        <v>45016</v>
      </c>
      <c r="E7212">
        <v>1</v>
      </c>
      <c r="F7212" t="str">
        <f>"04-M01-06"</f>
        <v>04-M01-06</v>
      </c>
      <c r="G7212">
        <v>3.6739000000000002</v>
      </c>
      <c r="H7212" t="s">
        <v>11</v>
      </c>
      <c r="I7212" t="s">
        <v>10</v>
      </c>
    </row>
    <row r="7213" spans="1:9" x14ac:dyDescent="0.25">
      <c r="A7213" t="str">
        <f t="shared" si="175"/>
        <v>89301000</v>
      </c>
      <c r="B7213" t="str">
        <f>"5505252313"</f>
        <v>5505252313</v>
      </c>
      <c r="C7213" s="1">
        <v>44936</v>
      </c>
      <c r="D7213" s="1">
        <v>44938</v>
      </c>
      <c r="E7213">
        <v>1</v>
      </c>
      <c r="F7213" t="str">
        <f>"03-I19-03"</f>
        <v>03-I19-03</v>
      </c>
      <c r="G7213">
        <v>0.53249999999999997</v>
      </c>
      <c r="H7213" t="s">
        <v>11</v>
      </c>
      <c r="I7213" t="s">
        <v>10</v>
      </c>
    </row>
    <row r="7214" spans="1:9" x14ac:dyDescent="0.25">
      <c r="A7214" t="str">
        <f t="shared" si="175"/>
        <v>89301000</v>
      </c>
      <c r="B7214" t="str">
        <f>"5506010191"</f>
        <v>5506010191</v>
      </c>
      <c r="C7214" s="1">
        <v>44936</v>
      </c>
      <c r="D7214" s="1">
        <v>44958</v>
      </c>
      <c r="E7214">
        <v>1</v>
      </c>
      <c r="F7214" t="str">
        <f>"05-I16-02"</f>
        <v>05-I16-02</v>
      </c>
      <c r="G7214">
        <v>8.7934999999999999</v>
      </c>
      <c r="H7214" t="s">
        <v>14</v>
      </c>
      <c r="I7214" t="s">
        <v>10</v>
      </c>
    </row>
    <row r="7215" spans="1:9" x14ac:dyDescent="0.25">
      <c r="A7215" t="str">
        <f t="shared" si="175"/>
        <v>89301000</v>
      </c>
      <c r="B7215" t="str">
        <f>"5506112051"</f>
        <v>5506112051</v>
      </c>
      <c r="C7215" s="1">
        <v>45100</v>
      </c>
      <c r="D7215" s="1">
        <v>45103</v>
      </c>
      <c r="E7215">
        <v>1</v>
      </c>
      <c r="F7215" t="str">
        <f>"17-C05-05"</f>
        <v>17-C05-05</v>
      </c>
      <c r="G7215">
        <v>0.66069999999999995</v>
      </c>
      <c r="H7215" t="s">
        <v>11</v>
      </c>
      <c r="I7215" t="s">
        <v>10</v>
      </c>
    </row>
    <row r="7216" spans="1:9" x14ac:dyDescent="0.25">
      <c r="A7216" t="str">
        <f t="shared" si="175"/>
        <v>89301000</v>
      </c>
      <c r="B7216" t="str">
        <f>"5506142048"</f>
        <v>5506142048</v>
      </c>
      <c r="C7216" s="1">
        <v>44984</v>
      </c>
      <c r="D7216" s="1">
        <v>44985</v>
      </c>
      <c r="E7216">
        <v>1</v>
      </c>
      <c r="F7216" t="str">
        <f>"05-M06-08"</f>
        <v>05-M06-08</v>
      </c>
      <c r="G7216">
        <v>1.4228000000000001</v>
      </c>
      <c r="H7216" t="s">
        <v>12</v>
      </c>
      <c r="I7216" t="s">
        <v>10</v>
      </c>
    </row>
    <row r="7217" spans="1:9" x14ac:dyDescent="0.25">
      <c r="A7217" t="str">
        <f t="shared" si="175"/>
        <v>89301000</v>
      </c>
      <c r="B7217" t="str">
        <f>"5506152278"</f>
        <v>5506152278</v>
      </c>
      <c r="C7217" s="1">
        <v>45124</v>
      </c>
      <c r="D7217" s="1">
        <v>45125</v>
      </c>
      <c r="E7217">
        <v>1</v>
      </c>
      <c r="F7217" t="str">
        <f>"06-R01-08"</f>
        <v>06-R01-08</v>
      </c>
      <c r="G7217">
        <v>1.1831</v>
      </c>
      <c r="H7217" t="s">
        <v>11</v>
      </c>
      <c r="I7217" t="s">
        <v>10</v>
      </c>
    </row>
    <row r="7218" spans="1:9" x14ac:dyDescent="0.25">
      <c r="A7218" t="str">
        <f t="shared" si="175"/>
        <v>89301000</v>
      </c>
      <c r="B7218" t="str">
        <f>"5506152278"</f>
        <v>5506152278</v>
      </c>
      <c r="C7218" s="1">
        <v>45236</v>
      </c>
      <c r="D7218" s="1">
        <v>45250</v>
      </c>
      <c r="E7218">
        <v>1</v>
      </c>
      <c r="F7218" t="str">
        <f>"06-I03-00"</f>
        <v>06-I03-00</v>
      </c>
      <c r="G7218">
        <v>6.7263999999999999</v>
      </c>
      <c r="H7218" t="s">
        <v>9</v>
      </c>
      <c r="I7218" t="s">
        <v>10</v>
      </c>
    </row>
    <row r="7219" spans="1:9" x14ac:dyDescent="0.25">
      <c r="A7219" t="str">
        <f t="shared" si="175"/>
        <v>89301000</v>
      </c>
      <c r="B7219" t="str">
        <f>"5506152278"</f>
        <v>5506152278</v>
      </c>
      <c r="C7219" s="1">
        <v>45138</v>
      </c>
      <c r="D7219" s="1">
        <v>45139</v>
      </c>
      <c r="E7219">
        <v>1</v>
      </c>
      <c r="F7219" t="str">
        <f>"06-R01-08"</f>
        <v>06-R01-08</v>
      </c>
      <c r="G7219">
        <v>1.1831</v>
      </c>
      <c r="H7219" t="s">
        <v>11</v>
      </c>
      <c r="I7219" t="s">
        <v>10</v>
      </c>
    </row>
    <row r="7220" spans="1:9" x14ac:dyDescent="0.25">
      <c r="A7220" t="str">
        <f t="shared" si="175"/>
        <v>89301000</v>
      </c>
      <c r="B7220" t="str">
        <f>"5506152278"</f>
        <v>5506152278</v>
      </c>
      <c r="C7220" s="1">
        <v>45145</v>
      </c>
      <c r="D7220" s="1">
        <v>45146</v>
      </c>
      <c r="E7220">
        <v>1</v>
      </c>
      <c r="F7220" t="str">
        <f>"06-R01-08"</f>
        <v>06-R01-08</v>
      </c>
      <c r="G7220">
        <v>1.1831</v>
      </c>
      <c r="H7220" t="s">
        <v>11</v>
      </c>
      <c r="I7220" t="s">
        <v>10</v>
      </c>
    </row>
    <row r="7221" spans="1:9" x14ac:dyDescent="0.25">
      <c r="A7221" t="str">
        <f t="shared" si="175"/>
        <v>89301000</v>
      </c>
      <c r="B7221" t="str">
        <f>"5506152278"</f>
        <v>5506152278</v>
      </c>
      <c r="C7221" s="1">
        <v>45131</v>
      </c>
      <c r="D7221" s="1">
        <v>45132</v>
      </c>
      <c r="E7221">
        <v>1</v>
      </c>
      <c r="F7221" t="str">
        <f>"06-R01-08"</f>
        <v>06-R01-08</v>
      </c>
      <c r="G7221">
        <v>1.1831</v>
      </c>
      <c r="H7221" t="s">
        <v>11</v>
      </c>
      <c r="I7221" t="s">
        <v>10</v>
      </c>
    </row>
    <row r="7222" spans="1:9" x14ac:dyDescent="0.25">
      <c r="A7222" t="str">
        <f t="shared" si="175"/>
        <v>89301000</v>
      </c>
      <c r="B7222" t="str">
        <f>"5506172056"</f>
        <v>5506172056</v>
      </c>
      <c r="C7222" s="1">
        <v>45234</v>
      </c>
      <c r="D7222" s="1">
        <v>45238</v>
      </c>
      <c r="E7222">
        <v>1</v>
      </c>
      <c r="F7222" t="str">
        <f>"04-K02-03"</f>
        <v>04-K02-03</v>
      </c>
      <c r="G7222">
        <v>1.298</v>
      </c>
      <c r="H7222" t="s">
        <v>11</v>
      </c>
      <c r="I7222" t="s">
        <v>10</v>
      </c>
    </row>
    <row r="7223" spans="1:9" x14ac:dyDescent="0.25">
      <c r="A7223" t="str">
        <f t="shared" si="175"/>
        <v>89301000</v>
      </c>
      <c r="B7223" t="str">
        <f>"5506186543"</f>
        <v>5506186543</v>
      </c>
      <c r="C7223" s="1">
        <v>45019</v>
      </c>
      <c r="D7223" s="1">
        <v>45024</v>
      </c>
      <c r="E7223">
        <v>1</v>
      </c>
      <c r="F7223" t="str">
        <f>"12-M02-02"</f>
        <v>12-M02-02</v>
      </c>
      <c r="G7223">
        <v>0.95020000000000004</v>
      </c>
      <c r="H7223" t="s">
        <v>9</v>
      </c>
      <c r="I7223" t="s">
        <v>10</v>
      </c>
    </row>
    <row r="7224" spans="1:9" x14ac:dyDescent="0.25">
      <c r="A7224" t="str">
        <f t="shared" si="175"/>
        <v>89301000</v>
      </c>
      <c r="B7224" t="str">
        <f>"5506242269"</f>
        <v>5506242269</v>
      </c>
      <c r="C7224" s="1">
        <v>45033</v>
      </c>
      <c r="D7224" s="1">
        <v>45040</v>
      </c>
      <c r="E7224">
        <v>1</v>
      </c>
      <c r="F7224" t="str">
        <f>"17-I09-02"</f>
        <v>17-I09-02</v>
      </c>
      <c r="G7224">
        <v>1.0943000000000001</v>
      </c>
      <c r="H7224" t="s">
        <v>11</v>
      </c>
      <c r="I7224" t="s">
        <v>10</v>
      </c>
    </row>
    <row r="7225" spans="1:9" x14ac:dyDescent="0.25">
      <c r="A7225" t="str">
        <f t="shared" si="175"/>
        <v>89301000</v>
      </c>
      <c r="B7225" t="str">
        <f>"5506252015"</f>
        <v>5506252015</v>
      </c>
      <c r="C7225" s="1">
        <v>44985</v>
      </c>
      <c r="D7225" s="1">
        <v>44985</v>
      </c>
      <c r="E7225">
        <v>1</v>
      </c>
      <c r="F7225" t="str">
        <f>"05-D01-06"</f>
        <v>05-D01-06</v>
      </c>
      <c r="G7225">
        <v>0.4037</v>
      </c>
      <c r="H7225" t="s">
        <v>11</v>
      </c>
      <c r="I7225" t="s">
        <v>10</v>
      </c>
    </row>
    <row r="7226" spans="1:9" x14ac:dyDescent="0.25">
      <c r="A7226" t="str">
        <f t="shared" si="175"/>
        <v>89301000</v>
      </c>
      <c r="B7226" t="str">
        <f>"5506252015"</f>
        <v>5506252015</v>
      </c>
      <c r="C7226" s="1">
        <v>45042</v>
      </c>
      <c r="D7226" s="1">
        <v>45050</v>
      </c>
      <c r="E7226">
        <v>1</v>
      </c>
      <c r="F7226" t="str">
        <f>"05-I12-03"</f>
        <v>05-I12-03</v>
      </c>
      <c r="G7226">
        <v>6.7502000000000004</v>
      </c>
      <c r="H7226" t="s">
        <v>14</v>
      </c>
      <c r="I7226" t="s">
        <v>10</v>
      </c>
    </row>
    <row r="7227" spans="1:9" x14ac:dyDescent="0.25">
      <c r="A7227" t="str">
        <f t="shared" si="175"/>
        <v>89301000</v>
      </c>
      <c r="B7227" t="str">
        <f>"5506252378"</f>
        <v>5506252378</v>
      </c>
      <c r="C7227" s="1">
        <v>45061</v>
      </c>
      <c r="D7227" s="1">
        <v>45064</v>
      </c>
      <c r="E7227">
        <v>1</v>
      </c>
      <c r="F7227" t="str">
        <f>"08-M03-02"</f>
        <v>08-M03-02</v>
      </c>
      <c r="G7227">
        <v>0.91359999999999997</v>
      </c>
      <c r="H7227" t="s">
        <v>11</v>
      </c>
      <c r="I7227" t="s">
        <v>10</v>
      </c>
    </row>
    <row r="7228" spans="1:9" x14ac:dyDescent="0.25">
      <c r="A7228" t="str">
        <f t="shared" si="175"/>
        <v>89301000</v>
      </c>
      <c r="B7228" t="str">
        <f>"5506252378"</f>
        <v>5506252378</v>
      </c>
      <c r="C7228" s="1">
        <v>45170</v>
      </c>
      <c r="D7228" s="1">
        <v>45205</v>
      </c>
      <c r="E7228">
        <v>1</v>
      </c>
      <c r="F7228" t="str">
        <f>"18-K03-02"</f>
        <v>18-K03-02</v>
      </c>
      <c r="G7228">
        <v>2.5541</v>
      </c>
      <c r="H7228" t="s">
        <v>11</v>
      </c>
      <c r="I7228" t="s">
        <v>10</v>
      </c>
    </row>
    <row r="7229" spans="1:9" x14ac:dyDescent="0.25">
      <c r="A7229" t="str">
        <f t="shared" si="175"/>
        <v>89301000</v>
      </c>
      <c r="B7229" t="str">
        <f>"5506252444"</f>
        <v>5506252444</v>
      </c>
      <c r="C7229" s="1">
        <v>45008</v>
      </c>
      <c r="D7229" s="1">
        <v>45009</v>
      </c>
      <c r="E7229">
        <v>1</v>
      </c>
      <c r="F7229" t="str">
        <f>"01-D01-03"</f>
        <v>01-D01-03</v>
      </c>
      <c r="G7229">
        <v>0.16200000000000001</v>
      </c>
      <c r="H7229" t="s">
        <v>11</v>
      </c>
      <c r="I7229" t="s">
        <v>10</v>
      </c>
    </row>
    <row r="7230" spans="1:9" x14ac:dyDescent="0.25">
      <c r="A7230" t="str">
        <f t="shared" si="175"/>
        <v>89301000</v>
      </c>
      <c r="B7230" t="str">
        <f>"5506286819"</f>
        <v>5506286819</v>
      </c>
      <c r="C7230" s="1">
        <v>45280</v>
      </c>
      <c r="D7230" s="1">
        <v>45280</v>
      </c>
      <c r="E7230">
        <v>1</v>
      </c>
      <c r="F7230" t="str">
        <f>"05-D01-08"</f>
        <v>05-D01-08</v>
      </c>
      <c r="G7230">
        <v>0.37080000000000002</v>
      </c>
      <c r="H7230" t="s">
        <v>11</v>
      </c>
      <c r="I7230" t="s">
        <v>10</v>
      </c>
    </row>
    <row r="7231" spans="1:9" x14ac:dyDescent="0.25">
      <c r="A7231" t="str">
        <f t="shared" si="175"/>
        <v>89301000</v>
      </c>
      <c r="B7231" t="str">
        <f>"5506286819"</f>
        <v>5506286819</v>
      </c>
      <c r="C7231" s="1">
        <v>45229</v>
      </c>
      <c r="D7231" s="1">
        <v>45230</v>
      </c>
      <c r="E7231">
        <v>1</v>
      </c>
      <c r="F7231" t="str">
        <f>"06-M01-05"</f>
        <v>06-M01-05</v>
      </c>
      <c r="G7231">
        <v>0.4178</v>
      </c>
      <c r="H7231" t="s">
        <v>11</v>
      </c>
      <c r="I7231" t="s">
        <v>10</v>
      </c>
    </row>
    <row r="7232" spans="1:9" x14ac:dyDescent="0.25">
      <c r="A7232" t="str">
        <f t="shared" si="175"/>
        <v>89301000</v>
      </c>
      <c r="B7232" t="str">
        <f>"5507021388"</f>
        <v>5507021388</v>
      </c>
      <c r="C7232" s="1">
        <v>45250</v>
      </c>
      <c r="D7232" s="1">
        <v>45252</v>
      </c>
      <c r="E7232">
        <v>1</v>
      </c>
      <c r="F7232" t="str">
        <f>"10-K12-03"</f>
        <v>10-K12-03</v>
      </c>
      <c r="G7232">
        <v>0.5091</v>
      </c>
      <c r="H7232" t="s">
        <v>11</v>
      </c>
      <c r="I7232" t="s">
        <v>10</v>
      </c>
    </row>
    <row r="7233" spans="1:9" x14ac:dyDescent="0.25">
      <c r="A7233" t="str">
        <f t="shared" si="175"/>
        <v>89301000</v>
      </c>
      <c r="B7233" t="str">
        <f>"5507051198"</f>
        <v>5507051198</v>
      </c>
      <c r="C7233" s="1">
        <v>45275</v>
      </c>
      <c r="D7233" s="1">
        <v>45278</v>
      </c>
      <c r="E7233">
        <v>1</v>
      </c>
      <c r="F7233" t="str">
        <f>"05-K07-04"</f>
        <v>05-K07-04</v>
      </c>
      <c r="G7233">
        <v>1.0598000000000001</v>
      </c>
      <c r="H7233" t="s">
        <v>11</v>
      </c>
      <c r="I7233" t="s">
        <v>10</v>
      </c>
    </row>
    <row r="7234" spans="1:9" x14ac:dyDescent="0.25">
      <c r="A7234" t="str">
        <f t="shared" ref="A7234:A7297" si="176">"89301000"</f>
        <v>89301000</v>
      </c>
      <c r="B7234" t="str">
        <f>"5507112270"</f>
        <v>5507112270</v>
      </c>
      <c r="C7234" s="1">
        <v>45151</v>
      </c>
      <c r="D7234" s="1">
        <v>45156</v>
      </c>
      <c r="E7234">
        <v>1</v>
      </c>
      <c r="F7234" t="str">
        <f>"04-K03-02"</f>
        <v>04-K03-02</v>
      </c>
      <c r="G7234">
        <v>0.80810000000000004</v>
      </c>
      <c r="H7234" t="s">
        <v>11</v>
      </c>
      <c r="I7234" t="s">
        <v>10</v>
      </c>
    </row>
    <row r="7235" spans="1:9" x14ac:dyDescent="0.25">
      <c r="A7235" t="str">
        <f t="shared" si="176"/>
        <v>89301000</v>
      </c>
      <c r="B7235" t="str">
        <f>"5507192735"</f>
        <v>5507192735</v>
      </c>
      <c r="C7235" s="1">
        <v>45066</v>
      </c>
      <c r="D7235" s="1">
        <v>45069</v>
      </c>
      <c r="E7235">
        <v>1</v>
      </c>
      <c r="F7235" t="str">
        <f>"08-I16-04"</f>
        <v>08-I16-04</v>
      </c>
      <c r="G7235">
        <v>0.83040000000000003</v>
      </c>
      <c r="H7235" t="s">
        <v>12</v>
      </c>
      <c r="I7235" t="s">
        <v>10</v>
      </c>
    </row>
    <row r="7236" spans="1:9" x14ac:dyDescent="0.25">
      <c r="A7236" t="str">
        <f t="shared" si="176"/>
        <v>89301000</v>
      </c>
      <c r="B7236" t="str">
        <f>"5507206562"</f>
        <v>5507206562</v>
      </c>
      <c r="C7236" s="1">
        <v>44984</v>
      </c>
      <c r="D7236" s="1">
        <v>44995</v>
      </c>
      <c r="E7236">
        <v>1</v>
      </c>
      <c r="F7236" t="str">
        <f>"04-K08-03"</f>
        <v>04-K08-03</v>
      </c>
      <c r="G7236">
        <v>1.8479000000000001</v>
      </c>
      <c r="H7236" t="s">
        <v>11</v>
      </c>
      <c r="I7236" t="s">
        <v>10</v>
      </c>
    </row>
    <row r="7237" spans="1:9" x14ac:dyDescent="0.25">
      <c r="A7237" t="str">
        <f t="shared" si="176"/>
        <v>89301000</v>
      </c>
      <c r="B7237" t="str">
        <f>"5507241553"</f>
        <v>5507241553</v>
      </c>
      <c r="C7237" s="1">
        <v>44969</v>
      </c>
      <c r="D7237" s="1">
        <v>44973</v>
      </c>
      <c r="E7237">
        <v>1</v>
      </c>
      <c r="F7237" t="str">
        <f>"10-K16-02"</f>
        <v>10-K16-02</v>
      </c>
      <c r="G7237">
        <v>0.56679999999999997</v>
      </c>
      <c r="H7237" t="s">
        <v>11</v>
      </c>
      <c r="I7237" t="s">
        <v>10</v>
      </c>
    </row>
    <row r="7238" spans="1:9" x14ac:dyDescent="0.25">
      <c r="A7238" t="str">
        <f t="shared" si="176"/>
        <v>89301000</v>
      </c>
      <c r="B7238" t="str">
        <f>"5507241663"</f>
        <v>5507241663</v>
      </c>
      <c r="C7238" s="1">
        <v>45044</v>
      </c>
      <c r="D7238" s="1">
        <v>45050</v>
      </c>
      <c r="E7238">
        <v>1</v>
      </c>
      <c r="F7238" t="str">
        <f>"08-K08-00"</f>
        <v>08-K08-00</v>
      </c>
      <c r="G7238">
        <v>0.5272</v>
      </c>
      <c r="H7238" t="s">
        <v>11</v>
      </c>
      <c r="I7238" t="s">
        <v>10</v>
      </c>
    </row>
    <row r="7239" spans="1:9" x14ac:dyDescent="0.25">
      <c r="A7239" t="str">
        <f t="shared" si="176"/>
        <v>89301000</v>
      </c>
      <c r="B7239" t="str">
        <f>"5507271187"</f>
        <v>5507271187</v>
      </c>
      <c r="C7239" s="1">
        <v>44929</v>
      </c>
      <c r="D7239" s="1">
        <v>44933</v>
      </c>
      <c r="E7239">
        <v>1</v>
      </c>
      <c r="F7239" t="str">
        <f>"01-C01-02"</f>
        <v>01-C01-02</v>
      </c>
      <c r="G7239">
        <v>3.5868000000000002</v>
      </c>
      <c r="H7239" t="s">
        <v>11</v>
      </c>
      <c r="I7239" t="s">
        <v>10</v>
      </c>
    </row>
    <row r="7240" spans="1:9" x14ac:dyDescent="0.25">
      <c r="A7240" t="str">
        <f t="shared" si="176"/>
        <v>89301000</v>
      </c>
      <c r="B7240" t="str">
        <f>"5507271187"</f>
        <v>5507271187</v>
      </c>
      <c r="C7240" s="1">
        <v>45103</v>
      </c>
      <c r="D7240" s="1">
        <v>45105</v>
      </c>
      <c r="E7240">
        <v>1</v>
      </c>
      <c r="F7240" t="str">
        <f>"01-C01-03"</f>
        <v>01-C01-03</v>
      </c>
      <c r="G7240">
        <v>1.66</v>
      </c>
      <c r="H7240" t="s">
        <v>11</v>
      </c>
      <c r="I7240" t="s">
        <v>10</v>
      </c>
    </row>
    <row r="7241" spans="1:9" x14ac:dyDescent="0.25">
      <c r="A7241" t="str">
        <f t="shared" si="176"/>
        <v>89301000</v>
      </c>
      <c r="B7241" t="str">
        <f>"5507271187"</f>
        <v>5507271187</v>
      </c>
      <c r="C7241" s="1">
        <v>45194</v>
      </c>
      <c r="D7241" s="1">
        <v>45196</v>
      </c>
      <c r="E7241">
        <v>1</v>
      </c>
      <c r="F7241" t="str">
        <f>"01-C01-03"</f>
        <v>01-C01-03</v>
      </c>
      <c r="G7241">
        <v>1.66</v>
      </c>
      <c r="H7241" t="s">
        <v>11</v>
      </c>
      <c r="I7241" t="s">
        <v>10</v>
      </c>
    </row>
    <row r="7242" spans="1:9" x14ac:dyDescent="0.25">
      <c r="A7242" t="str">
        <f t="shared" si="176"/>
        <v>89301000</v>
      </c>
      <c r="B7242" t="str">
        <f>"5507281747"</f>
        <v>5507281747</v>
      </c>
      <c r="C7242" s="1">
        <v>45194</v>
      </c>
      <c r="D7242" s="1">
        <v>45202</v>
      </c>
      <c r="E7242">
        <v>1</v>
      </c>
      <c r="F7242" t="str">
        <f>"05-I12-03"</f>
        <v>05-I12-03</v>
      </c>
      <c r="G7242">
        <v>6.7502000000000004</v>
      </c>
      <c r="H7242" t="s">
        <v>14</v>
      </c>
      <c r="I7242" t="s">
        <v>10</v>
      </c>
    </row>
    <row r="7243" spans="1:9" x14ac:dyDescent="0.25">
      <c r="A7243" t="str">
        <f t="shared" si="176"/>
        <v>89301000</v>
      </c>
      <c r="B7243" t="str">
        <f>"5507301426"</f>
        <v>5507301426</v>
      </c>
      <c r="C7243" s="1">
        <v>44932</v>
      </c>
      <c r="D7243" s="1">
        <v>44960</v>
      </c>
      <c r="E7243">
        <v>5</v>
      </c>
      <c r="F7243" t="str">
        <f>"05-K07-04"</f>
        <v>05-K07-04</v>
      </c>
      <c r="G7243">
        <v>1.7687999999999999</v>
      </c>
      <c r="H7243" t="s">
        <v>11</v>
      </c>
      <c r="I7243" t="s">
        <v>10</v>
      </c>
    </row>
    <row r="7244" spans="1:9" x14ac:dyDescent="0.25">
      <c r="A7244" t="str">
        <f t="shared" si="176"/>
        <v>89301000</v>
      </c>
      <c r="B7244" t="str">
        <f>"5508031980"</f>
        <v>5508031980</v>
      </c>
      <c r="C7244" s="1">
        <v>45028</v>
      </c>
      <c r="D7244" s="1">
        <v>45029</v>
      </c>
      <c r="E7244">
        <v>1</v>
      </c>
      <c r="F7244" t="str">
        <f>"12-K08-00"</f>
        <v>12-K08-00</v>
      </c>
      <c r="G7244">
        <v>0.37680000000000002</v>
      </c>
      <c r="H7244" t="s">
        <v>11</v>
      </c>
      <c r="I7244" t="s">
        <v>10</v>
      </c>
    </row>
    <row r="7245" spans="1:9" x14ac:dyDescent="0.25">
      <c r="A7245" t="str">
        <f t="shared" si="176"/>
        <v>89301000</v>
      </c>
      <c r="B7245" t="str">
        <f>"5508051791"</f>
        <v>5508051791</v>
      </c>
      <c r="C7245" s="1">
        <v>45068</v>
      </c>
      <c r="D7245" s="1">
        <v>45071</v>
      </c>
      <c r="E7245">
        <v>1</v>
      </c>
      <c r="F7245" t="str">
        <f>"01-K04-01"</f>
        <v>01-K04-01</v>
      </c>
      <c r="G7245">
        <v>1.0985</v>
      </c>
      <c r="H7245" t="s">
        <v>11</v>
      </c>
      <c r="I7245" t="s">
        <v>10</v>
      </c>
    </row>
    <row r="7246" spans="1:9" x14ac:dyDescent="0.25">
      <c r="A7246" t="str">
        <f t="shared" si="176"/>
        <v>89301000</v>
      </c>
      <c r="B7246" t="str">
        <f>"5508051791"</f>
        <v>5508051791</v>
      </c>
      <c r="C7246" s="1">
        <v>44966</v>
      </c>
      <c r="D7246" s="1">
        <v>44972</v>
      </c>
      <c r="E7246">
        <v>1</v>
      </c>
      <c r="F7246" t="str">
        <f>"05-K08-02"</f>
        <v>05-K08-02</v>
      </c>
      <c r="G7246">
        <v>2.4140999999999999</v>
      </c>
      <c r="H7246" t="s">
        <v>11</v>
      </c>
      <c r="I7246" t="s">
        <v>10</v>
      </c>
    </row>
    <row r="7247" spans="1:9" x14ac:dyDescent="0.25">
      <c r="A7247" t="str">
        <f t="shared" si="176"/>
        <v>89301000</v>
      </c>
      <c r="B7247" t="str">
        <f>"5508051791"</f>
        <v>5508051791</v>
      </c>
      <c r="C7247" s="1">
        <v>44950</v>
      </c>
      <c r="D7247" s="1">
        <v>44953</v>
      </c>
      <c r="E7247">
        <v>5</v>
      </c>
      <c r="F7247" t="str">
        <f>"05-K08-02"</f>
        <v>05-K08-02</v>
      </c>
      <c r="G7247">
        <v>1.6494</v>
      </c>
      <c r="H7247" t="s">
        <v>11</v>
      </c>
      <c r="I7247" t="s">
        <v>10</v>
      </c>
    </row>
    <row r="7248" spans="1:9" x14ac:dyDescent="0.25">
      <c r="A7248" t="str">
        <f t="shared" si="176"/>
        <v>89301000</v>
      </c>
      <c r="B7248" t="str">
        <f>"5508051791"</f>
        <v>5508051791</v>
      </c>
      <c r="C7248" s="1">
        <v>44914</v>
      </c>
      <c r="D7248" s="1">
        <v>44937</v>
      </c>
      <c r="E7248">
        <v>5</v>
      </c>
      <c r="F7248" t="str">
        <f>"05-K08-02"</f>
        <v>05-K08-02</v>
      </c>
      <c r="G7248">
        <v>2.4140999999999999</v>
      </c>
      <c r="H7248" t="s">
        <v>11</v>
      </c>
      <c r="I7248" t="s">
        <v>10</v>
      </c>
    </row>
    <row r="7249" spans="1:9" x14ac:dyDescent="0.25">
      <c r="A7249" t="str">
        <f t="shared" si="176"/>
        <v>89301000</v>
      </c>
      <c r="B7249" t="str">
        <f>"5508061779"</f>
        <v>5508061779</v>
      </c>
      <c r="C7249" s="1">
        <v>44947</v>
      </c>
      <c r="D7249" s="1">
        <v>44980</v>
      </c>
      <c r="E7249">
        <v>1</v>
      </c>
      <c r="F7249" t="str">
        <f>"01-I06-01"</f>
        <v>01-I06-01</v>
      </c>
      <c r="G7249">
        <v>8.4692000000000007</v>
      </c>
      <c r="H7249" t="s">
        <v>12</v>
      </c>
      <c r="I7249" t="s">
        <v>10</v>
      </c>
    </row>
    <row r="7250" spans="1:9" x14ac:dyDescent="0.25">
      <c r="A7250" t="str">
        <f t="shared" si="176"/>
        <v>89301000</v>
      </c>
      <c r="B7250" t="str">
        <f>"5508070942"</f>
        <v>5508070942</v>
      </c>
      <c r="C7250" s="1">
        <v>45173</v>
      </c>
      <c r="D7250" s="1">
        <v>45175</v>
      </c>
      <c r="E7250">
        <v>1</v>
      </c>
      <c r="F7250" t="str">
        <f>"02-I06-03"</f>
        <v>02-I06-03</v>
      </c>
      <c r="G7250">
        <v>0.99260000000000004</v>
      </c>
      <c r="H7250" t="s">
        <v>12</v>
      </c>
      <c r="I7250" t="s">
        <v>10</v>
      </c>
    </row>
    <row r="7251" spans="1:9" x14ac:dyDescent="0.25">
      <c r="A7251" t="str">
        <f t="shared" si="176"/>
        <v>89301000</v>
      </c>
      <c r="B7251" t="str">
        <f>"5508111884"</f>
        <v>5508111884</v>
      </c>
      <c r="C7251" s="1">
        <v>45259</v>
      </c>
      <c r="D7251" s="1">
        <v>45260</v>
      </c>
      <c r="E7251">
        <v>1</v>
      </c>
      <c r="F7251" t="str">
        <f>"01-D01-03"</f>
        <v>01-D01-03</v>
      </c>
      <c r="G7251">
        <v>0.16200000000000001</v>
      </c>
      <c r="H7251" t="s">
        <v>11</v>
      </c>
      <c r="I7251" t="s">
        <v>10</v>
      </c>
    </row>
    <row r="7252" spans="1:9" x14ac:dyDescent="0.25">
      <c r="A7252" t="str">
        <f t="shared" si="176"/>
        <v>89301000</v>
      </c>
      <c r="B7252" t="str">
        <f>"5508172043"</f>
        <v>5508172043</v>
      </c>
      <c r="C7252" s="1">
        <v>45090</v>
      </c>
      <c r="D7252" s="1">
        <v>45098</v>
      </c>
      <c r="E7252">
        <v>1</v>
      </c>
      <c r="F7252" t="str">
        <f>"05-I18-04"</f>
        <v>05-I18-04</v>
      </c>
      <c r="G7252">
        <v>3.3858000000000001</v>
      </c>
      <c r="H7252" t="s">
        <v>12</v>
      </c>
      <c r="I7252" t="s">
        <v>10</v>
      </c>
    </row>
    <row r="7253" spans="1:9" x14ac:dyDescent="0.25">
      <c r="A7253" t="str">
        <f t="shared" si="176"/>
        <v>89301000</v>
      </c>
      <c r="B7253" t="str">
        <f>"5508181338"</f>
        <v>5508181338</v>
      </c>
      <c r="C7253" s="1">
        <v>45093</v>
      </c>
      <c r="D7253" s="1">
        <v>45093</v>
      </c>
      <c r="E7253">
        <v>1</v>
      </c>
      <c r="F7253" t="str">
        <f>"05-D01-08"</f>
        <v>05-D01-08</v>
      </c>
      <c r="G7253">
        <v>0.2303</v>
      </c>
      <c r="H7253" t="s">
        <v>11</v>
      </c>
      <c r="I7253" t="s">
        <v>10</v>
      </c>
    </row>
    <row r="7254" spans="1:9" x14ac:dyDescent="0.25">
      <c r="A7254" t="str">
        <f t="shared" si="176"/>
        <v>89301000</v>
      </c>
      <c r="B7254" t="str">
        <f>"5508221554"</f>
        <v>5508221554</v>
      </c>
      <c r="C7254" s="1">
        <v>44924</v>
      </c>
      <c r="D7254" s="1">
        <v>44928</v>
      </c>
      <c r="E7254">
        <v>1</v>
      </c>
      <c r="F7254" t="str">
        <f>"04-K03-02"</f>
        <v>04-K03-02</v>
      </c>
      <c r="G7254">
        <v>0.80810000000000004</v>
      </c>
      <c r="H7254" t="s">
        <v>11</v>
      </c>
      <c r="I7254" t="s">
        <v>10</v>
      </c>
    </row>
    <row r="7255" spans="1:9" x14ac:dyDescent="0.25">
      <c r="A7255" t="str">
        <f t="shared" si="176"/>
        <v>89301000</v>
      </c>
      <c r="B7255" t="str">
        <f>"5508280261"</f>
        <v>5508280261</v>
      </c>
      <c r="C7255" s="1">
        <v>45063</v>
      </c>
      <c r="D7255" s="1">
        <v>45067</v>
      </c>
      <c r="E7255">
        <v>1</v>
      </c>
      <c r="F7255" t="str">
        <f>"06-I22-02"</f>
        <v>06-I22-02</v>
      </c>
      <c r="G7255">
        <v>0.41810000000000003</v>
      </c>
      <c r="H7255" t="s">
        <v>12</v>
      </c>
      <c r="I7255" t="s">
        <v>10</v>
      </c>
    </row>
    <row r="7256" spans="1:9" x14ac:dyDescent="0.25">
      <c r="A7256" t="str">
        <f t="shared" si="176"/>
        <v>89301000</v>
      </c>
      <c r="B7256" t="str">
        <f>"5509120353"</f>
        <v>5509120353</v>
      </c>
      <c r="C7256" s="1">
        <v>45027</v>
      </c>
      <c r="D7256" s="1">
        <v>45029</v>
      </c>
      <c r="E7256">
        <v>1</v>
      </c>
      <c r="F7256" t="str">
        <f>"05-M05-02"</f>
        <v>05-M05-02</v>
      </c>
      <c r="G7256">
        <v>3.4817999999999998</v>
      </c>
      <c r="H7256" t="s">
        <v>14</v>
      </c>
      <c r="I7256" t="s">
        <v>10</v>
      </c>
    </row>
    <row r="7257" spans="1:9" x14ac:dyDescent="0.25">
      <c r="A7257" t="str">
        <f t="shared" si="176"/>
        <v>89301000</v>
      </c>
      <c r="B7257" t="str">
        <f>"5509161625"</f>
        <v>5509161625</v>
      </c>
      <c r="C7257" s="1">
        <v>45242</v>
      </c>
      <c r="D7257" s="1">
        <v>45248</v>
      </c>
      <c r="E7257">
        <v>1</v>
      </c>
      <c r="F7257" t="str">
        <f>"12-I03-01"</f>
        <v>12-I03-01</v>
      </c>
      <c r="G7257">
        <v>2.6934999999999998</v>
      </c>
      <c r="H7257" t="s">
        <v>9</v>
      </c>
      <c r="I7257" t="s">
        <v>10</v>
      </c>
    </row>
    <row r="7258" spans="1:9" x14ac:dyDescent="0.25">
      <c r="A7258" t="str">
        <f t="shared" si="176"/>
        <v>89301000</v>
      </c>
      <c r="B7258" t="str">
        <f>"5509182470"</f>
        <v>5509182470</v>
      </c>
      <c r="C7258" s="1">
        <v>45098</v>
      </c>
      <c r="D7258" s="1">
        <v>45098</v>
      </c>
      <c r="E7258">
        <v>5</v>
      </c>
      <c r="F7258" t="str">
        <f>"05-M06-06"</f>
        <v>05-M06-06</v>
      </c>
      <c r="G7258">
        <v>1.3030999999999999</v>
      </c>
      <c r="H7258" t="s">
        <v>12</v>
      </c>
      <c r="I7258" t="s">
        <v>10</v>
      </c>
    </row>
    <row r="7259" spans="1:9" x14ac:dyDescent="0.25">
      <c r="A7259" t="str">
        <f t="shared" si="176"/>
        <v>89301000</v>
      </c>
      <c r="B7259" t="str">
        <f>"5509191787"</f>
        <v>5509191787</v>
      </c>
      <c r="C7259" s="1">
        <v>45040</v>
      </c>
      <c r="D7259" s="1">
        <v>45049</v>
      </c>
      <c r="E7259">
        <v>1</v>
      </c>
      <c r="F7259" t="str">
        <f>"05-M02-02"</f>
        <v>05-M02-02</v>
      </c>
      <c r="G7259">
        <v>8.5745000000000005</v>
      </c>
      <c r="H7259" t="s">
        <v>14</v>
      </c>
      <c r="I7259" t="s">
        <v>10</v>
      </c>
    </row>
    <row r="7260" spans="1:9" x14ac:dyDescent="0.25">
      <c r="A7260" t="str">
        <f t="shared" si="176"/>
        <v>89301000</v>
      </c>
      <c r="B7260" t="str">
        <f>"5509202072"</f>
        <v>5509202072</v>
      </c>
      <c r="C7260" s="1">
        <v>45104</v>
      </c>
      <c r="D7260" s="1">
        <v>45119</v>
      </c>
      <c r="E7260">
        <v>1</v>
      </c>
      <c r="F7260" t="str">
        <f>"05-I18-04"</f>
        <v>05-I18-04</v>
      </c>
      <c r="G7260">
        <v>3.3858000000000001</v>
      </c>
      <c r="H7260" t="s">
        <v>12</v>
      </c>
      <c r="I7260" t="s">
        <v>10</v>
      </c>
    </row>
    <row r="7261" spans="1:9" x14ac:dyDescent="0.25">
      <c r="A7261" t="str">
        <f t="shared" si="176"/>
        <v>89301000</v>
      </c>
      <c r="B7261" t="str">
        <f>"5509211928"</f>
        <v>5509211928</v>
      </c>
      <c r="C7261" s="1">
        <v>44928</v>
      </c>
      <c r="D7261" s="1">
        <v>44929</v>
      </c>
      <c r="E7261">
        <v>1</v>
      </c>
      <c r="F7261" t="str">
        <f>"06-M01-05"</f>
        <v>06-M01-05</v>
      </c>
      <c r="G7261">
        <v>0.4178</v>
      </c>
      <c r="H7261" t="s">
        <v>11</v>
      </c>
      <c r="I7261" t="s">
        <v>10</v>
      </c>
    </row>
    <row r="7262" spans="1:9" x14ac:dyDescent="0.25">
      <c r="A7262" t="str">
        <f t="shared" si="176"/>
        <v>89301000</v>
      </c>
      <c r="B7262" t="str">
        <f>"5509211928"</f>
        <v>5509211928</v>
      </c>
      <c r="C7262" s="1">
        <v>45075</v>
      </c>
      <c r="D7262" s="1">
        <v>45092</v>
      </c>
      <c r="E7262">
        <v>1</v>
      </c>
      <c r="F7262" t="str">
        <f>"10-K04-04"</f>
        <v>10-K04-04</v>
      </c>
      <c r="G7262">
        <v>0.94130000000000003</v>
      </c>
      <c r="H7262" t="s">
        <v>11</v>
      </c>
      <c r="I7262" t="s">
        <v>10</v>
      </c>
    </row>
    <row r="7263" spans="1:9" x14ac:dyDescent="0.25">
      <c r="A7263" t="str">
        <f t="shared" si="176"/>
        <v>89301000</v>
      </c>
      <c r="B7263" t="str">
        <f>"5509252507"</f>
        <v>5509252507</v>
      </c>
      <c r="C7263" s="1">
        <v>45217</v>
      </c>
      <c r="D7263" s="1">
        <v>45222</v>
      </c>
      <c r="E7263">
        <v>1</v>
      </c>
      <c r="F7263" t="str">
        <f>"06-M01-02"</f>
        <v>06-M01-02</v>
      </c>
      <c r="G7263">
        <v>1.3071999999999999</v>
      </c>
      <c r="H7263" t="s">
        <v>11</v>
      </c>
      <c r="I7263" t="s">
        <v>10</v>
      </c>
    </row>
    <row r="7264" spans="1:9" x14ac:dyDescent="0.25">
      <c r="A7264" t="str">
        <f t="shared" si="176"/>
        <v>89301000</v>
      </c>
      <c r="B7264" t="str">
        <f>"5510022804"</f>
        <v>5510022804</v>
      </c>
      <c r="C7264" s="1">
        <v>45271</v>
      </c>
      <c r="D7264" s="1">
        <v>45271</v>
      </c>
      <c r="E7264">
        <v>1</v>
      </c>
      <c r="F7264" t="str">
        <f>"05-D01-08"</f>
        <v>05-D01-08</v>
      </c>
      <c r="G7264">
        <v>0.2303</v>
      </c>
      <c r="H7264" t="s">
        <v>11</v>
      </c>
      <c r="I7264" t="s">
        <v>10</v>
      </c>
    </row>
    <row r="7265" spans="1:9" x14ac:dyDescent="0.25">
      <c r="A7265" t="str">
        <f t="shared" si="176"/>
        <v>89301000</v>
      </c>
      <c r="B7265" t="str">
        <f>"5510041284"</f>
        <v>5510041284</v>
      </c>
      <c r="C7265" s="1">
        <v>45287</v>
      </c>
      <c r="D7265" s="1">
        <v>45288</v>
      </c>
      <c r="E7265">
        <v>1</v>
      </c>
      <c r="F7265" t="str">
        <f>"12-I14-00"</f>
        <v>12-I14-00</v>
      </c>
      <c r="G7265">
        <v>0.42920000000000003</v>
      </c>
      <c r="H7265" t="s">
        <v>11</v>
      </c>
      <c r="I7265" t="s">
        <v>10</v>
      </c>
    </row>
    <row r="7266" spans="1:9" x14ac:dyDescent="0.25">
      <c r="A7266" t="str">
        <f t="shared" si="176"/>
        <v>89301000</v>
      </c>
      <c r="B7266" t="str">
        <f>"5510076231"</f>
        <v>5510076231</v>
      </c>
      <c r="C7266" s="1">
        <v>45217</v>
      </c>
      <c r="D7266" s="1">
        <v>45222</v>
      </c>
      <c r="E7266">
        <v>1</v>
      </c>
      <c r="F7266" t="str">
        <f>"07-K06-02"</f>
        <v>07-K06-02</v>
      </c>
      <c r="G7266">
        <v>0.47520000000000001</v>
      </c>
      <c r="H7266" t="s">
        <v>11</v>
      </c>
      <c r="I7266" t="s">
        <v>10</v>
      </c>
    </row>
    <row r="7267" spans="1:9" x14ac:dyDescent="0.25">
      <c r="A7267" t="str">
        <f t="shared" si="176"/>
        <v>89301000</v>
      </c>
      <c r="B7267" t="str">
        <f>"5510091917"</f>
        <v>5510091917</v>
      </c>
      <c r="C7267" s="1">
        <v>44956</v>
      </c>
      <c r="D7267" s="1">
        <v>44957</v>
      </c>
      <c r="E7267">
        <v>1</v>
      </c>
      <c r="F7267" t="str">
        <f>"02-I06-04"</f>
        <v>02-I06-04</v>
      </c>
      <c r="G7267">
        <v>0.79630000000000001</v>
      </c>
      <c r="H7267" t="s">
        <v>12</v>
      </c>
      <c r="I7267" t="s">
        <v>10</v>
      </c>
    </row>
    <row r="7268" spans="1:9" x14ac:dyDescent="0.25">
      <c r="A7268" t="str">
        <f t="shared" si="176"/>
        <v>89301000</v>
      </c>
      <c r="B7268" t="str">
        <f>"5510151185"</f>
        <v>5510151185</v>
      </c>
      <c r="C7268" s="1">
        <v>45076</v>
      </c>
      <c r="D7268" s="1">
        <v>45092</v>
      </c>
      <c r="E7268">
        <v>1</v>
      </c>
      <c r="F7268" t="str">
        <f>"10-I04-01"</f>
        <v>10-I04-01</v>
      </c>
      <c r="G7268">
        <v>3.4904000000000002</v>
      </c>
      <c r="H7268" t="s">
        <v>12</v>
      </c>
      <c r="I7268" t="s">
        <v>10</v>
      </c>
    </row>
    <row r="7269" spans="1:9" x14ac:dyDescent="0.25">
      <c r="A7269" t="str">
        <f t="shared" si="176"/>
        <v>89301000</v>
      </c>
      <c r="B7269" t="str">
        <f>"5510151185"</f>
        <v>5510151185</v>
      </c>
      <c r="C7269" s="1">
        <v>44997</v>
      </c>
      <c r="D7269" s="1">
        <v>45001</v>
      </c>
      <c r="E7269">
        <v>1</v>
      </c>
      <c r="F7269" t="str">
        <f>"10-I13-02"</f>
        <v>10-I13-02</v>
      </c>
      <c r="G7269">
        <v>1.1124000000000001</v>
      </c>
      <c r="H7269" t="s">
        <v>9</v>
      </c>
      <c r="I7269" t="s">
        <v>10</v>
      </c>
    </row>
    <row r="7270" spans="1:9" x14ac:dyDescent="0.25">
      <c r="A7270" t="str">
        <f t="shared" si="176"/>
        <v>89301000</v>
      </c>
      <c r="B7270" t="str">
        <f>"5510151460"</f>
        <v>5510151460</v>
      </c>
      <c r="C7270" s="1">
        <v>45001</v>
      </c>
      <c r="D7270" s="1">
        <v>45005</v>
      </c>
      <c r="E7270">
        <v>1</v>
      </c>
      <c r="F7270" t="str">
        <f>"16-K02-02"</f>
        <v>16-K02-02</v>
      </c>
      <c r="G7270">
        <v>0.76349999999999996</v>
      </c>
      <c r="H7270" t="s">
        <v>11</v>
      </c>
      <c r="I7270" t="s">
        <v>10</v>
      </c>
    </row>
    <row r="7271" spans="1:9" x14ac:dyDescent="0.25">
      <c r="A7271" t="str">
        <f t="shared" si="176"/>
        <v>89301000</v>
      </c>
      <c r="B7271" t="str">
        <f>"5510151460"</f>
        <v>5510151460</v>
      </c>
      <c r="C7271" s="1">
        <v>45094</v>
      </c>
      <c r="D7271" s="1">
        <v>45099</v>
      </c>
      <c r="E7271">
        <v>1</v>
      </c>
      <c r="F7271" t="str">
        <f>"04-K03-02"</f>
        <v>04-K03-02</v>
      </c>
      <c r="G7271">
        <v>0.80810000000000004</v>
      </c>
      <c r="H7271" t="s">
        <v>11</v>
      </c>
      <c r="I7271" t="s">
        <v>10</v>
      </c>
    </row>
    <row r="7272" spans="1:9" x14ac:dyDescent="0.25">
      <c r="A7272" t="str">
        <f t="shared" si="176"/>
        <v>89301000</v>
      </c>
      <c r="B7272" t="str">
        <f>"5510181248"</f>
        <v>5510181248</v>
      </c>
      <c r="C7272" s="1">
        <v>45130</v>
      </c>
      <c r="D7272" s="1">
        <v>45141</v>
      </c>
      <c r="E7272">
        <v>1</v>
      </c>
      <c r="F7272" t="str">
        <f>"01-I09-01"</f>
        <v>01-I09-01</v>
      </c>
      <c r="G7272">
        <v>2.3763999999999998</v>
      </c>
      <c r="H7272" t="s">
        <v>12</v>
      </c>
      <c r="I7272" t="s">
        <v>10</v>
      </c>
    </row>
    <row r="7273" spans="1:9" x14ac:dyDescent="0.25">
      <c r="A7273" t="str">
        <f t="shared" si="176"/>
        <v>89301000</v>
      </c>
      <c r="B7273" t="str">
        <f>"5510191621"</f>
        <v>5510191621</v>
      </c>
      <c r="C7273" s="1">
        <v>45058</v>
      </c>
      <c r="D7273" s="1">
        <v>45066</v>
      </c>
      <c r="E7273">
        <v>1</v>
      </c>
      <c r="F7273" t="str">
        <f>"12-M02-02"</f>
        <v>12-M02-02</v>
      </c>
      <c r="G7273">
        <v>0.95020000000000004</v>
      </c>
      <c r="H7273" t="s">
        <v>9</v>
      </c>
      <c r="I7273" t="s">
        <v>10</v>
      </c>
    </row>
    <row r="7274" spans="1:9" x14ac:dyDescent="0.25">
      <c r="A7274" t="str">
        <f t="shared" si="176"/>
        <v>89301000</v>
      </c>
      <c r="B7274" t="str">
        <f>"5511141053"</f>
        <v>5511141053</v>
      </c>
      <c r="C7274" s="1">
        <v>45084</v>
      </c>
      <c r="D7274" s="1">
        <v>45111</v>
      </c>
      <c r="E7274">
        <v>4</v>
      </c>
      <c r="F7274" t="str">
        <f>"00-M02-04"</f>
        <v>00-M02-04</v>
      </c>
      <c r="G7274">
        <v>12.3385</v>
      </c>
      <c r="H7274" t="s">
        <v>11</v>
      </c>
      <c r="I7274" t="s">
        <v>10</v>
      </c>
    </row>
    <row r="7275" spans="1:9" x14ac:dyDescent="0.25">
      <c r="A7275" t="str">
        <f t="shared" si="176"/>
        <v>89301000</v>
      </c>
      <c r="B7275" t="str">
        <f>"5511141471"</f>
        <v>5511141471</v>
      </c>
      <c r="C7275" s="1">
        <v>45088</v>
      </c>
      <c r="D7275" s="1">
        <v>45095</v>
      </c>
      <c r="E7275">
        <v>1</v>
      </c>
      <c r="F7275" t="str">
        <f>"05-I24-02"</f>
        <v>05-I24-02</v>
      </c>
      <c r="G7275">
        <v>3.9392</v>
      </c>
      <c r="H7275" t="s">
        <v>12</v>
      </c>
      <c r="I7275" t="s">
        <v>10</v>
      </c>
    </row>
    <row r="7276" spans="1:9" x14ac:dyDescent="0.25">
      <c r="A7276" t="str">
        <f t="shared" si="176"/>
        <v>89301000</v>
      </c>
      <c r="B7276" t="str">
        <f>"5511151745"</f>
        <v>5511151745</v>
      </c>
      <c r="C7276" s="1">
        <v>44959</v>
      </c>
      <c r="D7276" s="1">
        <v>44962</v>
      </c>
      <c r="E7276">
        <v>1</v>
      </c>
      <c r="F7276" t="str">
        <f>"08-I04-02"</f>
        <v>08-I04-02</v>
      </c>
      <c r="G7276">
        <v>1.6229</v>
      </c>
      <c r="H7276" t="s">
        <v>14</v>
      </c>
      <c r="I7276" t="s">
        <v>10</v>
      </c>
    </row>
    <row r="7277" spans="1:9" x14ac:dyDescent="0.25">
      <c r="A7277" t="str">
        <f t="shared" si="176"/>
        <v>89301000</v>
      </c>
      <c r="B7277" t="str">
        <f>"5511211079"</f>
        <v>5511211079</v>
      </c>
      <c r="C7277" s="1">
        <v>45044</v>
      </c>
      <c r="D7277" s="1">
        <v>45045</v>
      </c>
      <c r="E7277">
        <v>1</v>
      </c>
      <c r="F7277" t="str">
        <f>"11-I16-02"</f>
        <v>11-I16-02</v>
      </c>
      <c r="G7277">
        <v>0.45679999999999998</v>
      </c>
      <c r="H7277" t="s">
        <v>11</v>
      </c>
      <c r="I7277" t="s">
        <v>10</v>
      </c>
    </row>
    <row r="7278" spans="1:9" x14ac:dyDescent="0.25">
      <c r="A7278" t="str">
        <f t="shared" si="176"/>
        <v>89301000</v>
      </c>
      <c r="B7278" t="str">
        <f>"5511211090"</f>
        <v>5511211090</v>
      </c>
      <c r="C7278" s="1">
        <v>44977</v>
      </c>
      <c r="D7278" s="1">
        <v>44985</v>
      </c>
      <c r="E7278">
        <v>1</v>
      </c>
      <c r="F7278" t="str">
        <f>"07-M02-02"</f>
        <v>07-M02-02</v>
      </c>
      <c r="G7278">
        <v>2.0733000000000001</v>
      </c>
      <c r="H7278" t="s">
        <v>12</v>
      </c>
      <c r="I7278" t="s">
        <v>10</v>
      </c>
    </row>
    <row r="7279" spans="1:9" x14ac:dyDescent="0.25">
      <c r="A7279" t="str">
        <f t="shared" si="176"/>
        <v>89301000</v>
      </c>
      <c r="B7279" t="str">
        <f>"5511211090"</f>
        <v>5511211090</v>
      </c>
      <c r="C7279" s="1">
        <v>45215</v>
      </c>
      <c r="D7279" s="1">
        <v>45219</v>
      </c>
      <c r="E7279">
        <v>1</v>
      </c>
      <c r="F7279" t="str">
        <f>"12-I12-00"</f>
        <v>12-I12-00</v>
      </c>
      <c r="G7279">
        <v>0.61209999999999998</v>
      </c>
      <c r="H7279" t="s">
        <v>12</v>
      </c>
      <c r="I7279" t="s">
        <v>10</v>
      </c>
    </row>
    <row r="7280" spans="1:9" x14ac:dyDescent="0.25">
      <c r="A7280" t="str">
        <f t="shared" si="176"/>
        <v>89301000</v>
      </c>
      <c r="B7280" t="str">
        <f>"5511211090"</f>
        <v>5511211090</v>
      </c>
      <c r="C7280" s="1">
        <v>45139</v>
      </c>
      <c r="D7280" s="1">
        <v>45149</v>
      </c>
      <c r="E7280">
        <v>1</v>
      </c>
      <c r="F7280" t="str">
        <f>"07-I08-02"</f>
        <v>07-I08-02</v>
      </c>
      <c r="G7280">
        <v>3.2553000000000001</v>
      </c>
      <c r="H7280" t="s">
        <v>12</v>
      </c>
      <c r="I7280" t="s">
        <v>10</v>
      </c>
    </row>
    <row r="7281" spans="1:9" x14ac:dyDescent="0.25">
      <c r="A7281" t="str">
        <f t="shared" si="176"/>
        <v>89301000</v>
      </c>
      <c r="B7281" t="str">
        <f>"5511211090"</f>
        <v>5511211090</v>
      </c>
      <c r="C7281" s="1">
        <v>45012</v>
      </c>
      <c r="D7281" s="1">
        <v>45013</v>
      </c>
      <c r="E7281">
        <v>1</v>
      </c>
      <c r="F7281" t="str">
        <f>"07-M02-04"</f>
        <v>07-M02-04</v>
      </c>
      <c r="G7281">
        <v>1.5024</v>
      </c>
      <c r="H7281" t="s">
        <v>12</v>
      </c>
      <c r="I7281" t="s">
        <v>10</v>
      </c>
    </row>
    <row r="7282" spans="1:9" x14ac:dyDescent="0.25">
      <c r="A7282" t="str">
        <f t="shared" si="176"/>
        <v>89301000</v>
      </c>
      <c r="B7282" t="str">
        <f>"5512010966"</f>
        <v>5512010966</v>
      </c>
      <c r="C7282" s="1">
        <v>44963</v>
      </c>
      <c r="D7282" s="1">
        <v>44966</v>
      </c>
      <c r="E7282">
        <v>1</v>
      </c>
      <c r="F7282" t="str">
        <f>"06-I17-02"</f>
        <v>06-I17-02</v>
      </c>
      <c r="G7282">
        <v>1.0106999999999999</v>
      </c>
      <c r="H7282" t="s">
        <v>12</v>
      </c>
      <c r="I7282" t="s">
        <v>10</v>
      </c>
    </row>
    <row r="7283" spans="1:9" x14ac:dyDescent="0.25">
      <c r="A7283" t="str">
        <f t="shared" si="176"/>
        <v>89301000</v>
      </c>
      <c r="B7283" t="str">
        <f>"5512041766"</f>
        <v>5512041766</v>
      </c>
      <c r="C7283" s="1">
        <v>44977</v>
      </c>
      <c r="D7283" s="1">
        <v>44992</v>
      </c>
      <c r="E7283">
        <v>1</v>
      </c>
      <c r="F7283" t="str">
        <f>"04-I02-04"</f>
        <v>04-I02-04</v>
      </c>
      <c r="G7283">
        <v>3.1897000000000002</v>
      </c>
      <c r="H7283" t="s">
        <v>14</v>
      </c>
      <c r="I7283" t="s">
        <v>10</v>
      </c>
    </row>
    <row r="7284" spans="1:9" x14ac:dyDescent="0.25">
      <c r="A7284" t="str">
        <f t="shared" si="176"/>
        <v>89301000</v>
      </c>
      <c r="B7284" t="str">
        <f>"5512051512"</f>
        <v>5512051512</v>
      </c>
      <c r="C7284" s="1">
        <v>44977</v>
      </c>
      <c r="D7284" s="1">
        <v>44978</v>
      </c>
      <c r="E7284">
        <v>1</v>
      </c>
      <c r="F7284" t="str">
        <f>"03-I24-00"</f>
        <v>03-I24-00</v>
      </c>
      <c r="G7284">
        <v>0.40670000000000001</v>
      </c>
      <c r="H7284" t="s">
        <v>11</v>
      </c>
      <c r="I7284" t="s">
        <v>10</v>
      </c>
    </row>
    <row r="7285" spans="1:9" x14ac:dyDescent="0.25">
      <c r="A7285" t="str">
        <f t="shared" si="176"/>
        <v>89301000</v>
      </c>
      <c r="B7285" t="str">
        <f>"5512100506"</f>
        <v>5512100506</v>
      </c>
      <c r="C7285" s="1">
        <v>45273</v>
      </c>
      <c r="D7285" s="1">
        <v>45279</v>
      </c>
      <c r="E7285">
        <v>1</v>
      </c>
      <c r="F7285" t="str">
        <f>"05-M01-01"</f>
        <v>05-M01-01</v>
      </c>
      <c r="G7285">
        <v>14.674200000000001</v>
      </c>
      <c r="H7285" t="s">
        <v>12</v>
      </c>
      <c r="I7285" t="s">
        <v>10</v>
      </c>
    </row>
    <row r="7286" spans="1:9" x14ac:dyDescent="0.25">
      <c r="A7286" t="str">
        <f t="shared" si="176"/>
        <v>89301000</v>
      </c>
      <c r="B7286" t="str">
        <f>"5512100506"</f>
        <v>5512100506</v>
      </c>
      <c r="C7286" s="1">
        <v>45236</v>
      </c>
      <c r="D7286" s="1">
        <v>45237</v>
      </c>
      <c r="E7286">
        <v>1</v>
      </c>
      <c r="F7286" t="str">
        <f>"05-D01-08"</f>
        <v>05-D01-08</v>
      </c>
      <c r="G7286">
        <v>0.43159999999999998</v>
      </c>
      <c r="H7286" t="s">
        <v>11</v>
      </c>
      <c r="I7286" t="s">
        <v>10</v>
      </c>
    </row>
    <row r="7287" spans="1:9" x14ac:dyDescent="0.25">
      <c r="A7287" t="str">
        <f t="shared" si="176"/>
        <v>89301000</v>
      </c>
      <c r="B7287" t="str">
        <f>"5512191432"</f>
        <v>5512191432</v>
      </c>
      <c r="C7287" s="1">
        <v>45169</v>
      </c>
      <c r="D7287" s="1">
        <v>45171</v>
      </c>
      <c r="E7287">
        <v>1</v>
      </c>
      <c r="F7287" t="str">
        <f>"06-I22-02"</f>
        <v>06-I22-02</v>
      </c>
      <c r="G7287">
        <v>0.41810000000000003</v>
      </c>
      <c r="H7287" t="s">
        <v>12</v>
      </c>
      <c r="I7287" t="s">
        <v>10</v>
      </c>
    </row>
    <row r="7288" spans="1:9" x14ac:dyDescent="0.25">
      <c r="A7288" t="str">
        <f t="shared" si="176"/>
        <v>89301000</v>
      </c>
      <c r="B7288" t="str">
        <f>"5512211342"</f>
        <v>5512211342</v>
      </c>
      <c r="C7288" s="1">
        <v>44944</v>
      </c>
      <c r="D7288" s="1">
        <v>44966</v>
      </c>
      <c r="E7288">
        <v>1</v>
      </c>
      <c r="F7288" t="str">
        <f>"19-K05-02"</f>
        <v>19-K05-02</v>
      </c>
      <c r="G7288">
        <v>1.7688999999999999</v>
      </c>
      <c r="H7288" t="s">
        <v>15</v>
      </c>
      <c r="I7288" t="s">
        <v>10</v>
      </c>
    </row>
    <row r="7289" spans="1:9" x14ac:dyDescent="0.25">
      <c r="A7289" t="str">
        <f t="shared" si="176"/>
        <v>89301000</v>
      </c>
      <c r="B7289" t="str">
        <f>"5512280763"</f>
        <v>5512280763</v>
      </c>
      <c r="C7289" s="1">
        <v>45027</v>
      </c>
      <c r="D7289" s="1">
        <v>45034</v>
      </c>
      <c r="E7289">
        <v>1</v>
      </c>
      <c r="F7289" t="str">
        <f>"05-K07-03"</f>
        <v>05-K07-03</v>
      </c>
      <c r="G7289">
        <v>1.8048</v>
      </c>
      <c r="H7289" t="s">
        <v>11</v>
      </c>
      <c r="I7289" t="s">
        <v>10</v>
      </c>
    </row>
    <row r="7290" spans="1:9" x14ac:dyDescent="0.25">
      <c r="A7290" t="str">
        <f t="shared" si="176"/>
        <v>89301000</v>
      </c>
      <c r="B7290" t="str">
        <f>"5512280763"</f>
        <v>5512280763</v>
      </c>
      <c r="C7290" s="1">
        <v>44990</v>
      </c>
      <c r="D7290" s="1">
        <v>44994</v>
      </c>
      <c r="E7290">
        <v>1</v>
      </c>
      <c r="F7290" t="str">
        <f>"06-K06-01"</f>
        <v>06-K06-01</v>
      </c>
      <c r="G7290">
        <v>1.1567000000000001</v>
      </c>
      <c r="H7290" t="s">
        <v>11</v>
      </c>
      <c r="I7290" t="s">
        <v>10</v>
      </c>
    </row>
    <row r="7291" spans="1:9" x14ac:dyDescent="0.25">
      <c r="A7291" t="str">
        <f t="shared" si="176"/>
        <v>89301000</v>
      </c>
      <c r="B7291" t="str">
        <f>"5551051858"</f>
        <v>5551051858</v>
      </c>
      <c r="C7291" s="1">
        <v>45083</v>
      </c>
      <c r="D7291" s="1">
        <v>45086</v>
      </c>
      <c r="E7291">
        <v>1</v>
      </c>
      <c r="F7291" t="str">
        <f>"16-K02-03"</f>
        <v>16-K02-03</v>
      </c>
      <c r="G7291">
        <v>0.58299999999999996</v>
      </c>
      <c r="H7291" t="s">
        <v>11</v>
      </c>
      <c r="I7291" t="s">
        <v>10</v>
      </c>
    </row>
    <row r="7292" spans="1:9" x14ac:dyDescent="0.25">
      <c r="A7292" t="str">
        <f t="shared" si="176"/>
        <v>89301000</v>
      </c>
      <c r="B7292" t="str">
        <f>"5551081866"</f>
        <v>5551081866</v>
      </c>
      <c r="C7292" s="1">
        <v>45049</v>
      </c>
      <c r="D7292" s="1">
        <v>45051</v>
      </c>
      <c r="E7292">
        <v>1</v>
      </c>
      <c r="F7292" t="str">
        <f>"02-I09-03"</f>
        <v>02-I09-03</v>
      </c>
      <c r="G7292">
        <v>0.89090000000000003</v>
      </c>
      <c r="H7292" t="s">
        <v>11</v>
      </c>
      <c r="I7292" t="s">
        <v>10</v>
      </c>
    </row>
    <row r="7293" spans="1:9" x14ac:dyDescent="0.25">
      <c r="A7293" t="str">
        <f t="shared" si="176"/>
        <v>89301000</v>
      </c>
      <c r="B7293" t="str">
        <f>"5551261331"</f>
        <v>5551261331</v>
      </c>
      <c r="C7293" s="1">
        <v>45038</v>
      </c>
      <c r="D7293" s="1">
        <v>45044</v>
      </c>
      <c r="E7293">
        <v>1</v>
      </c>
      <c r="F7293" t="str">
        <f>"19-K03-03"</f>
        <v>19-K03-03</v>
      </c>
      <c r="G7293">
        <v>0.90410000000000001</v>
      </c>
      <c r="H7293" t="s">
        <v>15</v>
      </c>
      <c r="I7293" t="s">
        <v>10</v>
      </c>
    </row>
    <row r="7294" spans="1:9" x14ac:dyDescent="0.25">
      <c r="A7294" t="str">
        <f t="shared" si="176"/>
        <v>89301000</v>
      </c>
      <c r="B7294" t="str">
        <f>"5551261331"</f>
        <v>5551261331</v>
      </c>
      <c r="C7294" s="1">
        <v>45083</v>
      </c>
      <c r="D7294" s="1">
        <v>45089</v>
      </c>
      <c r="E7294">
        <v>1</v>
      </c>
      <c r="F7294" t="str">
        <f>"19-K03-03"</f>
        <v>19-K03-03</v>
      </c>
      <c r="G7294">
        <v>0.90410000000000001</v>
      </c>
      <c r="H7294" t="s">
        <v>15</v>
      </c>
      <c r="I7294" t="s">
        <v>10</v>
      </c>
    </row>
    <row r="7295" spans="1:9" x14ac:dyDescent="0.25">
      <c r="A7295" t="str">
        <f t="shared" si="176"/>
        <v>89301000</v>
      </c>
      <c r="B7295" t="str">
        <f>"5551281560"</f>
        <v>5551281560</v>
      </c>
      <c r="C7295" s="1">
        <v>44930</v>
      </c>
      <c r="D7295" s="1">
        <v>44934</v>
      </c>
      <c r="E7295">
        <v>1</v>
      </c>
      <c r="F7295" t="str">
        <f>"10-I13-02"</f>
        <v>10-I13-02</v>
      </c>
      <c r="G7295">
        <v>1.1124000000000001</v>
      </c>
      <c r="H7295" t="s">
        <v>9</v>
      </c>
      <c r="I7295" t="s">
        <v>10</v>
      </c>
    </row>
    <row r="7296" spans="1:9" x14ac:dyDescent="0.25">
      <c r="A7296" t="str">
        <f t="shared" si="176"/>
        <v>89301000</v>
      </c>
      <c r="B7296" t="str">
        <f>"5551291735"</f>
        <v>5551291735</v>
      </c>
      <c r="C7296" s="1">
        <v>45091</v>
      </c>
      <c r="D7296" s="1">
        <v>45094</v>
      </c>
      <c r="E7296">
        <v>1</v>
      </c>
      <c r="F7296" t="str">
        <f>"13-I14-03"</f>
        <v>13-I14-03</v>
      </c>
      <c r="G7296">
        <v>0.87760000000000005</v>
      </c>
      <c r="H7296" t="s">
        <v>9</v>
      </c>
      <c r="I7296" t="s">
        <v>10</v>
      </c>
    </row>
    <row r="7297" spans="1:9" x14ac:dyDescent="0.25">
      <c r="A7297" t="str">
        <f t="shared" si="176"/>
        <v>89301000</v>
      </c>
      <c r="B7297" t="str">
        <f>"5552071459"</f>
        <v>5552071459</v>
      </c>
      <c r="C7297" s="1">
        <v>44931</v>
      </c>
      <c r="D7297" s="1">
        <v>44932</v>
      </c>
      <c r="E7297">
        <v>1</v>
      </c>
      <c r="F7297" t="str">
        <f>"01-K04-02"</f>
        <v>01-K04-02</v>
      </c>
      <c r="G7297">
        <v>0.5333</v>
      </c>
      <c r="H7297" t="s">
        <v>11</v>
      </c>
      <c r="I7297" t="s">
        <v>10</v>
      </c>
    </row>
    <row r="7298" spans="1:9" x14ac:dyDescent="0.25">
      <c r="A7298" t="str">
        <f t="shared" ref="A7298:A7361" si="177">"89301000"</f>
        <v>89301000</v>
      </c>
      <c r="B7298" t="str">
        <f>"5552080677"</f>
        <v>5552080677</v>
      </c>
      <c r="C7298" s="1">
        <v>45183</v>
      </c>
      <c r="D7298" s="1">
        <v>45190</v>
      </c>
      <c r="E7298">
        <v>1</v>
      </c>
      <c r="F7298" t="str">
        <f>"16-K02-03"</f>
        <v>16-K02-03</v>
      </c>
      <c r="G7298">
        <v>0.58299999999999996</v>
      </c>
      <c r="H7298" t="s">
        <v>11</v>
      </c>
      <c r="I7298" t="s">
        <v>10</v>
      </c>
    </row>
    <row r="7299" spans="1:9" x14ac:dyDescent="0.25">
      <c r="A7299" t="str">
        <f t="shared" si="177"/>
        <v>89301000</v>
      </c>
      <c r="B7299" t="str">
        <f>"5552171086"</f>
        <v>5552171086</v>
      </c>
      <c r="C7299" s="1">
        <v>45189</v>
      </c>
      <c r="D7299" s="1">
        <v>45191</v>
      </c>
      <c r="E7299">
        <v>1</v>
      </c>
      <c r="F7299" t="str">
        <f>"08-I32-00"</f>
        <v>08-I32-00</v>
      </c>
      <c r="G7299">
        <v>0.4093</v>
      </c>
      <c r="H7299" t="s">
        <v>11</v>
      </c>
      <c r="I7299" t="s">
        <v>10</v>
      </c>
    </row>
    <row r="7300" spans="1:9" x14ac:dyDescent="0.25">
      <c r="A7300" t="str">
        <f t="shared" si="177"/>
        <v>89301000</v>
      </c>
      <c r="B7300" t="str">
        <f>"5552181272"</f>
        <v>5552181272</v>
      </c>
      <c r="C7300" s="1">
        <v>45043</v>
      </c>
      <c r="D7300" s="1">
        <v>45046</v>
      </c>
      <c r="E7300">
        <v>1</v>
      </c>
      <c r="F7300" t="str">
        <f>"08-I04-02"</f>
        <v>08-I04-02</v>
      </c>
      <c r="G7300">
        <v>1.6229</v>
      </c>
      <c r="H7300" t="s">
        <v>14</v>
      </c>
      <c r="I7300" t="s">
        <v>10</v>
      </c>
    </row>
    <row r="7301" spans="1:9" x14ac:dyDescent="0.25">
      <c r="A7301" t="str">
        <f t="shared" si="177"/>
        <v>89301000</v>
      </c>
      <c r="B7301" t="str">
        <f>"5552182086"</f>
        <v>5552182086</v>
      </c>
      <c r="C7301" s="1">
        <v>44960</v>
      </c>
      <c r="D7301" s="1">
        <v>44964</v>
      </c>
      <c r="E7301">
        <v>1</v>
      </c>
      <c r="F7301" t="str">
        <f>"07-K06-01"</f>
        <v>07-K06-01</v>
      </c>
      <c r="G7301">
        <v>1.0947</v>
      </c>
      <c r="H7301" t="s">
        <v>11</v>
      </c>
      <c r="I7301" t="s">
        <v>10</v>
      </c>
    </row>
    <row r="7302" spans="1:9" x14ac:dyDescent="0.25">
      <c r="A7302" t="str">
        <f t="shared" si="177"/>
        <v>89301000</v>
      </c>
      <c r="B7302" t="str">
        <f>"5552211467"</f>
        <v>5552211467</v>
      </c>
      <c r="C7302" s="1">
        <v>45196</v>
      </c>
      <c r="D7302" s="1">
        <v>45200</v>
      </c>
      <c r="E7302">
        <v>1</v>
      </c>
      <c r="F7302" t="str">
        <f>"03-I11-03"</f>
        <v>03-I11-03</v>
      </c>
      <c r="G7302">
        <v>1.1267</v>
      </c>
      <c r="H7302" t="s">
        <v>12</v>
      </c>
      <c r="I7302" t="s">
        <v>10</v>
      </c>
    </row>
    <row r="7303" spans="1:9" x14ac:dyDescent="0.25">
      <c r="A7303" t="str">
        <f t="shared" si="177"/>
        <v>89301000</v>
      </c>
      <c r="B7303" t="str">
        <f>"5552242498"</f>
        <v>5552242498</v>
      </c>
      <c r="C7303" s="1">
        <v>45264</v>
      </c>
      <c r="D7303" s="1">
        <v>45265</v>
      </c>
      <c r="E7303">
        <v>1</v>
      </c>
      <c r="F7303" t="str">
        <f>"04-K09-03"</f>
        <v>04-K09-03</v>
      </c>
      <c r="G7303">
        <v>0.65600000000000003</v>
      </c>
      <c r="H7303" t="s">
        <v>11</v>
      </c>
      <c r="I7303" t="s">
        <v>10</v>
      </c>
    </row>
    <row r="7304" spans="1:9" x14ac:dyDescent="0.25">
      <c r="A7304" t="str">
        <f t="shared" si="177"/>
        <v>89301000</v>
      </c>
      <c r="B7304" t="str">
        <f>"5552272033"</f>
        <v>5552272033</v>
      </c>
      <c r="C7304" s="1">
        <v>45117</v>
      </c>
      <c r="D7304" s="1">
        <v>45120</v>
      </c>
      <c r="E7304">
        <v>1</v>
      </c>
      <c r="F7304" t="str">
        <f>"08-K01-01"</f>
        <v>08-K01-01</v>
      </c>
      <c r="G7304">
        <v>1.4881</v>
      </c>
      <c r="H7304" t="s">
        <v>11</v>
      </c>
      <c r="I7304" t="s">
        <v>10</v>
      </c>
    </row>
    <row r="7305" spans="1:9" x14ac:dyDescent="0.25">
      <c r="A7305" t="str">
        <f t="shared" si="177"/>
        <v>89301000</v>
      </c>
      <c r="B7305" t="str">
        <f>"5553011123"</f>
        <v>5553011123</v>
      </c>
      <c r="C7305" s="1">
        <v>45007</v>
      </c>
      <c r="D7305" s="1">
        <v>45012</v>
      </c>
      <c r="E7305">
        <v>4</v>
      </c>
      <c r="F7305" t="str">
        <f>"07-K04-03"</f>
        <v>07-K04-03</v>
      </c>
      <c r="G7305">
        <v>0.93859999999999999</v>
      </c>
      <c r="H7305" t="s">
        <v>11</v>
      </c>
      <c r="I7305" t="s">
        <v>10</v>
      </c>
    </row>
    <row r="7306" spans="1:9" x14ac:dyDescent="0.25">
      <c r="A7306" t="str">
        <f t="shared" si="177"/>
        <v>89301000</v>
      </c>
      <c r="B7306" t="str">
        <f>"5553050987"</f>
        <v>5553050987</v>
      </c>
      <c r="C7306" s="1">
        <v>45035</v>
      </c>
      <c r="D7306" s="1">
        <v>45036</v>
      </c>
      <c r="E7306">
        <v>1</v>
      </c>
      <c r="F7306" t="str">
        <f>"23-K01-00"</f>
        <v>23-K01-00</v>
      </c>
      <c r="G7306">
        <v>0.1401</v>
      </c>
      <c r="H7306" t="s">
        <v>11</v>
      </c>
      <c r="I7306" t="s">
        <v>10</v>
      </c>
    </row>
    <row r="7307" spans="1:9" x14ac:dyDescent="0.25">
      <c r="A7307" t="str">
        <f t="shared" si="177"/>
        <v>89301000</v>
      </c>
      <c r="B7307" t="str">
        <f>"5553050987"</f>
        <v>5553050987</v>
      </c>
      <c r="C7307" s="1">
        <v>45245</v>
      </c>
      <c r="D7307" s="1">
        <v>45249</v>
      </c>
      <c r="E7307">
        <v>1</v>
      </c>
      <c r="F7307" t="str">
        <f>"03-I18-03"</f>
        <v>03-I18-03</v>
      </c>
      <c r="G7307">
        <v>0.83940000000000003</v>
      </c>
      <c r="H7307" t="s">
        <v>9</v>
      </c>
      <c r="I7307" t="s">
        <v>10</v>
      </c>
    </row>
    <row r="7308" spans="1:9" x14ac:dyDescent="0.25">
      <c r="A7308" t="str">
        <f t="shared" si="177"/>
        <v>89301000</v>
      </c>
      <c r="B7308" t="str">
        <f>"5553050987"</f>
        <v>5553050987</v>
      </c>
      <c r="C7308" s="1">
        <v>45043</v>
      </c>
      <c r="D7308" s="1">
        <v>45048</v>
      </c>
      <c r="E7308">
        <v>1</v>
      </c>
      <c r="F7308" t="str">
        <f>"03-I17-00"</f>
        <v>03-I17-00</v>
      </c>
      <c r="G7308">
        <v>0.83489999999999998</v>
      </c>
      <c r="H7308" t="s">
        <v>9</v>
      </c>
      <c r="I7308" t="s">
        <v>10</v>
      </c>
    </row>
    <row r="7309" spans="1:9" x14ac:dyDescent="0.25">
      <c r="A7309" t="str">
        <f t="shared" si="177"/>
        <v>89301000</v>
      </c>
      <c r="B7309" t="str">
        <f>"5553101719"</f>
        <v>5553101719</v>
      </c>
      <c r="C7309" s="1">
        <v>44957</v>
      </c>
      <c r="D7309" s="1">
        <v>44960</v>
      </c>
      <c r="E7309">
        <v>1</v>
      </c>
      <c r="F7309" t="str">
        <f>"08-I23-02"</f>
        <v>08-I23-02</v>
      </c>
      <c r="G7309">
        <v>0.91059999999999997</v>
      </c>
      <c r="H7309" t="s">
        <v>12</v>
      </c>
      <c r="I7309" t="s">
        <v>10</v>
      </c>
    </row>
    <row r="7310" spans="1:9" x14ac:dyDescent="0.25">
      <c r="A7310" t="str">
        <f t="shared" si="177"/>
        <v>89301000</v>
      </c>
      <c r="B7310" t="str">
        <f>"5553131848"</f>
        <v>5553131848</v>
      </c>
      <c r="C7310" s="1">
        <v>45077</v>
      </c>
      <c r="D7310" s="1">
        <v>45080</v>
      </c>
      <c r="E7310">
        <v>1</v>
      </c>
      <c r="F7310" t="str">
        <f>"05-M05-02"</f>
        <v>05-M05-02</v>
      </c>
      <c r="G7310">
        <v>3.4817999999999998</v>
      </c>
      <c r="H7310" t="s">
        <v>14</v>
      </c>
      <c r="I7310" t="s">
        <v>10</v>
      </c>
    </row>
    <row r="7311" spans="1:9" x14ac:dyDescent="0.25">
      <c r="A7311" t="str">
        <f t="shared" si="177"/>
        <v>89301000</v>
      </c>
      <c r="B7311" t="str">
        <f>"5553151307"</f>
        <v>5553151307</v>
      </c>
      <c r="C7311" s="1">
        <v>45152</v>
      </c>
      <c r="D7311" s="1">
        <v>45154</v>
      </c>
      <c r="E7311">
        <v>1</v>
      </c>
      <c r="F7311" t="str">
        <f>"09-I06-04"</f>
        <v>09-I06-04</v>
      </c>
      <c r="G7311">
        <v>0.95069999999999999</v>
      </c>
      <c r="H7311" t="s">
        <v>12</v>
      </c>
      <c r="I7311" t="s">
        <v>10</v>
      </c>
    </row>
    <row r="7312" spans="1:9" x14ac:dyDescent="0.25">
      <c r="A7312" t="str">
        <f t="shared" si="177"/>
        <v>89301000</v>
      </c>
      <c r="B7312" t="str">
        <f>"5553202303"</f>
        <v>5553202303</v>
      </c>
      <c r="C7312" s="1">
        <v>45162</v>
      </c>
      <c r="D7312" s="1">
        <v>45170</v>
      </c>
      <c r="E7312">
        <v>1</v>
      </c>
      <c r="F7312" t="str">
        <f>"08-K08-00"</f>
        <v>08-K08-00</v>
      </c>
      <c r="G7312">
        <v>0.5272</v>
      </c>
      <c r="H7312" t="s">
        <v>11</v>
      </c>
      <c r="I7312" t="s">
        <v>10</v>
      </c>
    </row>
    <row r="7313" spans="1:9" x14ac:dyDescent="0.25">
      <c r="A7313" t="str">
        <f t="shared" si="177"/>
        <v>89301000</v>
      </c>
      <c r="B7313" t="str">
        <f>"5553222180"</f>
        <v>5553222180</v>
      </c>
      <c r="C7313" s="1">
        <v>45138</v>
      </c>
      <c r="D7313" s="1">
        <v>45144</v>
      </c>
      <c r="E7313">
        <v>1</v>
      </c>
      <c r="F7313" t="str">
        <f>"11-I08-03"</f>
        <v>11-I08-03</v>
      </c>
      <c r="G7313">
        <v>2.0529999999999999</v>
      </c>
      <c r="H7313" t="s">
        <v>9</v>
      </c>
      <c r="I7313" t="s">
        <v>10</v>
      </c>
    </row>
    <row r="7314" spans="1:9" x14ac:dyDescent="0.25">
      <c r="A7314" t="str">
        <f t="shared" si="177"/>
        <v>89301000</v>
      </c>
      <c r="B7314" t="str">
        <f>"5553222213"</f>
        <v>5553222213</v>
      </c>
      <c r="C7314" s="1">
        <v>45224</v>
      </c>
      <c r="D7314" s="1">
        <v>45224</v>
      </c>
      <c r="E7314">
        <v>1</v>
      </c>
      <c r="F7314" t="str">
        <f>"05-M06-08"</f>
        <v>05-M06-08</v>
      </c>
      <c r="G7314">
        <v>1.1012</v>
      </c>
      <c r="H7314" t="s">
        <v>12</v>
      </c>
      <c r="I7314" t="s">
        <v>10</v>
      </c>
    </row>
    <row r="7315" spans="1:9" x14ac:dyDescent="0.25">
      <c r="A7315" t="str">
        <f t="shared" si="177"/>
        <v>89301000</v>
      </c>
      <c r="B7315" t="str">
        <f>"5553222213"</f>
        <v>5553222213</v>
      </c>
      <c r="C7315" s="1">
        <v>45238</v>
      </c>
      <c r="D7315" s="1">
        <v>45244</v>
      </c>
      <c r="E7315">
        <v>1</v>
      </c>
      <c r="F7315" t="str">
        <f>"05-M01-03"</f>
        <v>05-M01-03</v>
      </c>
      <c r="G7315">
        <v>11.4411</v>
      </c>
      <c r="H7315" t="s">
        <v>12</v>
      </c>
      <c r="I7315" t="s">
        <v>10</v>
      </c>
    </row>
    <row r="7316" spans="1:9" x14ac:dyDescent="0.25">
      <c r="A7316" t="str">
        <f t="shared" si="177"/>
        <v>89301000</v>
      </c>
      <c r="B7316" t="str">
        <f>"5553241881"</f>
        <v>5553241881</v>
      </c>
      <c r="C7316" s="1">
        <v>45265</v>
      </c>
      <c r="D7316" s="1">
        <v>45269</v>
      </c>
      <c r="E7316">
        <v>1</v>
      </c>
      <c r="F7316" t="str">
        <f>"05-I30-01"</f>
        <v>05-I30-01</v>
      </c>
      <c r="G7316">
        <v>0.72370000000000001</v>
      </c>
      <c r="H7316" t="s">
        <v>12</v>
      </c>
      <c r="I7316" t="s">
        <v>10</v>
      </c>
    </row>
    <row r="7317" spans="1:9" x14ac:dyDescent="0.25">
      <c r="A7317" t="str">
        <f t="shared" si="177"/>
        <v>89301000</v>
      </c>
      <c r="B7317" t="str">
        <f>"5553251803"</f>
        <v>5553251803</v>
      </c>
      <c r="C7317" s="1">
        <v>44908</v>
      </c>
      <c r="D7317" s="1">
        <v>44932</v>
      </c>
      <c r="E7317">
        <v>1</v>
      </c>
      <c r="F7317" t="str">
        <f>"04-I08-03"</f>
        <v>04-I08-03</v>
      </c>
      <c r="G7317">
        <v>1.8211999999999999</v>
      </c>
      <c r="H7317" t="s">
        <v>11</v>
      </c>
      <c r="I7317" t="s">
        <v>10</v>
      </c>
    </row>
    <row r="7318" spans="1:9" x14ac:dyDescent="0.25">
      <c r="A7318" t="str">
        <f t="shared" si="177"/>
        <v>89301000</v>
      </c>
      <c r="B7318" t="str">
        <f>"5553251803"</f>
        <v>5553251803</v>
      </c>
      <c r="C7318" s="1">
        <v>44986</v>
      </c>
      <c r="D7318" s="1">
        <v>44987</v>
      </c>
      <c r="E7318">
        <v>1</v>
      </c>
      <c r="F7318" t="str">
        <f>"07-M02-04"</f>
        <v>07-M02-04</v>
      </c>
      <c r="G7318">
        <v>0.77339999999999998</v>
      </c>
      <c r="H7318" t="s">
        <v>12</v>
      </c>
      <c r="I7318" t="s">
        <v>10</v>
      </c>
    </row>
    <row r="7319" spans="1:9" x14ac:dyDescent="0.25">
      <c r="A7319" t="str">
        <f t="shared" si="177"/>
        <v>89301000</v>
      </c>
      <c r="B7319" t="str">
        <f>"5553251803"</f>
        <v>5553251803</v>
      </c>
      <c r="C7319" s="1">
        <v>44965</v>
      </c>
      <c r="D7319" s="1">
        <v>44969</v>
      </c>
      <c r="E7319">
        <v>1</v>
      </c>
      <c r="F7319" t="str">
        <f>"07-I10-06"</f>
        <v>07-I10-06</v>
      </c>
      <c r="G7319">
        <v>0.98419999999999996</v>
      </c>
      <c r="H7319" t="s">
        <v>12</v>
      </c>
      <c r="I7319" t="s">
        <v>10</v>
      </c>
    </row>
    <row r="7320" spans="1:9" x14ac:dyDescent="0.25">
      <c r="A7320" t="str">
        <f t="shared" si="177"/>
        <v>89301000</v>
      </c>
      <c r="B7320" t="str">
        <f>"5553310598"</f>
        <v>5553310598</v>
      </c>
      <c r="C7320" s="1">
        <v>45215</v>
      </c>
      <c r="D7320" s="1">
        <v>45225</v>
      </c>
      <c r="E7320">
        <v>1</v>
      </c>
      <c r="F7320" t="str">
        <f>"05-M01-03"</f>
        <v>05-M01-03</v>
      </c>
      <c r="G7320">
        <v>11.4411</v>
      </c>
      <c r="H7320" t="s">
        <v>12</v>
      </c>
      <c r="I7320" t="s">
        <v>10</v>
      </c>
    </row>
    <row r="7321" spans="1:9" x14ac:dyDescent="0.25">
      <c r="A7321" t="str">
        <f t="shared" si="177"/>
        <v>89301000</v>
      </c>
      <c r="B7321" t="str">
        <f>"5553310598"</f>
        <v>5553310598</v>
      </c>
      <c r="C7321" s="1">
        <v>45054</v>
      </c>
      <c r="D7321" s="1">
        <v>45055</v>
      </c>
      <c r="E7321">
        <v>1</v>
      </c>
      <c r="F7321" t="str">
        <f>"05-K09-02"</f>
        <v>05-K09-02</v>
      </c>
      <c r="G7321">
        <v>0.58840000000000003</v>
      </c>
      <c r="H7321" t="s">
        <v>11</v>
      </c>
      <c r="I7321" t="s">
        <v>10</v>
      </c>
    </row>
    <row r="7322" spans="1:9" x14ac:dyDescent="0.25">
      <c r="A7322" t="str">
        <f t="shared" si="177"/>
        <v>89301000</v>
      </c>
      <c r="B7322" t="str">
        <f>"5553310598"</f>
        <v>5553310598</v>
      </c>
      <c r="C7322" s="1">
        <v>45001</v>
      </c>
      <c r="D7322" s="1">
        <v>45042</v>
      </c>
      <c r="E7322">
        <v>1</v>
      </c>
      <c r="F7322" t="str">
        <f>"05-I23-02"</f>
        <v>05-I23-02</v>
      </c>
      <c r="G7322">
        <v>3.5924999999999998</v>
      </c>
      <c r="H7322" t="s">
        <v>11</v>
      </c>
      <c r="I7322" t="s">
        <v>10</v>
      </c>
    </row>
    <row r="7323" spans="1:9" x14ac:dyDescent="0.25">
      <c r="A7323" t="str">
        <f t="shared" si="177"/>
        <v>89301000</v>
      </c>
      <c r="B7323" t="str">
        <f>"5553310598"</f>
        <v>5553310598</v>
      </c>
      <c r="C7323" s="1">
        <v>44976</v>
      </c>
      <c r="D7323" s="1">
        <v>44979</v>
      </c>
      <c r="E7323">
        <v>1</v>
      </c>
      <c r="F7323" t="str">
        <f>"05-M07-06"</f>
        <v>05-M07-06</v>
      </c>
      <c r="G7323">
        <v>1.2264999999999999</v>
      </c>
      <c r="H7323" t="s">
        <v>12</v>
      </c>
      <c r="I7323" t="s">
        <v>10</v>
      </c>
    </row>
    <row r="7324" spans="1:9" x14ac:dyDescent="0.25">
      <c r="A7324" t="str">
        <f t="shared" si="177"/>
        <v>89301000</v>
      </c>
      <c r="B7324" t="str">
        <f>"5553310598"</f>
        <v>5553310598</v>
      </c>
      <c r="C7324" s="1">
        <v>44956</v>
      </c>
      <c r="D7324" s="1">
        <v>44959</v>
      </c>
      <c r="E7324">
        <v>1</v>
      </c>
      <c r="F7324" t="str">
        <f>"05-M07-04"</f>
        <v>05-M07-04</v>
      </c>
      <c r="G7324">
        <v>1.7763</v>
      </c>
      <c r="H7324" t="s">
        <v>12</v>
      </c>
      <c r="I7324" t="s">
        <v>10</v>
      </c>
    </row>
    <row r="7325" spans="1:9" x14ac:dyDescent="0.25">
      <c r="A7325" t="str">
        <f t="shared" si="177"/>
        <v>89301000</v>
      </c>
      <c r="B7325" t="str">
        <f>"5553310653"</f>
        <v>5553310653</v>
      </c>
      <c r="C7325" s="1">
        <v>44969</v>
      </c>
      <c r="D7325" s="1">
        <v>44971</v>
      </c>
      <c r="E7325">
        <v>1</v>
      </c>
      <c r="F7325" t="str">
        <f>"08-M03-02"</f>
        <v>08-M03-02</v>
      </c>
      <c r="G7325">
        <v>0.91359999999999997</v>
      </c>
      <c r="H7325" t="s">
        <v>11</v>
      </c>
      <c r="I7325" t="s">
        <v>10</v>
      </c>
    </row>
    <row r="7326" spans="1:9" x14ac:dyDescent="0.25">
      <c r="A7326" t="str">
        <f t="shared" si="177"/>
        <v>89301000</v>
      </c>
      <c r="B7326" t="str">
        <f>"5554010473"</f>
        <v>5554010473</v>
      </c>
      <c r="C7326" s="1">
        <v>45174</v>
      </c>
      <c r="D7326" s="1">
        <v>45182</v>
      </c>
      <c r="E7326">
        <v>1</v>
      </c>
      <c r="F7326" t="str">
        <f>"05-I16-07"</f>
        <v>05-I16-07</v>
      </c>
      <c r="G7326">
        <v>4.2047999999999996</v>
      </c>
      <c r="H7326" t="s">
        <v>14</v>
      </c>
      <c r="I7326" t="s">
        <v>10</v>
      </c>
    </row>
    <row r="7327" spans="1:9" x14ac:dyDescent="0.25">
      <c r="A7327" t="str">
        <f t="shared" si="177"/>
        <v>89301000</v>
      </c>
      <c r="B7327" t="str">
        <f>"5554041933"</f>
        <v>5554041933</v>
      </c>
      <c r="C7327" s="1">
        <v>44958</v>
      </c>
      <c r="D7327" s="1">
        <v>44963</v>
      </c>
      <c r="E7327">
        <v>1</v>
      </c>
      <c r="F7327" t="str">
        <f>"23-K05-01"</f>
        <v>23-K05-01</v>
      </c>
      <c r="G7327">
        <v>0.56269999999999998</v>
      </c>
      <c r="H7327" t="s">
        <v>11</v>
      </c>
      <c r="I7327" t="s">
        <v>10</v>
      </c>
    </row>
    <row r="7328" spans="1:9" x14ac:dyDescent="0.25">
      <c r="A7328" t="str">
        <f t="shared" si="177"/>
        <v>89301000</v>
      </c>
      <c r="B7328" t="str">
        <f>"5554071358"</f>
        <v>5554071358</v>
      </c>
      <c r="C7328" s="1">
        <v>45064</v>
      </c>
      <c r="D7328" s="1">
        <v>45068</v>
      </c>
      <c r="E7328">
        <v>1</v>
      </c>
      <c r="F7328" t="str">
        <f>"13-I11-03"</f>
        <v>13-I11-03</v>
      </c>
      <c r="G7328">
        <v>1.4332</v>
      </c>
      <c r="H7328" t="s">
        <v>9</v>
      </c>
      <c r="I7328" t="s">
        <v>10</v>
      </c>
    </row>
    <row r="7329" spans="1:9" x14ac:dyDescent="0.25">
      <c r="A7329" t="str">
        <f t="shared" si="177"/>
        <v>89301000</v>
      </c>
      <c r="B7329" t="str">
        <f>"5554071358"</f>
        <v>5554071358</v>
      </c>
      <c r="C7329" s="1">
        <v>45208</v>
      </c>
      <c r="D7329" s="1">
        <v>45211</v>
      </c>
      <c r="E7329">
        <v>1</v>
      </c>
      <c r="F7329" t="str">
        <f>"13-I13-02"</f>
        <v>13-I13-02</v>
      </c>
      <c r="G7329">
        <v>0.94840000000000002</v>
      </c>
      <c r="H7329" t="s">
        <v>12</v>
      </c>
      <c r="I7329" t="s">
        <v>10</v>
      </c>
    </row>
    <row r="7330" spans="1:9" x14ac:dyDescent="0.25">
      <c r="A7330" t="str">
        <f t="shared" si="177"/>
        <v>89301000</v>
      </c>
      <c r="B7330" t="str">
        <f>"5554112388"</f>
        <v>5554112388</v>
      </c>
      <c r="C7330" s="1">
        <v>45257</v>
      </c>
      <c r="D7330" s="1">
        <v>45265</v>
      </c>
      <c r="E7330">
        <v>1</v>
      </c>
      <c r="F7330" t="str">
        <f>"04-I04-00"</f>
        <v>04-I04-00</v>
      </c>
      <c r="G7330">
        <v>3.5952000000000002</v>
      </c>
      <c r="H7330" t="s">
        <v>12</v>
      </c>
      <c r="I7330" t="s">
        <v>10</v>
      </c>
    </row>
    <row r="7331" spans="1:9" x14ac:dyDescent="0.25">
      <c r="A7331" t="str">
        <f t="shared" si="177"/>
        <v>89301000</v>
      </c>
      <c r="B7331" t="str">
        <f>"5554112388"</f>
        <v>5554112388</v>
      </c>
      <c r="C7331" s="1">
        <v>45222</v>
      </c>
      <c r="D7331" s="1">
        <v>45224</v>
      </c>
      <c r="E7331">
        <v>1</v>
      </c>
      <c r="F7331" t="str">
        <f>"08-I17-02"</f>
        <v>08-I17-02</v>
      </c>
      <c r="G7331">
        <v>0.89680000000000004</v>
      </c>
      <c r="H7331" t="s">
        <v>11</v>
      </c>
      <c r="I7331" t="s">
        <v>10</v>
      </c>
    </row>
    <row r="7332" spans="1:9" x14ac:dyDescent="0.25">
      <c r="A7332" t="str">
        <f t="shared" si="177"/>
        <v>89301000</v>
      </c>
      <c r="B7332" t="str">
        <f>"5554172239"</f>
        <v>5554172239</v>
      </c>
      <c r="C7332" s="1">
        <v>44924</v>
      </c>
      <c r="D7332" s="1">
        <v>44929</v>
      </c>
      <c r="E7332">
        <v>1</v>
      </c>
      <c r="F7332" t="str">
        <f>"04-K09-02"</f>
        <v>04-K09-02</v>
      </c>
      <c r="G7332">
        <v>1.155</v>
      </c>
      <c r="H7332" t="s">
        <v>11</v>
      </c>
      <c r="I7332" t="s">
        <v>10</v>
      </c>
    </row>
    <row r="7333" spans="1:9" x14ac:dyDescent="0.25">
      <c r="A7333" t="str">
        <f t="shared" si="177"/>
        <v>89301000</v>
      </c>
      <c r="B7333" t="str">
        <f>"5554262362"</f>
        <v>5554262362</v>
      </c>
      <c r="C7333" s="1">
        <v>45251</v>
      </c>
      <c r="D7333" s="1">
        <v>45257</v>
      </c>
      <c r="E7333">
        <v>5</v>
      </c>
      <c r="F7333" t="str">
        <f>"08-I05-04"</f>
        <v>08-I05-04</v>
      </c>
      <c r="G7333">
        <v>3.2038000000000002</v>
      </c>
      <c r="H7333" t="s">
        <v>12</v>
      </c>
      <c r="I7333" t="s">
        <v>10</v>
      </c>
    </row>
    <row r="7334" spans="1:9" x14ac:dyDescent="0.25">
      <c r="A7334" t="str">
        <f t="shared" si="177"/>
        <v>89301000</v>
      </c>
      <c r="B7334" t="str">
        <f>"5554277553"</f>
        <v>5554277553</v>
      </c>
      <c r="C7334" s="1">
        <v>45047</v>
      </c>
      <c r="D7334" s="1">
        <v>45049</v>
      </c>
      <c r="E7334">
        <v>1</v>
      </c>
      <c r="F7334" t="str">
        <f>"05-I14-03"</f>
        <v>05-I14-03</v>
      </c>
      <c r="G7334">
        <v>6.0362</v>
      </c>
      <c r="H7334" t="s">
        <v>12</v>
      </c>
      <c r="I7334" t="s">
        <v>10</v>
      </c>
    </row>
    <row r="7335" spans="1:9" x14ac:dyDescent="0.25">
      <c r="A7335" t="str">
        <f t="shared" si="177"/>
        <v>89301000</v>
      </c>
      <c r="B7335" t="str">
        <f>"5554292711"</f>
        <v>5554292711</v>
      </c>
      <c r="C7335" s="1">
        <v>45030</v>
      </c>
      <c r="D7335" s="1">
        <v>45036</v>
      </c>
      <c r="E7335">
        <v>1</v>
      </c>
      <c r="F7335" t="str">
        <f>"06-K04-03"</f>
        <v>06-K04-03</v>
      </c>
      <c r="G7335">
        <v>0.38019999999999998</v>
      </c>
      <c r="H7335" t="s">
        <v>11</v>
      </c>
      <c r="I7335" t="s">
        <v>10</v>
      </c>
    </row>
    <row r="7336" spans="1:9" x14ac:dyDescent="0.25">
      <c r="A7336" t="str">
        <f t="shared" si="177"/>
        <v>89301000</v>
      </c>
      <c r="B7336" t="str">
        <f>"5554292711"</f>
        <v>5554292711</v>
      </c>
      <c r="C7336" s="1">
        <v>45180</v>
      </c>
      <c r="D7336" s="1">
        <v>45216</v>
      </c>
      <c r="E7336">
        <v>1</v>
      </c>
      <c r="F7336" t="str">
        <f>"21-K05-01"</f>
        <v>21-K05-01</v>
      </c>
      <c r="G7336">
        <v>4.375</v>
      </c>
      <c r="H7336" t="s">
        <v>11</v>
      </c>
      <c r="I7336" t="s">
        <v>10</v>
      </c>
    </row>
    <row r="7337" spans="1:9" x14ac:dyDescent="0.25">
      <c r="A7337" t="str">
        <f t="shared" si="177"/>
        <v>89301000</v>
      </c>
      <c r="B7337" t="str">
        <f>"5554292711"</f>
        <v>5554292711</v>
      </c>
      <c r="C7337" s="1">
        <v>45220</v>
      </c>
      <c r="D7337" s="1">
        <v>45238</v>
      </c>
      <c r="E7337">
        <v>4</v>
      </c>
      <c r="F7337" t="str">
        <f>"25-I02-02"</f>
        <v>25-I02-02</v>
      </c>
      <c r="G7337">
        <v>6.6448999999999998</v>
      </c>
      <c r="H7337" t="s">
        <v>14</v>
      </c>
      <c r="I7337" t="s">
        <v>10</v>
      </c>
    </row>
    <row r="7338" spans="1:9" x14ac:dyDescent="0.25">
      <c r="A7338" t="str">
        <f t="shared" si="177"/>
        <v>89301000</v>
      </c>
      <c r="B7338" t="str">
        <f>"5555020603"</f>
        <v>5555020603</v>
      </c>
      <c r="C7338" s="1">
        <v>45155</v>
      </c>
      <c r="D7338" s="1">
        <v>45156</v>
      </c>
      <c r="E7338">
        <v>1</v>
      </c>
      <c r="F7338" t="str">
        <f>"01-K07-03"</f>
        <v>01-K07-03</v>
      </c>
      <c r="G7338">
        <v>0.48680000000000001</v>
      </c>
      <c r="H7338" t="s">
        <v>11</v>
      </c>
      <c r="I7338" t="s">
        <v>10</v>
      </c>
    </row>
    <row r="7339" spans="1:9" x14ac:dyDescent="0.25">
      <c r="A7339" t="str">
        <f t="shared" si="177"/>
        <v>89301000</v>
      </c>
      <c r="B7339" t="str">
        <f>"5555021659"</f>
        <v>5555021659</v>
      </c>
      <c r="C7339" s="1">
        <v>45193</v>
      </c>
      <c r="D7339" s="1">
        <v>45201</v>
      </c>
      <c r="E7339">
        <v>1</v>
      </c>
      <c r="F7339" t="str">
        <f>"11-I11-02"</f>
        <v>11-I11-02</v>
      </c>
      <c r="G7339">
        <v>1.3805000000000001</v>
      </c>
      <c r="H7339" t="s">
        <v>11</v>
      </c>
      <c r="I7339" t="s">
        <v>10</v>
      </c>
    </row>
    <row r="7340" spans="1:9" x14ac:dyDescent="0.25">
      <c r="A7340" t="str">
        <f t="shared" si="177"/>
        <v>89301000</v>
      </c>
      <c r="B7340" t="str">
        <f>"5555021659"</f>
        <v>5555021659</v>
      </c>
      <c r="C7340" s="1">
        <v>45261</v>
      </c>
      <c r="D7340" s="1">
        <v>45262</v>
      </c>
      <c r="E7340">
        <v>1</v>
      </c>
      <c r="F7340" t="str">
        <f>"11-K08-01"</f>
        <v>11-K08-01</v>
      </c>
      <c r="G7340">
        <v>0.79659999999999997</v>
      </c>
      <c r="H7340" t="s">
        <v>11</v>
      </c>
      <c r="I7340" t="s">
        <v>10</v>
      </c>
    </row>
    <row r="7341" spans="1:9" x14ac:dyDescent="0.25">
      <c r="A7341" t="str">
        <f t="shared" si="177"/>
        <v>89301000</v>
      </c>
      <c r="B7341" t="str">
        <f>"5555021659"</f>
        <v>5555021659</v>
      </c>
      <c r="C7341" s="1">
        <v>45103</v>
      </c>
      <c r="D7341" s="1">
        <v>45121</v>
      </c>
      <c r="E7341">
        <v>1</v>
      </c>
      <c r="F7341" t="str">
        <f>"11-M06-03"</f>
        <v>11-M06-03</v>
      </c>
      <c r="G7341">
        <v>1.5385</v>
      </c>
      <c r="H7341" t="s">
        <v>12</v>
      </c>
      <c r="I7341" t="s">
        <v>10</v>
      </c>
    </row>
    <row r="7342" spans="1:9" x14ac:dyDescent="0.25">
      <c r="A7342" t="str">
        <f t="shared" si="177"/>
        <v>89301000</v>
      </c>
      <c r="B7342" t="str">
        <f>"5555051601"</f>
        <v>5555051601</v>
      </c>
      <c r="C7342" s="1">
        <v>45084</v>
      </c>
      <c r="D7342" s="1">
        <v>45091</v>
      </c>
      <c r="E7342">
        <v>5</v>
      </c>
      <c r="F7342" t="str">
        <f>"08-I03-06"</f>
        <v>08-I03-06</v>
      </c>
      <c r="G7342">
        <v>2.9184999999999999</v>
      </c>
      <c r="H7342" t="s">
        <v>9</v>
      </c>
      <c r="I7342" t="s">
        <v>10</v>
      </c>
    </row>
    <row r="7343" spans="1:9" x14ac:dyDescent="0.25">
      <c r="A7343" t="str">
        <f t="shared" si="177"/>
        <v>89301000</v>
      </c>
      <c r="B7343" t="str">
        <f>"5555101398"</f>
        <v>5555101398</v>
      </c>
      <c r="C7343" s="1">
        <v>45215</v>
      </c>
      <c r="D7343" s="1">
        <v>45217</v>
      </c>
      <c r="E7343">
        <v>1</v>
      </c>
      <c r="F7343" t="str">
        <f>"08-K08-00"</f>
        <v>08-K08-00</v>
      </c>
      <c r="G7343">
        <v>0.5272</v>
      </c>
      <c r="H7343" t="s">
        <v>11</v>
      </c>
      <c r="I7343" t="s">
        <v>10</v>
      </c>
    </row>
    <row r="7344" spans="1:9" x14ac:dyDescent="0.25">
      <c r="A7344" t="str">
        <f t="shared" si="177"/>
        <v>89301000</v>
      </c>
      <c r="B7344" t="str">
        <f>"5555101398"</f>
        <v>5555101398</v>
      </c>
      <c r="C7344" s="1">
        <v>45069</v>
      </c>
      <c r="D7344" s="1">
        <v>45072</v>
      </c>
      <c r="E7344">
        <v>1</v>
      </c>
      <c r="F7344" t="str">
        <f>"08-K08-00"</f>
        <v>08-K08-00</v>
      </c>
      <c r="G7344">
        <v>0.5272</v>
      </c>
      <c r="H7344" t="s">
        <v>11</v>
      </c>
      <c r="I7344" t="s">
        <v>10</v>
      </c>
    </row>
    <row r="7345" spans="1:9" x14ac:dyDescent="0.25">
      <c r="A7345" t="str">
        <f t="shared" si="177"/>
        <v>89301000</v>
      </c>
      <c r="B7345" t="str">
        <f>"5555101398"</f>
        <v>5555101398</v>
      </c>
      <c r="C7345" s="1">
        <v>45127</v>
      </c>
      <c r="D7345" s="1">
        <v>45140</v>
      </c>
      <c r="E7345">
        <v>1</v>
      </c>
      <c r="F7345" t="str">
        <f>"08-K08-00"</f>
        <v>08-K08-00</v>
      </c>
      <c r="G7345">
        <v>0.63260000000000005</v>
      </c>
      <c r="H7345" t="s">
        <v>11</v>
      </c>
      <c r="I7345" t="s">
        <v>10</v>
      </c>
    </row>
    <row r="7346" spans="1:9" x14ac:dyDescent="0.25">
      <c r="A7346" t="str">
        <f t="shared" si="177"/>
        <v>89301000</v>
      </c>
      <c r="B7346" t="str">
        <f>"5555132462"</f>
        <v>5555132462</v>
      </c>
      <c r="C7346" s="1">
        <v>44964</v>
      </c>
      <c r="D7346" s="1">
        <v>44966</v>
      </c>
      <c r="E7346">
        <v>1</v>
      </c>
      <c r="F7346" t="str">
        <f>"08-K08-00"</f>
        <v>08-K08-00</v>
      </c>
      <c r="G7346">
        <v>0.5272</v>
      </c>
      <c r="H7346" t="s">
        <v>11</v>
      </c>
      <c r="I7346" t="s">
        <v>10</v>
      </c>
    </row>
    <row r="7347" spans="1:9" x14ac:dyDescent="0.25">
      <c r="A7347" t="str">
        <f t="shared" si="177"/>
        <v>89301000</v>
      </c>
      <c r="B7347" t="str">
        <f>"5555170379"</f>
        <v>5555170379</v>
      </c>
      <c r="C7347" s="1">
        <v>45060</v>
      </c>
      <c r="D7347" s="1">
        <v>45063</v>
      </c>
      <c r="E7347">
        <v>1</v>
      </c>
      <c r="F7347" t="str">
        <f>"01-K14-00"</f>
        <v>01-K14-00</v>
      </c>
      <c r="G7347">
        <v>1.3366</v>
      </c>
      <c r="H7347" t="s">
        <v>11</v>
      </c>
      <c r="I7347" t="s">
        <v>10</v>
      </c>
    </row>
    <row r="7348" spans="1:9" x14ac:dyDescent="0.25">
      <c r="A7348" t="str">
        <f t="shared" si="177"/>
        <v>89301000</v>
      </c>
      <c r="B7348" t="str">
        <f>"5555211860"</f>
        <v>5555211860</v>
      </c>
      <c r="C7348" s="1">
        <v>45264</v>
      </c>
      <c r="D7348" s="1">
        <v>45265</v>
      </c>
      <c r="E7348">
        <v>1</v>
      </c>
      <c r="F7348" t="str">
        <f>"04-K09-03"</f>
        <v>04-K09-03</v>
      </c>
      <c r="G7348">
        <v>0.629</v>
      </c>
      <c r="H7348" t="s">
        <v>11</v>
      </c>
      <c r="I7348" t="s">
        <v>10</v>
      </c>
    </row>
    <row r="7349" spans="1:9" x14ac:dyDescent="0.25">
      <c r="A7349" t="str">
        <f t="shared" si="177"/>
        <v>89301000</v>
      </c>
      <c r="B7349" t="str">
        <f>"5555251757"</f>
        <v>5555251757</v>
      </c>
      <c r="C7349" s="1">
        <v>45174</v>
      </c>
      <c r="D7349" s="1">
        <v>45175</v>
      </c>
      <c r="E7349">
        <v>1</v>
      </c>
      <c r="F7349" t="str">
        <f>"02-I06-03"</f>
        <v>02-I06-03</v>
      </c>
      <c r="G7349">
        <v>0.99260000000000004</v>
      </c>
      <c r="H7349" t="s">
        <v>12</v>
      </c>
      <c r="I7349" t="s">
        <v>10</v>
      </c>
    </row>
    <row r="7350" spans="1:9" x14ac:dyDescent="0.25">
      <c r="A7350" t="str">
        <f t="shared" si="177"/>
        <v>89301000</v>
      </c>
      <c r="B7350" t="str">
        <f>"5556051534"</f>
        <v>5556051534</v>
      </c>
      <c r="C7350" s="1">
        <v>45152</v>
      </c>
      <c r="D7350" s="1">
        <v>45157</v>
      </c>
      <c r="E7350">
        <v>1</v>
      </c>
      <c r="F7350" t="str">
        <f>"08-I03-04"</f>
        <v>08-I03-04</v>
      </c>
      <c r="G7350">
        <v>4.0967000000000002</v>
      </c>
      <c r="H7350" t="s">
        <v>9</v>
      </c>
      <c r="I7350" t="s">
        <v>10</v>
      </c>
    </row>
    <row r="7351" spans="1:9" x14ac:dyDescent="0.25">
      <c r="A7351" t="str">
        <f t="shared" si="177"/>
        <v>89301000</v>
      </c>
      <c r="B7351" t="str">
        <f>"5556062358"</f>
        <v>5556062358</v>
      </c>
      <c r="C7351" s="1">
        <v>45005</v>
      </c>
      <c r="D7351" s="1">
        <v>45008</v>
      </c>
      <c r="E7351">
        <v>1</v>
      </c>
      <c r="F7351" t="str">
        <f>"06-I16-03"</f>
        <v>06-I16-03</v>
      </c>
      <c r="G7351">
        <v>0.86539999999999995</v>
      </c>
      <c r="H7351" t="s">
        <v>9</v>
      </c>
      <c r="I7351" t="s">
        <v>10</v>
      </c>
    </row>
    <row r="7352" spans="1:9" x14ac:dyDescent="0.25">
      <c r="A7352" t="str">
        <f t="shared" si="177"/>
        <v>89301000</v>
      </c>
      <c r="B7352" t="str">
        <f>"5556082818"</f>
        <v>5556082818</v>
      </c>
      <c r="C7352" s="1">
        <v>45020</v>
      </c>
      <c r="D7352" s="1">
        <v>45022</v>
      </c>
      <c r="E7352">
        <v>1</v>
      </c>
      <c r="F7352" t="str">
        <f>"05-M06-06"</f>
        <v>05-M06-06</v>
      </c>
      <c r="G7352">
        <v>1.8264</v>
      </c>
      <c r="H7352" t="s">
        <v>12</v>
      </c>
      <c r="I7352" t="s">
        <v>10</v>
      </c>
    </row>
    <row r="7353" spans="1:9" x14ac:dyDescent="0.25">
      <c r="A7353" t="str">
        <f t="shared" si="177"/>
        <v>89301000</v>
      </c>
      <c r="B7353" t="str">
        <f>"5556082818"</f>
        <v>5556082818</v>
      </c>
      <c r="C7353" s="1">
        <v>45105</v>
      </c>
      <c r="D7353" s="1">
        <v>45107</v>
      </c>
      <c r="E7353">
        <v>1</v>
      </c>
      <c r="F7353" t="str">
        <f>"05-I14-04"</f>
        <v>05-I14-04</v>
      </c>
      <c r="G7353">
        <v>5.2220000000000004</v>
      </c>
      <c r="H7353" t="s">
        <v>12</v>
      </c>
      <c r="I7353" t="s">
        <v>10</v>
      </c>
    </row>
    <row r="7354" spans="1:9" x14ac:dyDescent="0.25">
      <c r="A7354" t="str">
        <f t="shared" si="177"/>
        <v>89301000</v>
      </c>
      <c r="B7354" t="str">
        <f>"5556102222"</f>
        <v>5556102222</v>
      </c>
      <c r="C7354" s="1">
        <v>45068</v>
      </c>
      <c r="D7354" s="1">
        <v>45069</v>
      </c>
      <c r="E7354">
        <v>1</v>
      </c>
      <c r="F7354" t="str">
        <f>"03-K03-02"</f>
        <v>03-K03-02</v>
      </c>
      <c r="G7354">
        <v>0.51060000000000005</v>
      </c>
      <c r="H7354" t="s">
        <v>11</v>
      </c>
      <c r="I7354" t="s">
        <v>10</v>
      </c>
    </row>
    <row r="7355" spans="1:9" x14ac:dyDescent="0.25">
      <c r="A7355" t="str">
        <f t="shared" si="177"/>
        <v>89301000</v>
      </c>
      <c r="B7355" t="str">
        <f>"5556141657"</f>
        <v>5556141657</v>
      </c>
      <c r="C7355" s="1">
        <v>45166</v>
      </c>
      <c r="D7355" s="1">
        <v>45167</v>
      </c>
      <c r="E7355">
        <v>1</v>
      </c>
      <c r="F7355" t="str">
        <f>"04-M02-03"</f>
        <v>04-M02-03</v>
      </c>
      <c r="G7355">
        <v>0.99350000000000005</v>
      </c>
      <c r="H7355" t="s">
        <v>11</v>
      </c>
      <c r="I7355" t="s">
        <v>10</v>
      </c>
    </row>
    <row r="7356" spans="1:9" x14ac:dyDescent="0.25">
      <c r="A7356" t="str">
        <f t="shared" si="177"/>
        <v>89301000</v>
      </c>
      <c r="B7356" t="str">
        <f>"5556230878"</f>
        <v>5556230878</v>
      </c>
      <c r="C7356" s="1">
        <v>45250</v>
      </c>
      <c r="D7356" s="1">
        <v>45252</v>
      </c>
      <c r="E7356">
        <v>1</v>
      </c>
      <c r="F7356" t="str">
        <f>"05-I21-02"</f>
        <v>05-I21-02</v>
      </c>
      <c r="G7356">
        <v>2.9087999999999998</v>
      </c>
      <c r="H7356" t="s">
        <v>12</v>
      </c>
      <c r="I7356" t="s">
        <v>10</v>
      </c>
    </row>
    <row r="7357" spans="1:9" x14ac:dyDescent="0.25">
      <c r="A7357" t="str">
        <f t="shared" si="177"/>
        <v>89301000</v>
      </c>
      <c r="B7357" t="str">
        <f>"5557090825"</f>
        <v>5557090825</v>
      </c>
      <c r="C7357" s="1">
        <v>45203</v>
      </c>
      <c r="D7357" s="1">
        <v>45205</v>
      </c>
      <c r="E7357">
        <v>1</v>
      </c>
      <c r="F7357" t="str">
        <f>"23-K04-02"</f>
        <v>23-K04-02</v>
      </c>
      <c r="G7357">
        <v>0.38150000000000001</v>
      </c>
      <c r="H7357" t="s">
        <v>11</v>
      </c>
      <c r="I7357" t="s">
        <v>10</v>
      </c>
    </row>
    <row r="7358" spans="1:9" x14ac:dyDescent="0.25">
      <c r="A7358" t="str">
        <f t="shared" si="177"/>
        <v>89301000</v>
      </c>
      <c r="B7358" t="str">
        <f>"5557090858"</f>
        <v>5557090858</v>
      </c>
      <c r="C7358" s="1">
        <v>45027</v>
      </c>
      <c r="D7358" s="1">
        <v>45029</v>
      </c>
      <c r="E7358">
        <v>1</v>
      </c>
      <c r="F7358" t="str">
        <f>"05-M05-02"</f>
        <v>05-M05-02</v>
      </c>
      <c r="G7358">
        <v>3.4817999999999998</v>
      </c>
      <c r="H7358" t="s">
        <v>14</v>
      </c>
      <c r="I7358" t="s">
        <v>10</v>
      </c>
    </row>
    <row r="7359" spans="1:9" x14ac:dyDescent="0.25">
      <c r="A7359" t="str">
        <f t="shared" si="177"/>
        <v>89301000</v>
      </c>
      <c r="B7359" t="str">
        <f>"5557120690"</f>
        <v>5557120690</v>
      </c>
      <c r="C7359" s="1">
        <v>45172</v>
      </c>
      <c r="D7359" s="1">
        <v>45174</v>
      </c>
      <c r="E7359">
        <v>1</v>
      </c>
      <c r="F7359" t="str">
        <f>"23-K06-00"</f>
        <v>23-K06-00</v>
      </c>
      <c r="G7359">
        <v>0.63160000000000005</v>
      </c>
      <c r="H7359" t="s">
        <v>11</v>
      </c>
      <c r="I7359" t="s">
        <v>10</v>
      </c>
    </row>
    <row r="7360" spans="1:9" x14ac:dyDescent="0.25">
      <c r="A7360" t="str">
        <f t="shared" si="177"/>
        <v>89301000</v>
      </c>
      <c r="B7360" t="str">
        <f>"5557120690"</f>
        <v>5557120690</v>
      </c>
      <c r="C7360" s="1">
        <v>45179</v>
      </c>
      <c r="D7360" s="1">
        <v>45187</v>
      </c>
      <c r="E7360">
        <v>1</v>
      </c>
      <c r="F7360" t="str">
        <f>"06-I07-05"</f>
        <v>06-I07-05</v>
      </c>
      <c r="G7360">
        <v>2.7919999999999998</v>
      </c>
      <c r="H7360" t="s">
        <v>12</v>
      </c>
      <c r="I7360" t="s">
        <v>10</v>
      </c>
    </row>
    <row r="7361" spans="1:9" x14ac:dyDescent="0.25">
      <c r="A7361" t="str">
        <f t="shared" si="177"/>
        <v>89301000</v>
      </c>
      <c r="B7361" t="str">
        <f>"5557161137"</f>
        <v>5557161137</v>
      </c>
      <c r="C7361" s="1">
        <v>45058</v>
      </c>
      <c r="D7361" s="1">
        <v>45060</v>
      </c>
      <c r="E7361">
        <v>1</v>
      </c>
      <c r="F7361" t="str">
        <f>"01-K16-06"</f>
        <v>01-K16-06</v>
      </c>
      <c r="G7361">
        <v>0.27150000000000002</v>
      </c>
      <c r="H7361" t="s">
        <v>11</v>
      </c>
      <c r="I7361" t="s">
        <v>10</v>
      </c>
    </row>
    <row r="7362" spans="1:9" x14ac:dyDescent="0.25">
      <c r="A7362" t="str">
        <f t="shared" ref="A7362:A7423" si="178">"89301000"</f>
        <v>89301000</v>
      </c>
      <c r="B7362" t="str">
        <f>"5557161621"</f>
        <v>5557161621</v>
      </c>
      <c r="C7362" s="1">
        <v>45069</v>
      </c>
      <c r="D7362" s="1">
        <v>45073</v>
      </c>
      <c r="E7362">
        <v>1</v>
      </c>
      <c r="F7362" t="str">
        <f>"06-I22-01"</f>
        <v>06-I22-01</v>
      </c>
      <c r="G7362">
        <v>0.68120000000000003</v>
      </c>
      <c r="H7362" t="s">
        <v>12</v>
      </c>
      <c r="I7362" t="s">
        <v>10</v>
      </c>
    </row>
    <row r="7363" spans="1:9" x14ac:dyDescent="0.25">
      <c r="A7363" t="str">
        <f t="shared" si="178"/>
        <v>89301000</v>
      </c>
      <c r="B7363" t="str">
        <f>"5557180937"</f>
        <v>5557180937</v>
      </c>
      <c r="C7363" s="1">
        <v>45084</v>
      </c>
      <c r="D7363" s="1">
        <v>45088</v>
      </c>
      <c r="E7363">
        <v>1</v>
      </c>
      <c r="F7363" t="str">
        <f>"11-M03-02"</f>
        <v>11-M03-02</v>
      </c>
      <c r="G7363">
        <v>1.4410000000000001</v>
      </c>
      <c r="H7363" t="s">
        <v>12</v>
      </c>
      <c r="I7363" t="s">
        <v>10</v>
      </c>
    </row>
    <row r="7364" spans="1:9" x14ac:dyDescent="0.25">
      <c r="A7364" t="str">
        <f t="shared" si="178"/>
        <v>89301000</v>
      </c>
      <c r="B7364" t="str">
        <f>"5557191024"</f>
        <v>5557191024</v>
      </c>
      <c r="C7364" s="1">
        <v>45050</v>
      </c>
      <c r="D7364" s="1">
        <v>45055</v>
      </c>
      <c r="E7364">
        <v>1</v>
      </c>
      <c r="F7364" t="str">
        <f>"04-K04-02"</f>
        <v>04-K04-02</v>
      </c>
      <c r="G7364">
        <v>0.52159999999999995</v>
      </c>
      <c r="H7364" t="s">
        <v>11</v>
      </c>
      <c r="I7364" t="s">
        <v>10</v>
      </c>
    </row>
    <row r="7365" spans="1:9" x14ac:dyDescent="0.25">
      <c r="A7365" t="str">
        <f t="shared" si="178"/>
        <v>89301000</v>
      </c>
      <c r="B7365" t="str">
        <f>"5557191024"</f>
        <v>5557191024</v>
      </c>
      <c r="C7365" s="1">
        <v>45000</v>
      </c>
      <c r="D7365" s="1">
        <v>45004</v>
      </c>
      <c r="E7365">
        <v>1</v>
      </c>
      <c r="F7365" t="str">
        <f>"06-I17-04"</f>
        <v>06-I17-04</v>
      </c>
      <c r="G7365">
        <v>0.49869999999999998</v>
      </c>
      <c r="H7365" t="s">
        <v>12</v>
      </c>
      <c r="I7365" t="s">
        <v>10</v>
      </c>
    </row>
    <row r="7366" spans="1:9" x14ac:dyDescent="0.25">
      <c r="A7366" t="str">
        <f t="shared" si="178"/>
        <v>89301000</v>
      </c>
      <c r="B7366" t="str">
        <f>"5557201056"</f>
        <v>5557201056</v>
      </c>
      <c r="C7366" s="1">
        <v>45051</v>
      </c>
      <c r="D7366" s="1">
        <v>45064</v>
      </c>
      <c r="E7366">
        <v>1</v>
      </c>
      <c r="F7366" t="str">
        <f>"06-K14-02"</f>
        <v>06-K14-02</v>
      </c>
      <c r="G7366">
        <v>0.61380000000000001</v>
      </c>
      <c r="H7366" t="s">
        <v>11</v>
      </c>
      <c r="I7366" t="s">
        <v>10</v>
      </c>
    </row>
    <row r="7367" spans="1:9" x14ac:dyDescent="0.25">
      <c r="A7367" t="str">
        <f t="shared" si="178"/>
        <v>89301000</v>
      </c>
      <c r="B7367" t="str">
        <f>"5557231405"</f>
        <v>5557231405</v>
      </c>
      <c r="C7367" s="1">
        <v>45191</v>
      </c>
      <c r="D7367" s="1">
        <v>45192</v>
      </c>
      <c r="E7367">
        <v>1</v>
      </c>
      <c r="F7367" t="str">
        <f>"09-I04-02"</f>
        <v>09-I04-02</v>
      </c>
      <c r="G7367">
        <v>1.0899000000000001</v>
      </c>
      <c r="H7367" t="s">
        <v>12</v>
      </c>
      <c r="I7367" t="s">
        <v>10</v>
      </c>
    </row>
    <row r="7368" spans="1:9" x14ac:dyDescent="0.25">
      <c r="A7368" t="str">
        <f t="shared" si="178"/>
        <v>89301000</v>
      </c>
      <c r="B7368" t="str">
        <f>"5557231405"</f>
        <v>5557231405</v>
      </c>
      <c r="C7368" s="1">
        <v>45079</v>
      </c>
      <c r="D7368" s="1">
        <v>45080</v>
      </c>
      <c r="E7368">
        <v>1</v>
      </c>
      <c r="F7368" t="str">
        <f>"09-I04-02"</f>
        <v>09-I04-02</v>
      </c>
      <c r="G7368">
        <v>1.0899000000000001</v>
      </c>
      <c r="H7368" t="s">
        <v>12</v>
      </c>
      <c r="I7368" t="s">
        <v>10</v>
      </c>
    </row>
    <row r="7369" spans="1:9" x14ac:dyDescent="0.25">
      <c r="A7369" t="str">
        <f t="shared" si="178"/>
        <v>89301000</v>
      </c>
      <c r="B7369" t="str">
        <f>"5557260643"</f>
        <v>5557260643</v>
      </c>
      <c r="C7369" s="1">
        <v>45082</v>
      </c>
      <c r="D7369" s="1">
        <v>45086</v>
      </c>
      <c r="E7369">
        <v>1</v>
      </c>
      <c r="F7369" t="str">
        <f>"07-I10-06"</f>
        <v>07-I10-06</v>
      </c>
      <c r="G7369">
        <v>0.98419999999999996</v>
      </c>
      <c r="H7369" t="s">
        <v>12</v>
      </c>
      <c r="I7369" t="s">
        <v>10</v>
      </c>
    </row>
    <row r="7370" spans="1:9" x14ac:dyDescent="0.25">
      <c r="A7370" t="str">
        <f t="shared" si="178"/>
        <v>89301000</v>
      </c>
      <c r="B7370" t="str">
        <f>"5557262260"</f>
        <v>5557262260</v>
      </c>
      <c r="C7370" s="1">
        <v>45264</v>
      </c>
      <c r="D7370" s="1">
        <v>45267</v>
      </c>
      <c r="E7370">
        <v>1</v>
      </c>
      <c r="F7370" t="str">
        <f>"13-I14-03"</f>
        <v>13-I14-03</v>
      </c>
      <c r="G7370">
        <v>0.87760000000000005</v>
      </c>
      <c r="H7370" t="s">
        <v>9</v>
      </c>
      <c r="I7370" t="s">
        <v>10</v>
      </c>
    </row>
    <row r="7371" spans="1:9" x14ac:dyDescent="0.25">
      <c r="A7371" t="str">
        <f t="shared" si="178"/>
        <v>89301000</v>
      </c>
      <c r="B7371" t="str">
        <f>"5557262260"</f>
        <v>5557262260</v>
      </c>
      <c r="C7371" s="1">
        <v>45006</v>
      </c>
      <c r="D7371" s="1">
        <v>45007</v>
      </c>
      <c r="E7371">
        <v>1</v>
      </c>
      <c r="F7371" t="str">
        <f>"23-K01-00"</f>
        <v>23-K01-00</v>
      </c>
      <c r="G7371">
        <v>0.1401</v>
      </c>
      <c r="H7371" t="s">
        <v>11</v>
      </c>
      <c r="I7371" t="s">
        <v>10</v>
      </c>
    </row>
    <row r="7372" spans="1:9" x14ac:dyDescent="0.25">
      <c r="A7372" t="str">
        <f t="shared" si="178"/>
        <v>89301000</v>
      </c>
      <c r="B7372" t="str">
        <f>"5557270708"</f>
        <v>5557270708</v>
      </c>
      <c r="C7372" s="1">
        <v>45183</v>
      </c>
      <c r="D7372" s="1">
        <v>45185</v>
      </c>
      <c r="E7372">
        <v>1</v>
      </c>
      <c r="F7372" t="str">
        <f>"03-K04-01"</f>
        <v>03-K04-01</v>
      </c>
      <c r="G7372">
        <v>0.46650000000000003</v>
      </c>
      <c r="H7372" t="s">
        <v>11</v>
      </c>
      <c r="I7372" t="s">
        <v>10</v>
      </c>
    </row>
    <row r="7373" spans="1:9" x14ac:dyDescent="0.25">
      <c r="A7373" t="str">
        <f t="shared" si="178"/>
        <v>89301000</v>
      </c>
      <c r="B7373" t="str">
        <f>"5557280630"</f>
        <v>5557280630</v>
      </c>
      <c r="C7373" s="1">
        <v>45063</v>
      </c>
      <c r="D7373" s="1">
        <v>45067</v>
      </c>
      <c r="E7373">
        <v>1</v>
      </c>
      <c r="F7373" t="str">
        <f>"13-I14-03"</f>
        <v>13-I14-03</v>
      </c>
      <c r="G7373">
        <v>0.87760000000000005</v>
      </c>
      <c r="H7373" t="s">
        <v>9</v>
      </c>
      <c r="I7373" t="s">
        <v>10</v>
      </c>
    </row>
    <row r="7374" spans="1:9" x14ac:dyDescent="0.25">
      <c r="A7374" t="str">
        <f t="shared" si="178"/>
        <v>89301000</v>
      </c>
      <c r="B7374" t="str">
        <f>"5557280861"</f>
        <v>5557280861</v>
      </c>
      <c r="C7374" s="1">
        <v>44980</v>
      </c>
      <c r="D7374" s="1">
        <v>44981</v>
      </c>
      <c r="E7374">
        <v>1</v>
      </c>
      <c r="F7374" t="str">
        <f>"13-I19-00"</f>
        <v>13-I19-00</v>
      </c>
      <c r="G7374">
        <v>0.28249999999999997</v>
      </c>
      <c r="H7374" t="s">
        <v>11</v>
      </c>
      <c r="I7374" t="s">
        <v>10</v>
      </c>
    </row>
    <row r="7375" spans="1:9" x14ac:dyDescent="0.25">
      <c r="A7375" t="str">
        <f t="shared" si="178"/>
        <v>89301000</v>
      </c>
      <c r="B7375" t="str">
        <f>"5557301035"</f>
        <v>5557301035</v>
      </c>
      <c r="C7375" s="1">
        <v>45000</v>
      </c>
      <c r="D7375" s="1">
        <v>45005</v>
      </c>
      <c r="E7375">
        <v>1</v>
      </c>
      <c r="F7375" t="str">
        <f>"07-M02-04"</f>
        <v>07-M02-04</v>
      </c>
      <c r="G7375">
        <v>0.77339999999999998</v>
      </c>
      <c r="H7375" t="s">
        <v>12</v>
      </c>
      <c r="I7375" t="s">
        <v>10</v>
      </c>
    </row>
    <row r="7376" spans="1:9" x14ac:dyDescent="0.25">
      <c r="A7376" t="str">
        <f t="shared" si="178"/>
        <v>89301000</v>
      </c>
      <c r="B7376" t="str">
        <f>"5557301035"</f>
        <v>5557301035</v>
      </c>
      <c r="C7376" s="1">
        <v>44943</v>
      </c>
      <c r="D7376" s="1">
        <v>44949</v>
      </c>
      <c r="E7376">
        <v>1</v>
      </c>
      <c r="F7376" t="str">
        <f>"07-M02-03"</f>
        <v>07-M02-03</v>
      </c>
      <c r="G7376">
        <v>1.2942</v>
      </c>
      <c r="H7376" t="s">
        <v>12</v>
      </c>
      <c r="I7376" t="s">
        <v>10</v>
      </c>
    </row>
    <row r="7377" spans="1:9" x14ac:dyDescent="0.25">
      <c r="A7377" t="str">
        <f t="shared" si="178"/>
        <v>89301000</v>
      </c>
      <c r="B7377" t="str">
        <f>"5557307063"</f>
        <v>5557307063</v>
      </c>
      <c r="C7377" s="1">
        <v>45195</v>
      </c>
      <c r="D7377" s="1">
        <v>45200</v>
      </c>
      <c r="E7377">
        <v>1</v>
      </c>
      <c r="F7377" t="str">
        <f>"05-I30-01"</f>
        <v>05-I30-01</v>
      </c>
      <c r="G7377">
        <v>0.84470000000000001</v>
      </c>
      <c r="H7377" t="s">
        <v>12</v>
      </c>
      <c r="I7377" t="s">
        <v>10</v>
      </c>
    </row>
    <row r="7378" spans="1:9" x14ac:dyDescent="0.25">
      <c r="A7378" t="str">
        <f t="shared" si="178"/>
        <v>89301000</v>
      </c>
      <c r="B7378" t="str">
        <f>"5558181409"</f>
        <v>5558181409</v>
      </c>
      <c r="C7378" s="1">
        <v>44957</v>
      </c>
      <c r="D7378" s="1">
        <v>44960</v>
      </c>
      <c r="E7378">
        <v>1</v>
      </c>
      <c r="F7378" t="str">
        <f>"08-M03-05"</f>
        <v>08-M03-05</v>
      </c>
      <c r="G7378">
        <v>0.46810000000000002</v>
      </c>
      <c r="H7378" t="s">
        <v>11</v>
      </c>
      <c r="I7378" t="s">
        <v>10</v>
      </c>
    </row>
    <row r="7379" spans="1:9" x14ac:dyDescent="0.25">
      <c r="A7379" t="str">
        <f t="shared" si="178"/>
        <v>89301000</v>
      </c>
      <c r="B7379" t="str">
        <f>"5558191771"</f>
        <v>5558191771</v>
      </c>
      <c r="C7379" s="1">
        <v>45188</v>
      </c>
      <c r="D7379" s="1">
        <v>45190</v>
      </c>
      <c r="E7379">
        <v>1</v>
      </c>
      <c r="F7379" t="str">
        <f>"05-M05-02"</f>
        <v>05-M05-02</v>
      </c>
      <c r="G7379">
        <v>3.5567000000000002</v>
      </c>
      <c r="H7379" t="s">
        <v>14</v>
      </c>
      <c r="I7379" t="s">
        <v>10</v>
      </c>
    </row>
    <row r="7380" spans="1:9" x14ac:dyDescent="0.25">
      <c r="A7380" t="str">
        <f t="shared" si="178"/>
        <v>89301000</v>
      </c>
      <c r="B7380" t="str">
        <f>"5558232427"</f>
        <v>5558232427</v>
      </c>
      <c r="C7380" s="1">
        <v>45272</v>
      </c>
      <c r="D7380" s="1">
        <v>45278</v>
      </c>
      <c r="E7380">
        <v>1</v>
      </c>
      <c r="F7380" t="str">
        <f>"04-K03-02"</f>
        <v>04-K03-02</v>
      </c>
      <c r="G7380">
        <v>0.79500000000000004</v>
      </c>
      <c r="H7380" t="s">
        <v>11</v>
      </c>
      <c r="I7380" t="s">
        <v>10</v>
      </c>
    </row>
    <row r="7381" spans="1:9" x14ac:dyDescent="0.25">
      <c r="A7381" t="str">
        <f t="shared" si="178"/>
        <v>89301000</v>
      </c>
      <c r="B7381" t="str">
        <f>"5558232427"</f>
        <v>5558232427</v>
      </c>
      <c r="C7381" s="1">
        <v>44932</v>
      </c>
      <c r="D7381" s="1">
        <v>44933</v>
      </c>
      <c r="E7381">
        <v>1</v>
      </c>
      <c r="F7381" t="str">
        <f>"09-I09-02"</f>
        <v>09-I09-02</v>
      </c>
      <c r="G7381">
        <v>0.76900000000000002</v>
      </c>
      <c r="H7381" t="s">
        <v>12</v>
      </c>
      <c r="I7381" t="s">
        <v>10</v>
      </c>
    </row>
    <row r="7382" spans="1:9" x14ac:dyDescent="0.25">
      <c r="A7382" t="str">
        <f t="shared" si="178"/>
        <v>89301000</v>
      </c>
      <c r="B7382" t="str">
        <f>"5559040861"</f>
        <v>5559040861</v>
      </c>
      <c r="C7382" s="1">
        <v>45231</v>
      </c>
      <c r="D7382" s="1">
        <v>45233</v>
      </c>
      <c r="E7382">
        <v>1</v>
      </c>
      <c r="F7382" t="str">
        <f>"17-I10-02"</f>
        <v>17-I10-02</v>
      </c>
      <c r="G7382">
        <v>0.84730000000000005</v>
      </c>
      <c r="H7382" t="s">
        <v>11</v>
      </c>
      <c r="I7382" t="s">
        <v>10</v>
      </c>
    </row>
    <row r="7383" spans="1:9" x14ac:dyDescent="0.25">
      <c r="A7383" t="str">
        <f t="shared" si="178"/>
        <v>89301000</v>
      </c>
      <c r="B7383" t="str">
        <f>"5559112196"</f>
        <v>5559112196</v>
      </c>
      <c r="C7383" s="1">
        <v>44966</v>
      </c>
      <c r="D7383" s="1">
        <v>44967</v>
      </c>
      <c r="E7383">
        <v>1</v>
      </c>
      <c r="F7383" t="str">
        <f>"13-I19-00"</f>
        <v>13-I19-00</v>
      </c>
      <c r="G7383">
        <v>0.28249999999999997</v>
      </c>
      <c r="H7383" t="s">
        <v>11</v>
      </c>
      <c r="I7383" t="s">
        <v>10</v>
      </c>
    </row>
    <row r="7384" spans="1:9" x14ac:dyDescent="0.25">
      <c r="A7384" t="str">
        <f t="shared" si="178"/>
        <v>89301000</v>
      </c>
      <c r="B7384" t="str">
        <f>"5559151697"</f>
        <v>5559151697</v>
      </c>
      <c r="C7384" s="1">
        <v>45063</v>
      </c>
      <c r="D7384" s="1">
        <v>45067</v>
      </c>
      <c r="E7384">
        <v>1</v>
      </c>
      <c r="F7384" t="str">
        <f>"13-I14-03"</f>
        <v>13-I14-03</v>
      </c>
      <c r="G7384">
        <v>0.87760000000000005</v>
      </c>
      <c r="H7384" t="s">
        <v>9</v>
      </c>
      <c r="I7384" t="s">
        <v>10</v>
      </c>
    </row>
    <row r="7385" spans="1:9" x14ac:dyDescent="0.25">
      <c r="A7385" t="str">
        <f t="shared" si="178"/>
        <v>89301000</v>
      </c>
      <c r="B7385" t="str">
        <f>"5559162191"</f>
        <v>5559162191</v>
      </c>
      <c r="C7385" s="1">
        <v>44932</v>
      </c>
      <c r="D7385" s="1">
        <v>44933</v>
      </c>
      <c r="E7385">
        <v>1</v>
      </c>
      <c r="F7385" t="str">
        <f>"13-I19-00"</f>
        <v>13-I19-00</v>
      </c>
      <c r="G7385">
        <v>0.28249999999999997</v>
      </c>
      <c r="H7385" t="s">
        <v>11</v>
      </c>
      <c r="I7385" t="s">
        <v>10</v>
      </c>
    </row>
    <row r="7386" spans="1:9" x14ac:dyDescent="0.25">
      <c r="A7386" t="str">
        <f t="shared" si="178"/>
        <v>89301000</v>
      </c>
      <c r="B7386" t="str">
        <f>"5559162191"</f>
        <v>5559162191</v>
      </c>
      <c r="C7386" s="1">
        <v>44979</v>
      </c>
      <c r="D7386" s="1">
        <v>44986</v>
      </c>
      <c r="E7386">
        <v>1</v>
      </c>
      <c r="F7386" t="str">
        <f>"13-I04-01"</f>
        <v>13-I04-01</v>
      </c>
      <c r="G7386">
        <v>2.8856000000000002</v>
      </c>
      <c r="H7386" t="s">
        <v>14</v>
      </c>
      <c r="I7386" t="s">
        <v>10</v>
      </c>
    </row>
    <row r="7387" spans="1:9" x14ac:dyDescent="0.25">
      <c r="A7387" t="str">
        <f t="shared" si="178"/>
        <v>89301000</v>
      </c>
      <c r="B7387" t="str">
        <f>"5559172146"</f>
        <v>5559172146</v>
      </c>
      <c r="C7387" s="1">
        <v>45145</v>
      </c>
      <c r="D7387" s="1">
        <v>45147</v>
      </c>
      <c r="E7387">
        <v>1</v>
      </c>
      <c r="F7387" t="str">
        <f>"13-I19-00"</f>
        <v>13-I19-00</v>
      </c>
      <c r="G7387">
        <v>0.28249999999999997</v>
      </c>
      <c r="H7387" t="s">
        <v>11</v>
      </c>
      <c r="I7387" t="s">
        <v>10</v>
      </c>
    </row>
    <row r="7388" spans="1:9" x14ac:dyDescent="0.25">
      <c r="A7388" t="str">
        <f t="shared" si="178"/>
        <v>89301000</v>
      </c>
      <c r="B7388" t="str">
        <f>"5559187502"</f>
        <v>5559187502</v>
      </c>
      <c r="C7388" s="1">
        <v>45250</v>
      </c>
      <c r="D7388" s="1">
        <v>45251</v>
      </c>
      <c r="E7388">
        <v>1</v>
      </c>
      <c r="F7388" t="str">
        <f>"08-I32-00"</f>
        <v>08-I32-00</v>
      </c>
      <c r="G7388">
        <v>0.40870000000000001</v>
      </c>
      <c r="H7388" t="s">
        <v>11</v>
      </c>
      <c r="I7388" t="s">
        <v>10</v>
      </c>
    </row>
    <row r="7389" spans="1:9" x14ac:dyDescent="0.25">
      <c r="A7389" t="str">
        <f t="shared" si="178"/>
        <v>89301000</v>
      </c>
      <c r="B7389" t="str">
        <f>"5559210976"</f>
        <v>5559210976</v>
      </c>
      <c r="C7389" s="1">
        <v>45061</v>
      </c>
      <c r="D7389" s="1">
        <v>45065</v>
      </c>
      <c r="E7389">
        <v>1</v>
      </c>
      <c r="F7389" t="str">
        <f>"09-I06-04"</f>
        <v>09-I06-04</v>
      </c>
      <c r="G7389">
        <v>0.95069999999999999</v>
      </c>
      <c r="H7389" t="s">
        <v>12</v>
      </c>
      <c r="I7389" t="s">
        <v>10</v>
      </c>
    </row>
    <row r="7390" spans="1:9" x14ac:dyDescent="0.25">
      <c r="A7390" t="str">
        <f t="shared" si="178"/>
        <v>89301000</v>
      </c>
      <c r="B7390" t="str">
        <f>"5559251676"</f>
        <v>5559251676</v>
      </c>
      <c r="C7390" s="1">
        <v>45256</v>
      </c>
      <c r="D7390" s="1">
        <v>45258</v>
      </c>
      <c r="E7390">
        <v>1</v>
      </c>
      <c r="F7390" t="str">
        <f>"08-M03-05"</f>
        <v>08-M03-05</v>
      </c>
      <c r="G7390">
        <v>0.46810000000000002</v>
      </c>
      <c r="H7390" t="s">
        <v>11</v>
      </c>
      <c r="I7390" t="s">
        <v>10</v>
      </c>
    </row>
    <row r="7391" spans="1:9" x14ac:dyDescent="0.25">
      <c r="A7391" t="str">
        <f t="shared" si="178"/>
        <v>89301000</v>
      </c>
      <c r="B7391" t="str">
        <f>"5559282058"</f>
        <v>5559282058</v>
      </c>
      <c r="C7391" s="1">
        <v>44935</v>
      </c>
      <c r="D7391" s="1">
        <v>44953</v>
      </c>
      <c r="E7391">
        <v>1</v>
      </c>
      <c r="F7391" t="str">
        <f>"04-R02-08"</f>
        <v>04-R02-08</v>
      </c>
      <c r="G7391">
        <v>1.3892</v>
      </c>
      <c r="H7391" t="s">
        <v>11</v>
      </c>
      <c r="I7391" t="s">
        <v>10</v>
      </c>
    </row>
    <row r="7392" spans="1:9" x14ac:dyDescent="0.25">
      <c r="A7392" t="str">
        <f t="shared" si="178"/>
        <v>89301000</v>
      </c>
      <c r="B7392" t="str">
        <f>"5559291793"</f>
        <v>5559291793</v>
      </c>
      <c r="C7392" s="1">
        <v>45145</v>
      </c>
      <c r="D7392" s="1">
        <v>45146</v>
      </c>
      <c r="E7392">
        <v>1</v>
      </c>
      <c r="F7392" t="str">
        <f>"02-K11-02"</f>
        <v>02-K11-02</v>
      </c>
      <c r="G7392">
        <v>0.56559999999999999</v>
      </c>
      <c r="H7392" t="s">
        <v>11</v>
      </c>
      <c r="I7392" t="s">
        <v>10</v>
      </c>
    </row>
    <row r="7393" spans="1:9" x14ac:dyDescent="0.25">
      <c r="A7393" t="str">
        <f t="shared" si="178"/>
        <v>89301000</v>
      </c>
      <c r="B7393" t="str">
        <f>"5560010731"</f>
        <v>5560010731</v>
      </c>
      <c r="C7393" s="1">
        <v>44924</v>
      </c>
      <c r="D7393" s="1">
        <v>44929</v>
      </c>
      <c r="E7393">
        <v>1</v>
      </c>
      <c r="F7393" t="str">
        <f>"08-I03-04"</f>
        <v>08-I03-04</v>
      </c>
      <c r="G7393">
        <v>4.1227</v>
      </c>
      <c r="H7393" t="s">
        <v>9</v>
      </c>
      <c r="I7393" t="s">
        <v>10</v>
      </c>
    </row>
    <row r="7394" spans="1:9" x14ac:dyDescent="0.25">
      <c r="A7394" t="str">
        <f t="shared" si="178"/>
        <v>89301000</v>
      </c>
      <c r="B7394" t="str">
        <f>"5560021995"</f>
        <v>5560021995</v>
      </c>
      <c r="C7394" s="1">
        <v>44970</v>
      </c>
      <c r="D7394" s="1">
        <v>44973</v>
      </c>
      <c r="E7394">
        <v>1</v>
      </c>
      <c r="F7394" t="str">
        <f>"08-I04-02"</f>
        <v>08-I04-02</v>
      </c>
      <c r="G7394">
        <v>1.6229</v>
      </c>
      <c r="H7394" t="s">
        <v>14</v>
      </c>
      <c r="I7394" t="s">
        <v>10</v>
      </c>
    </row>
    <row r="7395" spans="1:9" x14ac:dyDescent="0.25">
      <c r="A7395" t="str">
        <f t="shared" si="178"/>
        <v>89301000</v>
      </c>
      <c r="B7395" t="str">
        <f>"5560046745"</f>
        <v>5560046745</v>
      </c>
      <c r="C7395" s="1">
        <v>45187</v>
      </c>
      <c r="D7395" s="1">
        <v>45194</v>
      </c>
      <c r="E7395">
        <v>5</v>
      </c>
      <c r="F7395" t="str">
        <f>"00-M01-04"</f>
        <v>00-M01-04</v>
      </c>
      <c r="G7395">
        <v>7.2366999999999999</v>
      </c>
      <c r="H7395" t="s">
        <v>11</v>
      </c>
      <c r="I7395" t="s">
        <v>10</v>
      </c>
    </row>
    <row r="7396" spans="1:9" x14ac:dyDescent="0.25">
      <c r="A7396" t="str">
        <f t="shared" si="178"/>
        <v>89301000</v>
      </c>
      <c r="B7396" t="str">
        <f>"5560050705"</f>
        <v>5560050705</v>
      </c>
      <c r="C7396" s="1">
        <v>45026</v>
      </c>
      <c r="D7396" s="1">
        <v>45029</v>
      </c>
      <c r="E7396">
        <v>1</v>
      </c>
      <c r="F7396" t="str">
        <f>"08-M03-02"</f>
        <v>08-M03-02</v>
      </c>
      <c r="G7396">
        <v>0.91359999999999997</v>
      </c>
      <c r="H7396" t="s">
        <v>11</v>
      </c>
      <c r="I7396" t="s">
        <v>10</v>
      </c>
    </row>
    <row r="7397" spans="1:9" x14ac:dyDescent="0.25">
      <c r="A7397" t="str">
        <f t="shared" si="178"/>
        <v>89301000</v>
      </c>
      <c r="B7397" t="str">
        <f>"5560091273"</f>
        <v>5560091273</v>
      </c>
      <c r="C7397" s="1">
        <v>45242</v>
      </c>
      <c r="D7397" s="1">
        <v>45246</v>
      </c>
      <c r="E7397">
        <v>1</v>
      </c>
      <c r="F7397" t="str">
        <f>"01-K10-03"</f>
        <v>01-K10-03</v>
      </c>
      <c r="G7397">
        <v>1.0348999999999999</v>
      </c>
      <c r="H7397" t="s">
        <v>11</v>
      </c>
      <c r="I7397" t="s">
        <v>10</v>
      </c>
    </row>
    <row r="7398" spans="1:9" x14ac:dyDescent="0.25">
      <c r="A7398" t="str">
        <f t="shared" si="178"/>
        <v>89301000</v>
      </c>
      <c r="B7398" t="str">
        <f>"5560140949"</f>
        <v>5560140949</v>
      </c>
      <c r="C7398" s="1">
        <v>45021</v>
      </c>
      <c r="D7398" s="1">
        <v>45027</v>
      </c>
      <c r="E7398">
        <v>1</v>
      </c>
      <c r="F7398" t="str">
        <f>"06-I17-02"</f>
        <v>06-I17-02</v>
      </c>
      <c r="G7398">
        <v>1.0106999999999999</v>
      </c>
      <c r="H7398" t="s">
        <v>12</v>
      </c>
      <c r="I7398" t="s">
        <v>10</v>
      </c>
    </row>
    <row r="7399" spans="1:9" x14ac:dyDescent="0.25">
      <c r="A7399" t="str">
        <f t="shared" si="178"/>
        <v>89301000</v>
      </c>
      <c r="B7399" t="str">
        <f>"5560141092"</f>
        <v>5560141092</v>
      </c>
      <c r="C7399" s="1">
        <v>45189</v>
      </c>
      <c r="D7399" s="1">
        <v>45192</v>
      </c>
      <c r="E7399">
        <v>1</v>
      </c>
      <c r="F7399" t="str">
        <f>"03-I12-02"</f>
        <v>03-I12-02</v>
      </c>
      <c r="G7399">
        <v>1.2988999999999999</v>
      </c>
      <c r="H7399" t="s">
        <v>12</v>
      </c>
      <c r="I7399" t="s">
        <v>10</v>
      </c>
    </row>
    <row r="7400" spans="1:9" x14ac:dyDescent="0.25">
      <c r="A7400" t="str">
        <f t="shared" si="178"/>
        <v>89301000</v>
      </c>
      <c r="B7400" t="str">
        <f>"5560181363"</f>
        <v>5560181363</v>
      </c>
      <c r="C7400" s="1">
        <v>45250</v>
      </c>
      <c r="D7400" s="1">
        <v>45252</v>
      </c>
      <c r="E7400">
        <v>1</v>
      </c>
      <c r="F7400" t="str">
        <f>"03-I14-02"</f>
        <v>03-I14-02</v>
      </c>
      <c r="G7400">
        <v>1.0793999999999999</v>
      </c>
      <c r="H7400" t="s">
        <v>11</v>
      </c>
      <c r="I7400" t="s">
        <v>10</v>
      </c>
    </row>
    <row r="7401" spans="1:9" x14ac:dyDescent="0.25">
      <c r="A7401" t="str">
        <f t="shared" si="178"/>
        <v>89301000</v>
      </c>
      <c r="B7401" t="str">
        <f>"5560211404"</f>
        <v>5560211404</v>
      </c>
      <c r="C7401" s="1">
        <v>45251</v>
      </c>
      <c r="D7401" s="1">
        <v>45257</v>
      </c>
      <c r="E7401">
        <v>4</v>
      </c>
      <c r="F7401" t="str">
        <f>"08-I05-04"</f>
        <v>08-I05-04</v>
      </c>
      <c r="G7401">
        <v>2.4445000000000001</v>
      </c>
      <c r="H7401" t="s">
        <v>12</v>
      </c>
      <c r="I7401" t="s">
        <v>10</v>
      </c>
    </row>
    <row r="7402" spans="1:9" x14ac:dyDescent="0.25">
      <c r="A7402" t="str">
        <f t="shared" si="178"/>
        <v>89301000</v>
      </c>
      <c r="B7402" t="str">
        <f>"5560220952"</f>
        <v>5560220952</v>
      </c>
      <c r="C7402" s="1">
        <v>45103</v>
      </c>
      <c r="D7402" s="1">
        <v>45105</v>
      </c>
      <c r="E7402">
        <v>1</v>
      </c>
      <c r="F7402" t="str">
        <f>"01-I13-00"</f>
        <v>01-I13-00</v>
      </c>
      <c r="G7402">
        <v>0.38400000000000001</v>
      </c>
      <c r="H7402" t="s">
        <v>11</v>
      </c>
      <c r="I7402" t="s">
        <v>10</v>
      </c>
    </row>
    <row r="7403" spans="1:9" x14ac:dyDescent="0.25">
      <c r="A7403" t="str">
        <f t="shared" si="178"/>
        <v>89301000</v>
      </c>
      <c r="B7403" t="str">
        <f>"5560231655"</f>
        <v>5560231655</v>
      </c>
      <c r="C7403" s="1">
        <v>45209</v>
      </c>
      <c r="D7403" s="1">
        <v>45211</v>
      </c>
      <c r="E7403">
        <v>1</v>
      </c>
      <c r="F7403" t="str">
        <f>"05-M05-02"</f>
        <v>05-M05-02</v>
      </c>
      <c r="G7403">
        <v>3.5566</v>
      </c>
      <c r="H7403" t="s">
        <v>14</v>
      </c>
      <c r="I7403" t="s">
        <v>10</v>
      </c>
    </row>
    <row r="7404" spans="1:9" x14ac:dyDescent="0.25">
      <c r="A7404" t="str">
        <f t="shared" si="178"/>
        <v>89301000</v>
      </c>
      <c r="B7404" t="str">
        <f>"5560250718"</f>
        <v>5560250718</v>
      </c>
      <c r="C7404" s="1">
        <v>45268</v>
      </c>
      <c r="D7404" s="1">
        <v>45281</v>
      </c>
      <c r="E7404">
        <v>1</v>
      </c>
      <c r="F7404" t="str">
        <f>"04-M02-02"</f>
        <v>04-M02-02</v>
      </c>
      <c r="G7404">
        <v>2.1415999999999999</v>
      </c>
      <c r="H7404" t="s">
        <v>11</v>
      </c>
      <c r="I7404" t="s">
        <v>10</v>
      </c>
    </row>
    <row r="7405" spans="1:9" x14ac:dyDescent="0.25">
      <c r="A7405" t="str">
        <f t="shared" si="178"/>
        <v>89301000</v>
      </c>
      <c r="B7405" t="str">
        <f>"5560251697"</f>
        <v>5560251697</v>
      </c>
      <c r="C7405" s="1">
        <v>44983</v>
      </c>
      <c r="D7405" s="1">
        <v>44991</v>
      </c>
      <c r="E7405">
        <v>3</v>
      </c>
      <c r="F7405" t="str">
        <f>"08-I06-04"</f>
        <v>08-I06-04</v>
      </c>
      <c r="G7405">
        <v>2.4180000000000001</v>
      </c>
      <c r="H7405" t="s">
        <v>9</v>
      </c>
      <c r="I7405" t="s">
        <v>10</v>
      </c>
    </row>
    <row r="7406" spans="1:9" x14ac:dyDescent="0.25">
      <c r="A7406" t="str">
        <f t="shared" si="178"/>
        <v>89301000</v>
      </c>
      <c r="B7406" t="str">
        <f>"5560251697"</f>
        <v>5560251697</v>
      </c>
      <c r="C7406" s="1">
        <v>44991</v>
      </c>
      <c r="D7406" s="1">
        <v>45005</v>
      </c>
      <c r="E7406">
        <v>1</v>
      </c>
      <c r="F7406" t="str">
        <f>"24-M07-02"</f>
        <v>24-M07-02</v>
      </c>
      <c r="G7406">
        <v>1.5729</v>
      </c>
      <c r="H7406" t="s">
        <v>11</v>
      </c>
      <c r="I7406" t="s">
        <v>10</v>
      </c>
    </row>
    <row r="7407" spans="1:9" x14ac:dyDescent="0.25">
      <c r="A7407" t="str">
        <f t="shared" si="178"/>
        <v>89301000</v>
      </c>
      <c r="B7407" t="str">
        <f>"5560261432"</f>
        <v>5560261432</v>
      </c>
      <c r="C7407" s="1">
        <v>45267</v>
      </c>
      <c r="D7407" s="1">
        <v>45269</v>
      </c>
      <c r="E7407">
        <v>1</v>
      </c>
      <c r="F7407" t="str">
        <f>"01-K16-02"</f>
        <v>01-K16-02</v>
      </c>
      <c r="G7407">
        <v>1.0049999999999999</v>
      </c>
      <c r="H7407" t="s">
        <v>11</v>
      </c>
      <c r="I7407" t="s">
        <v>10</v>
      </c>
    </row>
    <row r="7408" spans="1:9" x14ac:dyDescent="0.25">
      <c r="A7408" t="str">
        <f t="shared" si="178"/>
        <v>89301000</v>
      </c>
      <c r="B7408" t="str">
        <f>"5560291000"</f>
        <v>5560291000</v>
      </c>
      <c r="C7408" s="1">
        <v>45091</v>
      </c>
      <c r="D7408" s="1">
        <v>45093</v>
      </c>
      <c r="E7408">
        <v>1</v>
      </c>
      <c r="F7408" t="str">
        <f>"08-I25-02"</f>
        <v>08-I25-02</v>
      </c>
      <c r="G7408">
        <v>0.55279999999999996</v>
      </c>
      <c r="H7408" t="s">
        <v>11</v>
      </c>
      <c r="I7408" t="s">
        <v>10</v>
      </c>
    </row>
    <row r="7409" spans="1:9" x14ac:dyDescent="0.25">
      <c r="A7409" t="str">
        <f t="shared" si="178"/>
        <v>89301000</v>
      </c>
      <c r="B7409" t="str">
        <f>"5560311372"</f>
        <v>5560311372</v>
      </c>
      <c r="C7409" s="1">
        <v>45271</v>
      </c>
      <c r="D7409" s="1">
        <v>45279</v>
      </c>
      <c r="E7409">
        <v>1</v>
      </c>
      <c r="F7409" t="str">
        <f>"17-I06-02"</f>
        <v>17-I06-02</v>
      </c>
      <c r="G7409">
        <v>2.6978</v>
      </c>
      <c r="H7409" t="s">
        <v>12</v>
      </c>
      <c r="I7409" t="s">
        <v>10</v>
      </c>
    </row>
    <row r="7410" spans="1:9" x14ac:dyDescent="0.25">
      <c r="A7410" t="str">
        <f t="shared" si="178"/>
        <v>89301000</v>
      </c>
      <c r="B7410" t="str">
        <f>"5561051595"</f>
        <v>5561051595</v>
      </c>
      <c r="C7410" s="1">
        <v>45070</v>
      </c>
      <c r="D7410" s="1">
        <v>45071</v>
      </c>
      <c r="E7410">
        <v>1</v>
      </c>
      <c r="F7410" t="str">
        <f>"02-I13-02"</f>
        <v>02-I13-02</v>
      </c>
      <c r="G7410">
        <v>0.4259</v>
      </c>
      <c r="H7410" t="s">
        <v>11</v>
      </c>
      <c r="I7410" t="s">
        <v>10</v>
      </c>
    </row>
    <row r="7411" spans="1:9" x14ac:dyDescent="0.25">
      <c r="A7411" t="str">
        <f t="shared" si="178"/>
        <v>89301000</v>
      </c>
      <c r="B7411" t="str">
        <f>"5561121412"</f>
        <v>5561121412</v>
      </c>
      <c r="C7411" s="1">
        <v>45048</v>
      </c>
      <c r="D7411" s="1">
        <v>45050</v>
      </c>
      <c r="E7411">
        <v>1</v>
      </c>
      <c r="F7411" t="str">
        <f>"16-K02-03"</f>
        <v>16-K02-03</v>
      </c>
      <c r="G7411">
        <v>0.46679999999999999</v>
      </c>
      <c r="H7411" t="s">
        <v>11</v>
      </c>
      <c r="I7411" t="s">
        <v>10</v>
      </c>
    </row>
    <row r="7412" spans="1:9" x14ac:dyDescent="0.25">
      <c r="A7412" t="str">
        <f t="shared" si="178"/>
        <v>89301000</v>
      </c>
      <c r="B7412" t="str">
        <f>"5561121412"</f>
        <v>5561121412</v>
      </c>
      <c r="C7412" s="1">
        <v>45209</v>
      </c>
      <c r="D7412" s="1">
        <v>45215</v>
      </c>
      <c r="E7412">
        <v>1</v>
      </c>
      <c r="F7412" t="str">
        <f>"08-K08-00"</f>
        <v>08-K08-00</v>
      </c>
      <c r="G7412">
        <v>0.5272</v>
      </c>
      <c r="H7412" t="s">
        <v>11</v>
      </c>
      <c r="I7412" t="s">
        <v>10</v>
      </c>
    </row>
    <row r="7413" spans="1:9" x14ac:dyDescent="0.25">
      <c r="A7413" t="str">
        <f t="shared" si="178"/>
        <v>89301000</v>
      </c>
      <c r="B7413" t="str">
        <f>"5561181472"</f>
        <v>5561181472</v>
      </c>
      <c r="C7413" s="1">
        <v>44943</v>
      </c>
      <c r="D7413" s="1">
        <v>44952</v>
      </c>
      <c r="E7413">
        <v>1</v>
      </c>
      <c r="F7413" t="str">
        <f>"06-I07-05"</f>
        <v>06-I07-05</v>
      </c>
      <c r="G7413">
        <v>2.7919999999999998</v>
      </c>
      <c r="H7413" t="s">
        <v>12</v>
      </c>
      <c r="I7413" t="s">
        <v>10</v>
      </c>
    </row>
    <row r="7414" spans="1:9" x14ac:dyDescent="0.25">
      <c r="A7414" t="str">
        <f t="shared" si="178"/>
        <v>89301000</v>
      </c>
      <c r="B7414" t="str">
        <f>"5561181472"</f>
        <v>5561181472</v>
      </c>
      <c r="C7414" s="1">
        <v>45083</v>
      </c>
      <c r="D7414" s="1">
        <v>45088</v>
      </c>
      <c r="E7414">
        <v>1</v>
      </c>
      <c r="F7414" t="str">
        <f>"06-I12-03"</f>
        <v>06-I12-03</v>
      </c>
      <c r="G7414">
        <v>1.9540999999999999</v>
      </c>
      <c r="H7414" t="s">
        <v>11</v>
      </c>
      <c r="I7414" t="s">
        <v>10</v>
      </c>
    </row>
    <row r="7415" spans="1:9" x14ac:dyDescent="0.25">
      <c r="A7415" t="str">
        <f t="shared" si="178"/>
        <v>89301000</v>
      </c>
      <c r="B7415" t="str">
        <f>"5561190954"</f>
        <v>5561190954</v>
      </c>
      <c r="C7415" s="1">
        <v>45244</v>
      </c>
      <c r="D7415" s="1">
        <v>45246</v>
      </c>
      <c r="E7415">
        <v>1</v>
      </c>
      <c r="F7415" t="str">
        <f>"05-M05-02"</f>
        <v>05-M05-02</v>
      </c>
      <c r="G7415">
        <v>3.4817999999999998</v>
      </c>
      <c r="H7415" t="s">
        <v>14</v>
      </c>
      <c r="I7415" t="s">
        <v>10</v>
      </c>
    </row>
    <row r="7416" spans="1:9" x14ac:dyDescent="0.25">
      <c r="A7416" t="str">
        <f t="shared" si="178"/>
        <v>89301000</v>
      </c>
      <c r="B7416" t="str">
        <f>"5561220434"</f>
        <v>5561220434</v>
      </c>
      <c r="C7416" s="1">
        <v>45154</v>
      </c>
      <c r="D7416" s="1">
        <v>45160</v>
      </c>
      <c r="E7416">
        <v>1</v>
      </c>
      <c r="F7416" t="str">
        <f>"08-I04-02"</f>
        <v>08-I04-02</v>
      </c>
      <c r="G7416">
        <v>1.6229</v>
      </c>
      <c r="H7416" t="s">
        <v>14</v>
      </c>
      <c r="I7416" t="s">
        <v>10</v>
      </c>
    </row>
    <row r="7417" spans="1:9" x14ac:dyDescent="0.25">
      <c r="A7417" t="str">
        <f t="shared" si="178"/>
        <v>89301000</v>
      </c>
      <c r="B7417" t="str">
        <f>"5562020838"</f>
        <v>5562020838</v>
      </c>
      <c r="C7417" s="1">
        <v>45202</v>
      </c>
      <c r="D7417" s="1">
        <v>45203</v>
      </c>
      <c r="E7417">
        <v>1</v>
      </c>
      <c r="F7417" t="str">
        <f>"02-I06-04"</f>
        <v>02-I06-04</v>
      </c>
      <c r="G7417">
        <v>0.79630000000000001</v>
      </c>
      <c r="H7417" t="s">
        <v>12</v>
      </c>
      <c r="I7417" t="s">
        <v>10</v>
      </c>
    </row>
    <row r="7418" spans="1:9" x14ac:dyDescent="0.25">
      <c r="A7418" t="str">
        <f t="shared" si="178"/>
        <v>89301000</v>
      </c>
      <c r="B7418" t="str">
        <f>"5562041705"</f>
        <v>5562041705</v>
      </c>
      <c r="C7418" s="1">
        <v>45087</v>
      </c>
      <c r="D7418" s="1">
        <v>45096</v>
      </c>
      <c r="E7418">
        <v>1</v>
      </c>
      <c r="F7418" t="str">
        <f>"03-K04-01"</f>
        <v>03-K04-01</v>
      </c>
      <c r="G7418">
        <v>0.52229999999999999</v>
      </c>
      <c r="H7418" t="s">
        <v>11</v>
      </c>
      <c r="I7418" t="s">
        <v>10</v>
      </c>
    </row>
    <row r="7419" spans="1:9" x14ac:dyDescent="0.25">
      <c r="A7419" t="str">
        <f t="shared" si="178"/>
        <v>89301000</v>
      </c>
      <c r="B7419" t="str">
        <f>"5562056247"</f>
        <v>5562056247</v>
      </c>
      <c r="C7419" s="1">
        <v>45184</v>
      </c>
      <c r="D7419" s="1">
        <v>45185</v>
      </c>
      <c r="E7419">
        <v>1</v>
      </c>
      <c r="F7419" t="str">
        <f>"13-I19-00"</f>
        <v>13-I19-00</v>
      </c>
      <c r="G7419">
        <v>0.28249999999999997</v>
      </c>
      <c r="H7419" t="s">
        <v>11</v>
      </c>
      <c r="I7419" t="s">
        <v>10</v>
      </c>
    </row>
    <row r="7420" spans="1:9" x14ac:dyDescent="0.25">
      <c r="A7420" t="str">
        <f t="shared" si="178"/>
        <v>89301000</v>
      </c>
      <c r="B7420" t="str">
        <f>"5562111313"</f>
        <v>5562111313</v>
      </c>
      <c r="C7420" s="1">
        <v>44964</v>
      </c>
      <c r="D7420" s="1">
        <v>44968</v>
      </c>
      <c r="E7420">
        <v>1</v>
      </c>
      <c r="F7420" t="str">
        <f>"07-I10-06"</f>
        <v>07-I10-06</v>
      </c>
      <c r="G7420">
        <v>0.98419999999999996</v>
      </c>
      <c r="H7420" t="s">
        <v>12</v>
      </c>
      <c r="I7420" t="s">
        <v>10</v>
      </c>
    </row>
    <row r="7421" spans="1:9" x14ac:dyDescent="0.25">
      <c r="A7421" t="str">
        <f t="shared" si="178"/>
        <v>89301000</v>
      </c>
      <c r="B7421" t="str">
        <f>"5562131454"</f>
        <v>5562131454</v>
      </c>
      <c r="C7421" s="1">
        <v>45038</v>
      </c>
      <c r="D7421" s="1">
        <v>45051</v>
      </c>
      <c r="E7421">
        <v>1</v>
      </c>
      <c r="F7421" t="str">
        <f>"08-K08-00"</f>
        <v>08-K08-00</v>
      </c>
      <c r="G7421">
        <v>0.65549999999999997</v>
      </c>
      <c r="H7421" t="s">
        <v>11</v>
      </c>
      <c r="I7421" t="s">
        <v>10</v>
      </c>
    </row>
    <row r="7422" spans="1:9" x14ac:dyDescent="0.25">
      <c r="A7422" t="str">
        <f t="shared" si="178"/>
        <v>89301000</v>
      </c>
      <c r="B7422" t="str">
        <f>"5562181207"</f>
        <v>5562181207</v>
      </c>
      <c r="C7422" s="1">
        <v>45017</v>
      </c>
      <c r="D7422" s="1">
        <v>45020</v>
      </c>
      <c r="E7422">
        <v>1</v>
      </c>
      <c r="F7422" t="str">
        <f>"03-K07-00"</f>
        <v>03-K07-00</v>
      </c>
      <c r="G7422">
        <v>0.39269999999999999</v>
      </c>
      <c r="H7422" t="s">
        <v>11</v>
      </c>
      <c r="I7422" t="s">
        <v>10</v>
      </c>
    </row>
    <row r="7423" spans="1:9" x14ac:dyDescent="0.25">
      <c r="A7423" t="str">
        <f t="shared" si="178"/>
        <v>89301000</v>
      </c>
      <c r="B7423" t="str">
        <f>"5562200743"</f>
        <v>5562200743</v>
      </c>
      <c r="C7423" s="1">
        <v>45245</v>
      </c>
      <c r="D7423" s="1">
        <v>45278</v>
      </c>
      <c r="E7423">
        <v>1</v>
      </c>
      <c r="F7423" t="str">
        <f>"04-I02-02"</f>
        <v>04-I02-02</v>
      </c>
      <c r="G7423">
        <v>5.9675000000000002</v>
      </c>
      <c r="H7423" t="s">
        <v>14</v>
      </c>
      <c r="I7423" t="s">
        <v>10</v>
      </c>
    </row>
    <row r="7424" spans="1:9" x14ac:dyDescent="0.25">
      <c r="A7424" t="str">
        <f t="shared" ref="A7424:A7486" si="179">"89301000"</f>
        <v>89301000</v>
      </c>
      <c r="B7424" t="str">
        <f>"5562200743"</f>
        <v>5562200743</v>
      </c>
      <c r="C7424" s="1">
        <v>45225</v>
      </c>
      <c r="D7424" s="1">
        <v>45230</v>
      </c>
      <c r="E7424">
        <v>1</v>
      </c>
      <c r="F7424" t="str">
        <f>"04-K09-02"</f>
        <v>04-K09-02</v>
      </c>
      <c r="G7424">
        <v>1.155</v>
      </c>
      <c r="H7424" t="s">
        <v>11</v>
      </c>
      <c r="I7424" t="s">
        <v>10</v>
      </c>
    </row>
    <row r="7425" spans="1:9" x14ac:dyDescent="0.25">
      <c r="A7425" t="str">
        <f t="shared" si="179"/>
        <v>89301000</v>
      </c>
      <c r="B7425" t="str">
        <f>"5562251706"</f>
        <v>5562251706</v>
      </c>
      <c r="C7425" s="1">
        <v>45084</v>
      </c>
      <c r="D7425" s="1">
        <v>45086</v>
      </c>
      <c r="E7425">
        <v>1</v>
      </c>
      <c r="F7425" t="str">
        <f>"02-I09-03"</f>
        <v>02-I09-03</v>
      </c>
      <c r="G7425">
        <v>0.88970000000000005</v>
      </c>
      <c r="H7425" t="s">
        <v>11</v>
      </c>
      <c r="I7425" t="s">
        <v>10</v>
      </c>
    </row>
    <row r="7426" spans="1:9" x14ac:dyDescent="0.25">
      <c r="A7426" t="str">
        <f t="shared" si="179"/>
        <v>89301000</v>
      </c>
      <c r="B7426" t="str">
        <f>"5562277050"</f>
        <v>5562277050</v>
      </c>
      <c r="C7426" s="1">
        <v>45194</v>
      </c>
      <c r="D7426" s="1">
        <v>45196</v>
      </c>
      <c r="E7426">
        <v>1</v>
      </c>
      <c r="F7426" t="str">
        <f>"08-I18-02"</f>
        <v>08-I18-02</v>
      </c>
      <c r="G7426">
        <v>0.62509999999999999</v>
      </c>
      <c r="H7426" t="s">
        <v>12</v>
      </c>
      <c r="I7426" t="s">
        <v>10</v>
      </c>
    </row>
    <row r="7427" spans="1:9" x14ac:dyDescent="0.25">
      <c r="A7427" t="str">
        <f t="shared" si="179"/>
        <v>89301000</v>
      </c>
      <c r="B7427" t="str">
        <f>"5562301657"</f>
        <v>5562301657</v>
      </c>
      <c r="C7427" s="1">
        <v>45049</v>
      </c>
      <c r="D7427" s="1">
        <v>45051</v>
      </c>
      <c r="E7427">
        <v>1</v>
      </c>
      <c r="F7427" t="str">
        <f>"01-K13-02"</f>
        <v>01-K13-02</v>
      </c>
      <c r="G7427">
        <v>0.73899999999999999</v>
      </c>
      <c r="H7427" t="s">
        <v>11</v>
      </c>
      <c r="I7427" t="s">
        <v>10</v>
      </c>
    </row>
    <row r="7428" spans="1:9" x14ac:dyDescent="0.25">
      <c r="A7428" t="str">
        <f t="shared" si="179"/>
        <v>89301000</v>
      </c>
      <c r="B7428" t="str">
        <f>"5562301657"</f>
        <v>5562301657</v>
      </c>
      <c r="C7428" s="1">
        <v>45093</v>
      </c>
      <c r="D7428" s="1">
        <v>45098</v>
      </c>
      <c r="E7428">
        <v>1</v>
      </c>
      <c r="F7428" t="str">
        <f>"01-I06-04"</f>
        <v>01-I06-04</v>
      </c>
      <c r="G7428">
        <v>3.6478999999999999</v>
      </c>
      <c r="H7428" t="s">
        <v>12</v>
      </c>
      <c r="I7428" t="s">
        <v>10</v>
      </c>
    </row>
    <row r="7429" spans="1:9" x14ac:dyDescent="0.25">
      <c r="A7429" t="str">
        <f t="shared" si="179"/>
        <v>89301000</v>
      </c>
      <c r="B7429" t="str">
        <f>"5601030369"</f>
        <v>5601030369</v>
      </c>
      <c r="C7429" s="1">
        <v>45237</v>
      </c>
      <c r="D7429" s="1">
        <v>45240</v>
      </c>
      <c r="E7429">
        <v>1</v>
      </c>
      <c r="F7429" t="str">
        <f>"01-K12-01"</f>
        <v>01-K12-01</v>
      </c>
      <c r="G7429">
        <v>0.73780000000000001</v>
      </c>
      <c r="H7429" t="s">
        <v>11</v>
      </c>
      <c r="I7429" t="s">
        <v>10</v>
      </c>
    </row>
    <row r="7430" spans="1:9" x14ac:dyDescent="0.25">
      <c r="A7430" t="str">
        <f t="shared" si="179"/>
        <v>89301000</v>
      </c>
      <c r="B7430" t="str">
        <f>"5601110625"</f>
        <v>5601110625</v>
      </c>
      <c r="C7430" s="1">
        <v>44930</v>
      </c>
      <c r="D7430" s="1">
        <v>44936</v>
      </c>
      <c r="E7430">
        <v>1</v>
      </c>
      <c r="F7430" t="str">
        <f>"20-K03-03"</f>
        <v>20-K03-03</v>
      </c>
      <c r="G7430">
        <v>0.94020000000000004</v>
      </c>
      <c r="H7430" t="s">
        <v>11</v>
      </c>
      <c r="I7430" t="s">
        <v>10</v>
      </c>
    </row>
    <row r="7431" spans="1:9" x14ac:dyDescent="0.25">
      <c r="A7431" t="str">
        <f t="shared" si="179"/>
        <v>89301000</v>
      </c>
      <c r="B7431" t="str">
        <f>"5601150181"</f>
        <v>5601150181</v>
      </c>
      <c r="C7431" s="1">
        <v>45091</v>
      </c>
      <c r="D7431" s="1">
        <v>45096</v>
      </c>
      <c r="E7431">
        <v>1</v>
      </c>
      <c r="F7431" t="str">
        <f>"09-K14-01"</f>
        <v>09-K14-01</v>
      </c>
      <c r="G7431">
        <v>0.95530000000000004</v>
      </c>
      <c r="H7431" t="s">
        <v>11</v>
      </c>
      <c r="I7431" t="s">
        <v>10</v>
      </c>
    </row>
    <row r="7432" spans="1:9" x14ac:dyDescent="0.25">
      <c r="A7432" t="str">
        <f t="shared" si="179"/>
        <v>89301000</v>
      </c>
      <c r="B7432" t="str">
        <f>"5601200638"</f>
        <v>5601200638</v>
      </c>
      <c r="C7432" s="1">
        <v>44998</v>
      </c>
      <c r="D7432" s="1">
        <v>45000</v>
      </c>
      <c r="E7432">
        <v>1</v>
      </c>
      <c r="F7432" t="str">
        <f>"05-I30-02"</f>
        <v>05-I30-02</v>
      </c>
      <c r="G7432">
        <v>0.41699999999999998</v>
      </c>
      <c r="H7432" t="s">
        <v>12</v>
      </c>
      <c r="I7432" t="s">
        <v>10</v>
      </c>
    </row>
    <row r="7433" spans="1:9" x14ac:dyDescent="0.25">
      <c r="A7433" t="str">
        <f t="shared" si="179"/>
        <v>89301000</v>
      </c>
      <c r="B7433" t="str">
        <f>"5601200638"</f>
        <v>5601200638</v>
      </c>
      <c r="C7433" s="1">
        <v>44956</v>
      </c>
      <c r="D7433" s="1">
        <v>44958</v>
      </c>
      <c r="E7433">
        <v>1</v>
      </c>
      <c r="F7433" t="str">
        <f>"05-I30-02"</f>
        <v>05-I30-02</v>
      </c>
      <c r="G7433">
        <v>0.41699999999999998</v>
      </c>
      <c r="H7433" t="s">
        <v>12</v>
      </c>
      <c r="I7433" t="s">
        <v>10</v>
      </c>
    </row>
    <row r="7434" spans="1:9" x14ac:dyDescent="0.25">
      <c r="A7434" t="str">
        <f t="shared" si="179"/>
        <v>89301000</v>
      </c>
      <c r="B7434" t="str">
        <f>"5601210483"</f>
        <v>5601210483</v>
      </c>
      <c r="C7434" s="1">
        <v>44973</v>
      </c>
      <c r="D7434" s="1">
        <v>44979</v>
      </c>
      <c r="E7434">
        <v>8</v>
      </c>
      <c r="F7434" t="str">
        <f>"03-R01-08"</f>
        <v>03-R01-08</v>
      </c>
      <c r="G7434">
        <v>1.0552999999999999</v>
      </c>
      <c r="H7434" t="s">
        <v>11</v>
      </c>
      <c r="I7434" t="s">
        <v>10</v>
      </c>
    </row>
    <row r="7435" spans="1:9" x14ac:dyDescent="0.25">
      <c r="A7435" t="str">
        <f t="shared" si="179"/>
        <v>89301000</v>
      </c>
      <c r="B7435" t="str">
        <f>"5601210681"</f>
        <v>5601210681</v>
      </c>
      <c r="C7435" s="1">
        <v>44973</v>
      </c>
      <c r="D7435" s="1">
        <v>44974</v>
      </c>
      <c r="E7435">
        <v>5</v>
      </c>
      <c r="F7435" t="str">
        <f>"05-M06-06"</f>
        <v>05-M06-06</v>
      </c>
      <c r="G7435">
        <v>1.8264</v>
      </c>
      <c r="H7435" t="s">
        <v>12</v>
      </c>
      <c r="I7435" t="s">
        <v>10</v>
      </c>
    </row>
    <row r="7436" spans="1:9" x14ac:dyDescent="0.25">
      <c r="A7436" t="str">
        <f t="shared" si="179"/>
        <v>89301000</v>
      </c>
      <c r="B7436" t="str">
        <f>"5601210681"</f>
        <v>5601210681</v>
      </c>
      <c r="C7436" s="1">
        <v>44985</v>
      </c>
      <c r="D7436" s="1">
        <v>44988</v>
      </c>
      <c r="E7436">
        <v>5</v>
      </c>
      <c r="F7436" t="str">
        <f>"05-D01-06"</f>
        <v>05-D01-06</v>
      </c>
      <c r="G7436">
        <v>0.7571</v>
      </c>
      <c r="H7436" t="s">
        <v>11</v>
      </c>
      <c r="I7436" t="s">
        <v>10</v>
      </c>
    </row>
    <row r="7437" spans="1:9" x14ac:dyDescent="0.25">
      <c r="A7437" t="str">
        <f t="shared" si="179"/>
        <v>89301000</v>
      </c>
      <c r="B7437" t="str">
        <f>"5601210681"</f>
        <v>5601210681</v>
      </c>
      <c r="C7437" s="1">
        <v>44994</v>
      </c>
      <c r="D7437" s="1">
        <v>45006</v>
      </c>
      <c r="E7437">
        <v>1</v>
      </c>
      <c r="F7437" t="str">
        <f>"05-I16-06"</f>
        <v>05-I16-06</v>
      </c>
      <c r="G7437">
        <v>5.6303000000000001</v>
      </c>
      <c r="H7437" t="s">
        <v>14</v>
      </c>
      <c r="I7437" t="s">
        <v>10</v>
      </c>
    </row>
    <row r="7438" spans="1:9" x14ac:dyDescent="0.25">
      <c r="A7438" t="str">
        <f t="shared" si="179"/>
        <v>89301000</v>
      </c>
      <c r="B7438" t="str">
        <f>"5601260808"</f>
        <v>5601260808</v>
      </c>
      <c r="C7438" s="1">
        <v>45075</v>
      </c>
      <c r="D7438" s="1">
        <v>45080</v>
      </c>
      <c r="E7438">
        <v>1</v>
      </c>
      <c r="F7438" t="str">
        <f>"11-I07-01"</f>
        <v>11-I07-01</v>
      </c>
      <c r="G7438">
        <v>2.7482000000000002</v>
      </c>
      <c r="H7438" t="s">
        <v>9</v>
      </c>
      <c r="I7438" t="s">
        <v>10</v>
      </c>
    </row>
    <row r="7439" spans="1:9" x14ac:dyDescent="0.25">
      <c r="A7439" t="str">
        <f t="shared" si="179"/>
        <v>89301000</v>
      </c>
      <c r="B7439" t="str">
        <f>"5601261391"</f>
        <v>5601261391</v>
      </c>
      <c r="C7439" s="1">
        <v>45278</v>
      </c>
      <c r="D7439" s="1">
        <v>45282</v>
      </c>
      <c r="E7439">
        <v>1</v>
      </c>
      <c r="F7439" t="str">
        <f>"03-I11-02"</f>
        <v>03-I11-02</v>
      </c>
      <c r="G7439">
        <v>1.123</v>
      </c>
      <c r="H7439" t="s">
        <v>12</v>
      </c>
      <c r="I7439" t="s">
        <v>10</v>
      </c>
    </row>
    <row r="7440" spans="1:9" x14ac:dyDescent="0.25">
      <c r="A7440" t="str">
        <f t="shared" si="179"/>
        <v>89301000</v>
      </c>
      <c r="B7440" t="str">
        <f>"5601270697"</f>
        <v>5601270697</v>
      </c>
      <c r="C7440" s="1">
        <v>45242</v>
      </c>
      <c r="D7440" s="1">
        <v>45245</v>
      </c>
      <c r="E7440">
        <v>1</v>
      </c>
      <c r="F7440" t="str">
        <f>"02-I06-03"</f>
        <v>02-I06-03</v>
      </c>
      <c r="G7440">
        <v>0.99260000000000004</v>
      </c>
      <c r="H7440" t="s">
        <v>12</v>
      </c>
      <c r="I7440" t="s">
        <v>10</v>
      </c>
    </row>
    <row r="7441" spans="1:9" x14ac:dyDescent="0.25">
      <c r="A7441" t="str">
        <f t="shared" si="179"/>
        <v>89301000</v>
      </c>
      <c r="B7441" t="str">
        <f>"5601281444"</f>
        <v>5601281444</v>
      </c>
      <c r="C7441" s="1">
        <v>44991</v>
      </c>
      <c r="D7441" s="1">
        <v>44994</v>
      </c>
      <c r="E7441">
        <v>1</v>
      </c>
      <c r="F7441" t="str">
        <f>"01-K03-08"</f>
        <v>01-K03-08</v>
      </c>
      <c r="G7441">
        <v>0.38290000000000002</v>
      </c>
      <c r="H7441" t="s">
        <v>11</v>
      </c>
      <c r="I7441" t="s">
        <v>10</v>
      </c>
    </row>
    <row r="7442" spans="1:9" x14ac:dyDescent="0.25">
      <c r="A7442" t="str">
        <f t="shared" si="179"/>
        <v>89301000</v>
      </c>
      <c r="B7442" t="str">
        <f>"5601281444"</f>
        <v>5601281444</v>
      </c>
      <c r="C7442" s="1">
        <v>44997</v>
      </c>
      <c r="D7442" s="1">
        <v>45002</v>
      </c>
      <c r="E7442">
        <v>1</v>
      </c>
      <c r="F7442" t="str">
        <f>"01-K03-05"</f>
        <v>01-K03-05</v>
      </c>
      <c r="G7442">
        <v>1.6964999999999999</v>
      </c>
      <c r="H7442" t="s">
        <v>11</v>
      </c>
      <c r="I7442" t="s">
        <v>10</v>
      </c>
    </row>
    <row r="7443" spans="1:9" x14ac:dyDescent="0.25">
      <c r="A7443" t="str">
        <f t="shared" si="179"/>
        <v>89301000</v>
      </c>
      <c r="B7443" t="str">
        <f>"5602021370"</f>
        <v>5602021370</v>
      </c>
      <c r="C7443" s="1">
        <v>45145</v>
      </c>
      <c r="D7443" s="1">
        <v>45148</v>
      </c>
      <c r="E7443">
        <v>1</v>
      </c>
      <c r="F7443" t="str">
        <f>"08-I04-02"</f>
        <v>08-I04-02</v>
      </c>
      <c r="G7443">
        <v>1.6229</v>
      </c>
      <c r="H7443" t="s">
        <v>14</v>
      </c>
      <c r="I7443" t="s">
        <v>10</v>
      </c>
    </row>
    <row r="7444" spans="1:9" x14ac:dyDescent="0.25">
      <c r="A7444" t="str">
        <f t="shared" si="179"/>
        <v>89301000</v>
      </c>
      <c r="B7444" t="str">
        <f>"5602052258"</f>
        <v>5602052258</v>
      </c>
      <c r="C7444" s="1">
        <v>45225</v>
      </c>
      <c r="D7444" s="1">
        <v>45227</v>
      </c>
      <c r="E7444">
        <v>1</v>
      </c>
      <c r="F7444" t="str">
        <f>"03-I24-00"</f>
        <v>03-I24-00</v>
      </c>
      <c r="G7444">
        <v>0.40899999999999997</v>
      </c>
      <c r="H7444" t="s">
        <v>11</v>
      </c>
      <c r="I7444" t="s">
        <v>10</v>
      </c>
    </row>
    <row r="7445" spans="1:9" x14ac:dyDescent="0.25">
      <c r="A7445" t="str">
        <f t="shared" si="179"/>
        <v>89301000</v>
      </c>
      <c r="B7445" t="str">
        <f>"5602071002"</f>
        <v>5602071002</v>
      </c>
      <c r="C7445" s="1">
        <v>45027</v>
      </c>
      <c r="D7445" s="1">
        <v>45083</v>
      </c>
      <c r="E7445">
        <v>8</v>
      </c>
      <c r="F7445" t="str">
        <f>"07-M02-01"</f>
        <v>07-M02-01</v>
      </c>
      <c r="G7445">
        <v>5.1603000000000003</v>
      </c>
      <c r="H7445" t="s">
        <v>12</v>
      </c>
      <c r="I7445" t="s">
        <v>10</v>
      </c>
    </row>
    <row r="7446" spans="1:9" x14ac:dyDescent="0.25">
      <c r="A7446" t="str">
        <f t="shared" si="179"/>
        <v>89301000</v>
      </c>
      <c r="B7446" t="str">
        <f>"5602102121"</f>
        <v>5602102121</v>
      </c>
      <c r="C7446" s="1">
        <v>45124</v>
      </c>
      <c r="D7446" s="1">
        <v>45126</v>
      </c>
      <c r="E7446">
        <v>1</v>
      </c>
      <c r="F7446" t="str">
        <f>"04-R02-08"</f>
        <v>04-R02-08</v>
      </c>
      <c r="G7446">
        <v>1.0724</v>
      </c>
      <c r="H7446" t="s">
        <v>11</v>
      </c>
      <c r="I7446" t="s">
        <v>10</v>
      </c>
    </row>
    <row r="7447" spans="1:9" x14ac:dyDescent="0.25">
      <c r="A7447" t="str">
        <f t="shared" si="179"/>
        <v>89301000</v>
      </c>
      <c r="B7447" t="str">
        <f>"5602102121"</f>
        <v>5602102121</v>
      </c>
      <c r="C7447" s="1">
        <v>45077</v>
      </c>
      <c r="D7447" s="1">
        <v>45079</v>
      </c>
      <c r="E7447">
        <v>1</v>
      </c>
      <c r="F7447" t="str">
        <f>"04-K09-03"</f>
        <v>04-K09-03</v>
      </c>
      <c r="G7447">
        <v>0.65600000000000003</v>
      </c>
      <c r="H7447" t="s">
        <v>11</v>
      </c>
      <c r="I7447" t="s">
        <v>10</v>
      </c>
    </row>
    <row r="7448" spans="1:9" x14ac:dyDescent="0.25">
      <c r="A7448" t="str">
        <f t="shared" si="179"/>
        <v>89301000</v>
      </c>
      <c r="B7448" t="str">
        <f>"5602102121"</f>
        <v>5602102121</v>
      </c>
      <c r="C7448" s="1">
        <v>45098</v>
      </c>
      <c r="D7448" s="1">
        <v>45101</v>
      </c>
      <c r="E7448">
        <v>1</v>
      </c>
      <c r="F7448" t="str">
        <f>"04-C02-02"</f>
        <v>04-C02-02</v>
      </c>
      <c r="G7448">
        <v>0.36070000000000002</v>
      </c>
      <c r="H7448" t="s">
        <v>11</v>
      </c>
      <c r="I7448" t="s">
        <v>10</v>
      </c>
    </row>
    <row r="7449" spans="1:9" x14ac:dyDescent="0.25">
      <c r="A7449" t="str">
        <f t="shared" si="179"/>
        <v>89301000</v>
      </c>
      <c r="B7449" t="str">
        <f>"5602110679"</f>
        <v>5602110679</v>
      </c>
      <c r="C7449" s="1">
        <v>45209</v>
      </c>
      <c r="D7449" s="1">
        <v>45213</v>
      </c>
      <c r="E7449">
        <v>1</v>
      </c>
      <c r="F7449" t="str">
        <f>"03-I24-00"</f>
        <v>03-I24-00</v>
      </c>
      <c r="G7449">
        <v>0.40670000000000001</v>
      </c>
      <c r="H7449" t="s">
        <v>11</v>
      </c>
      <c r="I7449" t="s">
        <v>10</v>
      </c>
    </row>
    <row r="7450" spans="1:9" x14ac:dyDescent="0.25">
      <c r="A7450" t="str">
        <f t="shared" si="179"/>
        <v>89301000</v>
      </c>
      <c r="B7450" t="str">
        <f>"5602131414"</f>
        <v>5602131414</v>
      </c>
      <c r="C7450" s="1">
        <v>45251</v>
      </c>
      <c r="D7450" s="1">
        <v>45260</v>
      </c>
      <c r="E7450">
        <v>1</v>
      </c>
      <c r="F7450" t="str">
        <f>"02-I09-02"</f>
        <v>02-I09-02</v>
      </c>
      <c r="G7450">
        <v>1.0094000000000001</v>
      </c>
      <c r="H7450" t="s">
        <v>11</v>
      </c>
      <c r="I7450" t="s">
        <v>10</v>
      </c>
    </row>
    <row r="7451" spans="1:9" x14ac:dyDescent="0.25">
      <c r="A7451" t="str">
        <f t="shared" si="179"/>
        <v>89301000</v>
      </c>
      <c r="B7451" t="str">
        <f>"5602171223"</f>
        <v>5602171223</v>
      </c>
      <c r="C7451" s="1">
        <v>45230</v>
      </c>
      <c r="D7451" s="1">
        <v>45237</v>
      </c>
      <c r="E7451">
        <v>1</v>
      </c>
      <c r="F7451" t="str">
        <f>"08-K08-00"</f>
        <v>08-K08-00</v>
      </c>
      <c r="G7451">
        <v>0.5272</v>
      </c>
      <c r="H7451" t="s">
        <v>11</v>
      </c>
      <c r="I7451" t="s">
        <v>10</v>
      </c>
    </row>
    <row r="7452" spans="1:9" x14ac:dyDescent="0.25">
      <c r="A7452" t="str">
        <f t="shared" si="179"/>
        <v>89301000</v>
      </c>
      <c r="B7452" t="str">
        <f>"5602181519"</f>
        <v>5602181519</v>
      </c>
      <c r="C7452" s="1">
        <v>45151</v>
      </c>
      <c r="D7452" s="1">
        <v>45154</v>
      </c>
      <c r="E7452">
        <v>1</v>
      </c>
      <c r="F7452" t="str">
        <f>"10-I13-02"</f>
        <v>10-I13-02</v>
      </c>
      <c r="G7452">
        <v>1.1124000000000001</v>
      </c>
      <c r="H7452" t="s">
        <v>9</v>
      </c>
      <c r="I7452" t="s">
        <v>10</v>
      </c>
    </row>
    <row r="7453" spans="1:9" x14ac:dyDescent="0.25">
      <c r="A7453" t="str">
        <f t="shared" si="179"/>
        <v>89301000</v>
      </c>
      <c r="B7453" t="str">
        <f>"5602250588"</f>
        <v>5602250588</v>
      </c>
      <c r="C7453" s="1">
        <v>45141</v>
      </c>
      <c r="D7453" s="1">
        <v>45143</v>
      </c>
      <c r="E7453">
        <v>1</v>
      </c>
      <c r="F7453" t="str">
        <f>"05-M05-02"</f>
        <v>05-M05-02</v>
      </c>
      <c r="G7453">
        <v>3.4817999999999998</v>
      </c>
      <c r="H7453" t="s">
        <v>14</v>
      </c>
      <c r="I7453" t="s">
        <v>10</v>
      </c>
    </row>
    <row r="7454" spans="1:9" x14ac:dyDescent="0.25">
      <c r="A7454" t="str">
        <f t="shared" si="179"/>
        <v>89301000</v>
      </c>
      <c r="B7454" t="str">
        <f>"5602272071"</f>
        <v>5602272071</v>
      </c>
      <c r="C7454" s="1">
        <v>45149</v>
      </c>
      <c r="D7454" s="1">
        <v>45156</v>
      </c>
      <c r="E7454">
        <v>1</v>
      </c>
      <c r="F7454" t="str">
        <f>"08-K08-00"</f>
        <v>08-K08-00</v>
      </c>
      <c r="G7454">
        <v>0.5272</v>
      </c>
      <c r="H7454" t="s">
        <v>11</v>
      </c>
      <c r="I7454" t="s">
        <v>10</v>
      </c>
    </row>
    <row r="7455" spans="1:9" x14ac:dyDescent="0.25">
      <c r="A7455" t="str">
        <f t="shared" si="179"/>
        <v>89301000</v>
      </c>
      <c r="B7455" t="str">
        <f>"5602281751"</f>
        <v>5602281751</v>
      </c>
      <c r="C7455" s="1">
        <v>45123</v>
      </c>
      <c r="D7455" s="1">
        <v>45152</v>
      </c>
      <c r="E7455">
        <v>1</v>
      </c>
      <c r="F7455" t="str">
        <f>"05-K07-04"</f>
        <v>05-K07-04</v>
      </c>
      <c r="G7455">
        <v>1.7755000000000001</v>
      </c>
      <c r="H7455" t="s">
        <v>11</v>
      </c>
      <c r="I7455" t="s">
        <v>10</v>
      </c>
    </row>
    <row r="7456" spans="1:9" x14ac:dyDescent="0.25">
      <c r="A7456" t="str">
        <f t="shared" si="179"/>
        <v>89301000</v>
      </c>
      <c r="B7456" t="str">
        <f>"5603051410"</f>
        <v>5603051410</v>
      </c>
      <c r="C7456" s="1">
        <v>45184</v>
      </c>
      <c r="D7456" s="1">
        <v>45195</v>
      </c>
      <c r="E7456">
        <v>1</v>
      </c>
      <c r="F7456" t="str">
        <f>"05-I16-06"</f>
        <v>05-I16-06</v>
      </c>
      <c r="G7456">
        <v>5.6303000000000001</v>
      </c>
      <c r="H7456" t="s">
        <v>14</v>
      </c>
      <c r="I7456" t="s">
        <v>10</v>
      </c>
    </row>
    <row r="7457" spans="1:9" x14ac:dyDescent="0.25">
      <c r="A7457" t="str">
        <f t="shared" si="179"/>
        <v>89301000</v>
      </c>
      <c r="B7457" t="str">
        <f>"5603091615"</f>
        <v>5603091615</v>
      </c>
      <c r="C7457" s="1">
        <v>45268</v>
      </c>
      <c r="D7457" s="1">
        <v>45269</v>
      </c>
      <c r="E7457">
        <v>1</v>
      </c>
      <c r="F7457" t="str">
        <f>"12-I14-00"</f>
        <v>12-I14-00</v>
      </c>
      <c r="G7457">
        <v>0.42920000000000003</v>
      </c>
      <c r="H7457" t="s">
        <v>11</v>
      </c>
      <c r="I7457" t="s">
        <v>10</v>
      </c>
    </row>
    <row r="7458" spans="1:9" x14ac:dyDescent="0.25">
      <c r="A7458" t="str">
        <f t="shared" si="179"/>
        <v>89301000</v>
      </c>
      <c r="B7458" t="str">
        <f>"5603112207"</f>
        <v>5603112207</v>
      </c>
      <c r="C7458" s="1">
        <v>45182</v>
      </c>
      <c r="D7458" s="1">
        <v>45186</v>
      </c>
      <c r="E7458">
        <v>1</v>
      </c>
      <c r="F7458" t="str">
        <f>"06-I16-04"</f>
        <v>06-I16-04</v>
      </c>
      <c r="G7458">
        <v>0.68920000000000003</v>
      </c>
      <c r="H7458" t="s">
        <v>9</v>
      </c>
      <c r="I7458" t="s">
        <v>10</v>
      </c>
    </row>
    <row r="7459" spans="1:9" x14ac:dyDescent="0.25">
      <c r="A7459" t="str">
        <f t="shared" si="179"/>
        <v>89301000</v>
      </c>
      <c r="B7459" t="str">
        <f>"5603141665"</f>
        <v>5603141665</v>
      </c>
      <c r="C7459" s="1">
        <v>45266</v>
      </c>
      <c r="D7459" s="1">
        <v>45267</v>
      </c>
      <c r="E7459">
        <v>1</v>
      </c>
      <c r="F7459" t="str">
        <f>"07-C01-02"</f>
        <v>07-C01-02</v>
      </c>
      <c r="G7459">
        <v>0.3483</v>
      </c>
      <c r="H7459" t="s">
        <v>11</v>
      </c>
      <c r="I7459" t="s">
        <v>10</v>
      </c>
    </row>
    <row r="7460" spans="1:9" x14ac:dyDescent="0.25">
      <c r="A7460" t="str">
        <f t="shared" si="179"/>
        <v>89301000</v>
      </c>
      <c r="B7460" t="str">
        <f>"5603141665"</f>
        <v>5603141665</v>
      </c>
      <c r="C7460" s="1">
        <v>45252</v>
      </c>
      <c r="D7460" s="1">
        <v>45253</v>
      </c>
      <c r="E7460">
        <v>1</v>
      </c>
      <c r="F7460" t="str">
        <f>"07-C01-02"</f>
        <v>07-C01-02</v>
      </c>
      <c r="G7460">
        <v>0.3483</v>
      </c>
      <c r="H7460" t="s">
        <v>11</v>
      </c>
      <c r="I7460" t="s">
        <v>10</v>
      </c>
    </row>
    <row r="7461" spans="1:9" x14ac:dyDescent="0.25">
      <c r="A7461" t="str">
        <f t="shared" si="179"/>
        <v>89301000</v>
      </c>
      <c r="B7461" t="str">
        <f>"5603141665"</f>
        <v>5603141665</v>
      </c>
      <c r="C7461" s="1">
        <v>45231</v>
      </c>
      <c r="D7461" s="1">
        <v>45233</v>
      </c>
      <c r="E7461">
        <v>1</v>
      </c>
      <c r="F7461" t="str">
        <f>"07-K06-02"</f>
        <v>07-K06-02</v>
      </c>
      <c r="G7461">
        <v>0.44590000000000002</v>
      </c>
      <c r="H7461" t="s">
        <v>11</v>
      </c>
      <c r="I7461" t="s">
        <v>10</v>
      </c>
    </row>
    <row r="7462" spans="1:9" x14ac:dyDescent="0.25">
      <c r="A7462" t="str">
        <f t="shared" si="179"/>
        <v>89301000</v>
      </c>
      <c r="B7462" t="str">
        <f>"5603141665"</f>
        <v>5603141665</v>
      </c>
      <c r="C7462" s="1">
        <v>45273</v>
      </c>
      <c r="D7462" s="1">
        <v>45275</v>
      </c>
      <c r="E7462">
        <v>1</v>
      </c>
      <c r="F7462" t="str">
        <f>"07-C01-02"</f>
        <v>07-C01-02</v>
      </c>
      <c r="G7462">
        <v>0.3483</v>
      </c>
      <c r="H7462" t="s">
        <v>11</v>
      </c>
      <c r="I7462" t="s">
        <v>10</v>
      </c>
    </row>
    <row r="7463" spans="1:9" x14ac:dyDescent="0.25">
      <c r="A7463" t="str">
        <f t="shared" si="179"/>
        <v>89301000</v>
      </c>
      <c r="B7463" t="str">
        <f>"5603141665"</f>
        <v>5603141665</v>
      </c>
      <c r="C7463" s="1">
        <v>45173</v>
      </c>
      <c r="D7463" s="1">
        <v>45174</v>
      </c>
      <c r="E7463">
        <v>1</v>
      </c>
      <c r="F7463" t="str">
        <f>"07-K08-02"</f>
        <v>07-K08-02</v>
      </c>
      <c r="G7463">
        <v>0.35310000000000002</v>
      </c>
      <c r="H7463" t="s">
        <v>11</v>
      </c>
      <c r="I7463" t="s">
        <v>10</v>
      </c>
    </row>
    <row r="7464" spans="1:9" x14ac:dyDescent="0.25">
      <c r="A7464" t="str">
        <f t="shared" si="179"/>
        <v>89301000</v>
      </c>
      <c r="B7464" t="str">
        <f>"5603181287"</f>
        <v>5603181287</v>
      </c>
      <c r="C7464" s="1">
        <v>45159</v>
      </c>
      <c r="D7464" s="1">
        <v>45161</v>
      </c>
      <c r="E7464">
        <v>5</v>
      </c>
      <c r="F7464" t="str">
        <f>"06-M01-05"</f>
        <v>06-M01-05</v>
      </c>
      <c r="G7464">
        <v>0.4481</v>
      </c>
      <c r="H7464" t="s">
        <v>11</v>
      </c>
      <c r="I7464" t="s">
        <v>10</v>
      </c>
    </row>
    <row r="7465" spans="1:9" x14ac:dyDescent="0.25">
      <c r="A7465" t="str">
        <f t="shared" si="179"/>
        <v>89301000</v>
      </c>
      <c r="B7465" t="str">
        <f>"5603302518"</f>
        <v>5603302518</v>
      </c>
      <c r="C7465" s="1">
        <v>45219</v>
      </c>
      <c r="D7465" s="1">
        <v>45223</v>
      </c>
      <c r="E7465">
        <v>1</v>
      </c>
      <c r="F7465" t="str">
        <f>"05-D01-08"</f>
        <v>05-D01-08</v>
      </c>
      <c r="G7465">
        <v>0.43159999999999998</v>
      </c>
      <c r="H7465" t="s">
        <v>11</v>
      </c>
      <c r="I7465" t="s">
        <v>10</v>
      </c>
    </row>
    <row r="7466" spans="1:9" x14ac:dyDescent="0.25">
      <c r="A7466" t="str">
        <f t="shared" si="179"/>
        <v>89301000</v>
      </c>
      <c r="B7466" t="str">
        <f>"5603302518"</f>
        <v>5603302518</v>
      </c>
      <c r="C7466" s="1">
        <v>44892</v>
      </c>
      <c r="D7466" s="1">
        <v>44953</v>
      </c>
      <c r="E7466">
        <v>1</v>
      </c>
      <c r="F7466" t="str">
        <f>"06-I12-01"</f>
        <v>06-I12-01</v>
      </c>
      <c r="G7466">
        <v>9.6180000000000003</v>
      </c>
      <c r="H7466" t="s">
        <v>11</v>
      </c>
      <c r="I7466" t="s">
        <v>10</v>
      </c>
    </row>
    <row r="7467" spans="1:9" x14ac:dyDescent="0.25">
      <c r="A7467" t="str">
        <f t="shared" si="179"/>
        <v>89301000</v>
      </c>
      <c r="B7467" t="str">
        <f>"5604072408"</f>
        <v>5604072408</v>
      </c>
      <c r="C7467" s="1">
        <v>45180</v>
      </c>
      <c r="D7467" s="1">
        <v>45212</v>
      </c>
      <c r="E7467">
        <v>1</v>
      </c>
      <c r="F7467" t="str">
        <f>"06-R01-01"</f>
        <v>06-R01-01</v>
      </c>
      <c r="G7467">
        <v>5.7748999999999997</v>
      </c>
      <c r="H7467" t="s">
        <v>11</v>
      </c>
      <c r="I7467" t="s">
        <v>10</v>
      </c>
    </row>
    <row r="7468" spans="1:9" x14ac:dyDescent="0.25">
      <c r="A7468" t="str">
        <f t="shared" si="179"/>
        <v>89301000</v>
      </c>
      <c r="B7468" t="str">
        <f>"5604072408"</f>
        <v>5604072408</v>
      </c>
      <c r="C7468" s="1">
        <v>45153</v>
      </c>
      <c r="D7468" s="1">
        <v>45161</v>
      </c>
      <c r="E7468">
        <v>1</v>
      </c>
      <c r="F7468" t="str">
        <f>"06-I13-03"</f>
        <v>06-I13-03</v>
      </c>
      <c r="G7468">
        <v>1.5217000000000001</v>
      </c>
      <c r="H7468" t="s">
        <v>11</v>
      </c>
      <c r="I7468" t="s">
        <v>10</v>
      </c>
    </row>
    <row r="7469" spans="1:9" x14ac:dyDescent="0.25">
      <c r="A7469" t="str">
        <f t="shared" si="179"/>
        <v>89301000</v>
      </c>
      <c r="B7469" t="str">
        <f>"5604081351"</f>
        <v>5604081351</v>
      </c>
      <c r="C7469" s="1">
        <v>45207</v>
      </c>
      <c r="D7469" s="1">
        <v>45213</v>
      </c>
      <c r="E7469">
        <v>1</v>
      </c>
      <c r="F7469" t="str">
        <f>"12-I03-01"</f>
        <v>12-I03-01</v>
      </c>
      <c r="G7469">
        <v>2.6934999999999998</v>
      </c>
      <c r="H7469" t="s">
        <v>9</v>
      </c>
      <c r="I7469" t="s">
        <v>10</v>
      </c>
    </row>
    <row r="7470" spans="1:9" x14ac:dyDescent="0.25">
      <c r="A7470" t="str">
        <f t="shared" si="179"/>
        <v>89301000</v>
      </c>
      <c r="B7470" t="str">
        <f>"5604116991"</f>
        <v>5604116991</v>
      </c>
      <c r="C7470" s="1">
        <v>45132</v>
      </c>
      <c r="D7470" s="1">
        <v>45136</v>
      </c>
      <c r="E7470">
        <v>1</v>
      </c>
      <c r="F7470" t="str">
        <f>"08-I06-04"</f>
        <v>08-I06-04</v>
      </c>
      <c r="G7470">
        <v>2.4180000000000001</v>
      </c>
      <c r="H7470" t="s">
        <v>9</v>
      </c>
      <c r="I7470" t="s">
        <v>10</v>
      </c>
    </row>
    <row r="7471" spans="1:9" x14ac:dyDescent="0.25">
      <c r="A7471" t="str">
        <f t="shared" si="179"/>
        <v>89301000</v>
      </c>
      <c r="B7471" t="str">
        <f>"5604151421"</f>
        <v>5604151421</v>
      </c>
      <c r="C7471" s="1">
        <v>45215</v>
      </c>
      <c r="D7471" s="1">
        <v>45217</v>
      </c>
      <c r="E7471">
        <v>1</v>
      </c>
      <c r="F7471" t="str">
        <f>"08-M03-01"</f>
        <v>08-M03-01</v>
      </c>
      <c r="G7471">
        <v>0.93420000000000003</v>
      </c>
      <c r="H7471" t="s">
        <v>11</v>
      </c>
      <c r="I7471" t="s">
        <v>10</v>
      </c>
    </row>
    <row r="7472" spans="1:9" x14ac:dyDescent="0.25">
      <c r="A7472" t="str">
        <f t="shared" si="179"/>
        <v>89301000</v>
      </c>
      <c r="B7472" t="str">
        <f>"5604202120"</f>
        <v>5604202120</v>
      </c>
      <c r="C7472" s="1">
        <v>45005</v>
      </c>
      <c r="D7472" s="1">
        <v>45013</v>
      </c>
      <c r="E7472">
        <v>1</v>
      </c>
      <c r="F7472" t="str">
        <f>"05-M02-02"</f>
        <v>05-M02-02</v>
      </c>
      <c r="G7472">
        <v>8.0436999999999994</v>
      </c>
      <c r="H7472" t="s">
        <v>14</v>
      </c>
      <c r="I7472" t="s">
        <v>10</v>
      </c>
    </row>
    <row r="7473" spans="1:9" x14ac:dyDescent="0.25">
      <c r="A7473" t="str">
        <f t="shared" si="179"/>
        <v>89301000</v>
      </c>
      <c r="B7473" t="str">
        <f>"5604202120"</f>
        <v>5604202120</v>
      </c>
      <c r="C7473" s="1">
        <v>45257</v>
      </c>
      <c r="D7473" s="1">
        <v>45262</v>
      </c>
      <c r="E7473">
        <v>1</v>
      </c>
      <c r="F7473" t="str">
        <f>"05-M02-02"</f>
        <v>05-M02-02</v>
      </c>
      <c r="G7473">
        <v>8.0436999999999994</v>
      </c>
      <c r="H7473" t="s">
        <v>14</v>
      </c>
      <c r="I7473" t="s">
        <v>10</v>
      </c>
    </row>
    <row r="7474" spans="1:9" x14ac:dyDescent="0.25">
      <c r="A7474" t="str">
        <f t="shared" si="179"/>
        <v>89301000</v>
      </c>
      <c r="B7474" t="str">
        <f>"5604221304"</f>
        <v>5604221304</v>
      </c>
      <c r="C7474" s="1">
        <v>45209</v>
      </c>
      <c r="D7474" s="1">
        <v>45216</v>
      </c>
      <c r="E7474">
        <v>1</v>
      </c>
      <c r="F7474" t="str">
        <f>"06-I18-04"</f>
        <v>06-I18-04</v>
      </c>
      <c r="G7474">
        <v>1.1088</v>
      </c>
      <c r="H7474" t="s">
        <v>9</v>
      </c>
      <c r="I7474" t="s">
        <v>10</v>
      </c>
    </row>
    <row r="7475" spans="1:9" x14ac:dyDescent="0.25">
      <c r="A7475" t="str">
        <f t="shared" si="179"/>
        <v>89301000</v>
      </c>
      <c r="B7475" t="str">
        <f>"5604222844"</f>
        <v>5604222844</v>
      </c>
      <c r="C7475" s="1">
        <v>45230</v>
      </c>
      <c r="D7475" s="1">
        <v>45233</v>
      </c>
      <c r="E7475">
        <v>1</v>
      </c>
      <c r="F7475" t="str">
        <f>"08-M03-05"</f>
        <v>08-M03-05</v>
      </c>
      <c r="G7475">
        <v>0.46810000000000002</v>
      </c>
      <c r="H7475" t="s">
        <v>11</v>
      </c>
      <c r="I7475" t="s">
        <v>10</v>
      </c>
    </row>
    <row r="7476" spans="1:9" x14ac:dyDescent="0.25">
      <c r="A7476" t="str">
        <f t="shared" si="179"/>
        <v>89301000</v>
      </c>
      <c r="B7476" t="str">
        <f>"5604261157"</f>
        <v>5604261157</v>
      </c>
      <c r="C7476" s="1">
        <v>45020</v>
      </c>
      <c r="D7476" s="1">
        <v>45028</v>
      </c>
      <c r="E7476">
        <v>8</v>
      </c>
      <c r="F7476" t="str">
        <f>"00-M01-02"</f>
        <v>00-M01-02</v>
      </c>
      <c r="G7476">
        <v>12.944100000000001</v>
      </c>
      <c r="H7476" t="s">
        <v>11</v>
      </c>
      <c r="I7476" t="s">
        <v>10</v>
      </c>
    </row>
    <row r="7477" spans="1:9" x14ac:dyDescent="0.25">
      <c r="A7477" t="str">
        <f t="shared" si="179"/>
        <v>89301000</v>
      </c>
      <c r="B7477" t="str">
        <f>"5605070273"</f>
        <v>5605070273</v>
      </c>
      <c r="C7477" s="1">
        <v>45274</v>
      </c>
      <c r="D7477" s="1">
        <v>45278</v>
      </c>
      <c r="E7477">
        <v>1</v>
      </c>
      <c r="F7477" t="str">
        <f>"06-M01-02"</f>
        <v>06-M01-02</v>
      </c>
      <c r="G7477">
        <v>1.2206999999999999</v>
      </c>
      <c r="H7477" t="s">
        <v>11</v>
      </c>
      <c r="I7477" t="s">
        <v>10</v>
      </c>
    </row>
    <row r="7478" spans="1:9" x14ac:dyDescent="0.25">
      <c r="A7478" t="str">
        <f t="shared" si="179"/>
        <v>89301000</v>
      </c>
      <c r="B7478" t="str">
        <f>"5605071516"</f>
        <v>5605071516</v>
      </c>
      <c r="C7478" s="1">
        <v>44928</v>
      </c>
      <c r="D7478" s="1">
        <v>44930</v>
      </c>
      <c r="E7478">
        <v>1</v>
      </c>
      <c r="F7478" t="str">
        <f>"05-I14-04"</f>
        <v>05-I14-04</v>
      </c>
      <c r="G7478">
        <v>5.2220000000000004</v>
      </c>
      <c r="H7478" t="s">
        <v>12</v>
      </c>
      <c r="I7478" t="s">
        <v>10</v>
      </c>
    </row>
    <row r="7479" spans="1:9" x14ac:dyDescent="0.25">
      <c r="A7479" t="str">
        <f t="shared" si="179"/>
        <v>89301000</v>
      </c>
      <c r="B7479" t="str">
        <f>"5605121797"</f>
        <v>5605121797</v>
      </c>
      <c r="C7479" s="1">
        <v>45154</v>
      </c>
      <c r="D7479" s="1">
        <v>45157</v>
      </c>
      <c r="E7479">
        <v>7</v>
      </c>
      <c r="F7479" t="str">
        <f>"12-K05-01"</f>
        <v>12-K05-01</v>
      </c>
      <c r="G7479">
        <v>1.5271999999999999</v>
      </c>
      <c r="H7479" t="s">
        <v>11</v>
      </c>
      <c r="I7479" t="s">
        <v>10</v>
      </c>
    </row>
    <row r="7480" spans="1:9" x14ac:dyDescent="0.25">
      <c r="A7480" t="str">
        <f t="shared" si="179"/>
        <v>89301000</v>
      </c>
      <c r="B7480" t="str">
        <f>"5605121797"</f>
        <v>5605121797</v>
      </c>
      <c r="C7480" s="1">
        <v>44958</v>
      </c>
      <c r="D7480" s="1">
        <v>44969</v>
      </c>
      <c r="E7480">
        <v>1</v>
      </c>
      <c r="F7480" t="str">
        <f>"24-M06-02"</f>
        <v>24-M06-02</v>
      </c>
      <c r="G7480">
        <v>1.0699000000000001</v>
      </c>
      <c r="H7480" t="s">
        <v>11</v>
      </c>
      <c r="I7480" t="s">
        <v>10</v>
      </c>
    </row>
    <row r="7481" spans="1:9" x14ac:dyDescent="0.25">
      <c r="A7481" t="str">
        <f t="shared" si="179"/>
        <v>89301000</v>
      </c>
      <c r="B7481" t="str">
        <f>"5605121797"</f>
        <v>5605121797</v>
      </c>
      <c r="C7481" s="1">
        <v>44950</v>
      </c>
      <c r="D7481" s="1">
        <v>44958</v>
      </c>
      <c r="E7481">
        <v>3</v>
      </c>
      <c r="F7481" t="str">
        <f>"08-I05-06"</f>
        <v>08-I05-06</v>
      </c>
      <c r="G7481">
        <v>2.0308000000000002</v>
      </c>
      <c r="H7481" t="s">
        <v>12</v>
      </c>
      <c r="I7481" t="s">
        <v>10</v>
      </c>
    </row>
    <row r="7482" spans="1:9" x14ac:dyDescent="0.25">
      <c r="A7482" t="str">
        <f t="shared" si="179"/>
        <v>89301000</v>
      </c>
      <c r="B7482" t="str">
        <f>"5605121797"</f>
        <v>5605121797</v>
      </c>
      <c r="C7482" s="1">
        <v>45128</v>
      </c>
      <c r="D7482" s="1">
        <v>45145</v>
      </c>
      <c r="E7482">
        <v>1</v>
      </c>
      <c r="F7482" t="str">
        <f>"12-R02-05"</f>
        <v>12-R02-05</v>
      </c>
      <c r="G7482">
        <v>2.3879000000000001</v>
      </c>
      <c r="H7482" t="s">
        <v>11</v>
      </c>
      <c r="I7482" t="s">
        <v>10</v>
      </c>
    </row>
    <row r="7483" spans="1:9" x14ac:dyDescent="0.25">
      <c r="A7483" t="str">
        <f t="shared" si="179"/>
        <v>89301000</v>
      </c>
      <c r="B7483" t="str">
        <f>"5605212690"</f>
        <v>5605212690</v>
      </c>
      <c r="C7483" s="1">
        <v>44939</v>
      </c>
      <c r="D7483" s="1">
        <v>44942</v>
      </c>
      <c r="E7483">
        <v>1</v>
      </c>
      <c r="F7483" t="str">
        <f>"05-M06-06"</f>
        <v>05-M06-06</v>
      </c>
      <c r="G7483">
        <v>1.8264</v>
      </c>
      <c r="H7483" t="s">
        <v>12</v>
      </c>
      <c r="I7483" t="s">
        <v>10</v>
      </c>
    </row>
    <row r="7484" spans="1:9" x14ac:dyDescent="0.25">
      <c r="A7484" t="str">
        <f t="shared" si="179"/>
        <v>89301000</v>
      </c>
      <c r="B7484" t="str">
        <f>"5605221710"</f>
        <v>5605221710</v>
      </c>
      <c r="C7484" s="1">
        <v>45132</v>
      </c>
      <c r="D7484" s="1">
        <v>45133</v>
      </c>
      <c r="E7484">
        <v>1</v>
      </c>
      <c r="F7484" t="str">
        <f>"05-D01-08"</f>
        <v>05-D01-08</v>
      </c>
      <c r="G7484">
        <v>0.43159999999999998</v>
      </c>
      <c r="H7484" t="s">
        <v>11</v>
      </c>
      <c r="I7484" t="s">
        <v>10</v>
      </c>
    </row>
    <row r="7485" spans="1:9" x14ac:dyDescent="0.25">
      <c r="A7485" t="str">
        <f t="shared" si="179"/>
        <v>89301000</v>
      </c>
      <c r="B7485" t="str">
        <f>"5605221721"</f>
        <v>5605221721</v>
      </c>
      <c r="C7485" s="1">
        <v>44930</v>
      </c>
      <c r="D7485" s="1">
        <v>44931</v>
      </c>
      <c r="E7485">
        <v>1</v>
      </c>
      <c r="F7485" t="str">
        <f>"01-K16-06"</f>
        <v>01-K16-06</v>
      </c>
      <c r="G7485">
        <v>0.27150000000000002</v>
      </c>
      <c r="H7485" t="s">
        <v>11</v>
      </c>
      <c r="I7485" t="s">
        <v>10</v>
      </c>
    </row>
    <row r="7486" spans="1:9" x14ac:dyDescent="0.25">
      <c r="A7486" t="str">
        <f t="shared" si="179"/>
        <v>89301000</v>
      </c>
      <c r="B7486" t="str">
        <f>"5605231665"</f>
        <v>5605231665</v>
      </c>
      <c r="C7486" s="1">
        <v>45259</v>
      </c>
      <c r="D7486" s="1">
        <v>45260</v>
      </c>
      <c r="E7486">
        <v>1</v>
      </c>
      <c r="F7486" t="str">
        <f>"05-M06-08"</f>
        <v>05-M06-08</v>
      </c>
      <c r="G7486">
        <v>1.4228000000000001</v>
      </c>
      <c r="H7486" t="s">
        <v>12</v>
      </c>
      <c r="I7486" t="s">
        <v>10</v>
      </c>
    </row>
    <row r="7487" spans="1:9" x14ac:dyDescent="0.25">
      <c r="A7487" t="str">
        <f t="shared" ref="A7487:A7549" si="180">"89301000"</f>
        <v>89301000</v>
      </c>
      <c r="B7487" t="str">
        <f>"5605231665"</f>
        <v>5605231665</v>
      </c>
      <c r="C7487" s="1">
        <v>45231</v>
      </c>
      <c r="D7487" s="1">
        <v>45233</v>
      </c>
      <c r="E7487">
        <v>1</v>
      </c>
      <c r="F7487" t="str">
        <f>"05-I14-03"</f>
        <v>05-I14-03</v>
      </c>
      <c r="G7487">
        <v>6.0362</v>
      </c>
      <c r="H7487" t="s">
        <v>12</v>
      </c>
      <c r="I7487" t="s">
        <v>10</v>
      </c>
    </row>
    <row r="7488" spans="1:9" x14ac:dyDescent="0.25">
      <c r="A7488" t="str">
        <f t="shared" si="180"/>
        <v>89301000</v>
      </c>
      <c r="B7488" t="str">
        <f>"5605231665"</f>
        <v>5605231665</v>
      </c>
      <c r="C7488" s="1">
        <v>45082</v>
      </c>
      <c r="D7488" s="1">
        <v>45086</v>
      </c>
      <c r="E7488">
        <v>1</v>
      </c>
      <c r="F7488" t="str">
        <f>"10-K12-03"</f>
        <v>10-K12-03</v>
      </c>
      <c r="G7488">
        <v>0.5091</v>
      </c>
      <c r="H7488" t="s">
        <v>11</v>
      </c>
      <c r="I7488" t="s">
        <v>10</v>
      </c>
    </row>
    <row r="7489" spans="1:9" x14ac:dyDescent="0.25">
      <c r="A7489" t="str">
        <f t="shared" si="180"/>
        <v>89301000</v>
      </c>
      <c r="B7489" t="str">
        <f>"5605231665"</f>
        <v>5605231665</v>
      </c>
      <c r="C7489" s="1">
        <v>45160</v>
      </c>
      <c r="D7489" s="1">
        <v>45173</v>
      </c>
      <c r="E7489">
        <v>1</v>
      </c>
      <c r="F7489" t="str">
        <f>"05-M06-06"</f>
        <v>05-M06-06</v>
      </c>
      <c r="G7489">
        <v>2.7684000000000002</v>
      </c>
      <c r="H7489" t="s">
        <v>12</v>
      </c>
      <c r="I7489" t="s">
        <v>10</v>
      </c>
    </row>
    <row r="7490" spans="1:9" x14ac:dyDescent="0.25">
      <c r="A7490" t="str">
        <f t="shared" si="180"/>
        <v>89301000</v>
      </c>
      <c r="B7490" t="str">
        <f>"5605231665"</f>
        <v>5605231665</v>
      </c>
      <c r="C7490" s="1">
        <v>45222</v>
      </c>
      <c r="D7490" s="1">
        <v>45222</v>
      </c>
      <c r="E7490">
        <v>1</v>
      </c>
      <c r="F7490" t="str">
        <f>"05-D01-08"</f>
        <v>05-D01-08</v>
      </c>
      <c r="G7490">
        <v>0.47439999999999999</v>
      </c>
      <c r="H7490" t="s">
        <v>11</v>
      </c>
      <c r="I7490" t="s">
        <v>10</v>
      </c>
    </row>
    <row r="7491" spans="1:9" x14ac:dyDescent="0.25">
      <c r="A7491" t="str">
        <f t="shared" si="180"/>
        <v>89301000</v>
      </c>
      <c r="B7491" t="str">
        <f>"5605232545"</f>
        <v>5605232545</v>
      </c>
      <c r="C7491" s="1">
        <v>44967</v>
      </c>
      <c r="D7491" s="1">
        <v>44972</v>
      </c>
      <c r="E7491">
        <v>1</v>
      </c>
      <c r="F7491" t="str">
        <f>"03-I25-00"</f>
        <v>03-I25-00</v>
      </c>
      <c r="G7491">
        <v>1.5998000000000001</v>
      </c>
      <c r="H7491" t="s">
        <v>11</v>
      </c>
      <c r="I7491" t="s">
        <v>10</v>
      </c>
    </row>
    <row r="7492" spans="1:9" x14ac:dyDescent="0.25">
      <c r="A7492" t="str">
        <f t="shared" si="180"/>
        <v>89301000</v>
      </c>
      <c r="B7492" t="str">
        <f>"5605232545"</f>
        <v>5605232545</v>
      </c>
      <c r="C7492" s="1">
        <v>45191</v>
      </c>
      <c r="D7492" s="1">
        <v>45195</v>
      </c>
      <c r="E7492">
        <v>1</v>
      </c>
      <c r="F7492" t="str">
        <f>"06-K13-02"</f>
        <v>06-K13-02</v>
      </c>
      <c r="G7492">
        <v>0.66739999999999999</v>
      </c>
      <c r="H7492" t="s">
        <v>11</v>
      </c>
      <c r="I7492" t="s">
        <v>10</v>
      </c>
    </row>
    <row r="7493" spans="1:9" x14ac:dyDescent="0.25">
      <c r="A7493" t="str">
        <f t="shared" si="180"/>
        <v>89301000</v>
      </c>
      <c r="B7493" t="str">
        <f>"5606120729"</f>
        <v>5606120729</v>
      </c>
      <c r="C7493" s="1">
        <v>45195</v>
      </c>
      <c r="D7493" s="1">
        <v>45198</v>
      </c>
      <c r="E7493">
        <v>1</v>
      </c>
      <c r="F7493" t="str">
        <f>"00-K01-02"</f>
        <v>00-K01-02</v>
      </c>
      <c r="G7493">
        <v>1.0307999999999999</v>
      </c>
      <c r="H7493" t="s">
        <v>12</v>
      </c>
      <c r="I7493" t="s">
        <v>10</v>
      </c>
    </row>
    <row r="7494" spans="1:9" x14ac:dyDescent="0.25">
      <c r="A7494" t="str">
        <f t="shared" si="180"/>
        <v>89301000</v>
      </c>
      <c r="B7494" t="str">
        <f>"5606120729"</f>
        <v>5606120729</v>
      </c>
      <c r="C7494" s="1">
        <v>44969</v>
      </c>
      <c r="D7494" s="1">
        <v>44972</v>
      </c>
      <c r="E7494">
        <v>1</v>
      </c>
      <c r="F7494" t="str">
        <f>"02-I02-01"</f>
        <v>02-I02-01</v>
      </c>
      <c r="G7494">
        <v>1.2369000000000001</v>
      </c>
      <c r="H7494" t="s">
        <v>12</v>
      </c>
      <c r="I7494" t="s">
        <v>10</v>
      </c>
    </row>
    <row r="7495" spans="1:9" x14ac:dyDescent="0.25">
      <c r="A7495" t="str">
        <f t="shared" si="180"/>
        <v>89301000</v>
      </c>
      <c r="B7495" t="str">
        <f>"5606120729"</f>
        <v>5606120729</v>
      </c>
      <c r="C7495" s="1">
        <v>45286</v>
      </c>
      <c r="D7495" s="1">
        <v>45287</v>
      </c>
      <c r="E7495">
        <v>1</v>
      </c>
      <c r="F7495" t="str">
        <f>"23-K04-02"</f>
        <v>23-K04-02</v>
      </c>
      <c r="G7495">
        <v>0.38150000000000001</v>
      </c>
      <c r="H7495" t="s">
        <v>11</v>
      </c>
      <c r="I7495" t="s">
        <v>10</v>
      </c>
    </row>
    <row r="7496" spans="1:9" x14ac:dyDescent="0.25">
      <c r="A7496" t="str">
        <f t="shared" si="180"/>
        <v>89301000</v>
      </c>
      <c r="B7496" t="str">
        <f>"5606120729"</f>
        <v>5606120729</v>
      </c>
      <c r="C7496" s="1">
        <v>44994</v>
      </c>
      <c r="D7496" s="1">
        <v>44995</v>
      </c>
      <c r="E7496">
        <v>1</v>
      </c>
      <c r="F7496" t="str">
        <f>"00-K01-02"</f>
        <v>00-K01-02</v>
      </c>
      <c r="G7496">
        <v>1.0307999999999999</v>
      </c>
      <c r="H7496" t="s">
        <v>12</v>
      </c>
      <c r="I7496" t="s">
        <v>10</v>
      </c>
    </row>
    <row r="7497" spans="1:9" x14ac:dyDescent="0.25">
      <c r="A7497" t="str">
        <f t="shared" si="180"/>
        <v>89301000</v>
      </c>
      <c r="B7497" t="str">
        <f>"5606120729"</f>
        <v>5606120729</v>
      </c>
      <c r="C7497" s="1">
        <v>45188</v>
      </c>
      <c r="D7497" s="1">
        <v>45191</v>
      </c>
      <c r="E7497">
        <v>1</v>
      </c>
      <c r="F7497" t="str">
        <f>"02-I02-01"</f>
        <v>02-I02-01</v>
      </c>
      <c r="G7497">
        <v>1.2369000000000001</v>
      </c>
      <c r="H7497" t="s">
        <v>12</v>
      </c>
      <c r="I7497" t="s">
        <v>10</v>
      </c>
    </row>
    <row r="7498" spans="1:9" x14ac:dyDescent="0.25">
      <c r="A7498" t="str">
        <f t="shared" si="180"/>
        <v>89301000</v>
      </c>
      <c r="B7498" t="str">
        <f>"5606131872"</f>
        <v>5606131872</v>
      </c>
      <c r="C7498" s="1">
        <v>45049</v>
      </c>
      <c r="D7498" s="1">
        <v>45051</v>
      </c>
      <c r="E7498">
        <v>1</v>
      </c>
      <c r="F7498" t="str">
        <f>"05-M05-02"</f>
        <v>05-M05-02</v>
      </c>
      <c r="G7498">
        <v>3.4817999999999998</v>
      </c>
      <c r="H7498" t="s">
        <v>14</v>
      </c>
      <c r="I7498" t="s">
        <v>10</v>
      </c>
    </row>
    <row r="7499" spans="1:9" x14ac:dyDescent="0.25">
      <c r="A7499" t="str">
        <f t="shared" si="180"/>
        <v>89301000</v>
      </c>
      <c r="B7499" t="str">
        <f>"5606291504"</f>
        <v>5606291504</v>
      </c>
      <c r="C7499" s="1">
        <v>44960</v>
      </c>
      <c r="D7499" s="1">
        <v>44964</v>
      </c>
      <c r="E7499">
        <v>1</v>
      </c>
      <c r="F7499" t="str">
        <f>"01-K08-02"</f>
        <v>01-K08-02</v>
      </c>
      <c r="G7499">
        <v>0.60619999999999996</v>
      </c>
      <c r="H7499" t="s">
        <v>11</v>
      </c>
      <c r="I7499" t="s">
        <v>10</v>
      </c>
    </row>
    <row r="7500" spans="1:9" x14ac:dyDescent="0.25">
      <c r="A7500" t="str">
        <f t="shared" si="180"/>
        <v>89301000</v>
      </c>
      <c r="B7500" t="str">
        <f>"5606291504"</f>
        <v>5606291504</v>
      </c>
      <c r="C7500" s="1">
        <v>45006</v>
      </c>
      <c r="D7500" s="1">
        <v>45008</v>
      </c>
      <c r="E7500">
        <v>1</v>
      </c>
      <c r="F7500" t="str">
        <f>"01-K01-02"</f>
        <v>01-K01-02</v>
      </c>
      <c r="G7500">
        <v>0.442</v>
      </c>
      <c r="H7500" t="s">
        <v>11</v>
      </c>
      <c r="I7500" t="s">
        <v>10</v>
      </c>
    </row>
    <row r="7501" spans="1:9" x14ac:dyDescent="0.25">
      <c r="A7501" t="str">
        <f t="shared" si="180"/>
        <v>89301000</v>
      </c>
      <c r="B7501" t="str">
        <f>"5607090907"</f>
        <v>5607090907</v>
      </c>
      <c r="C7501" s="1">
        <v>44933</v>
      </c>
      <c r="D7501" s="1">
        <v>44946</v>
      </c>
      <c r="E7501">
        <v>5</v>
      </c>
      <c r="F7501" t="str">
        <f>"01-C01-02"</f>
        <v>01-C01-02</v>
      </c>
      <c r="G7501">
        <v>3.5868000000000002</v>
      </c>
      <c r="H7501" t="s">
        <v>11</v>
      </c>
      <c r="I7501" t="s">
        <v>10</v>
      </c>
    </row>
    <row r="7502" spans="1:9" x14ac:dyDescent="0.25">
      <c r="A7502" t="str">
        <f t="shared" si="180"/>
        <v>89301000</v>
      </c>
      <c r="B7502" t="str">
        <f>"5607102215"</f>
        <v>5607102215</v>
      </c>
      <c r="C7502" s="1">
        <v>45266</v>
      </c>
      <c r="D7502" s="1">
        <v>45266</v>
      </c>
      <c r="E7502">
        <v>1</v>
      </c>
      <c r="F7502" t="str">
        <f>"05-I14-04"</f>
        <v>05-I14-04</v>
      </c>
      <c r="G7502">
        <v>4.9752000000000001</v>
      </c>
      <c r="H7502" t="s">
        <v>12</v>
      </c>
      <c r="I7502" t="s">
        <v>10</v>
      </c>
    </row>
    <row r="7503" spans="1:9" x14ac:dyDescent="0.25">
      <c r="A7503" t="str">
        <f t="shared" si="180"/>
        <v>89301000</v>
      </c>
      <c r="B7503" t="str">
        <f>"5607121883"</f>
        <v>5607121883</v>
      </c>
      <c r="C7503" s="1">
        <v>45162</v>
      </c>
      <c r="D7503" s="1">
        <v>45167</v>
      </c>
      <c r="E7503">
        <v>1</v>
      </c>
      <c r="F7503" t="str">
        <f>"17-I06-02"</f>
        <v>17-I06-02</v>
      </c>
      <c r="G7503">
        <v>2.1539000000000001</v>
      </c>
      <c r="H7503" t="s">
        <v>12</v>
      </c>
      <c r="I7503" t="s">
        <v>10</v>
      </c>
    </row>
    <row r="7504" spans="1:9" x14ac:dyDescent="0.25">
      <c r="A7504" t="str">
        <f t="shared" si="180"/>
        <v>89301000</v>
      </c>
      <c r="B7504" t="str">
        <f>"5607141903"</f>
        <v>5607141903</v>
      </c>
      <c r="C7504" s="1">
        <v>45125</v>
      </c>
      <c r="D7504" s="1">
        <v>45128</v>
      </c>
      <c r="E7504">
        <v>1</v>
      </c>
      <c r="F7504" t="str">
        <f>"09-K14-01"</f>
        <v>09-K14-01</v>
      </c>
      <c r="G7504">
        <v>0.95530000000000004</v>
      </c>
      <c r="H7504" t="s">
        <v>11</v>
      </c>
      <c r="I7504" t="s">
        <v>10</v>
      </c>
    </row>
    <row r="7505" spans="1:9" x14ac:dyDescent="0.25">
      <c r="A7505" t="str">
        <f t="shared" si="180"/>
        <v>89301000</v>
      </c>
      <c r="B7505" t="str">
        <f t="shared" ref="B7505:B7511" si="181">"5607201160"</f>
        <v>5607201160</v>
      </c>
      <c r="C7505" s="1">
        <v>45055</v>
      </c>
      <c r="D7505" s="1">
        <v>45058</v>
      </c>
      <c r="E7505">
        <v>1</v>
      </c>
      <c r="F7505" t="str">
        <f>"07-C01-02"</f>
        <v>07-C01-02</v>
      </c>
      <c r="G7505">
        <v>0.3483</v>
      </c>
      <c r="H7505" t="s">
        <v>11</v>
      </c>
      <c r="I7505" t="s">
        <v>10</v>
      </c>
    </row>
    <row r="7506" spans="1:9" x14ac:dyDescent="0.25">
      <c r="A7506" t="str">
        <f t="shared" si="180"/>
        <v>89301000</v>
      </c>
      <c r="B7506" t="str">
        <f t="shared" si="181"/>
        <v>5607201160</v>
      </c>
      <c r="C7506" s="1">
        <v>45034</v>
      </c>
      <c r="D7506" s="1">
        <v>45036</v>
      </c>
      <c r="E7506">
        <v>1</v>
      </c>
      <c r="F7506" t="str">
        <f>"07-C01-02"</f>
        <v>07-C01-02</v>
      </c>
      <c r="G7506">
        <v>0.3483</v>
      </c>
      <c r="H7506" t="s">
        <v>11</v>
      </c>
      <c r="I7506" t="s">
        <v>10</v>
      </c>
    </row>
    <row r="7507" spans="1:9" x14ac:dyDescent="0.25">
      <c r="A7507" t="str">
        <f t="shared" si="180"/>
        <v>89301000</v>
      </c>
      <c r="B7507" t="str">
        <f t="shared" si="181"/>
        <v>5607201160</v>
      </c>
      <c r="C7507" s="1">
        <v>45075</v>
      </c>
      <c r="D7507" s="1">
        <v>45077</v>
      </c>
      <c r="E7507">
        <v>1</v>
      </c>
      <c r="F7507" t="str">
        <f>"07-C01-02"</f>
        <v>07-C01-02</v>
      </c>
      <c r="G7507">
        <v>0.3483</v>
      </c>
      <c r="H7507" t="s">
        <v>11</v>
      </c>
      <c r="I7507" t="s">
        <v>10</v>
      </c>
    </row>
    <row r="7508" spans="1:9" x14ac:dyDescent="0.25">
      <c r="A7508" t="str">
        <f t="shared" si="180"/>
        <v>89301000</v>
      </c>
      <c r="B7508" t="str">
        <f t="shared" si="181"/>
        <v>5607201160</v>
      </c>
      <c r="C7508" s="1">
        <v>45089</v>
      </c>
      <c r="D7508" s="1">
        <v>45091</v>
      </c>
      <c r="E7508">
        <v>1</v>
      </c>
      <c r="F7508" t="str">
        <f>"07-C01-02"</f>
        <v>07-C01-02</v>
      </c>
      <c r="G7508">
        <v>0.3483</v>
      </c>
      <c r="H7508" t="s">
        <v>11</v>
      </c>
      <c r="I7508" t="s">
        <v>10</v>
      </c>
    </row>
    <row r="7509" spans="1:9" x14ac:dyDescent="0.25">
      <c r="A7509" t="str">
        <f t="shared" si="180"/>
        <v>89301000</v>
      </c>
      <c r="B7509" t="str">
        <f t="shared" si="181"/>
        <v>5607201160</v>
      </c>
      <c r="C7509" s="1">
        <v>44963</v>
      </c>
      <c r="D7509" s="1">
        <v>44969</v>
      </c>
      <c r="E7509">
        <v>1</v>
      </c>
      <c r="F7509" t="str">
        <f>"88-I07-00"</f>
        <v>88-I07-00</v>
      </c>
      <c r="G7509">
        <v>0.75449999999999995</v>
      </c>
      <c r="H7509" t="s">
        <v>11</v>
      </c>
      <c r="I7509" t="s">
        <v>10</v>
      </c>
    </row>
    <row r="7510" spans="1:9" x14ac:dyDescent="0.25">
      <c r="A7510" t="str">
        <f t="shared" si="180"/>
        <v>89301000</v>
      </c>
      <c r="B7510" t="str">
        <f t="shared" si="181"/>
        <v>5607201160</v>
      </c>
      <c r="C7510" s="1">
        <v>45005</v>
      </c>
      <c r="D7510" s="1">
        <v>45007</v>
      </c>
      <c r="E7510">
        <v>1</v>
      </c>
      <c r="F7510" t="str">
        <f>"07-C01-02"</f>
        <v>07-C01-02</v>
      </c>
      <c r="G7510">
        <v>0.3483</v>
      </c>
      <c r="H7510" t="s">
        <v>11</v>
      </c>
      <c r="I7510" t="s">
        <v>10</v>
      </c>
    </row>
    <row r="7511" spans="1:9" x14ac:dyDescent="0.25">
      <c r="A7511" t="str">
        <f t="shared" si="180"/>
        <v>89301000</v>
      </c>
      <c r="B7511" t="str">
        <f t="shared" si="181"/>
        <v>5607201160</v>
      </c>
      <c r="C7511" s="1">
        <v>45019</v>
      </c>
      <c r="D7511" s="1">
        <v>45021</v>
      </c>
      <c r="E7511">
        <v>1</v>
      </c>
      <c r="F7511" t="str">
        <f>"07-C01-02"</f>
        <v>07-C01-02</v>
      </c>
      <c r="G7511">
        <v>0.3483</v>
      </c>
      <c r="H7511" t="s">
        <v>11</v>
      </c>
      <c r="I7511" t="s">
        <v>10</v>
      </c>
    </row>
    <row r="7512" spans="1:9" x14ac:dyDescent="0.25">
      <c r="A7512" t="str">
        <f t="shared" si="180"/>
        <v>89301000</v>
      </c>
      <c r="B7512" t="str">
        <f>"5607241552"</f>
        <v>5607241552</v>
      </c>
      <c r="C7512" s="1">
        <v>45098</v>
      </c>
      <c r="D7512" s="1">
        <v>45099</v>
      </c>
      <c r="E7512">
        <v>1</v>
      </c>
      <c r="F7512" t="str">
        <f>"05-M06-06"</f>
        <v>05-M06-06</v>
      </c>
      <c r="G7512">
        <v>1.8264</v>
      </c>
      <c r="H7512" t="s">
        <v>12</v>
      </c>
      <c r="I7512" t="s">
        <v>10</v>
      </c>
    </row>
    <row r="7513" spans="1:9" x14ac:dyDescent="0.25">
      <c r="A7513" t="str">
        <f t="shared" si="180"/>
        <v>89301000</v>
      </c>
      <c r="B7513" t="str">
        <f>"5607250429"</f>
        <v>5607250429</v>
      </c>
      <c r="C7513" s="1">
        <v>45249</v>
      </c>
      <c r="D7513" s="1">
        <v>45252</v>
      </c>
      <c r="E7513">
        <v>1</v>
      </c>
      <c r="F7513" t="str">
        <f>"01-K12-01"</f>
        <v>01-K12-01</v>
      </c>
      <c r="G7513">
        <v>0.72709999999999997</v>
      </c>
      <c r="H7513" t="s">
        <v>11</v>
      </c>
      <c r="I7513" t="s">
        <v>10</v>
      </c>
    </row>
    <row r="7514" spans="1:9" x14ac:dyDescent="0.25">
      <c r="A7514" t="str">
        <f t="shared" si="180"/>
        <v>89301000</v>
      </c>
      <c r="B7514" t="str">
        <f>"5607250429"</f>
        <v>5607250429</v>
      </c>
      <c r="C7514" s="1">
        <v>45287</v>
      </c>
      <c r="D7514" s="1">
        <v>45289</v>
      </c>
      <c r="E7514">
        <v>1</v>
      </c>
      <c r="F7514" t="str">
        <f>"05-M05-02"</f>
        <v>05-M05-02</v>
      </c>
      <c r="G7514">
        <v>3.4817999999999998</v>
      </c>
      <c r="H7514" t="s">
        <v>14</v>
      </c>
      <c r="I7514" t="s">
        <v>10</v>
      </c>
    </row>
    <row r="7515" spans="1:9" x14ac:dyDescent="0.25">
      <c r="A7515" t="str">
        <f t="shared" si="180"/>
        <v>89301000</v>
      </c>
      <c r="B7515" t="str">
        <f>"5607270966"</f>
        <v>5607270966</v>
      </c>
      <c r="C7515" s="1">
        <v>45185</v>
      </c>
      <c r="D7515" s="1">
        <v>45191</v>
      </c>
      <c r="E7515">
        <v>1</v>
      </c>
      <c r="F7515" t="str">
        <f>"01-K10-03"</f>
        <v>01-K10-03</v>
      </c>
      <c r="G7515">
        <v>1.0443</v>
      </c>
      <c r="H7515" t="s">
        <v>11</v>
      </c>
      <c r="I7515" t="s">
        <v>10</v>
      </c>
    </row>
    <row r="7516" spans="1:9" x14ac:dyDescent="0.25">
      <c r="A7516" t="str">
        <f t="shared" si="180"/>
        <v>89301000</v>
      </c>
      <c r="B7516" t="str">
        <f>"5607271560"</f>
        <v>5607271560</v>
      </c>
      <c r="C7516" s="1">
        <v>44967</v>
      </c>
      <c r="D7516" s="1">
        <v>44970</v>
      </c>
      <c r="E7516">
        <v>1</v>
      </c>
      <c r="F7516" t="str">
        <f>"10-K15-02"</f>
        <v>10-K15-02</v>
      </c>
      <c r="G7516">
        <v>0.66379999999999995</v>
      </c>
      <c r="H7516" t="s">
        <v>11</v>
      </c>
      <c r="I7516" t="s">
        <v>10</v>
      </c>
    </row>
    <row r="7517" spans="1:9" x14ac:dyDescent="0.25">
      <c r="A7517" t="str">
        <f t="shared" si="180"/>
        <v>89301000</v>
      </c>
      <c r="B7517" t="str">
        <f>"5607271560"</f>
        <v>5607271560</v>
      </c>
      <c r="C7517" s="1">
        <v>45223</v>
      </c>
      <c r="D7517" s="1">
        <v>45226</v>
      </c>
      <c r="E7517">
        <v>1</v>
      </c>
      <c r="F7517" t="str">
        <f>"08-I23-02"</f>
        <v>08-I23-02</v>
      </c>
      <c r="G7517">
        <v>0.91059999999999997</v>
      </c>
      <c r="H7517" t="s">
        <v>12</v>
      </c>
      <c r="I7517" t="s">
        <v>10</v>
      </c>
    </row>
    <row r="7518" spans="1:9" x14ac:dyDescent="0.25">
      <c r="A7518" t="str">
        <f t="shared" si="180"/>
        <v>89301000</v>
      </c>
      <c r="B7518" t="str">
        <f>"5608081809"</f>
        <v>5608081809</v>
      </c>
      <c r="C7518" s="1">
        <v>44938</v>
      </c>
      <c r="D7518" s="1">
        <v>44956</v>
      </c>
      <c r="E7518">
        <v>4</v>
      </c>
      <c r="F7518" t="str">
        <f>"05-M04-02"</f>
        <v>05-M04-02</v>
      </c>
      <c r="G7518">
        <v>4.6635999999999997</v>
      </c>
      <c r="H7518" t="s">
        <v>12</v>
      </c>
      <c r="I7518" t="s">
        <v>10</v>
      </c>
    </row>
    <row r="7519" spans="1:9" x14ac:dyDescent="0.25">
      <c r="A7519" t="str">
        <f t="shared" si="180"/>
        <v>89301000</v>
      </c>
      <c r="B7519" t="str">
        <f>"5608081809"</f>
        <v>5608081809</v>
      </c>
      <c r="C7519" s="1">
        <v>45038</v>
      </c>
      <c r="D7519" s="1">
        <v>45039</v>
      </c>
      <c r="E7519">
        <v>1</v>
      </c>
      <c r="F7519" t="str">
        <f>"05-K05-05"</f>
        <v>05-K05-05</v>
      </c>
      <c r="G7519">
        <v>0.35659999999999997</v>
      </c>
      <c r="H7519" t="s">
        <v>11</v>
      </c>
      <c r="I7519" t="s">
        <v>10</v>
      </c>
    </row>
    <row r="7520" spans="1:9" x14ac:dyDescent="0.25">
      <c r="A7520" t="str">
        <f t="shared" si="180"/>
        <v>89301000</v>
      </c>
      <c r="B7520" t="str">
        <f>"5608141583"</f>
        <v>5608141583</v>
      </c>
      <c r="C7520" s="1">
        <v>45138</v>
      </c>
      <c r="D7520" s="1">
        <v>45143</v>
      </c>
      <c r="E7520">
        <v>1</v>
      </c>
      <c r="F7520" t="str">
        <f>"03-I19-03"</f>
        <v>03-I19-03</v>
      </c>
      <c r="G7520">
        <v>0.55149999999999999</v>
      </c>
      <c r="H7520" t="s">
        <v>11</v>
      </c>
      <c r="I7520" t="s">
        <v>10</v>
      </c>
    </row>
    <row r="7521" spans="1:9" x14ac:dyDescent="0.25">
      <c r="A7521" t="str">
        <f t="shared" si="180"/>
        <v>89301000</v>
      </c>
      <c r="B7521" t="str">
        <f>"5608261450"</f>
        <v>5608261450</v>
      </c>
      <c r="C7521" s="1">
        <v>45151</v>
      </c>
      <c r="D7521" s="1">
        <v>45157</v>
      </c>
      <c r="E7521">
        <v>1</v>
      </c>
      <c r="F7521" t="str">
        <f>"08-I05-04"</f>
        <v>08-I05-04</v>
      </c>
      <c r="G7521">
        <v>2.4445000000000001</v>
      </c>
      <c r="H7521" t="s">
        <v>12</v>
      </c>
      <c r="I7521" t="s">
        <v>10</v>
      </c>
    </row>
    <row r="7522" spans="1:9" x14ac:dyDescent="0.25">
      <c r="A7522" t="str">
        <f t="shared" si="180"/>
        <v>89301000</v>
      </c>
      <c r="B7522" t="str">
        <f>"5609020879"</f>
        <v>5609020879</v>
      </c>
      <c r="C7522" s="1">
        <v>45261</v>
      </c>
      <c r="D7522" s="1">
        <v>45281</v>
      </c>
      <c r="E7522">
        <v>8</v>
      </c>
      <c r="F7522" t="str">
        <f>"00-M10-02"</f>
        <v>00-M10-02</v>
      </c>
      <c r="G7522">
        <v>5.1746999999999996</v>
      </c>
      <c r="H7522" t="s">
        <v>14</v>
      </c>
      <c r="I7522" t="s">
        <v>10</v>
      </c>
    </row>
    <row r="7523" spans="1:9" x14ac:dyDescent="0.25">
      <c r="A7523" t="str">
        <f t="shared" si="180"/>
        <v>89301000</v>
      </c>
      <c r="B7523" t="str">
        <f t="shared" ref="B7523:B7528" si="182">"5609051140"</f>
        <v>5609051140</v>
      </c>
      <c r="C7523" s="1">
        <v>45188</v>
      </c>
      <c r="D7523" s="1">
        <v>45189</v>
      </c>
      <c r="E7523">
        <v>1</v>
      </c>
      <c r="F7523" t="str">
        <f>"01-K01-02"</f>
        <v>01-K01-02</v>
      </c>
      <c r="G7523">
        <v>0.44390000000000002</v>
      </c>
      <c r="H7523" t="s">
        <v>11</v>
      </c>
      <c r="I7523" t="s">
        <v>10</v>
      </c>
    </row>
    <row r="7524" spans="1:9" x14ac:dyDescent="0.25">
      <c r="A7524" t="str">
        <f t="shared" si="180"/>
        <v>89301000</v>
      </c>
      <c r="B7524" t="str">
        <f t="shared" si="182"/>
        <v>5609051140</v>
      </c>
      <c r="C7524" s="1">
        <v>45225</v>
      </c>
      <c r="D7524" s="1">
        <v>45226</v>
      </c>
      <c r="E7524">
        <v>1</v>
      </c>
      <c r="F7524" t="str">
        <f>"01-K01-02"</f>
        <v>01-K01-02</v>
      </c>
      <c r="G7524">
        <v>0.44390000000000002</v>
      </c>
      <c r="H7524" t="s">
        <v>11</v>
      </c>
      <c r="I7524" t="s">
        <v>10</v>
      </c>
    </row>
    <row r="7525" spans="1:9" x14ac:dyDescent="0.25">
      <c r="A7525" t="str">
        <f t="shared" si="180"/>
        <v>89301000</v>
      </c>
      <c r="B7525" t="str">
        <f t="shared" si="182"/>
        <v>5609051140</v>
      </c>
      <c r="C7525" s="1">
        <v>45153</v>
      </c>
      <c r="D7525" s="1">
        <v>45154</v>
      </c>
      <c r="E7525">
        <v>1</v>
      </c>
      <c r="F7525" t="str">
        <f>"01-K01-02"</f>
        <v>01-K01-02</v>
      </c>
      <c r="G7525">
        <v>0.44390000000000002</v>
      </c>
      <c r="H7525" t="s">
        <v>11</v>
      </c>
      <c r="I7525" t="s">
        <v>10</v>
      </c>
    </row>
    <row r="7526" spans="1:9" x14ac:dyDescent="0.25">
      <c r="A7526" t="str">
        <f t="shared" si="180"/>
        <v>89301000</v>
      </c>
      <c r="B7526" t="str">
        <f t="shared" si="182"/>
        <v>5609051140</v>
      </c>
      <c r="C7526" s="1">
        <v>45124</v>
      </c>
      <c r="D7526" s="1">
        <v>45125</v>
      </c>
      <c r="E7526">
        <v>1</v>
      </c>
      <c r="F7526" t="str">
        <f>"01-K01-02"</f>
        <v>01-K01-02</v>
      </c>
      <c r="G7526">
        <v>0.44390000000000002</v>
      </c>
      <c r="H7526" t="s">
        <v>11</v>
      </c>
      <c r="I7526" t="s">
        <v>10</v>
      </c>
    </row>
    <row r="7527" spans="1:9" x14ac:dyDescent="0.25">
      <c r="A7527" t="str">
        <f t="shared" si="180"/>
        <v>89301000</v>
      </c>
      <c r="B7527" t="str">
        <f t="shared" si="182"/>
        <v>5609051140</v>
      </c>
      <c r="C7527" s="1">
        <v>45085</v>
      </c>
      <c r="D7527" s="1">
        <v>45087</v>
      </c>
      <c r="E7527">
        <v>1</v>
      </c>
      <c r="F7527" t="str">
        <f>"01-K01-02"</f>
        <v>01-K01-02</v>
      </c>
      <c r="G7527">
        <v>0.442</v>
      </c>
      <c r="H7527" t="s">
        <v>11</v>
      </c>
      <c r="I7527" t="s">
        <v>10</v>
      </c>
    </row>
    <row r="7528" spans="1:9" x14ac:dyDescent="0.25">
      <c r="A7528" t="str">
        <f t="shared" si="180"/>
        <v>89301000</v>
      </c>
      <c r="B7528" t="str">
        <f t="shared" si="182"/>
        <v>5609051140</v>
      </c>
      <c r="C7528" s="1">
        <v>45030</v>
      </c>
      <c r="D7528" s="1">
        <v>45037</v>
      </c>
      <c r="E7528">
        <v>1</v>
      </c>
      <c r="F7528" t="str">
        <f>"08-K08-00"</f>
        <v>08-K08-00</v>
      </c>
      <c r="G7528">
        <v>0.5272</v>
      </c>
      <c r="H7528" t="s">
        <v>11</v>
      </c>
      <c r="I7528" t="s">
        <v>10</v>
      </c>
    </row>
    <row r="7529" spans="1:9" x14ac:dyDescent="0.25">
      <c r="A7529" t="str">
        <f t="shared" si="180"/>
        <v>89301000</v>
      </c>
      <c r="B7529" t="str">
        <f>"5609101157"</f>
        <v>5609101157</v>
      </c>
      <c r="C7529" s="1">
        <v>45071</v>
      </c>
      <c r="D7529" s="1">
        <v>45072</v>
      </c>
      <c r="E7529">
        <v>1</v>
      </c>
      <c r="F7529" t="str">
        <f>"05-I14-03"</f>
        <v>05-I14-03</v>
      </c>
      <c r="G7529">
        <v>6.0362</v>
      </c>
      <c r="H7529" t="s">
        <v>12</v>
      </c>
      <c r="I7529" t="s">
        <v>10</v>
      </c>
    </row>
    <row r="7530" spans="1:9" x14ac:dyDescent="0.25">
      <c r="A7530" t="str">
        <f t="shared" si="180"/>
        <v>89301000</v>
      </c>
      <c r="B7530" t="str">
        <f>"5609221783"</f>
        <v>5609221783</v>
      </c>
      <c r="C7530" s="1">
        <v>45144</v>
      </c>
      <c r="D7530" s="1">
        <v>45147</v>
      </c>
      <c r="E7530">
        <v>1</v>
      </c>
      <c r="F7530" t="str">
        <f>"05-D01-08"</f>
        <v>05-D01-08</v>
      </c>
      <c r="G7530">
        <v>0.43159999999999998</v>
      </c>
      <c r="H7530" t="s">
        <v>11</v>
      </c>
      <c r="I7530" t="s">
        <v>10</v>
      </c>
    </row>
    <row r="7531" spans="1:9" x14ac:dyDescent="0.25">
      <c r="A7531" t="str">
        <f t="shared" si="180"/>
        <v>89301000</v>
      </c>
      <c r="B7531" t="str">
        <f>"5609222091"</f>
        <v>5609222091</v>
      </c>
      <c r="C7531" s="1">
        <v>45056</v>
      </c>
      <c r="D7531" s="1">
        <v>45057</v>
      </c>
      <c r="E7531">
        <v>1</v>
      </c>
      <c r="F7531" t="str">
        <f>"01-D01-03"</f>
        <v>01-D01-03</v>
      </c>
      <c r="G7531">
        <v>0.16200000000000001</v>
      </c>
      <c r="H7531" t="s">
        <v>11</v>
      </c>
      <c r="I7531" t="s">
        <v>10</v>
      </c>
    </row>
    <row r="7532" spans="1:9" x14ac:dyDescent="0.25">
      <c r="A7532" t="str">
        <f t="shared" si="180"/>
        <v>89301000</v>
      </c>
      <c r="B7532" t="str">
        <f>"5609261625"</f>
        <v>5609261625</v>
      </c>
      <c r="C7532" s="1">
        <v>45203</v>
      </c>
      <c r="D7532" s="1">
        <v>45212</v>
      </c>
      <c r="E7532">
        <v>4</v>
      </c>
      <c r="F7532" t="str">
        <f>"08-I05-04"</f>
        <v>08-I05-04</v>
      </c>
      <c r="G7532">
        <v>2.4445000000000001</v>
      </c>
      <c r="H7532" t="s">
        <v>12</v>
      </c>
      <c r="I7532" t="s">
        <v>10</v>
      </c>
    </row>
    <row r="7533" spans="1:9" x14ac:dyDescent="0.25">
      <c r="A7533" t="str">
        <f t="shared" si="180"/>
        <v>89301000</v>
      </c>
      <c r="B7533" t="str">
        <f>"5609281513"</f>
        <v>5609281513</v>
      </c>
      <c r="C7533" s="1">
        <v>45244</v>
      </c>
      <c r="D7533" s="1">
        <v>45246</v>
      </c>
      <c r="E7533">
        <v>1</v>
      </c>
      <c r="F7533" t="str">
        <f>"08-M03-02"</f>
        <v>08-M03-02</v>
      </c>
      <c r="G7533">
        <v>0.91359999999999997</v>
      </c>
      <c r="H7533" t="s">
        <v>11</v>
      </c>
      <c r="I7533" t="s">
        <v>10</v>
      </c>
    </row>
    <row r="7534" spans="1:9" x14ac:dyDescent="0.25">
      <c r="A7534" t="str">
        <f t="shared" si="180"/>
        <v>89301000</v>
      </c>
      <c r="B7534" t="str">
        <f>"5609700514"</f>
        <v>5609700514</v>
      </c>
      <c r="C7534" s="1">
        <v>44925</v>
      </c>
      <c r="D7534" s="1">
        <v>44928</v>
      </c>
      <c r="E7534">
        <v>1</v>
      </c>
      <c r="F7534" t="str">
        <f>"05-M06-06"</f>
        <v>05-M06-06</v>
      </c>
      <c r="G7534">
        <v>1.8264</v>
      </c>
      <c r="H7534" t="s">
        <v>12</v>
      </c>
      <c r="I7534" t="s">
        <v>10</v>
      </c>
    </row>
    <row r="7535" spans="1:9" x14ac:dyDescent="0.25">
      <c r="A7535" t="str">
        <f t="shared" si="180"/>
        <v>89301000</v>
      </c>
      <c r="B7535" t="str">
        <f>"5610071786"</f>
        <v>5610071786</v>
      </c>
      <c r="C7535" s="1">
        <v>45062</v>
      </c>
      <c r="D7535" s="1">
        <v>45069</v>
      </c>
      <c r="E7535">
        <v>1</v>
      </c>
      <c r="F7535" t="str">
        <f>"20-K03-03"</f>
        <v>20-K03-03</v>
      </c>
      <c r="G7535">
        <v>0.94020000000000004</v>
      </c>
      <c r="H7535" t="s">
        <v>11</v>
      </c>
      <c r="I7535" t="s">
        <v>10</v>
      </c>
    </row>
    <row r="7536" spans="1:9" x14ac:dyDescent="0.25">
      <c r="A7536" t="str">
        <f t="shared" si="180"/>
        <v>89301000</v>
      </c>
      <c r="B7536" t="str">
        <f>"5610120340"</f>
        <v>5610120340</v>
      </c>
      <c r="C7536" s="1">
        <v>45231</v>
      </c>
      <c r="D7536" s="1">
        <v>45240</v>
      </c>
      <c r="E7536">
        <v>1</v>
      </c>
      <c r="F7536" t="str">
        <f>"02-I06-01"</f>
        <v>02-I06-01</v>
      </c>
      <c r="G7536">
        <v>1.6951000000000001</v>
      </c>
      <c r="H7536" t="s">
        <v>12</v>
      </c>
      <c r="I7536" t="s">
        <v>10</v>
      </c>
    </row>
    <row r="7537" spans="1:9" x14ac:dyDescent="0.25">
      <c r="A7537" t="str">
        <f t="shared" si="180"/>
        <v>89301000</v>
      </c>
      <c r="B7537" t="str">
        <f>"5610120340"</f>
        <v>5610120340</v>
      </c>
      <c r="C7537" s="1">
        <v>45007</v>
      </c>
      <c r="D7537" s="1">
        <v>45013</v>
      </c>
      <c r="E7537">
        <v>1</v>
      </c>
      <c r="F7537" t="str">
        <f>"02-I02-01"</f>
        <v>02-I02-01</v>
      </c>
      <c r="G7537">
        <v>1.2369000000000001</v>
      </c>
      <c r="H7537" t="s">
        <v>12</v>
      </c>
      <c r="I7537" t="s">
        <v>10</v>
      </c>
    </row>
    <row r="7538" spans="1:9" x14ac:dyDescent="0.25">
      <c r="A7538" t="str">
        <f t="shared" si="180"/>
        <v>89301000</v>
      </c>
      <c r="B7538" t="str">
        <f>"5610131131"</f>
        <v>5610131131</v>
      </c>
      <c r="C7538" s="1">
        <v>44944</v>
      </c>
      <c r="D7538" s="1">
        <v>44946</v>
      </c>
      <c r="E7538">
        <v>1</v>
      </c>
      <c r="F7538" t="str">
        <f>"01-D01-03"</f>
        <v>01-D01-03</v>
      </c>
      <c r="G7538">
        <v>0.16200000000000001</v>
      </c>
      <c r="H7538" t="s">
        <v>11</v>
      </c>
      <c r="I7538" t="s">
        <v>10</v>
      </c>
    </row>
    <row r="7539" spans="1:9" x14ac:dyDescent="0.25">
      <c r="A7539" t="str">
        <f t="shared" si="180"/>
        <v>89301000</v>
      </c>
      <c r="B7539" t="str">
        <f>"5610150502"</f>
        <v>5610150502</v>
      </c>
      <c r="C7539" s="1">
        <v>44937</v>
      </c>
      <c r="D7539" s="1">
        <v>44941</v>
      </c>
      <c r="E7539">
        <v>1</v>
      </c>
      <c r="F7539" t="str">
        <f>"03-I17-00"</f>
        <v>03-I17-00</v>
      </c>
      <c r="G7539">
        <v>0.83489999999999998</v>
      </c>
      <c r="H7539" t="s">
        <v>9</v>
      </c>
      <c r="I7539" t="s">
        <v>10</v>
      </c>
    </row>
    <row r="7540" spans="1:9" x14ac:dyDescent="0.25">
      <c r="A7540" t="str">
        <f t="shared" si="180"/>
        <v>89301000</v>
      </c>
      <c r="B7540" t="str">
        <f>"5610171468"</f>
        <v>5610171468</v>
      </c>
      <c r="C7540" s="1">
        <v>45153</v>
      </c>
      <c r="D7540" s="1">
        <v>45161</v>
      </c>
      <c r="E7540">
        <v>6</v>
      </c>
      <c r="F7540" t="str">
        <f>"01-C02-01"</f>
        <v>01-C02-01</v>
      </c>
      <c r="G7540">
        <v>2.5163000000000002</v>
      </c>
      <c r="H7540" t="s">
        <v>11</v>
      </c>
      <c r="I7540" t="s">
        <v>10</v>
      </c>
    </row>
    <row r="7541" spans="1:9" x14ac:dyDescent="0.25">
      <c r="A7541" t="str">
        <f t="shared" si="180"/>
        <v>89301000</v>
      </c>
      <c r="B7541" t="str">
        <f>"5610211266"</f>
        <v>5610211266</v>
      </c>
      <c r="C7541" s="1">
        <v>45055</v>
      </c>
      <c r="D7541" s="1">
        <v>45056</v>
      </c>
      <c r="E7541">
        <v>1</v>
      </c>
      <c r="F7541" t="str">
        <f>"06-K07-02"</f>
        <v>06-K07-02</v>
      </c>
      <c r="G7541">
        <v>0.42059999999999997</v>
      </c>
      <c r="H7541" t="s">
        <v>11</v>
      </c>
      <c r="I7541" t="s">
        <v>10</v>
      </c>
    </row>
    <row r="7542" spans="1:9" x14ac:dyDescent="0.25">
      <c r="A7542" t="str">
        <f t="shared" si="180"/>
        <v>89301000</v>
      </c>
      <c r="B7542" t="str">
        <f>"5610271304"</f>
        <v>5610271304</v>
      </c>
      <c r="C7542" s="1">
        <v>45152</v>
      </c>
      <c r="D7542" s="1">
        <v>45155</v>
      </c>
      <c r="E7542">
        <v>1</v>
      </c>
      <c r="F7542" t="str">
        <f>"05-M07-05"</f>
        <v>05-M07-05</v>
      </c>
      <c r="G7542">
        <v>1.7267999999999999</v>
      </c>
      <c r="H7542" t="s">
        <v>12</v>
      </c>
      <c r="I7542" t="s">
        <v>10</v>
      </c>
    </row>
    <row r="7543" spans="1:9" x14ac:dyDescent="0.25">
      <c r="A7543" t="str">
        <f t="shared" si="180"/>
        <v>89301000</v>
      </c>
      <c r="B7543" t="str">
        <f>"5610301191"</f>
        <v>5610301191</v>
      </c>
      <c r="C7543" s="1">
        <v>45230</v>
      </c>
      <c r="D7543" s="1">
        <v>45232</v>
      </c>
      <c r="E7543">
        <v>1</v>
      </c>
      <c r="F7543" t="str">
        <f>"12-M02-02"</f>
        <v>12-M02-02</v>
      </c>
      <c r="G7543">
        <v>0.94030000000000002</v>
      </c>
      <c r="H7543" t="s">
        <v>9</v>
      </c>
      <c r="I7543" t="s">
        <v>10</v>
      </c>
    </row>
    <row r="7544" spans="1:9" x14ac:dyDescent="0.25">
      <c r="A7544" t="str">
        <f t="shared" si="180"/>
        <v>89301000</v>
      </c>
      <c r="B7544" t="str">
        <f>"5610301367"</f>
        <v>5610301367</v>
      </c>
      <c r="C7544" s="1">
        <v>44970</v>
      </c>
      <c r="D7544" s="1">
        <v>44973</v>
      </c>
      <c r="E7544">
        <v>1</v>
      </c>
      <c r="F7544" t="str">
        <f>"08-M03-02"</f>
        <v>08-M03-02</v>
      </c>
      <c r="G7544">
        <v>0.91359999999999997</v>
      </c>
      <c r="H7544" t="s">
        <v>11</v>
      </c>
      <c r="I7544" t="s">
        <v>10</v>
      </c>
    </row>
    <row r="7545" spans="1:9" x14ac:dyDescent="0.25">
      <c r="A7545" t="str">
        <f t="shared" si="180"/>
        <v>89301000</v>
      </c>
      <c r="B7545" t="str">
        <f>"5610750519"</f>
        <v>5610750519</v>
      </c>
      <c r="C7545" s="1">
        <v>45110</v>
      </c>
      <c r="D7545" s="1">
        <v>45117</v>
      </c>
      <c r="E7545">
        <v>1</v>
      </c>
      <c r="F7545" t="str">
        <f>"04-K06-03"</f>
        <v>04-K06-03</v>
      </c>
      <c r="G7545">
        <v>0.62519999999999998</v>
      </c>
      <c r="H7545" t="s">
        <v>11</v>
      </c>
      <c r="I7545" t="s">
        <v>10</v>
      </c>
    </row>
    <row r="7546" spans="1:9" x14ac:dyDescent="0.25">
      <c r="A7546" t="str">
        <f t="shared" si="180"/>
        <v>89301000</v>
      </c>
      <c r="B7546" t="str">
        <f>"5611021427"</f>
        <v>5611021427</v>
      </c>
      <c r="C7546" s="1">
        <v>45180</v>
      </c>
      <c r="D7546" s="1">
        <v>45183</v>
      </c>
      <c r="E7546">
        <v>1</v>
      </c>
      <c r="F7546" t="str">
        <f>"11-M06-03"</f>
        <v>11-M06-03</v>
      </c>
      <c r="G7546">
        <v>0.61150000000000004</v>
      </c>
      <c r="H7546" t="s">
        <v>12</v>
      </c>
      <c r="I7546" t="s">
        <v>10</v>
      </c>
    </row>
    <row r="7547" spans="1:9" x14ac:dyDescent="0.25">
      <c r="A7547" t="str">
        <f t="shared" si="180"/>
        <v>89301000</v>
      </c>
      <c r="B7547" t="str">
        <f>"5611041260"</f>
        <v>5611041260</v>
      </c>
      <c r="C7547" s="1">
        <v>45280</v>
      </c>
      <c r="D7547" s="1">
        <v>45283</v>
      </c>
      <c r="E7547">
        <v>1</v>
      </c>
      <c r="F7547" t="str">
        <f>"04-K09-03"</f>
        <v>04-K09-03</v>
      </c>
      <c r="G7547">
        <v>0.65600000000000003</v>
      </c>
      <c r="H7547" t="s">
        <v>11</v>
      </c>
      <c r="I7547" t="s">
        <v>10</v>
      </c>
    </row>
    <row r="7548" spans="1:9" x14ac:dyDescent="0.25">
      <c r="A7548" t="str">
        <f t="shared" si="180"/>
        <v>89301000</v>
      </c>
      <c r="B7548" t="str">
        <f>"5611041260"</f>
        <v>5611041260</v>
      </c>
      <c r="C7548" s="1">
        <v>45215</v>
      </c>
      <c r="D7548" s="1">
        <v>45230</v>
      </c>
      <c r="E7548">
        <v>5</v>
      </c>
      <c r="F7548" t="str">
        <f>"04-C02-02"</f>
        <v>04-C02-02</v>
      </c>
      <c r="G7548">
        <v>0.69750000000000001</v>
      </c>
      <c r="H7548" t="s">
        <v>11</v>
      </c>
      <c r="I7548" t="s">
        <v>10</v>
      </c>
    </row>
    <row r="7549" spans="1:9" x14ac:dyDescent="0.25">
      <c r="A7549" t="str">
        <f t="shared" si="180"/>
        <v>89301000</v>
      </c>
      <c r="B7549" t="str">
        <f>"5611041260"</f>
        <v>5611041260</v>
      </c>
      <c r="C7549" s="1">
        <v>45254</v>
      </c>
      <c r="D7549" s="1">
        <v>45258</v>
      </c>
      <c r="E7549">
        <v>1</v>
      </c>
      <c r="F7549" t="str">
        <f>"04-C02-02"</f>
        <v>04-C02-02</v>
      </c>
      <c r="G7549">
        <v>0.36070000000000002</v>
      </c>
      <c r="H7549" t="s">
        <v>11</v>
      </c>
      <c r="I7549" t="s">
        <v>10</v>
      </c>
    </row>
    <row r="7550" spans="1:9" x14ac:dyDescent="0.25">
      <c r="A7550" t="str">
        <f t="shared" ref="A7550:A7612" si="183">"89301000"</f>
        <v>89301000</v>
      </c>
      <c r="B7550" t="str">
        <f>"5611071169"</f>
        <v>5611071169</v>
      </c>
      <c r="C7550" s="1">
        <v>45179</v>
      </c>
      <c r="D7550" s="1">
        <v>45183</v>
      </c>
      <c r="E7550">
        <v>1</v>
      </c>
      <c r="F7550" t="str">
        <f>"03-I24-00"</f>
        <v>03-I24-00</v>
      </c>
      <c r="G7550">
        <v>0.41360000000000002</v>
      </c>
      <c r="H7550" t="s">
        <v>11</v>
      </c>
      <c r="I7550" t="s">
        <v>10</v>
      </c>
    </row>
    <row r="7551" spans="1:9" x14ac:dyDescent="0.25">
      <c r="A7551" t="str">
        <f t="shared" si="183"/>
        <v>89301000</v>
      </c>
      <c r="B7551" t="str">
        <f>"5611100352"</f>
        <v>5611100352</v>
      </c>
      <c r="C7551" s="1">
        <v>45093</v>
      </c>
      <c r="D7551" s="1">
        <v>45094</v>
      </c>
      <c r="E7551">
        <v>1</v>
      </c>
      <c r="F7551" t="str">
        <f>"01-D01-03"</f>
        <v>01-D01-03</v>
      </c>
      <c r="G7551">
        <v>0.16200000000000001</v>
      </c>
      <c r="H7551" t="s">
        <v>11</v>
      </c>
      <c r="I7551" t="s">
        <v>10</v>
      </c>
    </row>
    <row r="7552" spans="1:9" x14ac:dyDescent="0.25">
      <c r="A7552" t="str">
        <f t="shared" si="183"/>
        <v>89301000</v>
      </c>
      <c r="B7552" t="str">
        <f>"5611181994"</f>
        <v>5611181994</v>
      </c>
      <c r="C7552" s="1">
        <v>45141</v>
      </c>
      <c r="D7552" s="1">
        <v>45146</v>
      </c>
      <c r="E7552">
        <v>3</v>
      </c>
      <c r="F7552" t="str">
        <f>"01-K10-02"</f>
        <v>01-K10-02</v>
      </c>
      <c r="G7552">
        <v>1.6027</v>
      </c>
      <c r="H7552" t="s">
        <v>11</v>
      </c>
      <c r="I7552" t="s">
        <v>10</v>
      </c>
    </row>
    <row r="7553" spans="1:9" x14ac:dyDescent="0.25">
      <c r="A7553" t="str">
        <f t="shared" si="183"/>
        <v>89301000</v>
      </c>
      <c r="B7553" t="str">
        <f>"5611181994"</f>
        <v>5611181994</v>
      </c>
      <c r="C7553" s="1">
        <v>45146</v>
      </c>
      <c r="D7553" s="1">
        <v>45154</v>
      </c>
      <c r="E7553">
        <v>1</v>
      </c>
      <c r="F7553" t="str">
        <f>"24-M06-01"</f>
        <v>24-M06-01</v>
      </c>
      <c r="G7553">
        <v>1.1990000000000001</v>
      </c>
      <c r="H7553" t="s">
        <v>11</v>
      </c>
      <c r="I7553" t="s">
        <v>10</v>
      </c>
    </row>
    <row r="7554" spans="1:9" x14ac:dyDescent="0.25">
      <c r="A7554" t="str">
        <f t="shared" si="183"/>
        <v>89301000</v>
      </c>
      <c r="B7554" t="str">
        <f>"5611220780"</f>
        <v>5611220780</v>
      </c>
      <c r="C7554" s="1">
        <v>45181</v>
      </c>
      <c r="D7554" s="1">
        <v>45193</v>
      </c>
      <c r="E7554">
        <v>1</v>
      </c>
      <c r="F7554" t="str">
        <f>"06-I07-06"</f>
        <v>06-I07-06</v>
      </c>
      <c r="G7554">
        <v>2.5375999999999999</v>
      </c>
      <c r="H7554" t="s">
        <v>12</v>
      </c>
      <c r="I7554" t="s">
        <v>10</v>
      </c>
    </row>
    <row r="7555" spans="1:9" x14ac:dyDescent="0.25">
      <c r="A7555" t="str">
        <f t="shared" si="183"/>
        <v>89301000</v>
      </c>
      <c r="B7555" t="str">
        <f>"5611251481"</f>
        <v>5611251481</v>
      </c>
      <c r="C7555" s="1">
        <v>45005</v>
      </c>
      <c r="D7555" s="1">
        <v>45012</v>
      </c>
      <c r="E7555">
        <v>1</v>
      </c>
      <c r="F7555" t="str">
        <f>"08-I11-02"</f>
        <v>08-I11-02</v>
      </c>
      <c r="G7555">
        <v>3.4980000000000002</v>
      </c>
      <c r="H7555" t="s">
        <v>12</v>
      </c>
      <c r="I7555" t="s">
        <v>10</v>
      </c>
    </row>
    <row r="7556" spans="1:9" x14ac:dyDescent="0.25">
      <c r="A7556" t="str">
        <f t="shared" si="183"/>
        <v>89301000</v>
      </c>
      <c r="B7556" t="str">
        <f>"5611251481"</f>
        <v>5611251481</v>
      </c>
      <c r="C7556" s="1">
        <v>45061</v>
      </c>
      <c r="D7556" s="1">
        <v>45079</v>
      </c>
      <c r="E7556">
        <v>1</v>
      </c>
      <c r="F7556" t="str">
        <f>"24-M08-02"</f>
        <v>24-M08-02</v>
      </c>
      <c r="G7556">
        <v>2.0236999999999998</v>
      </c>
      <c r="H7556" t="s">
        <v>11</v>
      </c>
      <c r="I7556" t="s">
        <v>10</v>
      </c>
    </row>
    <row r="7557" spans="1:9" x14ac:dyDescent="0.25">
      <c r="A7557" t="str">
        <f t="shared" si="183"/>
        <v>89301000</v>
      </c>
      <c r="B7557" t="str">
        <f>"5611251481"</f>
        <v>5611251481</v>
      </c>
      <c r="C7557" s="1">
        <v>45180</v>
      </c>
      <c r="D7557" s="1">
        <v>45181</v>
      </c>
      <c r="E7557">
        <v>1</v>
      </c>
      <c r="F7557" t="str">
        <f>"06-M01-05"</f>
        <v>06-M01-05</v>
      </c>
      <c r="G7557">
        <v>0.4178</v>
      </c>
      <c r="H7557" t="s">
        <v>11</v>
      </c>
      <c r="I7557" t="s">
        <v>10</v>
      </c>
    </row>
    <row r="7558" spans="1:9" x14ac:dyDescent="0.25">
      <c r="A7558" t="str">
        <f t="shared" si="183"/>
        <v>89301000</v>
      </c>
      <c r="B7558" t="str">
        <f>"5612030457"</f>
        <v>5612030457</v>
      </c>
      <c r="C7558" s="1">
        <v>45226</v>
      </c>
      <c r="D7558" s="1">
        <v>45226</v>
      </c>
      <c r="E7558">
        <v>1</v>
      </c>
      <c r="F7558" t="str">
        <f>"05-D01-08"</f>
        <v>05-D01-08</v>
      </c>
      <c r="G7558">
        <v>0.2303</v>
      </c>
      <c r="H7558" t="s">
        <v>11</v>
      </c>
      <c r="I7558" t="s">
        <v>10</v>
      </c>
    </row>
    <row r="7559" spans="1:9" x14ac:dyDescent="0.25">
      <c r="A7559" t="str">
        <f t="shared" si="183"/>
        <v>89301000</v>
      </c>
      <c r="B7559" t="str">
        <f>"5612030457"</f>
        <v>5612030457</v>
      </c>
      <c r="C7559" s="1">
        <v>45160</v>
      </c>
      <c r="D7559" s="1">
        <v>45160</v>
      </c>
      <c r="E7559">
        <v>1</v>
      </c>
      <c r="F7559" t="str">
        <f>"05-M06-08"</f>
        <v>05-M06-08</v>
      </c>
      <c r="G7559">
        <v>1.1012</v>
      </c>
      <c r="H7559" t="s">
        <v>12</v>
      </c>
      <c r="I7559" t="s">
        <v>10</v>
      </c>
    </row>
    <row r="7560" spans="1:9" x14ac:dyDescent="0.25">
      <c r="A7560" t="str">
        <f t="shared" si="183"/>
        <v>89301000</v>
      </c>
      <c r="B7560" t="str">
        <f>"5612060388"</f>
        <v>5612060388</v>
      </c>
      <c r="C7560" s="1">
        <v>45068</v>
      </c>
      <c r="D7560" s="1">
        <v>45070</v>
      </c>
      <c r="E7560">
        <v>1</v>
      </c>
      <c r="F7560" t="str">
        <f>"05-I25-03"</f>
        <v>05-I25-03</v>
      </c>
      <c r="G7560">
        <v>1.633</v>
      </c>
      <c r="H7560" t="s">
        <v>12</v>
      </c>
      <c r="I7560" t="s">
        <v>10</v>
      </c>
    </row>
    <row r="7561" spans="1:9" x14ac:dyDescent="0.25">
      <c r="A7561" t="str">
        <f t="shared" si="183"/>
        <v>89301000</v>
      </c>
      <c r="B7561" t="str">
        <f>"5612060388"</f>
        <v>5612060388</v>
      </c>
      <c r="C7561" s="1">
        <v>45051</v>
      </c>
      <c r="D7561" s="1">
        <v>45051</v>
      </c>
      <c r="E7561">
        <v>1</v>
      </c>
      <c r="F7561" t="str">
        <f>"05-M09-00"</f>
        <v>05-M09-00</v>
      </c>
      <c r="G7561">
        <v>0.87160000000000004</v>
      </c>
      <c r="H7561" t="s">
        <v>11</v>
      </c>
      <c r="I7561" t="s">
        <v>10</v>
      </c>
    </row>
    <row r="7562" spans="1:9" x14ac:dyDescent="0.25">
      <c r="A7562" t="str">
        <f t="shared" si="183"/>
        <v>89301000</v>
      </c>
      <c r="B7562" t="str">
        <f>"5612060388"</f>
        <v>5612060388</v>
      </c>
      <c r="C7562" s="1">
        <v>45125</v>
      </c>
      <c r="D7562" s="1">
        <v>45127</v>
      </c>
      <c r="E7562">
        <v>1</v>
      </c>
      <c r="F7562" t="str">
        <f>"05-M05-02"</f>
        <v>05-M05-02</v>
      </c>
      <c r="G7562">
        <v>3.4817999999999998</v>
      </c>
      <c r="H7562" t="s">
        <v>14</v>
      </c>
      <c r="I7562" t="s">
        <v>10</v>
      </c>
    </row>
    <row r="7563" spans="1:9" x14ac:dyDescent="0.25">
      <c r="A7563" t="str">
        <f t="shared" si="183"/>
        <v>89301000</v>
      </c>
      <c r="B7563" t="str">
        <f>"5612081244"</f>
        <v>5612081244</v>
      </c>
      <c r="C7563" s="1">
        <v>44949</v>
      </c>
      <c r="D7563" s="1">
        <v>44951</v>
      </c>
      <c r="E7563">
        <v>8</v>
      </c>
      <c r="F7563" t="str">
        <f>"01-K11-02"</f>
        <v>01-K11-02</v>
      </c>
      <c r="G7563">
        <v>1.7013</v>
      </c>
      <c r="H7563" t="s">
        <v>11</v>
      </c>
      <c r="I7563" t="s">
        <v>10</v>
      </c>
    </row>
    <row r="7564" spans="1:9" x14ac:dyDescent="0.25">
      <c r="A7564" t="str">
        <f t="shared" si="183"/>
        <v>89301000</v>
      </c>
      <c r="B7564" t="str">
        <f>"5612141293"</f>
        <v>5612141293</v>
      </c>
      <c r="C7564" s="1">
        <v>45202</v>
      </c>
      <c r="D7564" s="1">
        <v>45206</v>
      </c>
      <c r="E7564">
        <v>1</v>
      </c>
      <c r="F7564" t="str">
        <f>"16-I04-01"</f>
        <v>16-I04-01</v>
      </c>
      <c r="G7564">
        <v>0.95030000000000003</v>
      </c>
      <c r="H7564" t="s">
        <v>12</v>
      </c>
      <c r="I7564" t="s">
        <v>10</v>
      </c>
    </row>
    <row r="7565" spans="1:9" x14ac:dyDescent="0.25">
      <c r="A7565" t="str">
        <f t="shared" si="183"/>
        <v>89301000</v>
      </c>
      <c r="B7565" t="str">
        <f>"5612151380"</f>
        <v>5612151380</v>
      </c>
      <c r="C7565" s="1">
        <v>45062</v>
      </c>
      <c r="D7565" s="1">
        <v>45065</v>
      </c>
      <c r="E7565">
        <v>1</v>
      </c>
      <c r="F7565" t="str">
        <f>"05-M05-02"</f>
        <v>05-M05-02</v>
      </c>
      <c r="G7565">
        <v>3.4817999999999998</v>
      </c>
      <c r="H7565" t="s">
        <v>14</v>
      </c>
      <c r="I7565" t="s">
        <v>10</v>
      </c>
    </row>
    <row r="7566" spans="1:9" x14ac:dyDescent="0.25">
      <c r="A7566" t="str">
        <f t="shared" si="183"/>
        <v>89301000</v>
      </c>
      <c r="B7566" t="str">
        <f>"5612151380"</f>
        <v>5612151380</v>
      </c>
      <c r="C7566" s="1">
        <v>45161</v>
      </c>
      <c r="D7566" s="1">
        <v>45163</v>
      </c>
      <c r="E7566">
        <v>1</v>
      </c>
      <c r="F7566" t="str">
        <f>"05-M05-02"</f>
        <v>05-M05-02</v>
      </c>
      <c r="G7566">
        <v>3.4817999999999998</v>
      </c>
      <c r="H7566" t="s">
        <v>14</v>
      </c>
      <c r="I7566" t="s">
        <v>10</v>
      </c>
    </row>
    <row r="7567" spans="1:9" x14ac:dyDescent="0.25">
      <c r="A7567" t="str">
        <f t="shared" si="183"/>
        <v>89301000</v>
      </c>
      <c r="B7567" t="str">
        <f>"5612161907"</f>
        <v>5612161907</v>
      </c>
      <c r="C7567" s="1">
        <v>45120</v>
      </c>
      <c r="D7567" s="1">
        <v>45124</v>
      </c>
      <c r="E7567">
        <v>1</v>
      </c>
      <c r="F7567" t="str">
        <f>"12-M02-02"</f>
        <v>12-M02-02</v>
      </c>
      <c r="G7567">
        <v>0.95020000000000004</v>
      </c>
      <c r="H7567" t="s">
        <v>9</v>
      </c>
      <c r="I7567" t="s">
        <v>10</v>
      </c>
    </row>
    <row r="7568" spans="1:9" x14ac:dyDescent="0.25">
      <c r="A7568" t="str">
        <f t="shared" si="183"/>
        <v>89301000</v>
      </c>
      <c r="B7568" t="str">
        <f>"5612161907"</f>
        <v>5612161907</v>
      </c>
      <c r="C7568" s="1">
        <v>45250</v>
      </c>
      <c r="D7568" s="1">
        <v>45260</v>
      </c>
      <c r="E7568">
        <v>1</v>
      </c>
      <c r="F7568" t="str">
        <f>"12-I02-01"</f>
        <v>12-I02-01</v>
      </c>
      <c r="G7568">
        <v>3.3855</v>
      </c>
      <c r="H7568" t="s">
        <v>9</v>
      </c>
      <c r="I7568" t="s">
        <v>10</v>
      </c>
    </row>
    <row r="7569" spans="1:9" x14ac:dyDescent="0.25">
      <c r="A7569" t="str">
        <f t="shared" si="183"/>
        <v>89301000</v>
      </c>
      <c r="B7569" t="str">
        <f t="shared" ref="B7569:B7575" si="184">"5612171499"</f>
        <v>5612171499</v>
      </c>
      <c r="C7569" s="1">
        <v>45273</v>
      </c>
      <c r="D7569" s="1">
        <v>45278</v>
      </c>
      <c r="E7569">
        <v>1</v>
      </c>
      <c r="F7569" t="str">
        <f>"07-C01-02"</f>
        <v>07-C01-02</v>
      </c>
      <c r="G7569">
        <v>0.3483</v>
      </c>
      <c r="H7569" t="s">
        <v>11</v>
      </c>
      <c r="I7569" t="s">
        <v>10</v>
      </c>
    </row>
    <row r="7570" spans="1:9" x14ac:dyDescent="0.25">
      <c r="A7570" t="str">
        <f t="shared" si="183"/>
        <v>89301000</v>
      </c>
      <c r="B7570" t="str">
        <f t="shared" si="184"/>
        <v>5612171499</v>
      </c>
      <c r="C7570" s="1">
        <v>45028</v>
      </c>
      <c r="D7570" s="1">
        <v>45037</v>
      </c>
      <c r="E7570">
        <v>1</v>
      </c>
      <c r="F7570" t="str">
        <f>"09-K01-03"</f>
        <v>09-K01-03</v>
      </c>
      <c r="G7570">
        <v>0.85919999999999996</v>
      </c>
      <c r="H7570" t="s">
        <v>11</v>
      </c>
      <c r="I7570" t="s">
        <v>10</v>
      </c>
    </row>
    <row r="7571" spans="1:9" x14ac:dyDescent="0.25">
      <c r="A7571" t="str">
        <f t="shared" si="183"/>
        <v>89301000</v>
      </c>
      <c r="B7571" t="str">
        <f t="shared" si="184"/>
        <v>5612171499</v>
      </c>
      <c r="C7571" s="1">
        <v>45259</v>
      </c>
      <c r="D7571" s="1">
        <v>45260</v>
      </c>
      <c r="E7571">
        <v>1</v>
      </c>
      <c r="F7571" t="str">
        <f>"07-C01-02"</f>
        <v>07-C01-02</v>
      </c>
      <c r="G7571">
        <v>0.3483</v>
      </c>
      <c r="H7571" t="s">
        <v>11</v>
      </c>
      <c r="I7571" t="s">
        <v>10</v>
      </c>
    </row>
    <row r="7572" spans="1:9" x14ac:dyDescent="0.25">
      <c r="A7572" t="str">
        <f t="shared" si="183"/>
        <v>89301000</v>
      </c>
      <c r="B7572" t="str">
        <f t="shared" si="184"/>
        <v>5612171499</v>
      </c>
      <c r="C7572" s="1">
        <v>45195</v>
      </c>
      <c r="D7572" s="1">
        <v>45197</v>
      </c>
      <c r="E7572">
        <v>1</v>
      </c>
      <c r="F7572" t="str">
        <f>"07-K06-02"</f>
        <v>07-K06-02</v>
      </c>
      <c r="G7572">
        <v>0.47520000000000001</v>
      </c>
      <c r="H7572" t="s">
        <v>11</v>
      </c>
      <c r="I7572" t="s">
        <v>10</v>
      </c>
    </row>
    <row r="7573" spans="1:9" x14ac:dyDescent="0.25">
      <c r="A7573" t="str">
        <f t="shared" si="183"/>
        <v>89301000</v>
      </c>
      <c r="B7573" t="str">
        <f t="shared" si="184"/>
        <v>5612171499</v>
      </c>
      <c r="C7573" s="1">
        <v>45230</v>
      </c>
      <c r="D7573" s="1">
        <v>45232</v>
      </c>
      <c r="E7573">
        <v>1</v>
      </c>
      <c r="F7573" t="str">
        <f>"07-C01-02"</f>
        <v>07-C01-02</v>
      </c>
      <c r="G7573">
        <v>0.3483</v>
      </c>
      <c r="H7573" t="s">
        <v>11</v>
      </c>
      <c r="I7573" t="s">
        <v>10</v>
      </c>
    </row>
    <row r="7574" spans="1:9" x14ac:dyDescent="0.25">
      <c r="A7574" t="str">
        <f t="shared" si="183"/>
        <v>89301000</v>
      </c>
      <c r="B7574" t="str">
        <f t="shared" si="184"/>
        <v>5612171499</v>
      </c>
      <c r="C7574" s="1">
        <v>45238</v>
      </c>
      <c r="D7574" s="1">
        <v>45239</v>
      </c>
      <c r="E7574">
        <v>1</v>
      </c>
      <c r="F7574" t="str">
        <f>"07-C01-02"</f>
        <v>07-C01-02</v>
      </c>
      <c r="G7574">
        <v>0.3483</v>
      </c>
      <c r="H7574" t="s">
        <v>11</v>
      </c>
      <c r="I7574" t="s">
        <v>10</v>
      </c>
    </row>
    <row r="7575" spans="1:9" x14ac:dyDescent="0.25">
      <c r="A7575" t="str">
        <f t="shared" si="183"/>
        <v>89301000</v>
      </c>
      <c r="B7575" t="str">
        <f t="shared" si="184"/>
        <v>5612171499</v>
      </c>
      <c r="C7575" s="1">
        <v>45252</v>
      </c>
      <c r="D7575" s="1">
        <v>45253</v>
      </c>
      <c r="E7575">
        <v>1</v>
      </c>
      <c r="F7575" t="str">
        <f>"07-C01-02"</f>
        <v>07-C01-02</v>
      </c>
      <c r="G7575">
        <v>0.3483</v>
      </c>
      <c r="H7575" t="s">
        <v>11</v>
      </c>
      <c r="I7575" t="s">
        <v>10</v>
      </c>
    </row>
    <row r="7576" spans="1:9" x14ac:dyDescent="0.25">
      <c r="A7576" t="str">
        <f t="shared" si="183"/>
        <v>89301000</v>
      </c>
      <c r="B7576" t="str">
        <f>"5612220845"</f>
        <v>5612220845</v>
      </c>
      <c r="C7576" s="1">
        <v>45147</v>
      </c>
      <c r="D7576" s="1">
        <v>45151</v>
      </c>
      <c r="E7576">
        <v>1</v>
      </c>
      <c r="F7576" t="str">
        <f>"05-M06-08"</f>
        <v>05-M06-08</v>
      </c>
      <c r="G7576">
        <v>1.7233000000000001</v>
      </c>
      <c r="H7576" t="s">
        <v>12</v>
      </c>
      <c r="I7576" t="s">
        <v>10</v>
      </c>
    </row>
    <row r="7577" spans="1:9" x14ac:dyDescent="0.25">
      <c r="A7577" t="str">
        <f t="shared" si="183"/>
        <v>89301000</v>
      </c>
      <c r="B7577" t="str">
        <f>"5612230481"</f>
        <v>5612230481</v>
      </c>
      <c r="C7577" s="1">
        <v>45018</v>
      </c>
      <c r="D7577" s="1">
        <v>45021</v>
      </c>
      <c r="E7577">
        <v>1</v>
      </c>
      <c r="F7577" t="str">
        <f>"06-I16-04"</f>
        <v>06-I16-04</v>
      </c>
      <c r="G7577">
        <v>0.68920000000000003</v>
      </c>
      <c r="H7577" t="s">
        <v>9</v>
      </c>
      <c r="I7577" t="s">
        <v>10</v>
      </c>
    </row>
    <row r="7578" spans="1:9" x14ac:dyDescent="0.25">
      <c r="A7578" t="str">
        <f t="shared" si="183"/>
        <v>89301000</v>
      </c>
      <c r="B7578" t="str">
        <f>"5612230767"</f>
        <v>5612230767</v>
      </c>
      <c r="C7578" s="1">
        <v>45097</v>
      </c>
      <c r="D7578" s="1">
        <v>45105</v>
      </c>
      <c r="E7578">
        <v>3</v>
      </c>
      <c r="F7578" t="str">
        <f>"01-K10-03"</f>
        <v>01-K10-03</v>
      </c>
      <c r="G7578">
        <v>1.0443</v>
      </c>
      <c r="H7578" t="s">
        <v>11</v>
      </c>
      <c r="I7578" t="s">
        <v>10</v>
      </c>
    </row>
    <row r="7579" spans="1:9" x14ac:dyDescent="0.25">
      <c r="A7579" t="str">
        <f t="shared" si="183"/>
        <v>89301000</v>
      </c>
      <c r="B7579" t="str">
        <f>"5612230767"</f>
        <v>5612230767</v>
      </c>
      <c r="C7579" s="1">
        <v>45105</v>
      </c>
      <c r="D7579" s="1">
        <v>45121</v>
      </c>
      <c r="E7579">
        <v>1</v>
      </c>
      <c r="F7579" t="str">
        <f>"24-M07-01"</f>
        <v>24-M07-01</v>
      </c>
      <c r="G7579">
        <v>1.7825</v>
      </c>
      <c r="H7579" t="s">
        <v>11</v>
      </c>
      <c r="I7579" t="s">
        <v>10</v>
      </c>
    </row>
    <row r="7580" spans="1:9" x14ac:dyDescent="0.25">
      <c r="A7580" t="str">
        <f t="shared" si="183"/>
        <v>89301000</v>
      </c>
      <c r="B7580" t="str">
        <f>"5612231119"</f>
        <v>5612231119</v>
      </c>
      <c r="C7580" s="1">
        <v>44945</v>
      </c>
      <c r="D7580" s="1">
        <v>44947</v>
      </c>
      <c r="E7580">
        <v>1</v>
      </c>
      <c r="F7580" t="str">
        <f>"05-I14-04"</f>
        <v>05-I14-04</v>
      </c>
      <c r="G7580">
        <v>5.2220000000000004</v>
      </c>
      <c r="H7580" t="s">
        <v>12</v>
      </c>
      <c r="I7580" t="s">
        <v>10</v>
      </c>
    </row>
    <row r="7581" spans="1:9" x14ac:dyDescent="0.25">
      <c r="A7581" t="str">
        <f t="shared" si="183"/>
        <v>89301000</v>
      </c>
      <c r="B7581" t="str">
        <f>"5612231482"</f>
        <v>5612231482</v>
      </c>
      <c r="C7581" s="1">
        <v>44986</v>
      </c>
      <c r="D7581" s="1">
        <v>44995</v>
      </c>
      <c r="E7581">
        <v>1</v>
      </c>
      <c r="F7581" t="str">
        <f>"05-I16-04"</f>
        <v>05-I16-04</v>
      </c>
      <c r="G7581">
        <v>6.2375999999999996</v>
      </c>
      <c r="H7581" t="s">
        <v>14</v>
      </c>
      <c r="I7581" t="s">
        <v>10</v>
      </c>
    </row>
    <row r="7582" spans="1:9" x14ac:dyDescent="0.25">
      <c r="A7582" t="str">
        <f t="shared" si="183"/>
        <v>89301000</v>
      </c>
      <c r="B7582" t="str">
        <f>"5612260918"</f>
        <v>5612260918</v>
      </c>
      <c r="C7582" s="1">
        <v>45203</v>
      </c>
      <c r="D7582" s="1">
        <v>45206</v>
      </c>
      <c r="E7582">
        <v>1</v>
      </c>
      <c r="F7582" t="str">
        <f>"03-I19-03"</f>
        <v>03-I19-03</v>
      </c>
      <c r="G7582">
        <v>0.53249999999999997</v>
      </c>
      <c r="H7582" t="s">
        <v>11</v>
      </c>
      <c r="I7582" t="s">
        <v>10</v>
      </c>
    </row>
    <row r="7583" spans="1:9" x14ac:dyDescent="0.25">
      <c r="A7583" t="str">
        <f t="shared" si="183"/>
        <v>89301000</v>
      </c>
      <c r="B7583" t="str">
        <f>"5612291355"</f>
        <v>5612291355</v>
      </c>
      <c r="C7583" s="1">
        <v>45211</v>
      </c>
      <c r="D7583" s="1">
        <v>45213</v>
      </c>
      <c r="E7583">
        <v>1</v>
      </c>
      <c r="F7583" t="str">
        <f>"05-M05-02"</f>
        <v>05-M05-02</v>
      </c>
      <c r="G7583">
        <v>3.4817999999999998</v>
      </c>
      <c r="H7583" t="s">
        <v>14</v>
      </c>
      <c r="I7583" t="s">
        <v>10</v>
      </c>
    </row>
    <row r="7584" spans="1:9" x14ac:dyDescent="0.25">
      <c r="A7584" t="str">
        <f t="shared" si="183"/>
        <v>89301000</v>
      </c>
      <c r="B7584" t="str">
        <f>"5612291355"</f>
        <v>5612291355</v>
      </c>
      <c r="C7584" s="1">
        <v>44956</v>
      </c>
      <c r="D7584" s="1">
        <v>44959</v>
      </c>
      <c r="E7584">
        <v>1</v>
      </c>
      <c r="F7584" t="str">
        <f>"08-I04-02"</f>
        <v>08-I04-02</v>
      </c>
      <c r="G7584">
        <v>1.6229</v>
      </c>
      <c r="H7584" t="s">
        <v>14</v>
      </c>
      <c r="I7584" t="s">
        <v>10</v>
      </c>
    </row>
    <row r="7585" spans="1:9" x14ac:dyDescent="0.25">
      <c r="A7585" t="str">
        <f t="shared" si="183"/>
        <v>89301000</v>
      </c>
      <c r="B7585" t="str">
        <f>"5651010585"</f>
        <v>5651010585</v>
      </c>
      <c r="C7585" s="1">
        <v>45026</v>
      </c>
      <c r="D7585" s="1">
        <v>45030</v>
      </c>
      <c r="E7585">
        <v>1</v>
      </c>
      <c r="F7585" t="str">
        <f>"10-I13-02"</f>
        <v>10-I13-02</v>
      </c>
      <c r="G7585">
        <v>1.1124000000000001</v>
      </c>
      <c r="H7585" t="s">
        <v>9</v>
      </c>
      <c r="I7585" t="s">
        <v>10</v>
      </c>
    </row>
    <row r="7586" spans="1:9" x14ac:dyDescent="0.25">
      <c r="A7586" t="str">
        <f t="shared" si="183"/>
        <v>89301000</v>
      </c>
      <c r="B7586" t="str">
        <f>"5651011124"</f>
        <v>5651011124</v>
      </c>
      <c r="C7586" s="1">
        <v>45015</v>
      </c>
      <c r="D7586" s="1">
        <v>45017</v>
      </c>
      <c r="E7586">
        <v>1</v>
      </c>
      <c r="F7586" t="str">
        <f>"09-I09-05"</f>
        <v>09-I09-05</v>
      </c>
      <c r="G7586">
        <v>0.46870000000000001</v>
      </c>
      <c r="H7586" t="s">
        <v>12</v>
      </c>
      <c r="I7586" t="s">
        <v>10</v>
      </c>
    </row>
    <row r="7587" spans="1:9" x14ac:dyDescent="0.25">
      <c r="A7587" t="str">
        <f t="shared" si="183"/>
        <v>89301000</v>
      </c>
      <c r="B7587" t="str">
        <f>"5651026799"</f>
        <v>5651026799</v>
      </c>
      <c r="C7587" s="1">
        <v>45194</v>
      </c>
      <c r="D7587" s="1">
        <v>45195</v>
      </c>
      <c r="E7587">
        <v>1</v>
      </c>
      <c r="F7587" t="str">
        <f>"05-K05-05"</f>
        <v>05-K05-05</v>
      </c>
      <c r="G7587">
        <v>0.35659999999999997</v>
      </c>
      <c r="H7587" t="s">
        <v>11</v>
      </c>
      <c r="I7587" t="s">
        <v>10</v>
      </c>
    </row>
    <row r="7588" spans="1:9" x14ac:dyDescent="0.25">
      <c r="A7588" t="str">
        <f t="shared" si="183"/>
        <v>89301000</v>
      </c>
      <c r="B7588" t="str">
        <f>"5651026799"</f>
        <v>5651026799</v>
      </c>
      <c r="C7588" s="1">
        <v>45208</v>
      </c>
      <c r="D7588" s="1">
        <v>45215</v>
      </c>
      <c r="E7588">
        <v>1</v>
      </c>
      <c r="F7588" t="str">
        <f>"05-I21-01"</f>
        <v>05-I21-01</v>
      </c>
      <c r="G7588">
        <v>3.6871999999999998</v>
      </c>
      <c r="H7588" t="s">
        <v>12</v>
      </c>
      <c r="I7588" t="s">
        <v>10</v>
      </c>
    </row>
    <row r="7589" spans="1:9" x14ac:dyDescent="0.25">
      <c r="A7589" t="str">
        <f t="shared" si="183"/>
        <v>89301000</v>
      </c>
      <c r="B7589" t="str">
        <f>"5651026799"</f>
        <v>5651026799</v>
      </c>
      <c r="C7589" s="1">
        <v>45065</v>
      </c>
      <c r="D7589" s="1">
        <v>45066</v>
      </c>
      <c r="E7589">
        <v>1</v>
      </c>
      <c r="F7589" t="str">
        <f>"05-I25-02"</f>
        <v>05-I25-02</v>
      </c>
      <c r="G7589">
        <v>2.9415</v>
      </c>
      <c r="H7589" t="s">
        <v>12</v>
      </c>
      <c r="I7589" t="s">
        <v>10</v>
      </c>
    </row>
    <row r="7590" spans="1:9" x14ac:dyDescent="0.25">
      <c r="A7590" t="str">
        <f t="shared" si="183"/>
        <v>89301000</v>
      </c>
      <c r="B7590" t="str">
        <f>"5651081315"</f>
        <v>5651081315</v>
      </c>
      <c r="C7590" s="1">
        <v>44991</v>
      </c>
      <c r="D7590" s="1">
        <v>44998</v>
      </c>
      <c r="E7590">
        <v>1</v>
      </c>
      <c r="F7590" t="str">
        <f>"04-I02-03"</f>
        <v>04-I02-03</v>
      </c>
      <c r="G7590">
        <v>3.6791</v>
      </c>
      <c r="H7590" t="s">
        <v>14</v>
      </c>
      <c r="I7590" t="s">
        <v>10</v>
      </c>
    </row>
    <row r="7591" spans="1:9" x14ac:dyDescent="0.25">
      <c r="A7591" t="str">
        <f t="shared" si="183"/>
        <v>89301000</v>
      </c>
      <c r="B7591" t="str">
        <f>"5651111488"</f>
        <v>5651111488</v>
      </c>
      <c r="C7591" s="1">
        <v>45051</v>
      </c>
      <c r="D7591" s="1">
        <v>45063</v>
      </c>
      <c r="E7591">
        <v>3</v>
      </c>
      <c r="F7591" t="str">
        <f>"24-M07-02"</f>
        <v>24-M07-02</v>
      </c>
      <c r="G7591">
        <v>1.573</v>
      </c>
      <c r="H7591" t="s">
        <v>11</v>
      </c>
      <c r="I7591" t="s">
        <v>10</v>
      </c>
    </row>
    <row r="7592" spans="1:9" x14ac:dyDescent="0.25">
      <c r="A7592" t="str">
        <f t="shared" si="183"/>
        <v>89301000</v>
      </c>
      <c r="B7592" t="str">
        <f>"5651111488"</f>
        <v>5651111488</v>
      </c>
      <c r="C7592" s="1">
        <v>45063</v>
      </c>
      <c r="D7592" s="1">
        <v>45065</v>
      </c>
      <c r="E7592">
        <v>1</v>
      </c>
      <c r="F7592" t="str">
        <f>"03-I23-02"</f>
        <v>03-I23-02</v>
      </c>
      <c r="G7592">
        <v>0.58609999999999995</v>
      </c>
      <c r="H7592" t="s">
        <v>11</v>
      </c>
      <c r="I7592" t="s">
        <v>10</v>
      </c>
    </row>
    <row r="7593" spans="1:9" x14ac:dyDescent="0.25">
      <c r="A7593" t="str">
        <f t="shared" si="183"/>
        <v>89301000</v>
      </c>
      <c r="B7593" t="str">
        <f>"5651222137"</f>
        <v>5651222137</v>
      </c>
      <c r="C7593" s="1">
        <v>45041</v>
      </c>
      <c r="D7593" s="1">
        <v>45048</v>
      </c>
      <c r="E7593">
        <v>4</v>
      </c>
      <c r="F7593" t="str">
        <f>"24-M06-02"</f>
        <v>24-M06-02</v>
      </c>
      <c r="G7593">
        <v>1.0699000000000001</v>
      </c>
      <c r="H7593" t="s">
        <v>11</v>
      </c>
      <c r="I7593" t="s">
        <v>10</v>
      </c>
    </row>
    <row r="7594" spans="1:9" x14ac:dyDescent="0.25">
      <c r="A7594" t="str">
        <f t="shared" si="183"/>
        <v>89301000</v>
      </c>
      <c r="B7594" t="str">
        <f>"5651222137"</f>
        <v>5651222137</v>
      </c>
      <c r="C7594" s="1">
        <v>45033</v>
      </c>
      <c r="D7594" s="1">
        <v>45034</v>
      </c>
      <c r="E7594">
        <v>1</v>
      </c>
      <c r="F7594" t="str">
        <f>"24-M04-00"</f>
        <v>24-M04-00</v>
      </c>
      <c r="G7594">
        <v>0.34399999999999997</v>
      </c>
      <c r="H7594" t="s">
        <v>11</v>
      </c>
      <c r="I7594" t="s">
        <v>10</v>
      </c>
    </row>
    <row r="7595" spans="1:9" x14ac:dyDescent="0.25">
      <c r="A7595" t="str">
        <f t="shared" si="183"/>
        <v>89301000</v>
      </c>
      <c r="B7595" t="str">
        <f>"5651222137"</f>
        <v>5651222137</v>
      </c>
      <c r="C7595" s="1">
        <v>45028</v>
      </c>
      <c r="D7595" s="1">
        <v>45033</v>
      </c>
      <c r="E7595">
        <v>3</v>
      </c>
      <c r="F7595" t="str">
        <f>"08-I06-04"</f>
        <v>08-I06-04</v>
      </c>
      <c r="G7595">
        <v>2.4180000000000001</v>
      </c>
      <c r="H7595" t="s">
        <v>9</v>
      </c>
      <c r="I7595" t="s">
        <v>10</v>
      </c>
    </row>
    <row r="7596" spans="1:9" x14ac:dyDescent="0.25">
      <c r="A7596" t="str">
        <f t="shared" si="183"/>
        <v>89301000</v>
      </c>
      <c r="B7596" t="str">
        <f>"5651300996"</f>
        <v>5651300996</v>
      </c>
      <c r="C7596" s="1">
        <v>45051</v>
      </c>
      <c r="D7596" s="1">
        <v>45057</v>
      </c>
      <c r="E7596">
        <v>1</v>
      </c>
      <c r="F7596" t="str">
        <f>"05-K12-02"</f>
        <v>05-K12-02</v>
      </c>
      <c r="G7596">
        <v>0.48820000000000002</v>
      </c>
      <c r="H7596" t="s">
        <v>11</v>
      </c>
      <c r="I7596" t="s">
        <v>10</v>
      </c>
    </row>
    <row r="7597" spans="1:9" x14ac:dyDescent="0.25">
      <c r="A7597" t="str">
        <f t="shared" si="183"/>
        <v>89301000</v>
      </c>
      <c r="B7597" t="str">
        <f>"5651300996"</f>
        <v>5651300996</v>
      </c>
      <c r="C7597" s="1">
        <v>45254</v>
      </c>
      <c r="D7597" s="1">
        <v>45259</v>
      </c>
      <c r="E7597">
        <v>1</v>
      </c>
      <c r="F7597" t="str">
        <f>"05-K12-02"</f>
        <v>05-K12-02</v>
      </c>
      <c r="G7597">
        <v>0.48820000000000002</v>
      </c>
      <c r="H7597" t="s">
        <v>11</v>
      </c>
      <c r="I7597" t="s">
        <v>10</v>
      </c>
    </row>
    <row r="7598" spans="1:9" x14ac:dyDescent="0.25">
      <c r="A7598" t="str">
        <f t="shared" si="183"/>
        <v>89301000</v>
      </c>
      <c r="B7598" t="str">
        <f>"5651302129"</f>
        <v>5651302129</v>
      </c>
      <c r="C7598" s="1">
        <v>45023</v>
      </c>
      <c r="D7598" s="1">
        <v>45029</v>
      </c>
      <c r="E7598">
        <v>1</v>
      </c>
      <c r="F7598" t="str">
        <f>"01-K10-03"</f>
        <v>01-K10-03</v>
      </c>
      <c r="G7598">
        <v>1.0348999999999999</v>
      </c>
      <c r="H7598" t="s">
        <v>11</v>
      </c>
      <c r="I7598" t="s">
        <v>10</v>
      </c>
    </row>
    <row r="7599" spans="1:9" x14ac:dyDescent="0.25">
      <c r="A7599" t="str">
        <f t="shared" si="183"/>
        <v>89301000</v>
      </c>
      <c r="B7599" t="str">
        <f>"5651311765"</f>
        <v>5651311765</v>
      </c>
      <c r="C7599" s="1">
        <v>44997</v>
      </c>
      <c r="D7599" s="1">
        <v>45001</v>
      </c>
      <c r="E7599">
        <v>4</v>
      </c>
      <c r="F7599" t="str">
        <f>"10-K04-04"</f>
        <v>10-K04-04</v>
      </c>
      <c r="G7599">
        <v>0.54310000000000003</v>
      </c>
      <c r="H7599" t="s">
        <v>11</v>
      </c>
      <c r="I7599" t="s">
        <v>10</v>
      </c>
    </row>
    <row r="7600" spans="1:9" x14ac:dyDescent="0.25">
      <c r="A7600" t="str">
        <f t="shared" si="183"/>
        <v>89301000</v>
      </c>
      <c r="B7600" t="str">
        <f>"5652051130"</f>
        <v>5652051130</v>
      </c>
      <c r="C7600" s="1">
        <v>45196</v>
      </c>
      <c r="D7600" s="1">
        <v>45231</v>
      </c>
      <c r="E7600">
        <v>4</v>
      </c>
      <c r="F7600" t="str">
        <f>"17-C06-02"</f>
        <v>17-C06-02</v>
      </c>
      <c r="G7600">
        <v>2.3267000000000002</v>
      </c>
      <c r="H7600" t="s">
        <v>11</v>
      </c>
      <c r="I7600" t="s">
        <v>10</v>
      </c>
    </row>
    <row r="7601" spans="1:9" x14ac:dyDescent="0.25">
      <c r="A7601" t="str">
        <f t="shared" si="183"/>
        <v>89301000</v>
      </c>
      <c r="B7601" t="str">
        <f>"5652101587"</f>
        <v>5652101587</v>
      </c>
      <c r="C7601" s="1">
        <v>45201</v>
      </c>
      <c r="D7601" s="1">
        <v>45203</v>
      </c>
      <c r="E7601">
        <v>1</v>
      </c>
      <c r="F7601" t="str">
        <f>"06-M01-02"</f>
        <v>06-M01-02</v>
      </c>
      <c r="G7601">
        <v>1.1413</v>
      </c>
      <c r="H7601" t="s">
        <v>11</v>
      </c>
      <c r="I7601" t="s">
        <v>10</v>
      </c>
    </row>
    <row r="7602" spans="1:9" x14ac:dyDescent="0.25">
      <c r="A7602" t="str">
        <f t="shared" si="183"/>
        <v>89301000</v>
      </c>
      <c r="B7602" t="str">
        <f>"5652131012"</f>
        <v>5652131012</v>
      </c>
      <c r="C7602" s="1">
        <v>44933</v>
      </c>
      <c r="D7602" s="1">
        <v>44937</v>
      </c>
      <c r="E7602">
        <v>1</v>
      </c>
      <c r="F7602" t="str">
        <f>"04-K04-02"</f>
        <v>04-K04-02</v>
      </c>
      <c r="G7602">
        <v>0.52159999999999995</v>
      </c>
      <c r="H7602" t="s">
        <v>11</v>
      </c>
      <c r="I7602" t="s">
        <v>10</v>
      </c>
    </row>
    <row r="7603" spans="1:9" x14ac:dyDescent="0.25">
      <c r="A7603" t="str">
        <f t="shared" si="183"/>
        <v>89301000</v>
      </c>
      <c r="B7603" t="str">
        <f>"5652132134"</f>
        <v>5652132134</v>
      </c>
      <c r="C7603" s="1">
        <v>44980</v>
      </c>
      <c r="D7603" s="1">
        <v>44982</v>
      </c>
      <c r="E7603">
        <v>1</v>
      </c>
      <c r="F7603" t="str">
        <f>"06-C02-03"</f>
        <v>06-C02-03</v>
      </c>
      <c r="G7603">
        <v>0.32650000000000001</v>
      </c>
      <c r="H7603" t="s">
        <v>11</v>
      </c>
      <c r="I7603" t="s">
        <v>10</v>
      </c>
    </row>
    <row r="7604" spans="1:9" x14ac:dyDescent="0.25">
      <c r="A7604" t="str">
        <f t="shared" si="183"/>
        <v>89301000</v>
      </c>
      <c r="B7604" t="str">
        <f>"5652132134"</f>
        <v>5652132134</v>
      </c>
      <c r="C7604" s="1">
        <v>44965</v>
      </c>
      <c r="D7604" s="1">
        <v>44974</v>
      </c>
      <c r="E7604">
        <v>1</v>
      </c>
      <c r="F7604" t="str">
        <f>"06-C02-03"</f>
        <v>06-C02-03</v>
      </c>
      <c r="G7604">
        <v>0.4965</v>
      </c>
      <c r="H7604" t="s">
        <v>11</v>
      </c>
      <c r="I7604" t="s">
        <v>10</v>
      </c>
    </row>
    <row r="7605" spans="1:9" x14ac:dyDescent="0.25">
      <c r="A7605" t="str">
        <f t="shared" si="183"/>
        <v>89301000</v>
      </c>
      <c r="B7605" t="str">
        <f>"5652132134"</f>
        <v>5652132134</v>
      </c>
      <c r="C7605" s="1">
        <v>44928</v>
      </c>
      <c r="D7605" s="1">
        <v>44931</v>
      </c>
      <c r="E7605">
        <v>1</v>
      </c>
      <c r="F7605" t="str">
        <f>"06-K14-02"</f>
        <v>06-K14-02</v>
      </c>
      <c r="G7605">
        <v>0.61380000000000001</v>
      </c>
      <c r="H7605" t="s">
        <v>11</v>
      </c>
      <c r="I7605" t="s">
        <v>10</v>
      </c>
    </row>
    <row r="7606" spans="1:9" x14ac:dyDescent="0.25">
      <c r="A7606" t="str">
        <f t="shared" si="183"/>
        <v>89301000</v>
      </c>
      <c r="B7606" t="str">
        <f>"5652132134"</f>
        <v>5652132134</v>
      </c>
      <c r="C7606" s="1">
        <v>44994</v>
      </c>
      <c r="D7606" s="1">
        <v>45014</v>
      </c>
      <c r="E7606">
        <v>4</v>
      </c>
      <c r="F7606" t="str">
        <f>"06-K14-02"</f>
        <v>06-K14-02</v>
      </c>
      <c r="G7606">
        <v>1.0174000000000001</v>
      </c>
      <c r="H7606" t="s">
        <v>11</v>
      </c>
      <c r="I7606" t="s">
        <v>10</v>
      </c>
    </row>
    <row r="7607" spans="1:9" x14ac:dyDescent="0.25">
      <c r="A7607" t="str">
        <f t="shared" si="183"/>
        <v>89301000</v>
      </c>
      <c r="B7607" t="str">
        <f>"5652180325"</f>
        <v>5652180325</v>
      </c>
      <c r="C7607" s="1">
        <v>45133</v>
      </c>
      <c r="D7607" s="1">
        <v>45139</v>
      </c>
      <c r="E7607">
        <v>1</v>
      </c>
      <c r="F7607" t="str">
        <f>"06-M01-01"</f>
        <v>06-M01-01</v>
      </c>
      <c r="G7607">
        <v>2.1520999999999999</v>
      </c>
      <c r="H7607" t="s">
        <v>11</v>
      </c>
      <c r="I7607" t="s">
        <v>10</v>
      </c>
    </row>
    <row r="7608" spans="1:9" x14ac:dyDescent="0.25">
      <c r="A7608" t="str">
        <f t="shared" si="183"/>
        <v>89301000</v>
      </c>
      <c r="B7608" t="str">
        <f>"5652180325"</f>
        <v>5652180325</v>
      </c>
      <c r="C7608" s="1">
        <v>45122</v>
      </c>
      <c r="D7608" s="1">
        <v>45124</v>
      </c>
      <c r="E7608">
        <v>1</v>
      </c>
      <c r="F7608" t="str">
        <f>"05-K01-03"</f>
        <v>05-K01-03</v>
      </c>
      <c r="G7608">
        <v>0.72089999999999999</v>
      </c>
      <c r="H7608" t="s">
        <v>11</v>
      </c>
      <c r="I7608" t="s">
        <v>10</v>
      </c>
    </row>
    <row r="7609" spans="1:9" x14ac:dyDescent="0.25">
      <c r="A7609" t="str">
        <f t="shared" si="183"/>
        <v>89301000</v>
      </c>
      <c r="B7609" t="str">
        <f>"5652222235"</f>
        <v>5652222235</v>
      </c>
      <c r="C7609" s="1">
        <v>45082</v>
      </c>
      <c r="D7609" s="1">
        <v>45089</v>
      </c>
      <c r="E7609">
        <v>1</v>
      </c>
      <c r="F7609" t="str">
        <f>"08-I03-06"</f>
        <v>08-I03-06</v>
      </c>
      <c r="G7609">
        <v>3.2523</v>
      </c>
      <c r="H7609" t="s">
        <v>9</v>
      </c>
      <c r="I7609" t="s">
        <v>10</v>
      </c>
    </row>
    <row r="7610" spans="1:9" x14ac:dyDescent="0.25">
      <c r="A7610" t="str">
        <f t="shared" si="183"/>
        <v>89301000</v>
      </c>
      <c r="B7610" t="str">
        <f>"5653021000"</f>
        <v>5653021000</v>
      </c>
      <c r="C7610" s="1">
        <v>45095</v>
      </c>
      <c r="D7610" s="1">
        <v>45098</v>
      </c>
      <c r="E7610">
        <v>1</v>
      </c>
      <c r="F7610" t="str">
        <f>"07-I10-06"</f>
        <v>07-I10-06</v>
      </c>
      <c r="G7610">
        <v>0.98419999999999996</v>
      </c>
      <c r="H7610" t="s">
        <v>12</v>
      </c>
      <c r="I7610" t="s">
        <v>10</v>
      </c>
    </row>
    <row r="7611" spans="1:9" x14ac:dyDescent="0.25">
      <c r="A7611" t="str">
        <f t="shared" si="183"/>
        <v>89301000</v>
      </c>
      <c r="B7611" t="str">
        <f>"5653031967"</f>
        <v>5653031967</v>
      </c>
      <c r="C7611" s="1">
        <v>45099</v>
      </c>
      <c r="D7611" s="1">
        <v>45104</v>
      </c>
      <c r="E7611">
        <v>5</v>
      </c>
      <c r="F7611" t="str">
        <f>"01-I06-02"</f>
        <v>01-I06-02</v>
      </c>
      <c r="G7611">
        <v>5.1349</v>
      </c>
      <c r="H7611" t="s">
        <v>12</v>
      </c>
      <c r="I7611" t="s">
        <v>10</v>
      </c>
    </row>
    <row r="7612" spans="1:9" x14ac:dyDescent="0.25">
      <c r="A7612" t="str">
        <f t="shared" si="183"/>
        <v>89301000</v>
      </c>
      <c r="B7612" t="str">
        <f>"5653102147"</f>
        <v>5653102147</v>
      </c>
      <c r="C7612" s="1">
        <v>44998</v>
      </c>
      <c r="D7612" s="1">
        <v>45005</v>
      </c>
      <c r="E7612">
        <v>1</v>
      </c>
      <c r="F7612" t="str">
        <f>"04-I02-04"</f>
        <v>04-I02-04</v>
      </c>
      <c r="G7612">
        <v>3.0272999999999999</v>
      </c>
      <c r="H7612" t="s">
        <v>14</v>
      </c>
      <c r="I7612" t="s">
        <v>10</v>
      </c>
    </row>
    <row r="7613" spans="1:9" x14ac:dyDescent="0.25">
      <c r="A7613" t="str">
        <f t="shared" ref="A7613:A7676" si="185">"89301000"</f>
        <v>89301000</v>
      </c>
      <c r="B7613" t="str">
        <f>"5653102147"</f>
        <v>5653102147</v>
      </c>
      <c r="C7613" s="1">
        <v>45189</v>
      </c>
      <c r="D7613" s="1">
        <v>45195</v>
      </c>
      <c r="E7613">
        <v>1</v>
      </c>
      <c r="F7613" t="str">
        <f>"04-K09-03"</f>
        <v>04-K09-03</v>
      </c>
      <c r="G7613">
        <v>0.65600000000000003</v>
      </c>
      <c r="H7613" t="s">
        <v>11</v>
      </c>
      <c r="I7613" t="s">
        <v>10</v>
      </c>
    </row>
    <row r="7614" spans="1:9" x14ac:dyDescent="0.25">
      <c r="A7614" t="str">
        <f t="shared" si="185"/>
        <v>89301000</v>
      </c>
      <c r="B7614" t="str">
        <f>"5653102147"</f>
        <v>5653102147</v>
      </c>
      <c r="C7614" s="1">
        <v>45250</v>
      </c>
      <c r="D7614" s="1">
        <v>45254</v>
      </c>
      <c r="E7614">
        <v>1</v>
      </c>
      <c r="F7614" t="str">
        <f>"04-K09-02"</f>
        <v>04-K09-02</v>
      </c>
      <c r="G7614">
        <v>1.155</v>
      </c>
      <c r="H7614" t="s">
        <v>11</v>
      </c>
      <c r="I7614" t="s">
        <v>10</v>
      </c>
    </row>
    <row r="7615" spans="1:9" x14ac:dyDescent="0.25">
      <c r="A7615" t="str">
        <f t="shared" si="185"/>
        <v>89301000</v>
      </c>
      <c r="B7615" t="str">
        <f>"5653102147"</f>
        <v>5653102147</v>
      </c>
      <c r="C7615" s="1">
        <v>45261</v>
      </c>
      <c r="D7615" s="1">
        <v>45268</v>
      </c>
      <c r="E7615">
        <v>1</v>
      </c>
      <c r="F7615" t="str">
        <f>"04-K09-03"</f>
        <v>04-K09-03</v>
      </c>
      <c r="G7615">
        <v>0.65600000000000003</v>
      </c>
      <c r="H7615" t="s">
        <v>11</v>
      </c>
      <c r="I7615" t="s">
        <v>10</v>
      </c>
    </row>
    <row r="7616" spans="1:9" x14ac:dyDescent="0.25">
      <c r="A7616" t="str">
        <f t="shared" si="185"/>
        <v>89301000</v>
      </c>
      <c r="B7616" t="str">
        <f>"5653102147"</f>
        <v>5653102147</v>
      </c>
      <c r="C7616" s="1">
        <v>44978</v>
      </c>
      <c r="D7616" s="1">
        <v>44981</v>
      </c>
      <c r="E7616">
        <v>1</v>
      </c>
      <c r="F7616" t="str">
        <f>"04-K10-02"</f>
        <v>04-K10-02</v>
      </c>
      <c r="G7616">
        <v>0.59470000000000001</v>
      </c>
      <c r="H7616" t="s">
        <v>11</v>
      </c>
      <c r="I7616" t="s">
        <v>10</v>
      </c>
    </row>
    <row r="7617" spans="1:9" x14ac:dyDescent="0.25">
      <c r="A7617" t="str">
        <f t="shared" si="185"/>
        <v>89301000</v>
      </c>
      <c r="B7617" t="str">
        <f>"5653110694"</f>
        <v>5653110694</v>
      </c>
      <c r="C7617" s="1">
        <v>45151</v>
      </c>
      <c r="D7617" s="1">
        <v>45161</v>
      </c>
      <c r="E7617">
        <v>1</v>
      </c>
      <c r="F7617" t="str">
        <f>"20-K04-02"</f>
        <v>20-K04-02</v>
      </c>
      <c r="G7617">
        <v>1.3379000000000001</v>
      </c>
      <c r="H7617" t="s">
        <v>11</v>
      </c>
      <c r="I7617" t="s">
        <v>10</v>
      </c>
    </row>
    <row r="7618" spans="1:9" x14ac:dyDescent="0.25">
      <c r="A7618" t="str">
        <f t="shared" si="185"/>
        <v>89301000</v>
      </c>
      <c r="B7618" t="str">
        <f>"5653110694"</f>
        <v>5653110694</v>
      </c>
      <c r="C7618" s="1">
        <v>45199</v>
      </c>
      <c r="D7618" s="1">
        <v>45204</v>
      </c>
      <c r="E7618">
        <v>6</v>
      </c>
      <c r="F7618" t="str">
        <f>"20-K03-03"</f>
        <v>20-K03-03</v>
      </c>
      <c r="G7618">
        <v>0.94020000000000004</v>
      </c>
      <c r="H7618" t="s">
        <v>11</v>
      </c>
      <c r="I7618" t="s">
        <v>10</v>
      </c>
    </row>
    <row r="7619" spans="1:9" x14ac:dyDescent="0.25">
      <c r="A7619" t="str">
        <f t="shared" si="185"/>
        <v>89301000</v>
      </c>
      <c r="B7619" t="str">
        <f>"5653151438"</f>
        <v>5653151438</v>
      </c>
      <c r="C7619" s="1">
        <v>45005</v>
      </c>
      <c r="D7619" s="1">
        <v>45007</v>
      </c>
      <c r="E7619">
        <v>1</v>
      </c>
      <c r="F7619" t="str">
        <f>"03-R01-08"</f>
        <v>03-R01-08</v>
      </c>
      <c r="G7619">
        <v>1.0805</v>
      </c>
      <c r="H7619" t="s">
        <v>11</v>
      </c>
      <c r="I7619" t="s">
        <v>10</v>
      </c>
    </row>
    <row r="7620" spans="1:9" x14ac:dyDescent="0.25">
      <c r="A7620" t="str">
        <f t="shared" si="185"/>
        <v>89301000</v>
      </c>
      <c r="B7620" t="str">
        <f>"5653151438"</f>
        <v>5653151438</v>
      </c>
      <c r="C7620" s="1">
        <v>45027</v>
      </c>
      <c r="D7620" s="1">
        <v>45028</v>
      </c>
      <c r="E7620">
        <v>1</v>
      </c>
      <c r="F7620" t="str">
        <f>"03-R01-08"</f>
        <v>03-R01-08</v>
      </c>
      <c r="G7620">
        <v>1.0552999999999999</v>
      </c>
      <c r="H7620" t="s">
        <v>11</v>
      </c>
      <c r="I7620" t="s">
        <v>10</v>
      </c>
    </row>
    <row r="7621" spans="1:9" x14ac:dyDescent="0.25">
      <c r="A7621" t="str">
        <f t="shared" si="185"/>
        <v>89301000</v>
      </c>
      <c r="B7621" t="str">
        <f>"5653151438"</f>
        <v>5653151438</v>
      </c>
      <c r="C7621" s="1">
        <v>45033</v>
      </c>
      <c r="D7621" s="1">
        <v>45034</v>
      </c>
      <c r="E7621">
        <v>1</v>
      </c>
      <c r="F7621" t="str">
        <f>"03-R01-08"</f>
        <v>03-R01-08</v>
      </c>
      <c r="G7621">
        <v>1.0805</v>
      </c>
      <c r="H7621" t="s">
        <v>11</v>
      </c>
      <c r="I7621" t="s">
        <v>10</v>
      </c>
    </row>
    <row r="7622" spans="1:9" x14ac:dyDescent="0.25">
      <c r="A7622" t="str">
        <f t="shared" si="185"/>
        <v>89301000</v>
      </c>
      <c r="B7622" t="str">
        <f>"5653152219"</f>
        <v>5653152219</v>
      </c>
      <c r="C7622" s="1">
        <v>45287</v>
      </c>
      <c r="D7622" s="1">
        <v>45289</v>
      </c>
      <c r="E7622">
        <v>1</v>
      </c>
      <c r="F7622" t="str">
        <f>"08-I17-02"</f>
        <v>08-I17-02</v>
      </c>
      <c r="G7622">
        <v>0.89680000000000004</v>
      </c>
      <c r="H7622" t="s">
        <v>11</v>
      </c>
      <c r="I7622" t="s">
        <v>10</v>
      </c>
    </row>
    <row r="7623" spans="1:9" x14ac:dyDescent="0.25">
      <c r="A7623" t="str">
        <f t="shared" si="185"/>
        <v>89301000</v>
      </c>
      <c r="B7623" t="str">
        <f>"5653210992"</f>
        <v>5653210992</v>
      </c>
      <c r="C7623" s="1">
        <v>45240</v>
      </c>
      <c r="D7623" s="1">
        <v>45240</v>
      </c>
      <c r="E7623">
        <v>1</v>
      </c>
      <c r="F7623" t="str">
        <f>"05-D01-08"</f>
        <v>05-D01-08</v>
      </c>
      <c r="G7623">
        <v>0.2303</v>
      </c>
      <c r="H7623" t="s">
        <v>11</v>
      </c>
      <c r="I7623" t="s">
        <v>10</v>
      </c>
    </row>
    <row r="7624" spans="1:9" x14ac:dyDescent="0.25">
      <c r="A7624" t="str">
        <f t="shared" si="185"/>
        <v>89301000</v>
      </c>
      <c r="B7624" t="str">
        <f>"5653281084"</f>
        <v>5653281084</v>
      </c>
      <c r="C7624" s="1">
        <v>44971</v>
      </c>
      <c r="D7624" s="1">
        <v>44974</v>
      </c>
      <c r="E7624">
        <v>1</v>
      </c>
      <c r="F7624" t="str">
        <f>"13-I13-02"</f>
        <v>13-I13-02</v>
      </c>
      <c r="G7624">
        <v>0.94840000000000002</v>
      </c>
      <c r="H7624" t="s">
        <v>12</v>
      </c>
      <c r="I7624" t="s">
        <v>10</v>
      </c>
    </row>
    <row r="7625" spans="1:9" x14ac:dyDescent="0.25">
      <c r="A7625" t="str">
        <f t="shared" si="185"/>
        <v>89301000</v>
      </c>
      <c r="B7625" t="str">
        <f>"5654011473"</f>
        <v>5654011473</v>
      </c>
      <c r="C7625" s="1">
        <v>45273</v>
      </c>
      <c r="D7625" s="1">
        <v>45274</v>
      </c>
      <c r="E7625">
        <v>1</v>
      </c>
      <c r="F7625" t="str">
        <f>"10-K15-02"</f>
        <v>10-K15-02</v>
      </c>
      <c r="G7625">
        <v>0.66379999999999995</v>
      </c>
      <c r="H7625" t="s">
        <v>11</v>
      </c>
      <c r="I7625" t="s">
        <v>10</v>
      </c>
    </row>
    <row r="7626" spans="1:9" x14ac:dyDescent="0.25">
      <c r="A7626" t="str">
        <f t="shared" si="185"/>
        <v>89301000</v>
      </c>
      <c r="B7626" t="str">
        <f>"5654061952"</f>
        <v>5654061952</v>
      </c>
      <c r="C7626" s="1">
        <v>44973</v>
      </c>
      <c r="D7626" s="1">
        <v>44975</v>
      </c>
      <c r="E7626">
        <v>1</v>
      </c>
      <c r="F7626" t="str">
        <f>"05-I14-02"</f>
        <v>05-I14-02</v>
      </c>
      <c r="G7626">
        <v>6.4595000000000002</v>
      </c>
      <c r="H7626" t="s">
        <v>12</v>
      </c>
      <c r="I7626" t="s">
        <v>10</v>
      </c>
    </row>
    <row r="7627" spans="1:9" x14ac:dyDescent="0.25">
      <c r="A7627" t="str">
        <f t="shared" si="185"/>
        <v>89301000</v>
      </c>
      <c r="B7627" t="str">
        <f>"5654101651"</f>
        <v>5654101651</v>
      </c>
      <c r="C7627" s="1">
        <v>44935</v>
      </c>
      <c r="D7627" s="1">
        <v>44936</v>
      </c>
      <c r="E7627">
        <v>1</v>
      </c>
      <c r="F7627" t="str">
        <f>"01-D01-03"</f>
        <v>01-D01-03</v>
      </c>
      <c r="G7627">
        <v>0.16200000000000001</v>
      </c>
      <c r="H7627" t="s">
        <v>11</v>
      </c>
      <c r="I7627" t="s">
        <v>10</v>
      </c>
    </row>
    <row r="7628" spans="1:9" x14ac:dyDescent="0.25">
      <c r="A7628" t="str">
        <f t="shared" si="185"/>
        <v>89301000</v>
      </c>
      <c r="B7628" t="str">
        <f>"5654101651"</f>
        <v>5654101651</v>
      </c>
      <c r="C7628" s="1">
        <v>45002</v>
      </c>
      <c r="D7628" s="1">
        <v>45005</v>
      </c>
      <c r="E7628">
        <v>1</v>
      </c>
      <c r="F7628" t="str">
        <f>"01-D01-03"</f>
        <v>01-D01-03</v>
      </c>
      <c r="G7628">
        <v>0.21060000000000001</v>
      </c>
      <c r="H7628" t="s">
        <v>11</v>
      </c>
      <c r="I7628" t="s">
        <v>10</v>
      </c>
    </row>
    <row r="7629" spans="1:9" x14ac:dyDescent="0.25">
      <c r="A7629" t="str">
        <f t="shared" si="185"/>
        <v>89301000</v>
      </c>
      <c r="B7629" t="str">
        <f>"5654131065"</f>
        <v>5654131065</v>
      </c>
      <c r="C7629" s="1">
        <v>45007</v>
      </c>
      <c r="D7629" s="1">
        <v>45008</v>
      </c>
      <c r="E7629">
        <v>1</v>
      </c>
      <c r="F7629" t="str">
        <f>"01-D01-03"</f>
        <v>01-D01-03</v>
      </c>
      <c r="G7629">
        <v>0.16200000000000001</v>
      </c>
      <c r="H7629" t="s">
        <v>11</v>
      </c>
      <c r="I7629" t="s">
        <v>10</v>
      </c>
    </row>
    <row r="7630" spans="1:9" x14ac:dyDescent="0.25">
      <c r="A7630" t="str">
        <f t="shared" si="185"/>
        <v>89301000</v>
      </c>
      <c r="B7630" t="str">
        <f>"5654131065"</f>
        <v>5654131065</v>
      </c>
      <c r="C7630" s="1">
        <v>45051</v>
      </c>
      <c r="D7630" s="1">
        <v>45054</v>
      </c>
      <c r="E7630">
        <v>1</v>
      </c>
      <c r="F7630" t="str">
        <f>"01-D01-03"</f>
        <v>01-D01-03</v>
      </c>
      <c r="G7630">
        <v>0.21060000000000001</v>
      </c>
      <c r="H7630" t="s">
        <v>11</v>
      </c>
      <c r="I7630" t="s">
        <v>10</v>
      </c>
    </row>
    <row r="7631" spans="1:9" x14ac:dyDescent="0.25">
      <c r="A7631" t="str">
        <f t="shared" si="185"/>
        <v>89301000</v>
      </c>
      <c r="B7631" t="str">
        <f>"5654200354"</f>
        <v>5654200354</v>
      </c>
      <c r="C7631" s="1">
        <v>45228</v>
      </c>
      <c r="D7631" s="1">
        <v>45237</v>
      </c>
      <c r="E7631">
        <v>3</v>
      </c>
      <c r="F7631" t="str">
        <f>"01-K10-03"</f>
        <v>01-K10-03</v>
      </c>
      <c r="G7631">
        <v>1.0348999999999999</v>
      </c>
      <c r="H7631" t="s">
        <v>11</v>
      </c>
      <c r="I7631" t="s">
        <v>10</v>
      </c>
    </row>
    <row r="7632" spans="1:9" x14ac:dyDescent="0.25">
      <c r="A7632" t="str">
        <f t="shared" si="185"/>
        <v>89301000</v>
      </c>
      <c r="B7632" t="str">
        <f>"5654200354"</f>
        <v>5654200354</v>
      </c>
      <c r="C7632" s="1">
        <v>45237</v>
      </c>
      <c r="D7632" s="1">
        <v>45252</v>
      </c>
      <c r="E7632">
        <v>1</v>
      </c>
      <c r="F7632" t="str">
        <f>"24-M07-01"</f>
        <v>24-M07-01</v>
      </c>
      <c r="G7632">
        <v>1.7825</v>
      </c>
      <c r="H7632" t="s">
        <v>11</v>
      </c>
      <c r="I7632" t="s">
        <v>10</v>
      </c>
    </row>
    <row r="7633" spans="1:9" x14ac:dyDescent="0.25">
      <c r="A7633" t="str">
        <f t="shared" si="185"/>
        <v>89301000</v>
      </c>
      <c r="B7633" t="str">
        <f>"5654230395"</f>
        <v>5654230395</v>
      </c>
      <c r="C7633" s="1">
        <v>45231</v>
      </c>
      <c r="D7633" s="1">
        <v>45233</v>
      </c>
      <c r="E7633">
        <v>1</v>
      </c>
      <c r="F7633" t="str">
        <f>"08-M03-05"</f>
        <v>08-M03-05</v>
      </c>
      <c r="G7633">
        <v>0.46810000000000002</v>
      </c>
      <c r="H7633" t="s">
        <v>11</v>
      </c>
      <c r="I7633" t="s">
        <v>10</v>
      </c>
    </row>
    <row r="7634" spans="1:9" x14ac:dyDescent="0.25">
      <c r="A7634" t="str">
        <f t="shared" si="185"/>
        <v>89301000</v>
      </c>
      <c r="B7634" t="str">
        <f>"5654230395"</f>
        <v>5654230395</v>
      </c>
      <c r="C7634" s="1">
        <v>44998</v>
      </c>
      <c r="D7634" s="1">
        <v>45000</v>
      </c>
      <c r="E7634">
        <v>1</v>
      </c>
      <c r="F7634" t="str">
        <f>"08-I10-01"</f>
        <v>08-I10-01</v>
      </c>
      <c r="G7634">
        <v>1.1938</v>
      </c>
      <c r="H7634" t="s">
        <v>12</v>
      </c>
      <c r="I7634" t="s">
        <v>10</v>
      </c>
    </row>
    <row r="7635" spans="1:9" x14ac:dyDescent="0.25">
      <c r="A7635" t="str">
        <f t="shared" si="185"/>
        <v>89301000</v>
      </c>
      <c r="B7635" t="str">
        <f>"5654280346"</f>
        <v>5654280346</v>
      </c>
      <c r="C7635" s="1">
        <v>45118</v>
      </c>
      <c r="D7635" s="1">
        <v>45119</v>
      </c>
      <c r="E7635">
        <v>1</v>
      </c>
      <c r="F7635" t="str">
        <f>"05-D01-08"</f>
        <v>05-D01-08</v>
      </c>
      <c r="G7635">
        <v>0.43159999999999998</v>
      </c>
      <c r="H7635" t="s">
        <v>11</v>
      </c>
      <c r="I7635" t="s">
        <v>10</v>
      </c>
    </row>
    <row r="7636" spans="1:9" x14ac:dyDescent="0.25">
      <c r="A7636" t="str">
        <f t="shared" si="185"/>
        <v>89301000</v>
      </c>
      <c r="B7636" t="str">
        <f>"5654280346"</f>
        <v>5654280346</v>
      </c>
      <c r="C7636" s="1">
        <v>45181</v>
      </c>
      <c r="D7636" s="1">
        <v>45189</v>
      </c>
      <c r="E7636">
        <v>1</v>
      </c>
      <c r="F7636" t="str">
        <f>"05-I12-03"</f>
        <v>05-I12-03</v>
      </c>
      <c r="G7636">
        <v>6.7502000000000004</v>
      </c>
      <c r="H7636" t="s">
        <v>14</v>
      </c>
      <c r="I7636" t="s">
        <v>10</v>
      </c>
    </row>
    <row r="7637" spans="1:9" x14ac:dyDescent="0.25">
      <c r="A7637" t="str">
        <f t="shared" si="185"/>
        <v>89301000</v>
      </c>
      <c r="B7637" t="str">
        <f>"5654520520"</f>
        <v>5654520520</v>
      </c>
      <c r="C7637" s="1">
        <v>44963</v>
      </c>
      <c r="D7637" s="1">
        <v>44972</v>
      </c>
      <c r="E7637">
        <v>1</v>
      </c>
      <c r="F7637" t="str">
        <f>"10-R02-01"</f>
        <v>10-R02-01</v>
      </c>
      <c r="G7637">
        <v>0.92279999999999995</v>
      </c>
      <c r="H7637" t="s">
        <v>9</v>
      </c>
      <c r="I7637" t="s">
        <v>10</v>
      </c>
    </row>
    <row r="7638" spans="1:9" x14ac:dyDescent="0.25">
      <c r="A7638" t="str">
        <f t="shared" si="185"/>
        <v>89301000</v>
      </c>
      <c r="B7638" t="str">
        <f>"5654520520"</f>
        <v>5654520520</v>
      </c>
      <c r="C7638" s="1">
        <v>45175</v>
      </c>
      <c r="D7638" s="1">
        <v>45180</v>
      </c>
      <c r="E7638">
        <v>1</v>
      </c>
      <c r="F7638" t="str">
        <f>"10-K06-00"</f>
        <v>10-K06-00</v>
      </c>
      <c r="G7638">
        <v>0.50290000000000001</v>
      </c>
      <c r="H7638" t="s">
        <v>11</v>
      </c>
      <c r="I7638" t="s">
        <v>10</v>
      </c>
    </row>
    <row r="7639" spans="1:9" x14ac:dyDescent="0.25">
      <c r="A7639" t="str">
        <f t="shared" si="185"/>
        <v>89301000</v>
      </c>
      <c r="B7639" t="str">
        <f>"5655102332"</f>
        <v>5655102332</v>
      </c>
      <c r="C7639" s="1">
        <v>45211</v>
      </c>
      <c r="D7639" s="1">
        <v>45213</v>
      </c>
      <c r="E7639">
        <v>1</v>
      </c>
      <c r="F7639" t="str">
        <f>"05-I14-04"</f>
        <v>05-I14-04</v>
      </c>
      <c r="G7639">
        <v>5.2220000000000004</v>
      </c>
      <c r="H7639" t="s">
        <v>12</v>
      </c>
      <c r="I7639" t="s">
        <v>10</v>
      </c>
    </row>
    <row r="7640" spans="1:9" x14ac:dyDescent="0.25">
      <c r="A7640" t="str">
        <f t="shared" si="185"/>
        <v>89301000</v>
      </c>
      <c r="B7640" t="str">
        <f>"5655102332"</f>
        <v>5655102332</v>
      </c>
      <c r="C7640" s="1">
        <v>45195</v>
      </c>
      <c r="D7640" s="1">
        <v>45196</v>
      </c>
      <c r="E7640">
        <v>1</v>
      </c>
      <c r="F7640" t="str">
        <f>"05-D01-08"</f>
        <v>05-D01-08</v>
      </c>
      <c r="G7640">
        <v>0.43159999999999998</v>
      </c>
      <c r="H7640" t="s">
        <v>11</v>
      </c>
      <c r="I7640" t="s">
        <v>10</v>
      </c>
    </row>
    <row r="7641" spans="1:9" x14ac:dyDescent="0.25">
      <c r="A7641" t="str">
        <f t="shared" si="185"/>
        <v>89301000</v>
      </c>
      <c r="B7641" t="str">
        <f>"5655112353"</f>
        <v>5655112353</v>
      </c>
      <c r="C7641" s="1">
        <v>45070</v>
      </c>
      <c r="D7641" s="1">
        <v>45079</v>
      </c>
      <c r="E7641">
        <v>1</v>
      </c>
      <c r="F7641" t="str">
        <f>"04-M02-03"</f>
        <v>04-M02-03</v>
      </c>
      <c r="G7641">
        <v>1.4714</v>
      </c>
      <c r="H7641" t="s">
        <v>11</v>
      </c>
      <c r="I7641" t="s">
        <v>10</v>
      </c>
    </row>
    <row r="7642" spans="1:9" x14ac:dyDescent="0.25">
      <c r="A7642" t="str">
        <f t="shared" si="185"/>
        <v>89301000</v>
      </c>
      <c r="B7642" t="str">
        <f>"5655112353"</f>
        <v>5655112353</v>
      </c>
      <c r="C7642" s="1">
        <v>45135</v>
      </c>
      <c r="D7642" s="1">
        <v>45140</v>
      </c>
      <c r="E7642">
        <v>1</v>
      </c>
      <c r="F7642" t="str">
        <f>"04-K07-03"</f>
        <v>04-K07-03</v>
      </c>
      <c r="G7642">
        <v>0.64359999999999995</v>
      </c>
      <c r="H7642" t="s">
        <v>11</v>
      </c>
      <c r="I7642" t="s">
        <v>10</v>
      </c>
    </row>
    <row r="7643" spans="1:9" x14ac:dyDescent="0.25">
      <c r="A7643" t="str">
        <f t="shared" si="185"/>
        <v>89301000</v>
      </c>
      <c r="B7643" t="str">
        <f>"5655142119"</f>
        <v>5655142119</v>
      </c>
      <c r="C7643" s="1">
        <v>45265</v>
      </c>
      <c r="D7643" s="1">
        <v>45282</v>
      </c>
      <c r="E7643">
        <v>7</v>
      </c>
      <c r="F7643" t="str">
        <f>"17-K03-02"</f>
        <v>17-K03-02</v>
      </c>
      <c r="G7643">
        <v>3.4706999999999999</v>
      </c>
      <c r="H7643" t="s">
        <v>11</v>
      </c>
      <c r="I7643" t="s">
        <v>10</v>
      </c>
    </row>
    <row r="7644" spans="1:9" x14ac:dyDescent="0.25">
      <c r="A7644" t="str">
        <f t="shared" si="185"/>
        <v>89301000</v>
      </c>
      <c r="B7644" t="str">
        <f>"5655142119"</f>
        <v>5655142119</v>
      </c>
      <c r="C7644" s="1">
        <v>45188</v>
      </c>
      <c r="D7644" s="1">
        <v>45229</v>
      </c>
      <c r="E7644">
        <v>1</v>
      </c>
      <c r="F7644" t="str">
        <f>"17-M01-00"</f>
        <v>17-M01-00</v>
      </c>
      <c r="G7644">
        <v>10.2005</v>
      </c>
      <c r="H7644" t="s">
        <v>11</v>
      </c>
      <c r="I7644" t="s">
        <v>10</v>
      </c>
    </row>
    <row r="7645" spans="1:9" x14ac:dyDescent="0.25">
      <c r="A7645" t="str">
        <f t="shared" si="185"/>
        <v>89301000</v>
      </c>
      <c r="B7645" t="str">
        <f>"5655191674"</f>
        <v>5655191674</v>
      </c>
      <c r="C7645" s="1">
        <v>45068</v>
      </c>
      <c r="D7645" s="1">
        <v>45069</v>
      </c>
      <c r="E7645">
        <v>1</v>
      </c>
      <c r="F7645" t="str">
        <f>"02-I06-04"</f>
        <v>02-I06-04</v>
      </c>
      <c r="G7645">
        <v>0.79630000000000001</v>
      </c>
      <c r="H7645" t="s">
        <v>12</v>
      </c>
      <c r="I7645" t="s">
        <v>10</v>
      </c>
    </row>
    <row r="7646" spans="1:9" x14ac:dyDescent="0.25">
      <c r="A7646" t="str">
        <f t="shared" si="185"/>
        <v>89301000</v>
      </c>
      <c r="B7646" t="str">
        <f>"5655221418"</f>
        <v>5655221418</v>
      </c>
      <c r="C7646" s="1">
        <v>45095</v>
      </c>
      <c r="D7646" s="1">
        <v>45097</v>
      </c>
      <c r="E7646">
        <v>1</v>
      </c>
      <c r="F7646" t="str">
        <f>"05-I14-04"</f>
        <v>05-I14-04</v>
      </c>
      <c r="G7646">
        <v>5.2220000000000004</v>
      </c>
      <c r="H7646" t="s">
        <v>12</v>
      </c>
      <c r="I7646" t="s">
        <v>10</v>
      </c>
    </row>
    <row r="7647" spans="1:9" x14ac:dyDescent="0.25">
      <c r="A7647" t="str">
        <f t="shared" si="185"/>
        <v>89301000</v>
      </c>
      <c r="B7647" t="str">
        <f>"5655221418"</f>
        <v>5655221418</v>
      </c>
      <c r="C7647" s="1">
        <v>45073</v>
      </c>
      <c r="D7647" s="1">
        <v>45077</v>
      </c>
      <c r="E7647">
        <v>1</v>
      </c>
      <c r="F7647" t="str">
        <f>"05-M06-06"</f>
        <v>05-M06-06</v>
      </c>
      <c r="G7647">
        <v>1.8264</v>
      </c>
      <c r="H7647" t="s">
        <v>12</v>
      </c>
      <c r="I7647" t="s">
        <v>10</v>
      </c>
    </row>
    <row r="7648" spans="1:9" x14ac:dyDescent="0.25">
      <c r="A7648" t="str">
        <f t="shared" si="185"/>
        <v>89301000</v>
      </c>
      <c r="B7648" t="str">
        <f>"5655251943"</f>
        <v>5655251943</v>
      </c>
      <c r="C7648" s="1">
        <v>45168</v>
      </c>
      <c r="D7648" s="1">
        <v>45169</v>
      </c>
      <c r="E7648">
        <v>1</v>
      </c>
      <c r="F7648" t="str">
        <f>"01-D01-03"</f>
        <v>01-D01-03</v>
      </c>
      <c r="G7648">
        <v>0.16200000000000001</v>
      </c>
      <c r="H7648" t="s">
        <v>11</v>
      </c>
      <c r="I7648" t="s">
        <v>10</v>
      </c>
    </row>
    <row r="7649" spans="1:9" x14ac:dyDescent="0.25">
      <c r="A7649" t="str">
        <f t="shared" si="185"/>
        <v>89301000</v>
      </c>
      <c r="B7649" t="str">
        <f>"5655272183"</f>
        <v>5655272183</v>
      </c>
      <c r="C7649" s="1">
        <v>45034</v>
      </c>
      <c r="D7649" s="1">
        <v>45037</v>
      </c>
      <c r="E7649">
        <v>1</v>
      </c>
      <c r="F7649" t="str">
        <f>"06-I21-03"</f>
        <v>06-I21-03</v>
      </c>
      <c r="G7649">
        <v>0.4572</v>
      </c>
      <c r="H7649" t="s">
        <v>12</v>
      </c>
      <c r="I7649" t="s">
        <v>10</v>
      </c>
    </row>
    <row r="7650" spans="1:9" x14ac:dyDescent="0.25">
      <c r="A7650" t="str">
        <f t="shared" si="185"/>
        <v>89301000</v>
      </c>
      <c r="B7650" t="str">
        <f>"5655290476"</f>
        <v>5655290476</v>
      </c>
      <c r="C7650" s="1">
        <v>45180</v>
      </c>
      <c r="D7650" s="1">
        <v>45187</v>
      </c>
      <c r="E7650">
        <v>4</v>
      </c>
      <c r="F7650" t="str">
        <f>"08-I05-04"</f>
        <v>08-I05-04</v>
      </c>
      <c r="G7650">
        <v>2.4445000000000001</v>
      </c>
      <c r="H7650" t="s">
        <v>12</v>
      </c>
      <c r="I7650" t="s">
        <v>10</v>
      </c>
    </row>
    <row r="7651" spans="1:9" x14ac:dyDescent="0.25">
      <c r="A7651" t="str">
        <f t="shared" si="185"/>
        <v>89301000</v>
      </c>
      <c r="B7651" t="str">
        <f>"5656021547"</f>
        <v>5656021547</v>
      </c>
      <c r="C7651" s="1">
        <v>45075</v>
      </c>
      <c r="D7651" s="1">
        <v>45076</v>
      </c>
      <c r="E7651">
        <v>1</v>
      </c>
      <c r="F7651" t="str">
        <f>"05-M05-02"</f>
        <v>05-M05-02</v>
      </c>
      <c r="G7651">
        <v>3.4817999999999998</v>
      </c>
      <c r="H7651" t="s">
        <v>14</v>
      </c>
      <c r="I7651" t="s">
        <v>10</v>
      </c>
    </row>
    <row r="7652" spans="1:9" x14ac:dyDescent="0.25">
      <c r="A7652" t="str">
        <f t="shared" si="185"/>
        <v>89301000</v>
      </c>
      <c r="B7652" t="str">
        <f>"5656031557"</f>
        <v>5656031557</v>
      </c>
      <c r="C7652" s="1">
        <v>44938</v>
      </c>
      <c r="D7652" s="1">
        <v>44943</v>
      </c>
      <c r="E7652">
        <v>1</v>
      </c>
      <c r="F7652" t="str">
        <f>"01-K01-01"</f>
        <v>01-K01-01</v>
      </c>
      <c r="G7652">
        <v>0.91659999999999997</v>
      </c>
      <c r="H7652" t="s">
        <v>11</v>
      </c>
      <c r="I7652" t="s">
        <v>10</v>
      </c>
    </row>
    <row r="7653" spans="1:9" x14ac:dyDescent="0.25">
      <c r="A7653" t="str">
        <f t="shared" si="185"/>
        <v>89301000</v>
      </c>
      <c r="B7653" t="str">
        <f>"5656060399"</f>
        <v>5656060399</v>
      </c>
      <c r="C7653" s="1">
        <v>44985</v>
      </c>
      <c r="D7653" s="1">
        <v>44992</v>
      </c>
      <c r="E7653">
        <v>1</v>
      </c>
      <c r="F7653" t="str">
        <f>"08-I05-05"</f>
        <v>08-I05-05</v>
      </c>
      <c r="G7653">
        <v>2.2633000000000001</v>
      </c>
      <c r="H7653" t="s">
        <v>12</v>
      </c>
      <c r="I7653" t="s">
        <v>10</v>
      </c>
    </row>
    <row r="7654" spans="1:9" x14ac:dyDescent="0.25">
      <c r="A7654" t="str">
        <f t="shared" si="185"/>
        <v>89301000</v>
      </c>
      <c r="B7654" t="str">
        <f>"5656101682"</f>
        <v>5656101682</v>
      </c>
      <c r="C7654" s="1">
        <v>44983</v>
      </c>
      <c r="D7654" s="1">
        <v>44988</v>
      </c>
      <c r="E7654">
        <v>1</v>
      </c>
      <c r="F7654" t="str">
        <f>"07-I10-06"</f>
        <v>07-I10-06</v>
      </c>
      <c r="G7654">
        <v>0.98419999999999996</v>
      </c>
      <c r="H7654" t="s">
        <v>12</v>
      </c>
      <c r="I7654" t="s">
        <v>10</v>
      </c>
    </row>
    <row r="7655" spans="1:9" x14ac:dyDescent="0.25">
      <c r="A7655" t="str">
        <f t="shared" si="185"/>
        <v>89301000</v>
      </c>
      <c r="B7655" t="str">
        <f>"5656111461"</f>
        <v>5656111461</v>
      </c>
      <c r="C7655" s="1">
        <v>45019</v>
      </c>
      <c r="D7655" s="1">
        <v>45022</v>
      </c>
      <c r="E7655">
        <v>1</v>
      </c>
      <c r="F7655" t="str">
        <f>"08-M03-04"</f>
        <v>08-M03-04</v>
      </c>
      <c r="G7655">
        <v>0.87760000000000005</v>
      </c>
      <c r="H7655" t="s">
        <v>11</v>
      </c>
      <c r="I7655" t="s">
        <v>10</v>
      </c>
    </row>
    <row r="7656" spans="1:9" x14ac:dyDescent="0.25">
      <c r="A7656" t="str">
        <f t="shared" si="185"/>
        <v>89301000</v>
      </c>
      <c r="B7656" t="str">
        <f>"5656140314"</f>
        <v>5656140314</v>
      </c>
      <c r="C7656" s="1">
        <v>44949</v>
      </c>
      <c r="D7656" s="1">
        <v>44952</v>
      </c>
      <c r="E7656">
        <v>1</v>
      </c>
      <c r="F7656" t="str">
        <f>"08-I03-08"</f>
        <v>08-I03-08</v>
      </c>
      <c r="G7656">
        <v>1.9455</v>
      </c>
      <c r="H7656" t="s">
        <v>9</v>
      </c>
      <c r="I7656" t="s">
        <v>10</v>
      </c>
    </row>
    <row r="7657" spans="1:9" x14ac:dyDescent="0.25">
      <c r="A7657" t="str">
        <f t="shared" si="185"/>
        <v>89301000</v>
      </c>
      <c r="B7657" t="str">
        <f>"5656152337"</f>
        <v>5656152337</v>
      </c>
      <c r="C7657" s="1">
        <v>44953</v>
      </c>
      <c r="D7657" s="1">
        <v>44956</v>
      </c>
      <c r="E7657">
        <v>1</v>
      </c>
      <c r="F7657" t="str">
        <f>"10-K15-02"</f>
        <v>10-K15-02</v>
      </c>
      <c r="G7657">
        <v>0.66379999999999995</v>
      </c>
      <c r="H7657" t="s">
        <v>11</v>
      </c>
      <c r="I7657" t="s">
        <v>10</v>
      </c>
    </row>
    <row r="7658" spans="1:9" x14ac:dyDescent="0.25">
      <c r="A7658" t="str">
        <f t="shared" si="185"/>
        <v>89301000</v>
      </c>
      <c r="B7658" t="str">
        <f>"5656231273"</f>
        <v>5656231273</v>
      </c>
      <c r="C7658" s="1">
        <v>45224</v>
      </c>
      <c r="D7658" s="1">
        <v>45225</v>
      </c>
      <c r="E7658">
        <v>1</v>
      </c>
      <c r="F7658" t="str">
        <f>"06-M01-05"</f>
        <v>06-M01-05</v>
      </c>
      <c r="G7658">
        <v>0.4178</v>
      </c>
      <c r="H7658" t="s">
        <v>11</v>
      </c>
      <c r="I7658" t="s">
        <v>10</v>
      </c>
    </row>
    <row r="7659" spans="1:9" x14ac:dyDescent="0.25">
      <c r="A7659" t="str">
        <f t="shared" si="185"/>
        <v>89301000</v>
      </c>
      <c r="B7659" t="str">
        <f>"5656277385"</f>
        <v>5656277385</v>
      </c>
      <c r="C7659" s="1">
        <v>45070</v>
      </c>
      <c r="D7659" s="1">
        <v>45071</v>
      </c>
      <c r="E7659">
        <v>1</v>
      </c>
      <c r="F7659" t="str">
        <f>"06-K22-03"</f>
        <v>06-K22-03</v>
      </c>
      <c r="G7659">
        <v>0.31619999999999998</v>
      </c>
      <c r="H7659" t="s">
        <v>11</v>
      </c>
      <c r="I7659" t="s">
        <v>10</v>
      </c>
    </row>
    <row r="7660" spans="1:9" x14ac:dyDescent="0.25">
      <c r="A7660" t="str">
        <f t="shared" si="185"/>
        <v>89301000</v>
      </c>
      <c r="B7660" t="str">
        <f>"5656280355"</f>
        <v>5656280355</v>
      </c>
      <c r="C7660" s="1">
        <v>45040</v>
      </c>
      <c r="D7660" s="1">
        <v>45040</v>
      </c>
      <c r="E7660">
        <v>1</v>
      </c>
      <c r="F7660" t="str">
        <f>"05-I25-03"</f>
        <v>05-I25-03</v>
      </c>
      <c r="G7660">
        <v>1.3169</v>
      </c>
      <c r="H7660" t="s">
        <v>12</v>
      </c>
      <c r="I7660" t="s">
        <v>10</v>
      </c>
    </row>
    <row r="7661" spans="1:9" x14ac:dyDescent="0.25">
      <c r="A7661" t="str">
        <f t="shared" si="185"/>
        <v>89301000</v>
      </c>
      <c r="B7661" t="str">
        <f>"5657040499"</f>
        <v>5657040499</v>
      </c>
      <c r="C7661" s="1">
        <v>44984</v>
      </c>
      <c r="D7661" s="1">
        <v>44991</v>
      </c>
      <c r="E7661">
        <v>1</v>
      </c>
      <c r="F7661" t="str">
        <f>"09-K14-02"</f>
        <v>09-K14-02</v>
      </c>
      <c r="G7661">
        <v>0.5</v>
      </c>
      <c r="H7661" t="s">
        <v>11</v>
      </c>
      <c r="I7661" t="s">
        <v>10</v>
      </c>
    </row>
    <row r="7662" spans="1:9" x14ac:dyDescent="0.25">
      <c r="A7662" t="str">
        <f t="shared" si="185"/>
        <v>89301000</v>
      </c>
      <c r="B7662" t="str">
        <f>"5657061135"</f>
        <v>5657061135</v>
      </c>
      <c r="C7662" s="1">
        <v>44973</v>
      </c>
      <c r="D7662" s="1">
        <v>44977</v>
      </c>
      <c r="E7662">
        <v>1</v>
      </c>
      <c r="F7662" t="str">
        <f>"10-I13-04"</f>
        <v>10-I13-04</v>
      </c>
      <c r="G7662">
        <v>0.67210000000000003</v>
      </c>
      <c r="H7662" t="s">
        <v>9</v>
      </c>
      <c r="I7662" t="s">
        <v>10</v>
      </c>
    </row>
    <row r="7663" spans="1:9" x14ac:dyDescent="0.25">
      <c r="A7663" t="str">
        <f t="shared" si="185"/>
        <v>89301000</v>
      </c>
      <c r="B7663" t="str">
        <f>"5657151357"</f>
        <v>5657151357</v>
      </c>
      <c r="C7663" s="1">
        <v>45133</v>
      </c>
      <c r="D7663" s="1">
        <v>45134</v>
      </c>
      <c r="E7663">
        <v>1</v>
      </c>
      <c r="F7663" t="str">
        <f>"05-M05-03"</f>
        <v>05-M05-03</v>
      </c>
      <c r="G7663">
        <v>2.0312999999999999</v>
      </c>
      <c r="H7663" t="s">
        <v>14</v>
      </c>
      <c r="I7663" t="s">
        <v>10</v>
      </c>
    </row>
    <row r="7664" spans="1:9" x14ac:dyDescent="0.25">
      <c r="A7664" t="str">
        <f t="shared" si="185"/>
        <v>89301000</v>
      </c>
      <c r="B7664" t="str">
        <f>"5657151357"</f>
        <v>5657151357</v>
      </c>
      <c r="C7664" s="1">
        <v>45266</v>
      </c>
      <c r="D7664" s="1">
        <v>45267</v>
      </c>
      <c r="E7664">
        <v>1</v>
      </c>
      <c r="F7664" t="str">
        <f>"05-M05-03"</f>
        <v>05-M05-03</v>
      </c>
      <c r="G7664">
        <v>2.0312999999999999</v>
      </c>
      <c r="H7664" t="s">
        <v>14</v>
      </c>
      <c r="I7664" t="s">
        <v>10</v>
      </c>
    </row>
    <row r="7665" spans="1:9" x14ac:dyDescent="0.25">
      <c r="A7665" t="str">
        <f t="shared" si="185"/>
        <v>89301000</v>
      </c>
      <c r="B7665" t="str">
        <f>"5657201913"</f>
        <v>5657201913</v>
      </c>
      <c r="C7665" s="1">
        <v>44968</v>
      </c>
      <c r="D7665" s="1">
        <v>44971</v>
      </c>
      <c r="E7665">
        <v>1</v>
      </c>
      <c r="F7665" t="str">
        <f>"07-M02-04"</f>
        <v>07-M02-04</v>
      </c>
      <c r="G7665">
        <v>0.77339999999999998</v>
      </c>
      <c r="H7665" t="s">
        <v>12</v>
      </c>
      <c r="I7665" t="s">
        <v>10</v>
      </c>
    </row>
    <row r="7666" spans="1:9" x14ac:dyDescent="0.25">
      <c r="A7666" t="str">
        <f t="shared" si="185"/>
        <v>89301000</v>
      </c>
      <c r="B7666" t="str">
        <f>"5657240798"</f>
        <v>5657240798</v>
      </c>
      <c r="C7666" s="1">
        <v>45194</v>
      </c>
      <c r="D7666" s="1">
        <v>45196</v>
      </c>
      <c r="E7666">
        <v>1</v>
      </c>
      <c r="F7666" t="str">
        <f>"03-I24-00"</f>
        <v>03-I24-00</v>
      </c>
      <c r="G7666">
        <v>0.40670000000000001</v>
      </c>
      <c r="H7666" t="s">
        <v>11</v>
      </c>
      <c r="I7666" t="s">
        <v>10</v>
      </c>
    </row>
    <row r="7667" spans="1:9" x14ac:dyDescent="0.25">
      <c r="A7667" t="str">
        <f t="shared" si="185"/>
        <v>89301000</v>
      </c>
      <c r="B7667" t="str">
        <f>"5657240974"</f>
        <v>5657240974</v>
      </c>
      <c r="C7667" s="1">
        <v>44931</v>
      </c>
      <c r="D7667" s="1">
        <v>44934</v>
      </c>
      <c r="E7667">
        <v>1</v>
      </c>
      <c r="F7667" t="str">
        <f>"08-M03-05"</f>
        <v>08-M03-05</v>
      </c>
      <c r="G7667">
        <v>0.46810000000000002</v>
      </c>
      <c r="H7667" t="s">
        <v>11</v>
      </c>
      <c r="I7667" t="s">
        <v>10</v>
      </c>
    </row>
    <row r="7668" spans="1:9" x14ac:dyDescent="0.25">
      <c r="A7668" t="str">
        <f t="shared" si="185"/>
        <v>89301000</v>
      </c>
      <c r="B7668" t="str">
        <f>"5657262369"</f>
        <v>5657262369</v>
      </c>
      <c r="C7668" s="1">
        <v>45055</v>
      </c>
      <c r="D7668" s="1">
        <v>45056</v>
      </c>
      <c r="E7668">
        <v>1</v>
      </c>
      <c r="F7668" t="str">
        <f>"02-I06-04"</f>
        <v>02-I06-04</v>
      </c>
      <c r="G7668">
        <v>0.79630000000000001</v>
      </c>
      <c r="H7668" t="s">
        <v>12</v>
      </c>
      <c r="I7668" t="s">
        <v>10</v>
      </c>
    </row>
    <row r="7669" spans="1:9" x14ac:dyDescent="0.25">
      <c r="A7669" t="str">
        <f t="shared" si="185"/>
        <v>89301000</v>
      </c>
      <c r="B7669" t="str">
        <f>"5657280486"</f>
        <v>5657280486</v>
      </c>
      <c r="C7669" s="1">
        <v>44931</v>
      </c>
      <c r="D7669" s="1">
        <v>44933</v>
      </c>
      <c r="E7669">
        <v>1</v>
      </c>
      <c r="F7669" t="str">
        <f>"09-I09-02"</f>
        <v>09-I09-02</v>
      </c>
      <c r="G7669">
        <v>0.81599999999999995</v>
      </c>
      <c r="H7669" t="s">
        <v>12</v>
      </c>
      <c r="I7669" t="s">
        <v>10</v>
      </c>
    </row>
    <row r="7670" spans="1:9" x14ac:dyDescent="0.25">
      <c r="A7670" t="str">
        <f t="shared" si="185"/>
        <v>89301000</v>
      </c>
      <c r="B7670" t="str">
        <f>"5658081308"</f>
        <v>5658081308</v>
      </c>
      <c r="C7670" s="1">
        <v>45095</v>
      </c>
      <c r="D7670" s="1">
        <v>45098</v>
      </c>
      <c r="E7670">
        <v>1</v>
      </c>
      <c r="F7670" t="str">
        <f>"08-M03-05"</f>
        <v>08-M03-05</v>
      </c>
      <c r="G7670">
        <v>0.46810000000000002</v>
      </c>
      <c r="H7670" t="s">
        <v>11</v>
      </c>
      <c r="I7670" t="s">
        <v>10</v>
      </c>
    </row>
    <row r="7671" spans="1:9" x14ac:dyDescent="0.25">
      <c r="A7671" t="str">
        <f t="shared" si="185"/>
        <v>89301000</v>
      </c>
      <c r="B7671" t="str">
        <f>"5658091230"</f>
        <v>5658091230</v>
      </c>
      <c r="C7671" s="1">
        <v>44958</v>
      </c>
      <c r="D7671" s="1">
        <v>44964</v>
      </c>
      <c r="E7671">
        <v>1</v>
      </c>
      <c r="F7671" t="str">
        <f>"17-C05-05"</f>
        <v>17-C05-05</v>
      </c>
      <c r="G7671">
        <v>0.66069999999999995</v>
      </c>
      <c r="H7671" t="s">
        <v>11</v>
      </c>
      <c r="I7671" t="s">
        <v>10</v>
      </c>
    </row>
    <row r="7672" spans="1:9" x14ac:dyDescent="0.25">
      <c r="A7672" t="str">
        <f t="shared" si="185"/>
        <v>89301000</v>
      </c>
      <c r="B7672" t="str">
        <f>"5658091230"</f>
        <v>5658091230</v>
      </c>
      <c r="C7672" s="1">
        <v>45046</v>
      </c>
      <c r="D7672" s="1">
        <v>45064</v>
      </c>
      <c r="E7672">
        <v>1</v>
      </c>
      <c r="F7672" t="str">
        <f>"17-K02-01"</f>
        <v>17-K02-01</v>
      </c>
      <c r="G7672">
        <v>3.1133999999999999</v>
      </c>
      <c r="H7672" t="s">
        <v>11</v>
      </c>
      <c r="I7672" t="s">
        <v>10</v>
      </c>
    </row>
    <row r="7673" spans="1:9" x14ac:dyDescent="0.25">
      <c r="A7673" t="str">
        <f t="shared" si="185"/>
        <v>89301000</v>
      </c>
      <c r="B7673" t="str">
        <f>"5658091230"</f>
        <v>5658091230</v>
      </c>
      <c r="C7673" s="1">
        <v>45215</v>
      </c>
      <c r="D7673" s="1">
        <v>45223</v>
      </c>
      <c r="E7673">
        <v>1</v>
      </c>
      <c r="F7673" t="str">
        <f>"06-I18-02"</f>
        <v>06-I18-02</v>
      </c>
      <c r="G7673">
        <v>2.4735999999999998</v>
      </c>
      <c r="H7673" t="s">
        <v>9</v>
      </c>
      <c r="I7673" t="s">
        <v>10</v>
      </c>
    </row>
    <row r="7674" spans="1:9" x14ac:dyDescent="0.25">
      <c r="A7674" t="str">
        <f t="shared" si="185"/>
        <v>89301000</v>
      </c>
      <c r="B7674" t="str">
        <f>"5658171321"</f>
        <v>5658171321</v>
      </c>
      <c r="C7674" s="1">
        <v>45279</v>
      </c>
      <c r="D7674" s="1">
        <v>45282</v>
      </c>
      <c r="E7674">
        <v>1</v>
      </c>
      <c r="F7674" t="str">
        <f>"08-I23-02"</f>
        <v>08-I23-02</v>
      </c>
      <c r="G7674">
        <v>1.0466</v>
      </c>
      <c r="H7674" t="s">
        <v>12</v>
      </c>
      <c r="I7674" t="s">
        <v>10</v>
      </c>
    </row>
    <row r="7675" spans="1:9" x14ac:dyDescent="0.25">
      <c r="A7675" t="str">
        <f t="shared" si="185"/>
        <v>89301000</v>
      </c>
      <c r="B7675" t="str">
        <f>"5658220337"</f>
        <v>5658220337</v>
      </c>
      <c r="C7675" s="1">
        <v>45027</v>
      </c>
      <c r="D7675" s="1">
        <v>45029</v>
      </c>
      <c r="E7675">
        <v>1</v>
      </c>
      <c r="F7675" t="str">
        <f>"03-I19-03"</f>
        <v>03-I19-03</v>
      </c>
      <c r="G7675">
        <v>0.53249999999999997</v>
      </c>
      <c r="H7675" t="s">
        <v>11</v>
      </c>
      <c r="I7675" t="s">
        <v>10</v>
      </c>
    </row>
    <row r="7676" spans="1:9" x14ac:dyDescent="0.25">
      <c r="A7676" t="str">
        <f t="shared" si="185"/>
        <v>89301000</v>
      </c>
      <c r="B7676" t="str">
        <f>"5658270728"</f>
        <v>5658270728</v>
      </c>
      <c r="C7676" s="1">
        <v>45122</v>
      </c>
      <c r="D7676" s="1">
        <v>45125</v>
      </c>
      <c r="E7676">
        <v>1</v>
      </c>
      <c r="F7676" t="str">
        <f>"05-M06-06"</f>
        <v>05-M06-06</v>
      </c>
      <c r="G7676">
        <v>1.8264</v>
      </c>
      <c r="H7676" t="s">
        <v>12</v>
      </c>
      <c r="I7676" t="s">
        <v>10</v>
      </c>
    </row>
    <row r="7677" spans="1:9" x14ac:dyDescent="0.25">
      <c r="A7677" t="str">
        <f t="shared" ref="A7677:A7738" si="186">"89301000"</f>
        <v>89301000</v>
      </c>
      <c r="B7677" t="str">
        <f>"5658270750"</f>
        <v>5658270750</v>
      </c>
      <c r="C7677" s="1">
        <v>45078</v>
      </c>
      <c r="D7677" s="1">
        <v>45082</v>
      </c>
      <c r="E7677">
        <v>1</v>
      </c>
      <c r="F7677" t="str">
        <f>"02-I02-01"</f>
        <v>02-I02-01</v>
      </c>
      <c r="G7677">
        <v>1.2369000000000001</v>
      </c>
      <c r="H7677" t="s">
        <v>12</v>
      </c>
      <c r="I7677" t="s">
        <v>10</v>
      </c>
    </row>
    <row r="7678" spans="1:9" x14ac:dyDescent="0.25">
      <c r="A7678" t="str">
        <f t="shared" si="186"/>
        <v>89301000</v>
      </c>
      <c r="B7678" t="str">
        <f>"5659031026"</f>
        <v>5659031026</v>
      </c>
      <c r="C7678" s="1">
        <v>45167</v>
      </c>
      <c r="D7678" s="1">
        <v>45173</v>
      </c>
      <c r="E7678">
        <v>1</v>
      </c>
      <c r="F7678" t="str">
        <f>"08-I03-04"</f>
        <v>08-I03-04</v>
      </c>
      <c r="G7678">
        <v>4.1269</v>
      </c>
      <c r="H7678" t="s">
        <v>9</v>
      </c>
      <c r="I7678" t="s">
        <v>10</v>
      </c>
    </row>
    <row r="7679" spans="1:9" x14ac:dyDescent="0.25">
      <c r="A7679" t="str">
        <f t="shared" si="186"/>
        <v>89301000</v>
      </c>
      <c r="B7679" t="str">
        <f>"5659050419"</f>
        <v>5659050419</v>
      </c>
      <c r="C7679" s="1">
        <v>44958</v>
      </c>
      <c r="D7679" s="1">
        <v>44959</v>
      </c>
      <c r="E7679">
        <v>1</v>
      </c>
      <c r="F7679" t="str">
        <f>"07-M02-04"</f>
        <v>07-M02-04</v>
      </c>
      <c r="G7679">
        <v>0.77339999999999998</v>
      </c>
      <c r="H7679" t="s">
        <v>12</v>
      </c>
      <c r="I7679" t="s">
        <v>10</v>
      </c>
    </row>
    <row r="7680" spans="1:9" x14ac:dyDescent="0.25">
      <c r="A7680" t="str">
        <f t="shared" si="186"/>
        <v>89301000</v>
      </c>
      <c r="B7680" t="str">
        <f>"5659111293"</f>
        <v>5659111293</v>
      </c>
      <c r="C7680" s="1">
        <v>45224</v>
      </c>
      <c r="D7680" s="1">
        <v>45229</v>
      </c>
      <c r="E7680">
        <v>1</v>
      </c>
      <c r="F7680" t="str">
        <f>"10-K06-00"</f>
        <v>10-K06-00</v>
      </c>
      <c r="G7680">
        <v>0.50290000000000001</v>
      </c>
      <c r="H7680" t="s">
        <v>11</v>
      </c>
      <c r="I7680" t="s">
        <v>10</v>
      </c>
    </row>
    <row r="7681" spans="1:9" x14ac:dyDescent="0.25">
      <c r="A7681" t="str">
        <f t="shared" si="186"/>
        <v>89301000</v>
      </c>
      <c r="B7681" t="str">
        <f>"5659130378"</f>
        <v>5659130378</v>
      </c>
      <c r="C7681" s="1">
        <v>45102</v>
      </c>
      <c r="D7681" s="1">
        <v>45111</v>
      </c>
      <c r="E7681">
        <v>1</v>
      </c>
      <c r="F7681" t="str">
        <f>"06-I18-01"</f>
        <v>06-I18-01</v>
      </c>
      <c r="G7681">
        <v>2.7831999999999999</v>
      </c>
      <c r="H7681" t="s">
        <v>9</v>
      </c>
      <c r="I7681" t="s">
        <v>10</v>
      </c>
    </row>
    <row r="7682" spans="1:9" x14ac:dyDescent="0.25">
      <c r="A7682" t="str">
        <f t="shared" si="186"/>
        <v>89301000</v>
      </c>
      <c r="B7682" t="str">
        <f>"5659131027"</f>
        <v>5659131027</v>
      </c>
      <c r="C7682" s="1">
        <v>45184</v>
      </c>
      <c r="D7682" s="1">
        <v>45187</v>
      </c>
      <c r="E7682">
        <v>1</v>
      </c>
      <c r="F7682" t="str">
        <f>"03-I24-00"</f>
        <v>03-I24-00</v>
      </c>
      <c r="G7682">
        <v>0.40899999999999997</v>
      </c>
      <c r="H7682" t="s">
        <v>11</v>
      </c>
      <c r="I7682" t="s">
        <v>10</v>
      </c>
    </row>
    <row r="7683" spans="1:9" x14ac:dyDescent="0.25">
      <c r="A7683" t="str">
        <f t="shared" si="186"/>
        <v>89301000</v>
      </c>
      <c r="B7683" t="str">
        <f>"5659131929"</f>
        <v>5659131929</v>
      </c>
      <c r="C7683" s="1">
        <v>44999</v>
      </c>
      <c r="D7683" s="1">
        <v>45012</v>
      </c>
      <c r="E7683">
        <v>4</v>
      </c>
      <c r="F7683" t="str">
        <f>"08-I05-03"</f>
        <v>08-I05-03</v>
      </c>
      <c r="G7683">
        <v>3.3738000000000001</v>
      </c>
      <c r="H7683" t="s">
        <v>12</v>
      </c>
      <c r="I7683" t="s">
        <v>10</v>
      </c>
    </row>
    <row r="7684" spans="1:9" x14ac:dyDescent="0.25">
      <c r="A7684" t="str">
        <f t="shared" si="186"/>
        <v>89301000</v>
      </c>
      <c r="B7684" t="str">
        <f>"5659162366"</f>
        <v>5659162366</v>
      </c>
      <c r="C7684" s="1">
        <v>45180</v>
      </c>
      <c r="D7684" s="1">
        <v>45184</v>
      </c>
      <c r="E7684">
        <v>4</v>
      </c>
      <c r="F7684" t="str">
        <f>"08-I06-04"</f>
        <v>08-I06-04</v>
      </c>
      <c r="G7684">
        <v>2.3673000000000002</v>
      </c>
      <c r="H7684" t="s">
        <v>9</v>
      </c>
      <c r="I7684" t="s">
        <v>10</v>
      </c>
    </row>
    <row r="7685" spans="1:9" x14ac:dyDescent="0.25">
      <c r="A7685" t="str">
        <f t="shared" si="186"/>
        <v>89301000</v>
      </c>
      <c r="B7685" t="str">
        <f>"5659232271"</f>
        <v>5659232271</v>
      </c>
      <c r="C7685" s="1">
        <v>45281</v>
      </c>
      <c r="D7685" s="1">
        <v>45281</v>
      </c>
      <c r="E7685">
        <v>1</v>
      </c>
      <c r="F7685" t="str">
        <f>"05-D01-08"</f>
        <v>05-D01-08</v>
      </c>
      <c r="G7685">
        <v>0.2303</v>
      </c>
      <c r="H7685" t="s">
        <v>11</v>
      </c>
      <c r="I7685" t="s">
        <v>10</v>
      </c>
    </row>
    <row r="7686" spans="1:9" x14ac:dyDescent="0.25">
      <c r="A7686" t="str">
        <f t="shared" si="186"/>
        <v>89301000</v>
      </c>
      <c r="B7686" t="str">
        <f>"5660031960"</f>
        <v>5660031960</v>
      </c>
      <c r="C7686" s="1">
        <v>45167</v>
      </c>
      <c r="D7686" s="1">
        <v>45168</v>
      </c>
      <c r="E7686">
        <v>1</v>
      </c>
      <c r="F7686" t="str">
        <f>"05-M06-08"</f>
        <v>05-M06-08</v>
      </c>
      <c r="G7686">
        <v>1.4228000000000001</v>
      </c>
      <c r="H7686" t="s">
        <v>12</v>
      </c>
      <c r="I7686" t="s">
        <v>10</v>
      </c>
    </row>
    <row r="7687" spans="1:9" x14ac:dyDescent="0.25">
      <c r="A7687" t="str">
        <f t="shared" si="186"/>
        <v>89301000</v>
      </c>
      <c r="B7687" t="str">
        <f>"5660031960"</f>
        <v>5660031960</v>
      </c>
      <c r="C7687" s="1">
        <v>44945</v>
      </c>
      <c r="D7687" s="1">
        <v>44947</v>
      </c>
      <c r="E7687">
        <v>1</v>
      </c>
      <c r="F7687" t="str">
        <f>"05-M06-06"</f>
        <v>05-M06-06</v>
      </c>
      <c r="G7687">
        <v>1.8264</v>
      </c>
      <c r="H7687" t="s">
        <v>12</v>
      </c>
      <c r="I7687" t="s">
        <v>10</v>
      </c>
    </row>
    <row r="7688" spans="1:9" x14ac:dyDescent="0.25">
      <c r="A7688" t="str">
        <f t="shared" si="186"/>
        <v>89301000</v>
      </c>
      <c r="B7688" t="str">
        <f>"5660041827"</f>
        <v>5660041827</v>
      </c>
      <c r="C7688" s="1">
        <v>45231</v>
      </c>
      <c r="D7688" s="1">
        <v>45232</v>
      </c>
      <c r="E7688">
        <v>1</v>
      </c>
      <c r="F7688" t="str">
        <f>"08-I32-00"</f>
        <v>08-I32-00</v>
      </c>
      <c r="G7688">
        <v>0.40870000000000001</v>
      </c>
      <c r="H7688" t="s">
        <v>11</v>
      </c>
      <c r="I7688" t="s">
        <v>10</v>
      </c>
    </row>
    <row r="7689" spans="1:9" x14ac:dyDescent="0.25">
      <c r="A7689" t="str">
        <f t="shared" si="186"/>
        <v>89301000</v>
      </c>
      <c r="B7689" t="str">
        <f>"5660070328"</f>
        <v>5660070328</v>
      </c>
      <c r="C7689" s="1">
        <v>45177</v>
      </c>
      <c r="D7689" s="1">
        <v>45178</v>
      </c>
      <c r="E7689">
        <v>1</v>
      </c>
      <c r="F7689" t="str">
        <f>"06-M01-02"</f>
        <v>06-M01-02</v>
      </c>
      <c r="G7689">
        <v>1.2206999999999999</v>
      </c>
      <c r="H7689" t="s">
        <v>11</v>
      </c>
      <c r="I7689" t="s">
        <v>10</v>
      </c>
    </row>
    <row r="7690" spans="1:9" x14ac:dyDescent="0.25">
      <c r="A7690" t="str">
        <f t="shared" si="186"/>
        <v>89301000</v>
      </c>
      <c r="B7690" t="str">
        <f>"5660111413"</f>
        <v>5660111413</v>
      </c>
      <c r="C7690" s="1">
        <v>44942</v>
      </c>
      <c r="D7690" s="1">
        <v>44943</v>
      </c>
      <c r="E7690">
        <v>1</v>
      </c>
      <c r="F7690" t="str">
        <f>"02-K11-02"</f>
        <v>02-K11-02</v>
      </c>
      <c r="G7690">
        <v>0.56559999999999999</v>
      </c>
      <c r="H7690" t="s">
        <v>11</v>
      </c>
      <c r="I7690" t="s">
        <v>10</v>
      </c>
    </row>
    <row r="7691" spans="1:9" x14ac:dyDescent="0.25">
      <c r="A7691" t="str">
        <f t="shared" si="186"/>
        <v>89301000</v>
      </c>
      <c r="B7691" t="str">
        <f>"5660122017"</f>
        <v>5660122017</v>
      </c>
      <c r="C7691" s="1">
        <v>45008</v>
      </c>
      <c r="D7691" s="1">
        <v>45009</v>
      </c>
      <c r="E7691">
        <v>1</v>
      </c>
      <c r="F7691" t="str">
        <f>"13-K15-01"</f>
        <v>13-K15-01</v>
      </c>
      <c r="G7691">
        <v>0.36409999999999998</v>
      </c>
      <c r="H7691" t="s">
        <v>11</v>
      </c>
      <c r="I7691" t="s">
        <v>10</v>
      </c>
    </row>
    <row r="7692" spans="1:9" x14ac:dyDescent="0.25">
      <c r="A7692" t="str">
        <f t="shared" si="186"/>
        <v>89301000</v>
      </c>
      <c r="B7692" t="str">
        <f>"5660122017"</f>
        <v>5660122017</v>
      </c>
      <c r="C7692" s="1">
        <v>44993</v>
      </c>
      <c r="D7692" s="1">
        <v>45002</v>
      </c>
      <c r="E7692">
        <v>1</v>
      </c>
      <c r="F7692" t="str">
        <f>"13-I11-03"</f>
        <v>13-I11-03</v>
      </c>
      <c r="G7692">
        <v>1.56</v>
      </c>
      <c r="H7692" t="s">
        <v>9</v>
      </c>
      <c r="I7692" t="s">
        <v>10</v>
      </c>
    </row>
    <row r="7693" spans="1:9" x14ac:dyDescent="0.25">
      <c r="A7693" t="str">
        <f t="shared" si="186"/>
        <v>89301000</v>
      </c>
      <c r="B7693" t="str">
        <f>"5660260353"</f>
        <v>5660260353</v>
      </c>
      <c r="C7693" s="1">
        <v>44936</v>
      </c>
      <c r="D7693" s="1">
        <v>44942</v>
      </c>
      <c r="E7693">
        <v>1</v>
      </c>
      <c r="F7693" t="str">
        <f>"04-R02-08"</f>
        <v>04-R02-08</v>
      </c>
      <c r="G7693">
        <v>1.054</v>
      </c>
      <c r="H7693" t="s">
        <v>11</v>
      </c>
      <c r="I7693" t="s">
        <v>10</v>
      </c>
    </row>
    <row r="7694" spans="1:9" x14ac:dyDescent="0.25">
      <c r="A7694" t="str">
        <f t="shared" si="186"/>
        <v>89301000</v>
      </c>
      <c r="B7694" t="str">
        <f>"5660260353"</f>
        <v>5660260353</v>
      </c>
      <c r="C7694" s="1">
        <v>44948</v>
      </c>
      <c r="D7694" s="1">
        <v>44956</v>
      </c>
      <c r="E7694">
        <v>1</v>
      </c>
      <c r="F7694" t="str">
        <f>"04-K09-02"</f>
        <v>04-K09-02</v>
      </c>
      <c r="G7694">
        <v>1.155</v>
      </c>
      <c r="H7694" t="s">
        <v>11</v>
      </c>
      <c r="I7694" t="s">
        <v>10</v>
      </c>
    </row>
    <row r="7695" spans="1:9" x14ac:dyDescent="0.25">
      <c r="A7695" t="str">
        <f t="shared" si="186"/>
        <v>89301000</v>
      </c>
      <c r="B7695" t="str">
        <f>"5660261486"</f>
        <v>5660261486</v>
      </c>
      <c r="C7695" s="1">
        <v>45166</v>
      </c>
      <c r="D7695" s="1">
        <v>45169</v>
      </c>
      <c r="E7695">
        <v>1</v>
      </c>
      <c r="F7695" t="str">
        <f>"08-M03-05"</f>
        <v>08-M03-05</v>
      </c>
      <c r="G7695">
        <v>0.46810000000000002</v>
      </c>
      <c r="H7695" t="s">
        <v>11</v>
      </c>
      <c r="I7695" t="s">
        <v>10</v>
      </c>
    </row>
    <row r="7696" spans="1:9" x14ac:dyDescent="0.25">
      <c r="A7696" t="str">
        <f t="shared" si="186"/>
        <v>89301000</v>
      </c>
      <c r="B7696" t="str">
        <f>"5660262014"</f>
        <v>5660262014</v>
      </c>
      <c r="C7696" s="1">
        <v>45089</v>
      </c>
      <c r="D7696" s="1">
        <v>45093</v>
      </c>
      <c r="E7696">
        <v>1</v>
      </c>
      <c r="F7696" t="str">
        <f>"01-K18-04"</f>
        <v>01-K18-04</v>
      </c>
      <c r="G7696">
        <v>0.54610000000000003</v>
      </c>
      <c r="H7696" t="s">
        <v>11</v>
      </c>
      <c r="I7696" t="s">
        <v>10</v>
      </c>
    </row>
    <row r="7697" spans="1:9" x14ac:dyDescent="0.25">
      <c r="A7697" t="str">
        <f t="shared" si="186"/>
        <v>89301000</v>
      </c>
      <c r="B7697" t="str">
        <f>"5660282100"</f>
        <v>5660282100</v>
      </c>
      <c r="C7697" s="1">
        <v>44958</v>
      </c>
      <c r="D7697" s="1">
        <v>44963</v>
      </c>
      <c r="E7697">
        <v>1</v>
      </c>
      <c r="F7697" t="str">
        <f>"13-I04-01"</f>
        <v>13-I04-01</v>
      </c>
      <c r="G7697">
        <v>2.8856000000000002</v>
      </c>
      <c r="H7697" t="s">
        <v>14</v>
      </c>
      <c r="I7697" t="s">
        <v>10</v>
      </c>
    </row>
    <row r="7698" spans="1:9" x14ac:dyDescent="0.25">
      <c r="A7698" t="str">
        <f t="shared" si="186"/>
        <v>89301000</v>
      </c>
      <c r="B7698" t="str">
        <f>"5660300778"</f>
        <v>5660300778</v>
      </c>
      <c r="C7698" s="1">
        <v>45259</v>
      </c>
      <c r="D7698" s="1">
        <v>45264</v>
      </c>
      <c r="E7698">
        <v>1</v>
      </c>
      <c r="F7698" t="str">
        <f>"02-I06-03"</f>
        <v>02-I06-03</v>
      </c>
      <c r="G7698">
        <v>0.99260000000000004</v>
      </c>
      <c r="H7698" t="s">
        <v>12</v>
      </c>
      <c r="I7698" t="s">
        <v>10</v>
      </c>
    </row>
    <row r="7699" spans="1:9" x14ac:dyDescent="0.25">
      <c r="A7699" t="str">
        <f t="shared" si="186"/>
        <v>89301000</v>
      </c>
      <c r="B7699" t="str">
        <f>"5660311569"</f>
        <v>5660311569</v>
      </c>
      <c r="C7699" s="1">
        <v>44938</v>
      </c>
      <c r="D7699" s="1">
        <v>44954</v>
      </c>
      <c r="E7699">
        <v>1</v>
      </c>
      <c r="F7699" t="str">
        <f>"04-I02-03"</f>
        <v>04-I02-03</v>
      </c>
      <c r="G7699">
        <v>4.0198999999999998</v>
      </c>
      <c r="H7699" t="s">
        <v>14</v>
      </c>
      <c r="I7699" t="s">
        <v>10</v>
      </c>
    </row>
    <row r="7700" spans="1:9" x14ac:dyDescent="0.25">
      <c r="A7700" t="str">
        <f t="shared" si="186"/>
        <v>89301000</v>
      </c>
      <c r="B7700" t="str">
        <f>"5660311569"</f>
        <v>5660311569</v>
      </c>
      <c r="C7700" s="1">
        <v>45079</v>
      </c>
      <c r="D7700" s="1">
        <v>45083</v>
      </c>
      <c r="E7700">
        <v>1</v>
      </c>
      <c r="F7700" t="str">
        <f>"04-K09-02"</f>
        <v>04-K09-02</v>
      </c>
      <c r="G7700">
        <v>1.155</v>
      </c>
      <c r="H7700" t="s">
        <v>11</v>
      </c>
      <c r="I7700" t="s">
        <v>10</v>
      </c>
    </row>
    <row r="7701" spans="1:9" x14ac:dyDescent="0.25">
      <c r="A7701" t="str">
        <f t="shared" si="186"/>
        <v>89301000</v>
      </c>
      <c r="B7701" t="str">
        <f>"5661040440"</f>
        <v>5661040440</v>
      </c>
      <c r="C7701" s="1">
        <v>45169</v>
      </c>
      <c r="D7701" s="1">
        <v>45196</v>
      </c>
      <c r="E7701">
        <v>1</v>
      </c>
      <c r="F7701" t="str">
        <f>"00-M08-00"</f>
        <v>00-M08-00</v>
      </c>
      <c r="G7701">
        <v>4.6348000000000003</v>
      </c>
      <c r="H7701" t="s">
        <v>14</v>
      </c>
      <c r="I7701" t="s">
        <v>10</v>
      </c>
    </row>
    <row r="7702" spans="1:9" x14ac:dyDescent="0.25">
      <c r="A7702" t="str">
        <f t="shared" si="186"/>
        <v>89301000</v>
      </c>
      <c r="B7702" t="str">
        <f>"5661041232"</f>
        <v>5661041232</v>
      </c>
      <c r="C7702" s="1">
        <v>45050</v>
      </c>
      <c r="D7702" s="1">
        <v>45052</v>
      </c>
      <c r="E7702">
        <v>1</v>
      </c>
      <c r="F7702" t="str">
        <f>"09-I10-02"</f>
        <v>09-I10-02</v>
      </c>
      <c r="G7702">
        <v>0.87580000000000002</v>
      </c>
      <c r="H7702" t="s">
        <v>12</v>
      </c>
      <c r="I7702" t="s">
        <v>10</v>
      </c>
    </row>
    <row r="7703" spans="1:9" x14ac:dyDescent="0.25">
      <c r="A7703" t="str">
        <f t="shared" si="186"/>
        <v>89301000</v>
      </c>
      <c r="B7703" t="str">
        <f>"5661041232"</f>
        <v>5661041232</v>
      </c>
      <c r="C7703" s="1">
        <v>45033</v>
      </c>
      <c r="D7703" s="1">
        <v>45037</v>
      </c>
      <c r="E7703">
        <v>1</v>
      </c>
      <c r="F7703" t="str">
        <f>"09-I06-04"</f>
        <v>09-I06-04</v>
      </c>
      <c r="G7703">
        <v>0.95069999999999999</v>
      </c>
      <c r="H7703" t="s">
        <v>12</v>
      </c>
      <c r="I7703" t="s">
        <v>10</v>
      </c>
    </row>
    <row r="7704" spans="1:9" x14ac:dyDescent="0.25">
      <c r="A7704" t="str">
        <f t="shared" si="186"/>
        <v>89301000</v>
      </c>
      <c r="B7704" t="str">
        <f>"5661041276"</f>
        <v>5661041276</v>
      </c>
      <c r="C7704" s="1">
        <v>45189</v>
      </c>
      <c r="D7704" s="1">
        <v>45195</v>
      </c>
      <c r="E7704">
        <v>1</v>
      </c>
      <c r="F7704" t="str">
        <f>"09-K04-02"</f>
        <v>09-K04-02</v>
      </c>
      <c r="G7704">
        <v>0.64870000000000005</v>
      </c>
      <c r="H7704" t="s">
        <v>11</v>
      </c>
      <c r="I7704" t="s">
        <v>10</v>
      </c>
    </row>
    <row r="7705" spans="1:9" x14ac:dyDescent="0.25">
      <c r="A7705" t="str">
        <f t="shared" si="186"/>
        <v>89301000</v>
      </c>
      <c r="B7705" t="str">
        <f>"5661122126"</f>
        <v>5661122126</v>
      </c>
      <c r="C7705" s="1">
        <v>45254</v>
      </c>
      <c r="D7705" s="1">
        <v>45258</v>
      </c>
      <c r="E7705">
        <v>1</v>
      </c>
      <c r="F7705" t="str">
        <f>"09-I09-02"</f>
        <v>09-I09-02</v>
      </c>
      <c r="G7705">
        <v>0.76900000000000002</v>
      </c>
      <c r="H7705" t="s">
        <v>12</v>
      </c>
      <c r="I7705" t="s">
        <v>10</v>
      </c>
    </row>
    <row r="7706" spans="1:9" x14ac:dyDescent="0.25">
      <c r="A7706" t="str">
        <f t="shared" si="186"/>
        <v>89301000</v>
      </c>
      <c r="B7706" t="str">
        <f>"5661251981"</f>
        <v>5661251981</v>
      </c>
      <c r="C7706" s="1">
        <v>45215</v>
      </c>
      <c r="D7706" s="1">
        <v>45217</v>
      </c>
      <c r="E7706">
        <v>1</v>
      </c>
      <c r="F7706" t="str">
        <f>"08-K09-02"</f>
        <v>08-K09-02</v>
      </c>
      <c r="G7706">
        <v>0.74390000000000001</v>
      </c>
      <c r="H7706" t="s">
        <v>11</v>
      </c>
      <c r="I7706" t="s">
        <v>10</v>
      </c>
    </row>
    <row r="7707" spans="1:9" x14ac:dyDescent="0.25">
      <c r="A7707" t="str">
        <f t="shared" si="186"/>
        <v>89301000</v>
      </c>
      <c r="B7707" t="str">
        <f>"5662021849"</f>
        <v>5662021849</v>
      </c>
      <c r="C7707" s="1">
        <v>45260</v>
      </c>
      <c r="D7707" s="1">
        <v>45262</v>
      </c>
      <c r="E7707">
        <v>1</v>
      </c>
      <c r="F7707" t="str">
        <f>"08-M03-05"</f>
        <v>08-M03-05</v>
      </c>
      <c r="G7707">
        <v>0.46910000000000002</v>
      </c>
      <c r="H7707" t="s">
        <v>11</v>
      </c>
      <c r="I7707" t="s">
        <v>10</v>
      </c>
    </row>
    <row r="7708" spans="1:9" x14ac:dyDescent="0.25">
      <c r="A7708" t="str">
        <f t="shared" si="186"/>
        <v>89301000</v>
      </c>
      <c r="B7708" t="str">
        <f>"5662071514"</f>
        <v>5662071514</v>
      </c>
      <c r="C7708" s="1">
        <v>45042</v>
      </c>
      <c r="D7708" s="1">
        <v>45044</v>
      </c>
      <c r="E7708">
        <v>1</v>
      </c>
      <c r="F7708" t="str">
        <f>"07-K07-02"</f>
        <v>07-K07-02</v>
      </c>
      <c r="G7708">
        <v>0.53069999999999995</v>
      </c>
      <c r="H7708" t="s">
        <v>11</v>
      </c>
      <c r="I7708" t="s">
        <v>10</v>
      </c>
    </row>
    <row r="7709" spans="1:9" x14ac:dyDescent="0.25">
      <c r="A7709" t="str">
        <f t="shared" si="186"/>
        <v>89301000</v>
      </c>
      <c r="B7709" t="str">
        <f>"5662121927"</f>
        <v>5662121927</v>
      </c>
      <c r="C7709" s="1">
        <v>45271</v>
      </c>
      <c r="D7709" s="1">
        <v>45273</v>
      </c>
      <c r="E7709">
        <v>1</v>
      </c>
      <c r="F7709" t="str">
        <f>"03-K10-01"</f>
        <v>03-K10-01</v>
      </c>
      <c r="G7709">
        <v>0.46660000000000001</v>
      </c>
      <c r="H7709" t="s">
        <v>11</v>
      </c>
      <c r="I7709" t="s">
        <v>10</v>
      </c>
    </row>
    <row r="7710" spans="1:9" x14ac:dyDescent="0.25">
      <c r="A7710" t="str">
        <f t="shared" si="186"/>
        <v>89301000</v>
      </c>
      <c r="B7710" t="str">
        <f>"5662181877"</f>
        <v>5662181877</v>
      </c>
      <c r="C7710" s="1">
        <v>45133</v>
      </c>
      <c r="D7710" s="1">
        <v>45135</v>
      </c>
      <c r="E7710">
        <v>1</v>
      </c>
      <c r="F7710" t="str">
        <f>"05-M05-02"</f>
        <v>05-M05-02</v>
      </c>
      <c r="G7710">
        <v>3.4817999999999998</v>
      </c>
      <c r="H7710" t="s">
        <v>14</v>
      </c>
      <c r="I7710" t="s">
        <v>10</v>
      </c>
    </row>
    <row r="7711" spans="1:9" x14ac:dyDescent="0.25">
      <c r="A7711" t="str">
        <f t="shared" si="186"/>
        <v>89301000</v>
      </c>
      <c r="B7711" t="str">
        <f>"5701041687"</f>
        <v>5701041687</v>
      </c>
      <c r="C7711" s="1">
        <v>44977</v>
      </c>
      <c r="D7711" s="1">
        <v>44978</v>
      </c>
      <c r="E7711">
        <v>1</v>
      </c>
      <c r="F7711" t="str">
        <f>"02-I13-02"</f>
        <v>02-I13-02</v>
      </c>
      <c r="G7711">
        <v>0.4259</v>
      </c>
      <c r="H7711" t="s">
        <v>11</v>
      </c>
      <c r="I7711" t="s">
        <v>10</v>
      </c>
    </row>
    <row r="7712" spans="1:9" x14ac:dyDescent="0.25">
      <c r="A7712" t="str">
        <f t="shared" si="186"/>
        <v>89301000</v>
      </c>
      <c r="B7712" t="str">
        <f>"5701041687"</f>
        <v>5701041687</v>
      </c>
      <c r="C7712" s="1">
        <v>45170</v>
      </c>
      <c r="D7712" s="1">
        <v>45175</v>
      </c>
      <c r="E7712">
        <v>1</v>
      </c>
      <c r="F7712" t="str">
        <f>"04-K02-04"</f>
        <v>04-K02-04</v>
      </c>
      <c r="G7712">
        <v>0.82099999999999995</v>
      </c>
      <c r="H7712" t="s">
        <v>11</v>
      </c>
      <c r="I7712" t="s">
        <v>10</v>
      </c>
    </row>
    <row r="7713" spans="1:9" x14ac:dyDescent="0.25">
      <c r="A7713" t="str">
        <f t="shared" si="186"/>
        <v>89301000</v>
      </c>
      <c r="B7713" t="str">
        <f>"5701060739"</f>
        <v>5701060739</v>
      </c>
      <c r="C7713" s="1">
        <v>45188</v>
      </c>
      <c r="D7713" s="1">
        <v>45189</v>
      </c>
      <c r="E7713">
        <v>1</v>
      </c>
      <c r="F7713" t="str">
        <f>"01-D01-03"</f>
        <v>01-D01-03</v>
      </c>
      <c r="G7713">
        <v>0.16200000000000001</v>
      </c>
      <c r="H7713" t="s">
        <v>11</v>
      </c>
      <c r="I7713" t="s">
        <v>10</v>
      </c>
    </row>
    <row r="7714" spans="1:9" x14ac:dyDescent="0.25">
      <c r="A7714" t="str">
        <f t="shared" si="186"/>
        <v>89301000</v>
      </c>
      <c r="B7714" t="str">
        <f>"5701070903"</f>
        <v>5701070903</v>
      </c>
      <c r="C7714" s="1">
        <v>44957</v>
      </c>
      <c r="D7714" s="1">
        <v>44962</v>
      </c>
      <c r="E7714">
        <v>1</v>
      </c>
      <c r="F7714" t="str">
        <f>"06-I16-04"</f>
        <v>06-I16-04</v>
      </c>
      <c r="G7714">
        <v>0.68920000000000003</v>
      </c>
      <c r="H7714" t="s">
        <v>9</v>
      </c>
      <c r="I7714" t="s">
        <v>10</v>
      </c>
    </row>
    <row r="7715" spans="1:9" x14ac:dyDescent="0.25">
      <c r="A7715" t="str">
        <f t="shared" si="186"/>
        <v>89301000</v>
      </c>
      <c r="B7715" t="str">
        <f>"5701191309"</f>
        <v>5701191309</v>
      </c>
      <c r="C7715" s="1">
        <v>45202</v>
      </c>
      <c r="D7715" s="1">
        <v>45205</v>
      </c>
      <c r="E7715">
        <v>1</v>
      </c>
      <c r="F7715" t="str">
        <f>"07-M02-04"</f>
        <v>07-M02-04</v>
      </c>
      <c r="G7715">
        <v>0.7974</v>
      </c>
      <c r="H7715" t="s">
        <v>12</v>
      </c>
      <c r="I7715" t="s">
        <v>10</v>
      </c>
    </row>
    <row r="7716" spans="1:9" x14ac:dyDescent="0.25">
      <c r="A7716" t="str">
        <f t="shared" si="186"/>
        <v>89301000</v>
      </c>
      <c r="B7716" t="str">
        <f>"5701191309"</f>
        <v>5701191309</v>
      </c>
      <c r="C7716" s="1">
        <v>45083</v>
      </c>
      <c r="D7716" s="1">
        <v>45084</v>
      </c>
      <c r="E7716">
        <v>1</v>
      </c>
      <c r="F7716" t="str">
        <f>"08-K04-03"</f>
        <v>08-K04-03</v>
      </c>
      <c r="G7716">
        <v>0.41799999999999998</v>
      </c>
      <c r="H7716" t="s">
        <v>11</v>
      </c>
      <c r="I7716" t="s">
        <v>10</v>
      </c>
    </row>
    <row r="7717" spans="1:9" x14ac:dyDescent="0.25">
      <c r="A7717" t="str">
        <f t="shared" si="186"/>
        <v>89301000</v>
      </c>
      <c r="B7717" t="str">
        <f>"5701210416"</f>
        <v>5701210416</v>
      </c>
      <c r="C7717" s="1">
        <v>45218</v>
      </c>
      <c r="D7717" s="1">
        <v>45223</v>
      </c>
      <c r="E7717">
        <v>1</v>
      </c>
      <c r="F7717" t="str">
        <f>"08-I03-08"</f>
        <v>08-I03-08</v>
      </c>
      <c r="G7717">
        <v>1.9455</v>
      </c>
      <c r="H7717" t="s">
        <v>9</v>
      </c>
      <c r="I7717" t="s">
        <v>10</v>
      </c>
    </row>
    <row r="7718" spans="1:9" x14ac:dyDescent="0.25">
      <c r="A7718" t="str">
        <f t="shared" si="186"/>
        <v>89301000</v>
      </c>
      <c r="B7718" t="str">
        <f>"5701231888"</f>
        <v>5701231888</v>
      </c>
      <c r="C7718" s="1">
        <v>45114</v>
      </c>
      <c r="D7718" s="1">
        <v>45114</v>
      </c>
      <c r="E7718">
        <v>1</v>
      </c>
      <c r="F7718" t="str">
        <f>"05-D01-06"</f>
        <v>05-D01-06</v>
      </c>
      <c r="G7718">
        <v>0.4037</v>
      </c>
      <c r="H7718" t="s">
        <v>11</v>
      </c>
      <c r="I7718" t="s">
        <v>10</v>
      </c>
    </row>
    <row r="7719" spans="1:9" x14ac:dyDescent="0.25">
      <c r="A7719" t="str">
        <f t="shared" si="186"/>
        <v>89301000</v>
      </c>
      <c r="B7719" t="str">
        <f>"5701301265"</f>
        <v>5701301265</v>
      </c>
      <c r="C7719" s="1">
        <v>45174</v>
      </c>
      <c r="D7719" s="1">
        <v>45175</v>
      </c>
      <c r="E7719">
        <v>1</v>
      </c>
      <c r="F7719" t="str">
        <f>"01-D01-03"</f>
        <v>01-D01-03</v>
      </c>
      <c r="G7719">
        <v>0.16200000000000001</v>
      </c>
      <c r="H7719" t="s">
        <v>11</v>
      </c>
      <c r="I7719" t="s">
        <v>10</v>
      </c>
    </row>
    <row r="7720" spans="1:9" x14ac:dyDescent="0.25">
      <c r="A7720" t="str">
        <f t="shared" si="186"/>
        <v>89301000</v>
      </c>
      <c r="B7720" t="str">
        <f>"5701301265"</f>
        <v>5701301265</v>
      </c>
      <c r="C7720" s="1">
        <v>45114</v>
      </c>
      <c r="D7720" s="1">
        <v>45117</v>
      </c>
      <c r="E7720">
        <v>1</v>
      </c>
      <c r="F7720" t="str">
        <f>"05-M06-06"</f>
        <v>05-M06-06</v>
      </c>
      <c r="G7720">
        <v>1.8264</v>
      </c>
      <c r="H7720" t="s">
        <v>12</v>
      </c>
      <c r="I7720" t="s">
        <v>10</v>
      </c>
    </row>
    <row r="7721" spans="1:9" x14ac:dyDescent="0.25">
      <c r="A7721" t="str">
        <f t="shared" si="186"/>
        <v>89301000</v>
      </c>
      <c r="B7721" t="str">
        <f>"5702030642"</f>
        <v>5702030642</v>
      </c>
      <c r="C7721" s="1">
        <v>45061</v>
      </c>
      <c r="D7721" s="1">
        <v>45071</v>
      </c>
      <c r="E7721">
        <v>1</v>
      </c>
      <c r="F7721" t="str">
        <f>"05-I14-02"</f>
        <v>05-I14-02</v>
      </c>
      <c r="G7721">
        <v>6.4595000000000002</v>
      </c>
      <c r="H7721" t="s">
        <v>12</v>
      </c>
      <c r="I7721" t="s">
        <v>10</v>
      </c>
    </row>
    <row r="7722" spans="1:9" x14ac:dyDescent="0.25">
      <c r="A7722" t="str">
        <f t="shared" si="186"/>
        <v>89301000</v>
      </c>
      <c r="B7722" t="str">
        <f>"5702030642"</f>
        <v>5702030642</v>
      </c>
      <c r="C7722" s="1">
        <v>45107</v>
      </c>
      <c r="D7722" s="1">
        <v>45107</v>
      </c>
      <c r="E7722">
        <v>1</v>
      </c>
      <c r="F7722" t="str">
        <f>"05-M06-08"</f>
        <v>05-M06-08</v>
      </c>
      <c r="G7722">
        <v>1.1012</v>
      </c>
      <c r="H7722" t="s">
        <v>12</v>
      </c>
      <c r="I7722" t="s">
        <v>10</v>
      </c>
    </row>
    <row r="7723" spans="1:9" x14ac:dyDescent="0.25">
      <c r="A7723" t="str">
        <f t="shared" si="186"/>
        <v>89301000</v>
      </c>
      <c r="B7723" t="str">
        <f>"5702040872"</f>
        <v>5702040872</v>
      </c>
      <c r="C7723" s="1">
        <v>45258</v>
      </c>
      <c r="D7723" s="1">
        <v>45260</v>
      </c>
      <c r="E7723">
        <v>1</v>
      </c>
      <c r="F7723" t="str">
        <f>"05-M05-02"</f>
        <v>05-M05-02</v>
      </c>
      <c r="G7723">
        <v>3.5577000000000001</v>
      </c>
      <c r="H7723" t="s">
        <v>14</v>
      </c>
      <c r="I7723" t="s">
        <v>10</v>
      </c>
    </row>
    <row r="7724" spans="1:9" x14ac:dyDescent="0.25">
      <c r="A7724" t="str">
        <f t="shared" si="186"/>
        <v>89301000</v>
      </c>
      <c r="B7724" t="str">
        <f>"5702040872"</f>
        <v>5702040872</v>
      </c>
      <c r="C7724" s="1">
        <v>45049</v>
      </c>
      <c r="D7724" s="1">
        <v>45053</v>
      </c>
      <c r="E7724">
        <v>1</v>
      </c>
      <c r="F7724" t="str">
        <f>"08-I03-06"</f>
        <v>08-I03-06</v>
      </c>
      <c r="G7724">
        <v>3.2523</v>
      </c>
      <c r="H7724" t="s">
        <v>9</v>
      </c>
      <c r="I7724" t="s">
        <v>10</v>
      </c>
    </row>
    <row r="7725" spans="1:9" x14ac:dyDescent="0.25">
      <c r="A7725" t="str">
        <f t="shared" si="186"/>
        <v>89301000</v>
      </c>
      <c r="B7725" t="str">
        <f>"5702040872"</f>
        <v>5702040872</v>
      </c>
      <c r="C7725" s="1">
        <v>45115</v>
      </c>
      <c r="D7725" s="1">
        <v>45118</v>
      </c>
      <c r="E7725">
        <v>1</v>
      </c>
      <c r="F7725" t="str">
        <f>"08-I03-06"</f>
        <v>08-I03-06</v>
      </c>
      <c r="G7725">
        <v>2.4491999999999998</v>
      </c>
      <c r="H7725" t="s">
        <v>9</v>
      </c>
      <c r="I7725" t="s">
        <v>10</v>
      </c>
    </row>
    <row r="7726" spans="1:9" x14ac:dyDescent="0.25">
      <c r="A7726" t="str">
        <f t="shared" si="186"/>
        <v>89301000</v>
      </c>
      <c r="B7726" t="str">
        <f>"5702111019"</f>
        <v>5702111019</v>
      </c>
      <c r="C7726" s="1">
        <v>45223</v>
      </c>
      <c r="D7726" s="1">
        <v>45227</v>
      </c>
      <c r="E7726">
        <v>1</v>
      </c>
      <c r="F7726" t="str">
        <f>"11-M06-03"</f>
        <v>11-M06-03</v>
      </c>
      <c r="G7726">
        <v>0.61150000000000004</v>
      </c>
      <c r="H7726" t="s">
        <v>12</v>
      </c>
      <c r="I7726" t="s">
        <v>10</v>
      </c>
    </row>
    <row r="7727" spans="1:9" x14ac:dyDescent="0.25">
      <c r="A7727" t="str">
        <f t="shared" si="186"/>
        <v>89301000</v>
      </c>
      <c r="B7727" t="str">
        <f>"5702120369"</f>
        <v>5702120369</v>
      </c>
      <c r="C7727" s="1">
        <v>44988</v>
      </c>
      <c r="D7727" s="1">
        <v>44990</v>
      </c>
      <c r="E7727">
        <v>1</v>
      </c>
      <c r="F7727" t="str">
        <f>"05-I25-02"</f>
        <v>05-I25-02</v>
      </c>
      <c r="G7727">
        <v>2.9415</v>
      </c>
      <c r="H7727" t="s">
        <v>12</v>
      </c>
      <c r="I7727" t="s">
        <v>10</v>
      </c>
    </row>
    <row r="7728" spans="1:9" x14ac:dyDescent="0.25">
      <c r="A7728" t="str">
        <f t="shared" si="186"/>
        <v>89301000</v>
      </c>
      <c r="B7728" t="str">
        <f>"5702122008"</f>
        <v>5702122008</v>
      </c>
      <c r="C7728" s="1">
        <v>45169</v>
      </c>
      <c r="D7728" s="1">
        <v>45169</v>
      </c>
      <c r="E7728">
        <v>1</v>
      </c>
      <c r="F7728" t="str">
        <f>"05-I14-04"</f>
        <v>05-I14-04</v>
      </c>
      <c r="G7728">
        <v>4.9752000000000001</v>
      </c>
      <c r="H7728" t="s">
        <v>12</v>
      </c>
      <c r="I7728" t="s">
        <v>10</v>
      </c>
    </row>
    <row r="7729" spans="1:9" x14ac:dyDescent="0.25">
      <c r="A7729" t="str">
        <f t="shared" si="186"/>
        <v>89301000</v>
      </c>
      <c r="B7729" t="str">
        <f>"5702122008"</f>
        <v>5702122008</v>
      </c>
      <c r="C7729" s="1">
        <v>45161</v>
      </c>
      <c r="D7729" s="1">
        <v>45161</v>
      </c>
      <c r="E7729">
        <v>1</v>
      </c>
      <c r="F7729" t="str">
        <f>"05-D01-06"</f>
        <v>05-D01-06</v>
      </c>
      <c r="G7729">
        <v>0.4037</v>
      </c>
      <c r="H7729" t="s">
        <v>11</v>
      </c>
      <c r="I7729" t="s">
        <v>10</v>
      </c>
    </row>
    <row r="7730" spans="1:9" x14ac:dyDescent="0.25">
      <c r="A7730" t="str">
        <f t="shared" si="186"/>
        <v>89301000</v>
      </c>
      <c r="B7730" t="str">
        <f>"5702122008"</f>
        <v>5702122008</v>
      </c>
      <c r="C7730" s="1">
        <v>45227</v>
      </c>
      <c r="D7730" s="1">
        <v>45236</v>
      </c>
      <c r="E7730">
        <v>1</v>
      </c>
      <c r="F7730" t="str">
        <f>"05-K05-05"</f>
        <v>05-K05-05</v>
      </c>
      <c r="G7730">
        <v>0.46360000000000001</v>
      </c>
      <c r="H7730" t="s">
        <v>11</v>
      </c>
      <c r="I7730" t="s">
        <v>10</v>
      </c>
    </row>
    <row r="7731" spans="1:9" x14ac:dyDescent="0.25">
      <c r="A7731" t="str">
        <f t="shared" si="186"/>
        <v>89301000</v>
      </c>
      <c r="B7731" t="str">
        <f>"5702141489"</f>
        <v>5702141489</v>
      </c>
      <c r="C7731" s="1">
        <v>45142</v>
      </c>
      <c r="D7731" s="1">
        <v>45146</v>
      </c>
      <c r="E7731">
        <v>1</v>
      </c>
      <c r="F7731" t="str">
        <f>"03-I19-02"</f>
        <v>03-I19-02</v>
      </c>
      <c r="G7731">
        <v>0.71340000000000003</v>
      </c>
      <c r="H7731" t="s">
        <v>11</v>
      </c>
      <c r="I7731" t="s">
        <v>10</v>
      </c>
    </row>
    <row r="7732" spans="1:9" x14ac:dyDescent="0.25">
      <c r="A7732" t="str">
        <f t="shared" si="186"/>
        <v>89301000</v>
      </c>
      <c r="B7732" t="str">
        <f>"5702141819"</f>
        <v>5702141819</v>
      </c>
      <c r="C7732" s="1">
        <v>45085</v>
      </c>
      <c r="D7732" s="1">
        <v>45091</v>
      </c>
      <c r="E7732">
        <v>1</v>
      </c>
      <c r="F7732" t="str">
        <f>"18-K01-05"</f>
        <v>18-K01-05</v>
      </c>
      <c r="G7732">
        <v>1.8207</v>
      </c>
      <c r="H7732" t="s">
        <v>11</v>
      </c>
      <c r="I7732" t="s">
        <v>10</v>
      </c>
    </row>
    <row r="7733" spans="1:9" x14ac:dyDescent="0.25">
      <c r="A7733" t="str">
        <f t="shared" si="186"/>
        <v>89301000</v>
      </c>
      <c r="B7733" t="str">
        <f>"5702141819"</f>
        <v>5702141819</v>
      </c>
      <c r="C7733" s="1">
        <v>44950</v>
      </c>
      <c r="D7733" s="1">
        <v>44960</v>
      </c>
      <c r="E7733">
        <v>1</v>
      </c>
      <c r="F7733" t="str">
        <f>"07-M02-04"</f>
        <v>07-M02-04</v>
      </c>
      <c r="G7733">
        <v>0.77339999999999998</v>
      </c>
      <c r="H7733" t="s">
        <v>12</v>
      </c>
      <c r="I7733" t="s">
        <v>10</v>
      </c>
    </row>
    <row r="7734" spans="1:9" x14ac:dyDescent="0.25">
      <c r="A7734" t="str">
        <f t="shared" si="186"/>
        <v>89301000</v>
      </c>
      <c r="B7734" t="str">
        <f>"5702220854"</f>
        <v>5702220854</v>
      </c>
      <c r="C7734" s="1">
        <v>45033</v>
      </c>
      <c r="D7734" s="1">
        <v>45034</v>
      </c>
      <c r="E7734">
        <v>1</v>
      </c>
      <c r="F7734" t="str">
        <f>"01-I13-00"</f>
        <v>01-I13-00</v>
      </c>
      <c r="G7734">
        <v>0.38400000000000001</v>
      </c>
      <c r="H7734" t="s">
        <v>11</v>
      </c>
      <c r="I7734" t="s">
        <v>10</v>
      </c>
    </row>
    <row r="7735" spans="1:9" x14ac:dyDescent="0.25">
      <c r="A7735" t="str">
        <f t="shared" si="186"/>
        <v>89301000</v>
      </c>
      <c r="B7735" t="str">
        <f>"5702231117"</f>
        <v>5702231117</v>
      </c>
      <c r="C7735" s="1">
        <v>45022</v>
      </c>
      <c r="D7735" s="1">
        <v>45030</v>
      </c>
      <c r="E7735">
        <v>1</v>
      </c>
      <c r="F7735" t="str">
        <f>"07-M02-02"</f>
        <v>07-M02-02</v>
      </c>
      <c r="G7735">
        <v>2.0733000000000001</v>
      </c>
      <c r="H7735" t="s">
        <v>12</v>
      </c>
      <c r="I7735" t="s">
        <v>10</v>
      </c>
    </row>
    <row r="7736" spans="1:9" x14ac:dyDescent="0.25">
      <c r="A7736" t="str">
        <f t="shared" si="186"/>
        <v>89301000</v>
      </c>
      <c r="B7736" t="str">
        <f>"5702240742"</f>
        <v>5702240742</v>
      </c>
      <c r="C7736" s="1">
        <v>45278</v>
      </c>
      <c r="D7736" s="1">
        <v>45281</v>
      </c>
      <c r="E7736">
        <v>1</v>
      </c>
      <c r="F7736" t="str">
        <f>"01-I01-02"</f>
        <v>01-I01-02</v>
      </c>
      <c r="G7736">
        <v>8.2134999999999998</v>
      </c>
      <c r="H7736" t="s">
        <v>14</v>
      </c>
      <c r="I7736" t="s">
        <v>10</v>
      </c>
    </row>
    <row r="7737" spans="1:9" x14ac:dyDescent="0.25">
      <c r="A7737" t="str">
        <f t="shared" si="186"/>
        <v>89301000</v>
      </c>
      <c r="B7737" t="str">
        <f>"5702241578"</f>
        <v>5702241578</v>
      </c>
      <c r="C7737" s="1">
        <v>45253</v>
      </c>
      <c r="D7737" s="1">
        <v>45257</v>
      </c>
      <c r="E7737">
        <v>1</v>
      </c>
      <c r="F7737" t="str">
        <f>"05-M05-02"</f>
        <v>05-M05-02</v>
      </c>
      <c r="G7737">
        <v>3.4817999999999998</v>
      </c>
      <c r="H7737" t="s">
        <v>14</v>
      </c>
      <c r="I7737" t="s">
        <v>10</v>
      </c>
    </row>
    <row r="7738" spans="1:9" x14ac:dyDescent="0.25">
      <c r="A7738" t="str">
        <f t="shared" si="186"/>
        <v>89301000</v>
      </c>
      <c r="B7738" t="str">
        <f>"5703061034"</f>
        <v>5703061034</v>
      </c>
      <c r="C7738" s="1">
        <v>45211</v>
      </c>
      <c r="D7738" s="1">
        <v>45216</v>
      </c>
      <c r="E7738">
        <v>5</v>
      </c>
      <c r="F7738" t="str">
        <f>"08-I04-02"</f>
        <v>08-I04-02</v>
      </c>
      <c r="G7738">
        <v>1.6229</v>
      </c>
      <c r="H7738" t="s">
        <v>14</v>
      </c>
      <c r="I7738" t="s">
        <v>10</v>
      </c>
    </row>
    <row r="7739" spans="1:9" x14ac:dyDescent="0.25">
      <c r="A7739" t="str">
        <f t="shared" ref="A7739:A7799" si="187">"89301000"</f>
        <v>89301000</v>
      </c>
      <c r="B7739" t="str">
        <f>"5703062431"</f>
        <v>5703062431</v>
      </c>
      <c r="C7739" s="1">
        <v>45119</v>
      </c>
      <c r="D7739" s="1">
        <v>45120</v>
      </c>
      <c r="E7739">
        <v>1</v>
      </c>
      <c r="F7739" t="str">
        <f>"05-D01-08"</f>
        <v>05-D01-08</v>
      </c>
      <c r="G7739">
        <v>0.43159999999999998</v>
      </c>
      <c r="H7739" t="s">
        <v>11</v>
      </c>
      <c r="I7739" t="s">
        <v>10</v>
      </c>
    </row>
    <row r="7740" spans="1:9" x14ac:dyDescent="0.25">
      <c r="A7740" t="str">
        <f t="shared" si="187"/>
        <v>89301000</v>
      </c>
      <c r="B7740" t="str">
        <f>"5703076885"</f>
        <v>5703076885</v>
      </c>
      <c r="C7740" s="1">
        <v>45139</v>
      </c>
      <c r="D7740" s="1">
        <v>45147</v>
      </c>
      <c r="E7740">
        <v>1</v>
      </c>
      <c r="F7740" t="str">
        <f>"05-M04-01"</f>
        <v>05-M04-01</v>
      </c>
      <c r="G7740">
        <v>5.4722999999999997</v>
      </c>
      <c r="H7740" t="s">
        <v>12</v>
      </c>
      <c r="I7740" t="s">
        <v>10</v>
      </c>
    </row>
    <row r="7741" spans="1:9" x14ac:dyDescent="0.25">
      <c r="A7741" t="str">
        <f t="shared" si="187"/>
        <v>89301000</v>
      </c>
      <c r="B7741" t="str">
        <f>"5703091845"</f>
        <v>5703091845</v>
      </c>
      <c r="C7741" s="1">
        <v>45100</v>
      </c>
      <c r="D7741" s="1">
        <v>45104</v>
      </c>
      <c r="E7741">
        <v>5</v>
      </c>
      <c r="F7741" t="str">
        <f>"08-I04-01"</f>
        <v>08-I04-01</v>
      </c>
      <c r="G7741">
        <v>3.0971000000000002</v>
      </c>
      <c r="H7741" t="s">
        <v>14</v>
      </c>
      <c r="I7741" t="s">
        <v>10</v>
      </c>
    </row>
    <row r="7742" spans="1:9" x14ac:dyDescent="0.25">
      <c r="A7742" t="str">
        <f t="shared" si="187"/>
        <v>89301000</v>
      </c>
      <c r="B7742" t="str">
        <f>"5703100832"</f>
        <v>5703100832</v>
      </c>
      <c r="C7742" s="1">
        <v>45269</v>
      </c>
      <c r="D7742" s="1">
        <v>45278</v>
      </c>
      <c r="E7742">
        <v>1</v>
      </c>
      <c r="F7742" t="str">
        <f>"04-K03-02"</f>
        <v>04-K03-02</v>
      </c>
      <c r="G7742">
        <v>0.80810000000000004</v>
      </c>
      <c r="H7742" t="s">
        <v>11</v>
      </c>
      <c r="I7742" t="s">
        <v>10</v>
      </c>
    </row>
    <row r="7743" spans="1:9" x14ac:dyDescent="0.25">
      <c r="A7743" t="str">
        <f t="shared" si="187"/>
        <v>89301000</v>
      </c>
      <c r="B7743" t="str">
        <f>"5703121831"</f>
        <v>5703121831</v>
      </c>
      <c r="C7743" s="1">
        <v>45195</v>
      </c>
      <c r="D7743" s="1">
        <v>45198</v>
      </c>
      <c r="E7743">
        <v>1</v>
      </c>
      <c r="F7743" t="str">
        <f>"05-I29-03"</f>
        <v>05-I29-03</v>
      </c>
      <c r="G7743">
        <v>1.0078</v>
      </c>
      <c r="H7743" t="s">
        <v>12</v>
      </c>
      <c r="I7743" t="s">
        <v>10</v>
      </c>
    </row>
    <row r="7744" spans="1:9" x14ac:dyDescent="0.25">
      <c r="A7744" t="str">
        <f t="shared" si="187"/>
        <v>89301000</v>
      </c>
      <c r="B7744" t="str">
        <f>"5703141147"</f>
        <v>5703141147</v>
      </c>
      <c r="C7744" s="1">
        <v>45044</v>
      </c>
      <c r="D7744" s="1">
        <v>45051</v>
      </c>
      <c r="E7744">
        <v>1</v>
      </c>
      <c r="F7744" t="str">
        <f>"06-K19-03"</f>
        <v>06-K19-03</v>
      </c>
      <c r="G7744">
        <v>0.80679999999999996</v>
      </c>
      <c r="H7744" t="s">
        <v>11</v>
      </c>
      <c r="I7744" t="s">
        <v>10</v>
      </c>
    </row>
    <row r="7745" spans="1:9" x14ac:dyDescent="0.25">
      <c r="A7745" t="str">
        <f t="shared" si="187"/>
        <v>89301000</v>
      </c>
      <c r="B7745" t="str">
        <f>"5703141147"</f>
        <v>5703141147</v>
      </c>
      <c r="C7745" s="1">
        <v>45011</v>
      </c>
      <c r="D7745" s="1">
        <v>45014</v>
      </c>
      <c r="E7745">
        <v>1</v>
      </c>
      <c r="F7745" t="str">
        <f>"06-K02-04"</f>
        <v>06-K02-04</v>
      </c>
      <c r="G7745">
        <v>0.37659999999999999</v>
      </c>
      <c r="H7745" t="s">
        <v>11</v>
      </c>
      <c r="I7745" t="s">
        <v>10</v>
      </c>
    </row>
    <row r="7746" spans="1:9" x14ac:dyDescent="0.25">
      <c r="A7746" t="str">
        <f t="shared" si="187"/>
        <v>89301000</v>
      </c>
      <c r="B7746" t="str">
        <f>"5703141147"</f>
        <v>5703141147</v>
      </c>
      <c r="C7746" s="1">
        <v>45098</v>
      </c>
      <c r="D7746" s="1">
        <v>45107</v>
      </c>
      <c r="E7746">
        <v>1</v>
      </c>
      <c r="F7746" t="str">
        <f>"10-K14-03"</f>
        <v>10-K14-03</v>
      </c>
      <c r="G7746">
        <v>0.48830000000000001</v>
      </c>
      <c r="H7746" t="s">
        <v>11</v>
      </c>
      <c r="I7746" t="s">
        <v>10</v>
      </c>
    </row>
    <row r="7747" spans="1:9" x14ac:dyDescent="0.25">
      <c r="A7747" t="str">
        <f t="shared" si="187"/>
        <v>89301000</v>
      </c>
      <c r="B7747" t="str">
        <f>"5703141147"</f>
        <v>5703141147</v>
      </c>
      <c r="C7747" s="1">
        <v>45240</v>
      </c>
      <c r="D7747" s="1">
        <v>45254</v>
      </c>
      <c r="E7747">
        <v>1</v>
      </c>
      <c r="F7747" t="str">
        <f>"07-K07-01"</f>
        <v>07-K07-01</v>
      </c>
      <c r="G7747">
        <v>1.0079</v>
      </c>
      <c r="H7747" t="s">
        <v>11</v>
      </c>
      <c r="I7747" t="s">
        <v>10</v>
      </c>
    </row>
    <row r="7748" spans="1:9" x14ac:dyDescent="0.25">
      <c r="A7748" t="str">
        <f t="shared" si="187"/>
        <v>89301000</v>
      </c>
      <c r="B7748" t="str">
        <f>"5703171034"</f>
        <v>5703171034</v>
      </c>
      <c r="C7748" s="1">
        <v>45280</v>
      </c>
      <c r="D7748" s="1">
        <v>45282</v>
      </c>
      <c r="E7748">
        <v>1</v>
      </c>
      <c r="F7748" t="str">
        <f>"23-I10-00"</f>
        <v>23-I10-00</v>
      </c>
      <c r="G7748">
        <v>0.57330000000000003</v>
      </c>
      <c r="H7748" t="s">
        <v>11</v>
      </c>
      <c r="I7748" t="s">
        <v>10</v>
      </c>
    </row>
    <row r="7749" spans="1:9" x14ac:dyDescent="0.25">
      <c r="A7749" t="str">
        <f t="shared" si="187"/>
        <v>89301000</v>
      </c>
      <c r="B7749" t="str">
        <f>"5703171034"</f>
        <v>5703171034</v>
      </c>
      <c r="C7749" s="1">
        <v>45118</v>
      </c>
      <c r="D7749" s="1">
        <v>45119</v>
      </c>
      <c r="E7749">
        <v>1</v>
      </c>
      <c r="F7749" t="str">
        <f>"02-I08-02"</f>
        <v>02-I08-02</v>
      </c>
      <c r="G7749">
        <v>0.60780000000000001</v>
      </c>
      <c r="H7749" t="s">
        <v>12</v>
      </c>
      <c r="I7749" t="s">
        <v>10</v>
      </c>
    </row>
    <row r="7750" spans="1:9" x14ac:dyDescent="0.25">
      <c r="A7750" t="str">
        <f t="shared" si="187"/>
        <v>89301000</v>
      </c>
      <c r="B7750" t="str">
        <f>"5703171034"</f>
        <v>5703171034</v>
      </c>
      <c r="C7750" s="1">
        <v>44941</v>
      </c>
      <c r="D7750" s="1">
        <v>44953</v>
      </c>
      <c r="E7750">
        <v>1</v>
      </c>
      <c r="F7750" t="str">
        <f>"02-I05-01"</f>
        <v>02-I05-01</v>
      </c>
      <c r="G7750">
        <v>2.4304999999999999</v>
      </c>
      <c r="H7750" t="s">
        <v>12</v>
      </c>
      <c r="I7750" t="s">
        <v>10</v>
      </c>
    </row>
    <row r="7751" spans="1:9" x14ac:dyDescent="0.25">
      <c r="A7751" t="str">
        <f t="shared" si="187"/>
        <v>89301000</v>
      </c>
      <c r="B7751" t="str">
        <f>"5703222272"</f>
        <v>5703222272</v>
      </c>
      <c r="C7751" s="1">
        <v>44990</v>
      </c>
      <c r="D7751" s="1">
        <v>44995</v>
      </c>
      <c r="E7751">
        <v>1</v>
      </c>
      <c r="F7751" t="str">
        <f>"04-I03-04"</f>
        <v>04-I03-04</v>
      </c>
      <c r="G7751">
        <v>1.9829000000000001</v>
      </c>
      <c r="H7751" t="s">
        <v>14</v>
      </c>
      <c r="I7751" t="s">
        <v>10</v>
      </c>
    </row>
    <row r="7752" spans="1:9" x14ac:dyDescent="0.25">
      <c r="A7752" t="str">
        <f t="shared" si="187"/>
        <v>89301000</v>
      </c>
      <c r="B7752" t="str">
        <f t="shared" ref="B7752:B7761" si="188">"5703240906"</f>
        <v>5703240906</v>
      </c>
      <c r="C7752" s="1">
        <v>45123</v>
      </c>
      <c r="D7752" s="1">
        <v>45131</v>
      </c>
      <c r="E7752">
        <v>1</v>
      </c>
      <c r="F7752" t="str">
        <f>"06-I07-05"</f>
        <v>06-I07-05</v>
      </c>
      <c r="G7752">
        <v>2.7919999999999998</v>
      </c>
      <c r="H7752" t="s">
        <v>12</v>
      </c>
      <c r="I7752" t="s">
        <v>10</v>
      </c>
    </row>
    <row r="7753" spans="1:9" x14ac:dyDescent="0.25">
      <c r="A7753" t="str">
        <f t="shared" si="187"/>
        <v>89301000</v>
      </c>
      <c r="B7753" t="str">
        <f t="shared" si="188"/>
        <v>5703240906</v>
      </c>
      <c r="C7753" s="1">
        <v>45279</v>
      </c>
      <c r="D7753" s="1">
        <v>45281</v>
      </c>
      <c r="E7753">
        <v>1</v>
      </c>
      <c r="F7753" t="str">
        <f>"06-C02-03"</f>
        <v>06-C02-03</v>
      </c>
      <c r="G7753">
        <v>0.32650000000000001</v>
      </c>
      <c r="H7753" t="s">
        <v>11</v>
      </c>
      <c r="I7753" t="s">
        <v>10</v>
      </c>
    </row>
    <row r="7754" spans="1:9" x14ac:dyDescent="0.25">
      <c r="A7754" t="str">
        <f t="shared" si="187"/>
        <v>89301000</v>
      </c>
      <c r="B7754" t="str">
        <f t="shared" si="188"/>
        <v>5703240906</v>
      </c>
      <c r="C7754" s="1">
        <v>45265</v>
      </c>
      <c r="D7754" s="1">
        <v>45267</v>
      </c>
      <c r="E7754">
        <v>1</v>
      </c>
      <c r="F7754" t="str">
        <f>"06-C02-03"</f>
        <v>06-C02-03</v>
      </c>
      <c r="G7754">
        <v>0.32650000000000001</v>
      </c>
      <c r="H7754" t="s">
        <v>11</v>
      </c>
      <c r="I7754" t="s">
        <v>10</v>
      </c>
    </row>
    <row r="7755" spans="1:9" x14ac:dyDescent="0.25">
      <c r="A7755" t="str">
        <f t="shared" si="187"/>
        <v>89301000</v>
      </c>
      <c r="B7755" t="str">
        <f t="shared" si="188"/>
        <v>5703240906</v>
      </c>
      <c r="C7755" s="1">
        <v>45251</v>
      </c>
      <c r="D7755" s="1">
        <v>45253</v>
      </c>
      <c r="E7755">
        <v>1</v>
      </c>
      <c r="F7755" t="str">
        <f>"06-C02-01"</f>
        <v>06-C02-01</v>
      </c>
      <c r="G7755">
        <v>0.31909999999999999</v>
      </c>
      <c r="H7755" t="s">
        <v>11</v>
      </c>
      <c r="I7755" t="s">
        <v>10</v>
      </c>
    </row>
    <row r="7756" spans="1:9" x14ac:dyDescent="0.25">
      <c r="A7756" t="str">
        <f t="shared" si="187"/>
        <v>89301000</v>
      </c>
      <c r="B7756" t="str">
        <f t="shared" si="188"/>
        <v>5703240906</v>
      </c>
      <c r="C7756" s="1">
        <v>45219</v>
      </c>
      <c r="D7756" s="1">
        <v>45221</v>
      </c>
      <c r="E7756">
        <v>1</v>
      </c>
      <c r="F7756" t="str">
        <f t="shared" ref="F7756:F7761" si="189">"06-C02-03"</f>
        <v>06-C02-03</v>
      </c>
      <c r="G7756">
        <v>0.32650000000000001</v>
      </c>
      <c r="H7756" t="s">
        <v>11</v>
      </c>
      <c r="I7756" t="s">
        <v>10</v>
      </c>
    </row>
    <row r="7757" spans="1:9" x14ac:dyDescent="0.25">
      <c r="A7757" t="str">
        <f t="shared" si="187"/>
        <v>89301000</v>
      </c>
      <c r="B7757" t="str">
        <f t="shared" si="188"/>
        <v>5703240906</v>
      </c>
      <c r="C7757" s="1">
        <v>45205</v>
      </c>
      <c r="D7757" s="1">
        <v>45207</v>
      </c>
      <c r="E7757">
        <v>1</v>
      </c>
      <c r="F7757" t="str">
        <f t="shared" si="189"/>
        <v>06-C02-03</v>
      </c>
      <c r="G7757">
        <v>0.32650000000000001</v>
      </c>
      <c r="H7757" t="s">
        <v>11</v>
      </c>
      <c r="I7757" t="s">
        <v>10</v>
      </c>
    </row>
    <row r="7758" spans="1:9" x14ac:dyDescent="0.25">
      <c r="A7758" t="str">
        <f t="shared" si="187"/>
        <v>89301000</v>
      </c>
      <c r="B7758" t="str">
        <f t="shared" si="188"/>
        <v>5703240906</v>
      </c>
      <c r="C7758" s="1">
        <v>45191</v>
      </c>
      <c r="D7758" s="1">
        <v>45193</v>
      </c>
      <c r="E7758">
        <v>1</v>
      </c>
      <c r="F7758" t="str">
        <f t="shared" si="189"/>
        <v>06-C02-03</v>
      </c>
      <c r="G7758">
        <v>0.32650000000000001</v>
      </c>
      <c r="H7758" t="s">
        <v>11</v>
      </c>
      <c r="I7758" t="s">
        <v>10</v>
      </c>
    </row>
    <row r="7759" spans="1:9" x14ac:dyDescent="0.25">
      <c r="A7759" t="str">
        <f t="shared" si="187"/>
        <v>89301000</v>
      </c>
      <c r="B7759" t="str">
        <f t="shared" si="188"/>
        <v>5703240906</v>
      </c>
      <c r="C7759" s="1">
        <v>45177</v>
      </c>
      <c r="D7759" s="1">
        <v>45179</v>
      </c>
      <c r="E7759">
        <v>1</v>
      </c>
      <c r="F7759" t="str">
        <f t="shared" si="189"/>
        <v>06-C02-03</v>
      </c>
      <c r="G7759">
        <v>0.32650000000000001</v>
      </c>
      <c r="H7759" t="s">
        <v>11</v>
      </c>
      <c r="I7759" t="s">
        <v>10</v>
      </c>
    </row>
    <row r="7760" spans="1:9" x14ac:dyDescent="0.25">
      <c r="A7760" t="str">
        <f t="shared" si="187"/>
        <v>89301000</v>
      </c>
      <c r="B7760" t="str">
        <f t="shared" si="188"/>
        <v>5703240906</v>
      </c>
      <c r="C7760" s="1">
        <v>45163</v>
      </c>
      <c r="D7760" s="1">
        <v>45166</v>
      </c>
      <c r="E7760">
        <v>1</v>
      </c>
      <c r="F7760" t="str">
        <f t="shared" si="189"/>
        <v>06-C02-03</v>
      </c>
      <c r="G7760">
        <v>0.32650000000000001</v>
      </c>
      <c r="H7760" t="s">
        <v>11</v>
      </c>
      <c r="I7760" t="s">
        <v>10</v>
      </c>
    </row>
    <row r="7761" spans="1:9" x14ac:dyDescent="0.25">
      <c r="A7761" t="str">
        <f t="shared" si="187"/>
        <v>89301000</v>
      </c>
      <c r="B7761" t="str">
        <f t="shared" si="188"/>
        <v>5703240906</v>
      </c>
      <c r="C7761" s="1">
        <v>45147</v>
      </c>
      <c r="D7761" s="1">
        <v>45149</v>
      </c>
      <c r="E7761">
        <v>1</v>
      </c>
      <c r="F7761" t="str">
        <f t="shared" si="189"/>
        <v>06-C02-03</v>
      </c>
      <c r="G7761">
        <v>0.32650000000000001</v>
      </c>
      <c r="H7761" t="s">
        <v>11</v>
      </c>
      <c r="I7761" t="s">
        <v>10</v>
      </c>
    </row>
    <row r="7762" spans="1:9" x14ac:dyDescent="0.25">
      <c r="A7762" t="str">
        <f t="shared" si="187"/>
        <v>89301000</v>
      </c>
      <c r="B7762" t="str">
        <f>"5703282332"</f>
        <v>5703282332</v>
      </c>
      <c r="C7762" s="1">
        <v>44966</v>
      </c>
      <c r="D7762" s="1">
        <v>44966</v>
      </c>
      <c r="E7762">
        <v>1</v>
      </c>
      <c r="F7762" t="str">
        <f>"05-D01-08"</f>
        <v>05-D01-08</v>
      </c>
      <c r="G7762">
        <v>0.2303</v>
      </c>
      <c r="H7762" t="s">
        <v>11</v>
      </c>
      <c r="I7762" t="s">
        <v>10</v>
      </c>
    </row>
    <row r="7763" spans="1:9" x14ac:dyDescent="0.25">
      <c r="A7763" t="str">
        <f t="shared" si="187"/>
        <v>89301000</v>
      </c>
      <c r="B7763" t="str">
        <f>"5704021752"</f>
        <v>5704021752</v>
      </c>
      <c r="C7763" s="1">
        <v>45267</v>
      </c>
      <c r="D7763" s="1">
        <v>45268</v>
      </c>
      <c r="E7763">
        <v>1</v>
      </c>
      <c r="F7763" t="str">
        <f>"12-I14-00"</f>
        <v>12-I14-00</v>
      </c>
      <c r="G7763">
        <v>0.42920000000000003</v>
      </c>
      <c r="H7763" t="s">
        <v>11</v>
      </c>
      <c r="I7763" t="s">
        <v>10</v>
      </c>
    </row>
    <row r="7764" spans="1:9" x14ac:dyDescent="0.25">
      <c r="A7764" t="str">
        <f t="shared" si="187"/>
        <v>89301000</v>
      </c>
      <c r="B7764" t="str">
        <f>"5704081592"</f>
        <v>5704081592</v>
      </c>
      <c r="C7764" s="1">
        <v>44942</v>
      </c>
      <c r="D7764" s="1">
        <v>44950</v>
      </c>
      <c r="E7764">
        <v>4</v>
      </c>
      <c r="F7764" t="str">
        <f>"24-M06-02"</f>
        <v>24-M06-02</v>
      </c>
      <c r="G7764">
        <v>1.0699000000000001</v>
      </c>
      <c r="H7764" t="s">
        <v>11</v>
      </c>
      <c r="I7764" t="s">
        <v>10</v>
      </c>
    </row>
    <row r="7765" spans="1:9" x14ac:dyDescent="0.25">
      <c r="A7765" t="str">
        <f t="shared" si="187"/>
        <v>89301000</v>
      </c>
      <c r="B7765" t="str">
        <f>"5704081592"</f>
        <v>5704081592</v>
      </c>
      <c r="C7765" s="1">
        <v>44931</v>
      </c>
      <c r="D7765" s="1">
        <v>44942</v>
      </c>
      <c r="E7765">
        <v>3</v>
      </c>
      <c r="F7765" t="str">
        <f>"08-I06-04"</f>
        <v>08-I06-04</v>
      </c>
      <c r="G7765">
        <v>2.4180000000000001</v>
      </c>
      <c r="H7765" t="s">
        <v>9</v>
      </c>
      <c r="I7765" t="s">
        <v>10</v>
      </c>
    </row>
    <row r="7766" spans="1:9" x14ac:dyDescent="0.25">
      <c r="A7766" t="str">
        <f t="shared" si="187"/>
        <v>89301000</v>
      </c>
      <c r="B7766" t="str">
        <f>"5704091019"</f>
        <v>5704091019</v>
      </c>
      <c r="C7766" s="1">
        <v>45208</v>
      </c>
      <c r="D7766" s="1">
        <v>45216</v>
      </c>
      <c r="E7766">
        <v>1</v>
      </c>
      <c r="F7766" t="str">
        <f>"09-I13-03"</f>
        <v>09-I13-03</v>
      </c>
      <c r="G7766">
        <v>0.7762</v>
      </c>
      <c r="H7766" t="s">
        <v>11</v>
      </c>
      <c r="I7766" t="s">
        <v>10</v>
      </c>
    </row>
    <row r="7767" spans="1:9" x14ac:dyDescent="0.25">
      <c r="A7767" t="str">
        <f t="shared" si="187"/>
        <v>89301000</v>
      </c>
      <c r="B7767" t="str">
        <f>"5704091019"</f>
        <v>5704091019</v>
      </c>
      <c r="C7767" s="1">
        <v>45254</v>
      </c>
      <c r="D7767" s="1">
        <v>45266</v>
      </c>
      <c r="E7767">
        <v>1</v>
      </c>
      <c r="F7767" t="str">
        <f>"08-C01-02"</f>
        <v>08-C01-02</v>
      </c>
      <c r="G7767">
        <v>3.4655999999999998</v>
      </c>
      <c r="H7767" t="s">
        <v>11</v>
      </c>
      <c r="I7767" t="s">
        <v>10</v>
      </c>
    </row>
    <row r="7768" spans="1:9" x14ac:dyDescent="0.25">
      <c r="A7768" t="str">
        <f t="shared" si="187"/>
        <v>89301000</v>
      </c>
      <c r="B7768" t="str">
        <f>"5704212899"</f>
        <v>5704212899</v>
      </c>
      <c r="C7768" s="1">
        <v>45237</v>
      </c>
      <c r="D7768" s="1">
        <v>45238</v>
      </c>
      <c r="E7768">
        <v>1</v>
      </c>
      <c r="F7768" t="str">
        <f>"01-I07-03"</f>
        <v>01-I07-03</v>
      </c>
      <c r="G7768">
        <v>1.2985</v>
      </c>
      <c r="H7768" t="s">
        <v>12</v>
      </c>
      <c r="I7768" t="s">
        <v>10</v>
      </c>
    </row>
    <row r="7769" spans="1:9" x14ac:dyDescent="0.25">
      <c r="A7769" t="str">
        <f t="shared" si="187"/>
        <v>89301000</v>
      </c>
      <c r="B7769" t="str">
        <f>"5704212899"</f>
        <v>5704212899</v>
      </c>
      <c r="C7769" s="1">
        <v>45271</v>
      </c>
      <c r="D7769" s="1">
        <v>45278</v>
      </c>
      <c r="E7769">
        <v>1</v>
      </c>
      <c r="F7769" t="str">
        <f>"19-K02-03"</f>
        <v>19-K02-03</v>
      </c>
      <c r="G7769">
        <v>0.71950000000000003</v>
      </c>
      <c r="H7769" t="s">
        <v>15</v>
      </c>
      <c r="I7769" t="s">
        <v>10</v>
      </c>
    </row>
    <row r="7770" spans="1:9" x14ac:dyDescent="0.25">
      <c r="A7770" t="str">
        <f t="shared" si="187"/>
        <v>89301000</v>
      </c>
      <c r="B7770" t="str">
        <f>"5704273135"</f>
        <v>5704273135</v>
      </c>
      <c r="C7770" s="1">
        <v>45082</v>
      </c>
      <c r="D7770" s="1">
        <v>45100</v>
      </c>
      <c r="E7770">
        <v>1</v>
      </c>
      <c r="F7770" t="str">
        <f>"24-M08-01"</f>
        <v>24-M08-01</v>
      </c>
      <c r="G7770">
        <v>2.024</v>
      </c>
      <c r="H7770" t="s">
        <v>11</v>
      </c>
      <c r="I7770" t="s">
        <v>10</v>
      </c>
    </row>
    <row r="7771" spans="1:9" x14ac:dyDescent="0.25">
      <c r="A7771" t="str">
        <f t="shared" si="187"/>
        <v>89301000</v>
      </c>
      <c r="B7771" t="str">
        <f>"5704273135"</f>
        <v>5704273135</v>
      </c>
      <c r="C7771" s="1">
        <v>45067</v>
      </c>
      <c r="D7771" s="1">
        <v>45082</v>
      </c>
      <c r="E7771">
        <v>3</v>
      </c>
      <c r="F7771" t="str">
        <f>"01-K10-03"</f>
        <v>01-K10-03</v>
      </c>
      <c r="G7771">
        <v>1.1218999999999999</v>
      </c>
      <c r="H7771" t="s">
        <v>11</v>
      </c>
      <c r="I7771" t="s">
        <v>10</v>
      </c>
    </row>
    <row r="7772" spans="1:9" x14ac:dyDescent="0.25">
      <c r="A7772" t="str">
        <f t="shared" si="187"/>
        <v>89301000</v>
      </c>
      <c r="B7772" t="str">
        <f>"5704290900"</f>
        <v>5704290900</v>
      </c>
      <c r="C7772" s="1">
        <v>45098</v>
      </c>
      <c r="D7772" s="1">
        <v>45104</v>
      </c>
      <c r="E7772">
        <v>1</v>
      </c>
      <c r="F7772" t="str">
        <f>"08-I05-04"</f>
        <v>08-I05-04</v>
      </c>
      <c r="G7772">
        <v>2.4445000000000001</v>
      </c>
      <c r="H7772" t="s">
        <v>12</v>
      </c>
      <c r="I7772" t="s">
        <v>10</v>
      </c>
    </row>
    <row r="7773" spans="1:9" x14ac:dyDescent="0.25">
      <c r="A7773" t="str">
        <f t="shared" si="187"/>
        <v>89301000</v>
      </c>
      <c r="B7773" t="str">
        <f>"5704290900"</f>
        <v>5704290900</v>
      </c>
      <c r="C7773" s="1">
        <v>45238</v>
      </c>
      <c r="D7773" s="1">
        <v>45244</v>
      </c>
      <c r="E7773">
        <v>3</v>
      </c>
      <c r="F7773" t="str">
        <f>"08-I05-04"</f>
        <v>08-I05-04</v>
      </c>
      <c r="G7773">
        <v>2.4445000000000001</v>
      </c>
      <c r="H7773" t="s">
        <v>12</v>
      </c>
      <c r="I7773" t="s">
        <v>10</v>
      </c>
    </row>
    <row r="7774" spans="1:9" x14ac:dyDescent="0.25">
      <c r="A7774" t="str">
        <f t="shared" si="187"/>
        <v>89301000</v>
      </c>
      <c r="B7774" t="str">
        <f>"5704290900"</f>
        <v>5704290900</v>
      </c>
      <c r="C7774" s="1">
        <v>45244</v>
      </c>
      <c r="D7774" s="1">
        <v>45254</v>
      </c>
      <c r="E7774">
        <v>1</v>
      </c>
      <c r="F7774" t="str">
        <f>"24-M06-02"</f>
        <v>24-M06-02</v>
      </c>
      <c r="G7774">
        <v>1.0699000000000001</v>
      </c>
      <c r="H7774" t="s">
        <v>11</v>
      </c>
      <c r="I7774" t="s">
        <v>10</v>
      </c>
    </row>
    <row r="7775" spans="1:9" x14ac:dyDescent="0.25">
      <c r="A7775" t="str">
        <f t="shared" si="187"/>
        <v>89301000</v>
      </c>
      <c r="B7775" t="str">
        <f>"5704290911"</f>
        <v>5704290911</v>
      </c>
      <c r="C7775" s="1">
        <v>45040</v>
      </c>
      <c r="D7775" s="1">
        <v>45054</v>
      </c>
      <c r="E7775">
        <v>1</v>
      </c>
      <c r="F7775" t="str">
        <f>"04-I02-03"</f>
        <v>04-I02-03</v>
      </c>
      <c r="G7775">
        <v>3.6791</v>
      </c>
      <c r="H7775" t="s">
        <v>14</v>
      </c>
      <c r="I7775" t="s">
        <v>10</v>
      </c>
    </row>
    <row r="7776" spans="1:9" x14ac:dyDescent="0.25">
      <c r="A7776" t="str">
        <f t="shared" si="187"/>
        <v>89301000</v>
      </c>
      <c r="B7776" t="str">
        <f>"5704290911"</f>
        <v>5704290911</v>
      </c>
      <c r="C7776" s="1">
        <v>45036</v>
      </c>
      <c r="D7776" s="1">
        <v>45037</v>
      </c>
      <c r="E7776">
        <v>1</v>
      </c>
      <c r="F7776" t="str">
        <f>"04-K10-02"</f>
        <v>04-K10-02</v>
      </c>
      <c r="G7776">
        <v>0.40129999999999999</v>
      </c>
      <c r="H7776" t="s">
        <v>11</v>
      </c>
      <c r="I7776" t="s">
        <v>10</v>
      </c>
    </row>
    <row r="7777" spans="1:9" x14ac:dyDescent="0.25">
      <c r="A7777" t="str">
        <f t="shared" si="187"/>
        <v>89301000</v>
      </c>
      <c r="B7777" t="str">
        <f>"5705020420"</f>
        <v>5705020420</v>
      </c>
      <c r="C7777" s="1">
        <v>45110</v>
      </c>
      <c r="D7777" s="1">
        <v>45111</v>
      </c>
      <c r="E7777">
        <v>1</v>
      </c>
      <c r="F7777" t="str">
        <f>"05-D01-08"</f>
        <v>05-D01-08</v>
      </c>
      <c r="G7777">
        <v>0.43159999999999998</v>
      </c>
      <c r="H7777" t="s">
        <v>11</v>
      </c>
      <c r="I7777" t="s">
        <v>10</v>
      </c>
    </row>
    <row r="7778" spans="1:9" x14ac:dyDescent="0.25">
      <c r="A7778" t="str">
        <f t="shared" si="187"/>
        <v>89301000</v>
      </c>
      <c r="B7778" t="str">
        <f>"5705032223"</f>
        <v>5705032223</v>
      </c>
      <c r="C7778" s="1">
        <v>44987</v>
      </c>
      <c r="D7778" s="1">
        <v>44992</v>
      </c>
      <c r="E7778">
        <v>1</v>
      </c>
      <c r="F7778" t="str">
        <f>"03-I14-02"</f>
        <v>03-I14-02</v>
      </c>
      <c r="G7778">
        <v>1.0793999999999999</v>
      </c>
      <c r="H7778" t="s">
        <v>11</v>
      </c>
      <c r="I7778" t="s">
        <v>10</v>
      </c>
    </row>
    <row r="7779" spans="1:9" x14ac:dyDescent="0.25">
      <c r="A7779" t="str">
        <f t="shared" si="187"/>
        <v>89301000</v>
      </c>
      <c r="B7779" t="str">
        <f>"5705052155"</f>
        <v>5705052155</v>
      </c>
      <c r="C7779" s="1">
        <v>44985</v>
      </c>
      <c r="D7779" s="1">
        <v>44987</v>
      </c>
      <c r="E7779">
        <v>1</v>
      </c>
      <c r="F7779" t="str">
        <f>"08-I17-02"</f>
        <v>08-I17-02</v>
      </c>
      <c r="G7779">
        <v>0.89680000000000004</v>
      </c>
      <c r="H7779" t="s">
        <v>11</v>
      </c>
      <c r="I7779" t="s">
        <v>10</v>
      </c>
    </row>
    <row r="7780" spans="1:9" x14ac:dyDescent="0.25">
      <c r="A7780" t="str">
        <f t="shared" si="187"/>
        <v>89301000</v>
      </c>
      <c r="B7780" t="str">
        <f>"5705080876"</f>
        <v>5705080876</v>
      </c>
      <c r="C7780" s="1">
        <v>45085</v>
      </c>
      <c r="D7780" s="1">
        <v>45089</v>
      </c>
      <c r="E7780">
        <v>1</v>
      </c>
      <c r="F7780" t="str">
        <f>"10-K04-04"</f>
        <v>10-K04-04</v>
      </c>
      <c r="G7780">
        <v>0.53949999999999998</v>
      </c>
      <c r="H7780" t="s">
        <v>11</v>
      </c>
      <c r="I7780" t="s">
        <v>10</v>
      </c>
    </row>
    <row r="7781" spans="1:9" x14ac:dyDescent="0.25">
      <c r="A7781" t="str">
        <f t="shared" si="187"/>
        <v>89301000</v>
      </c>
      <c r="B7781" t="str">
        <f>"5705081943"</f>
        <v>5705081943</v>
      </c>
      <c r="C7781" s="1">
        <v>45116</v>
      </c>
      <c r="D7781" s="1">
        <v>45118</v>
      </c>
      <c r="E7781">
        <v>5</v>
      </c>
      <c r="F7781" t="str">
        <f>"04-M01-07"</f>
        <v>04-M01-07</v>
      </c>
      <c r="G7781">
        <v>2.4611999999999998</v>
      </c>
      <c r="H7781" t="s">
        <v>11</v>
      </c>
      <c r="I7781" t="s">
        <v>10</v>
      </c>
    </row>
    <row r="7782" spans="1:9" x14ac:dyDescent="0.25">
      <c r="A7782" t="str">
        <f t="shared" si="187"/>
        <v>89301000</v>
      </c>
      <c r="B7782" t="str">
        <f>"5705090578"</f>
        <v>5705090578</v>
      </c>
      <c r="C7782" s="1">
        <v>45007</v>
      </c>
      <c r="D7782" s="1">
        <v>45011</v>
      </c>
      <c r="E7782">
        <v>1</v>
      </c>
      <c r="F7782" t="str">
        <f>"07-M02-03"</f>
        <v>07-M02-03</v>
      </c>
      <c r="G7782">
        <v>1.2942</v>
      </c>
      <c r="H7782" t="s">
        <v>12</v>
      </c>
      <c r="I7782" t="s">
        <v>10</v>
      </c>
    </row>
    <row r="7783" spans="1:9" x14ac:dyDescent="0.25">
      <c r="A7783" t="str">
        <f t="shared" si="187"/>
        <v>89301000</v>
      </c>
      <c r="B7783" t="str">
        <f>"5705101743"</f>
        <v>5705101743</v>
      </c>
      <c r="C7783" s="1">
        <v>45222</v>
      </c>
      <c r="D7783" s="1">
        <v>45225</v>
      </c>
      <c r="E7783">
        <v>1</v>
      </c>
      <c r="F7783" t="str">
        <f>"08-M03-02"</f>
        <v>08-M03-02</v>
      </c>
      <c r="G7783">
        <v>0.91359999999999997</v>
      </c>
      <c r="H7783" t="s">
        <v>11</v>
      </c>
      <c r="I7783" t="s">
        <v>10</v>
      </c>
    </row>
    <row r="7784" spans="1:9" x14ac:dyDescent="0.25">
      <c r="A7784" t="str">
        <f t="shared" si="187"/>
        <v>89301000</v>
      </c>
      <c r="B7784" t="str">
        <f>"5705121070"</f>
        <v>5705121070</v>
      </c>
      <c r="C7784" s="1">
        <v>45137</v>
      </c>
      <c r="D7784" s="1">
        <v>45139</v>
      </c>
      <c r="E7784">
        <v>1</v>
      </c>
      <c r="F7784" t="str">
        <f>"05-K15-02"</f>
        <v>05-K15-02</v>
      </c>
      <c r="G7784">
        <v>0.45369999999999999</v>
      </c>
      <c r="H7784" t="s">
        <v>11</v>
      </c>
      <c r="I7784" t="s">
        <v>10</v>
      </c>
    </row>
    <row r="7785" spans="1:9" x14ac:dyDescent="0.25">
      <c r="A7785" t="str">
        <f t="shared" si="187"/>
        <v>89301000</v>
      </c>
      <c r="B7785" t="str">
        <f>"5705150814"</f>
        <v>5705150814</v>
      </c>
      <c r="C7785" s="1">
        <v>45171</v>
      </c>
      <c r="D7785" s="1">
        <v>45174</v>
      </c>
      <c r="E7785">
        <v>1</v>
      </c>
      <c r="F7785" t="str">
        <f>"01-K16-02"</f>
        <v>01-K16-02</v>
      </c>
      <c r="G7785">
        <v>1.0113000000000001</v>
      </c>
      <c r="H7785" t="s">
        <v>11</v>
      </c>
      <c r="I7785" t="s">
        <v>10</v>
      </c>
    </row>
    <row r="7786" spans="1:9" x14ac:dyDescent="0.25">
      <c r="A7786" t="str">
        <f t="shared" si="187"/>
        <v>89301000</v>
      </c>
      <c r="B7786" t="str">
        <f>"5705161396"</f>
        <v>5705161396</v>
      </c>
      <c r="C7786" s="1">
        <v>45002</v>
      </c>
      <c r="D7786" s="1">
        <v>45009</v>
      </c>
      <c r="E7786">
        <v>5</v>
      </c>
      <c r="F7786" t="str">
        <f>"10-K12-02"</f>
        <v>10-K12-02</v>
      </c>
      <c r="G7786">
        <v>0.88600000000000001</v>
      </c>
      <c r="H7786" t="s">
        <v>11</v>
      </c>
      <c r="I7786" t="s">
        <v>10</v>
      </c>
    </row>
    <row r="7787" spans="1:9" x14ac:dyDescent="0.25">
      <c r="A7787" t="str">
        <f t="shared" si="187"/>
        <v>89301000</v>
      </c>
      <c r="B7787" t="str">
        <f>"5705182054"</f>
        <v>5705182054</v>
      </c>
      <c r="C7787" s="1">
        <v>45217</v>
      </c>
      <c r="D7787" s="1">
        <v>45219</v>
      </c>
      <c r="E7787">
        <v>1</v>
      </c>
      <c r="F7787" t="str">
        <f>"08-M03-05"</f>
        <v>08-M03-05</v>
      </c>
      <c r="G7787">
        <v>0.46910000000000002</v>
      </c>
      <c r="H7787" t="s">
        <v>11</v>
      </c>
      <c r="I7787" t="s">
        <v>10</v>
      </c>
    </row>
    <row r="7788" spans="1:9" x14ac:dyDescent="0.25">
      <c r="A7788" t="str">
        <f t="shared" si="187"/>
        <v>89301000</v>
      </c>
      <c r="B7788" t="str">
        <f>"5705202712"</f>
        <v>5705202712</v>
      </c>
      <c r="C7788" s="1">
        <v>45010</v>
      </c>
      <c r="D7788" s="1">
        <v>45016</v>
      </c>
      <c r="E7788">
        <v>1</v>
      </c>
      <c r="F7788" t="str">
        <f>"06-K02-03"</f>
        <v>06-K02-03</v>
      </c>
      <c r="G7788">
        <v>0.5081</v>
      </c>
      <c r="H7788" t="s">
        <v>11</v>
      </c>
      <c r="I7788" t="s">
        <v>10</v>
      </c>
    </row>
    <row r="7789" spans="1:9" x14ac:dyDescent="0.25">
      <c r="A7789" t="str">
        <f t="shared" si="187"/>
        <v>89301000</v>
      </c>
      <c r="B7789" t="str">
        <f>"5705222402"</f>
        <v>5705222402</v>
      </c>
      <c r="C7789" s="1">
        <v>45188</v>
      </c>
      <c r="D7789" s="1">
        <v>45188</v>
      </c>
      <c r="E7789">
        <v>1</v>
      </c>
      <c r="F7789" t="str">
        <f>"05-D01-08"</f>
        <v>05-D01-08</v>
      </c>
      <c r="G7789">
        <v>0.2303</v>
      </c>
      <c r="H7789" t="s">
        <v>11</v>
      </c>
      <c r="I7789" t="s">
        <v>10</v>
      </c>
    </row>
    <row r="7790" spans="1:9" x14ac:dyDescent="0.25">
      <c r="A7790" t="str">
        <f t="shared" si="187"/>
        <v>89301000</v>
      </c>
      <c r="B7790" t="str">
        <f>"5705290921"</f>
        <v>5705290921</v>
      </c>
      <c r="C7790" s="1">
        <v>45120</v>
      </c>
      <c r="D7790" s="1">
        <v>45132</v>
      </c>
      <c r="E7790">
        <v>1</v>
      </c>
      <c r="F7790" t="str">
        <f>"04-I02-03"</f>
        <v>04-I02-03</v>
      </c>
      <c r="G7790">
        <v>3.3616000000000001</v>
      </c>
      <c r="H7790" t="s">
        <v>14</v>
      </c>
      <c r="I7790" t="s">
        <v>10</v>
      </c>
    </row>
    <row r="7791" spans="1:9" x14ac:dyDescent="0.25">
      <c r="A7791" t="str">
        <f t="shared" si="187"/>
        <v>89301000</v>
      </c>
      <c r="B7791" t="str">
        <f>"5705312646"</f>
        <v>5705312646</v>
      </c>
      <c r="C7791" s="1">
        <v>45223</v>
      </c>
      <c r="D7791" s="1">
        <v>45224</v>
      </c>
      <c r="E7791">
        <v>1</v>
      </c>
      <c r="F7791" t="str">
        <f>"05-I14-03"</f>
        <v>05-I14-03</v>
      </c>
      <c r="G7791">
        <v>6.0362</v>
      </c>
      <c r="H7791" t="s">
        <v>12</v>
      </c>
      <c r="I7791" t="s">
        <v>10</v>
      </c>
    </row>
    <row r="7792" spans="1:9" x14ac:dyDescent="0.25">
      <c r="A7792" t="str">
        <f t="shared" si="187"/>
        <v>89301000</v>
      </c>
      <c r="B7792" t="str">
        <f>"5705312646"</f>
        <v>5705312646</v>
      </c>
      <c r="C7792" s="1">
        <v>45182</v>
      </c>
      <c r="D7792" s="1">
        <v>45184</v>
      </c>
      <c r="E7792">
        <v>1</v>
      </c>
      <c r="F7792" t="str">
        <f>"05-I21-02"</f>
        <v>05-I21-02</v>
      </c>
      <c r="G7792">
        <v>3.9236</v>
      </c>
      <c r="H7792" t="s">
        <v>12</v>
      </c>
      <c r="I7792" t="s">
        <v>10</v>
      </c>
    </row>
    <row r="7793" spans="1:9" x14ac:dyDescent="0.25">
      <c r="A7793" t="str">
        <f t="shared" si="187"/>
        <v>89301000</v>
      </c>
      <c r="B7793" t="str">
        <f>"5706010816"</f>
        <v>5706010816</v>
      </c>
      <c r="C7793" s="1">
        <v>45223</v>
      </c>
      <c r="D7793" s="1">
        <v>45229</v>
      </c>
      <c r="E7793">
        <v>1</v>
      </c>
      <c r="F7793" t="str">
        <f>"07-K02-03"</f>
        <v>07-K02-03</v>
      </c>
      <c r="G7793">
        <v>0.78139999999999998</v>
      </c>
      <c r="H7793" t="s">
        <v>11</v>
      </c>
      <c r="I7793" t="s">
        <v>10</v>
      </c>
    </row>
    <row r="7794" spans="1:9" x14ac:dyDescent="0.25">
      <c r="A7794" t="str">
        <f t="shared" si="187"/>
        <v>89301000</v>
      </c>
      <c r="B7794" t="str">
        <f>"5706010816"</f>
        <v>5706010816</v>
      </c>
      <c r="C7794" s="1">
        <v>45114</v>
      </c>
      <c r="D7794" s="1">
        <v>45121</v>
      </c>
      <c r="E7794">
        <v>1</v>
      </c>
      <c r="F7794" t="str">
        <f>"06-I18-02"</f>
        <v>06-I18-02</v>
      </c>
      <c r="G7794">
        <v>2.4735999999999998</v>
      </c>
      <c r="H7794" t="s">
        <v>9</v>
      </c>
      <c r="I7794" t="s">
        <v>10</v>
      </c>
    </row>
    <row r="7795" spans="1:9" x14ac:dyDescent="0.25">
      <c r="A7795" t="str">
        <f t="shared" si="187"/>
        <v>89301000</v>
      </c>
      <c r="B7795" t="str">
        <f>"5706030385"</f>
        <v>5706030385</v>
      </c>
      <c r="C7795" s="1">
        <v>45204</v>
      </c>
      <c r="D7795" s="1">
        <v>45209</v>
      </c>
      <c r="E7795">
        <v>4</v>
      </c>
      <c r="F7795" t="str">
        <f>"08-I06-04"</f>
        <v>08-I06-04</v>
      </c>
      <c r="G7795">
        <v>2.4180000000000001</v>
      </c>
      <c r="H7795" t="s">
        <v>9</v>
      </c>
      <c r="I7795" t="s">
        <v>10</v>
      </c>
    </row>
    <row r="7796" spans="1:9" x14ac:dyDescent="0.25">
      <c r="A7796" t="str">
        <f t="shared" si="187"/>
        <v>89301000</v>
      </c>
      <c r="B7796" t="str">
        <f>"5706030385"</f>
        <v>5706030385</v>
      </c>
      <c r="C7796" s="1">
        <v>45261</v>
      </c>
      <c r="D7796" s="1">
        <v>45267</v>
      </c>
      <c r="E7796">
        <v>1</v>
      </c>
      <c r="F7796" t="str">
        <f>"05-D01-06"</f>
        <v>05-D01-06</v>
      </c>
      <c r="G7796">
        <v>0.7571</v>
      </c>
      <c r="H7796" t="s">
        <v>11</v>
      </c>
      <c r="I7796" t="s">
        <v>10</v>
      </c>
    </row>
    <row r="7797" spans="1:9" x14ac:dyDescent="0.25">
      <c r="A7797" t="str">
        <f t="shared" si="187"/>
        <v>89301000</v>
      </c>
      <c r="B7797" t="str">
        <f>"5706042441"</f>
        <v>5706042441</v>
      </c>
      <c r="C7797" s="1">
        <v>44959</v>
      </c>
      <c r="D7797" s="1">
        <v>44962</v>
      </c>
      <c r="E7797">
        <v>1</v>
      </c>
      <c r="F7797" t="str">
        <f>"05-M07-06"</f>
        <v>05-M07-06</v>
      </c>
      <c r="G7797">
        <v>1.2264999999999999</v>
      </c>
      <c r="H7797" t="s">
        <v>12</v>
      </c>
      <c r="I7797" t="s">
        <v>10</v>
      </c>
    </row>
    <row r="7798" spans="1:9" x14ac:dyDescent="0.25">
      <c r="A7798" t="str">
        <f t="shared" si="187"/>
        <v>89301000</v>
      </c>
      <c r="B7798" t="str">
        <f>"5706050515"</f>
        <v>5706050515</v>
      </c>
      <c r="C7798" s="1">
        <v>45102</v>
      </c>
      <c r="D7798" s="1">
        <v>45111</v>
      </c>
      <c r="E7798">
        <v>4</v>
      </c>
      <c r="F7798" t="str">
        <f>"06-K02-04"</f>
        <v>06-K02-04</v>
      </c>
      <c r="G7798">
        <v>0.55810000000000004</v>
      </c>
      <c r="H7798" t="s">
        <v>11</v>
      </c>
      <c r="I7798" t="s">
        <v>10</v>
      </c>
    </row>
    <row r="7799" spans="1:9" x14ac:dyDescent="0.25">
      <c r="A7799" t="str">
        <f t="shared" si="187"/>
        <v>89301000</v>
      </c>
      <c r="B7799" t="str">
        <f>"5706062065"</f>
        <v>5706062065</v>
      </c>
      <c r="C7799" s="1">
        <v>44963</v>
      </c>
      <c r="D7799" s="1">
        <v>44966</v>
      </c>
      <c r="E7799">
        <v>1</v>
      </c>
      <c r="F7799" t="str">
        <f>"04-K15-03"</f>
        <v>04-K15-03</v>
      </c>
      <c r="G7799">
        <v>0.49790000000000001</v>
      </c>
      <c r="H7799" t="s">
        <v>11</v>
      </c>
      <c r="I7799" t="s">
        <v>10</v>
      </c>
    </row>
    <row r="7800" spans="1:9" x14ac:dyDescent="0.25">
      <c r="A7800" t="str">
        <f t="shared" ref="A7800:A7863" si="190">"89301000"</f>
        <v>89301000</v>
      </c>
      <c r="B7800" t="str">
        <f>"5706062065"</f>
        <v>5706062065</v>
      </c>
      <c r="C7800" s="1">
        <v>44952</v>
      </c>
      <c r="D7800" s="1">
        <v>44959</v>
      </c>
      <c r="E7800">
        <v>1</v>
      </c>
      <c r="F7800" t="str">
        <f>"04-K15-03"</f>
        <v>04-K15-03</v>
      </c>
      <c r="G7800">
        <v>0.49790000000000001</v>
      </c>
      <c r="H7800" t="s">
        <v>11</v>
      </c>
      <c r="I7800" t="s">
        <v>10</v>
      </c>
    </row>
    <row r="7801" spans="1:9" x14ac:dyDescent="0.25">
      <c r="A7801" t="str">
        <f t="shared" si="190"/>
        <v>89301000</v>
      </c>
      <c r="B7801" t="str">
        <f>"5706091831"</f>
        <v>5706091831</v>
      </c>
      <c r="C7801" s="1">
        <v>45202</v>
      </c>
      <c r="D7801" s="1">
        <v>45224</v>
      </c>
      <c r="E7801">
        <v>1</v>
      </c>
      <c r="F7801" t="str">
        <f>"08-I05-03"</f>
        <v>08-I05-03</v>
      </c>
      <c r="G7801">
        <v>3.3738000000000001</v>
      </c>
      <c r="H7801" t="s">
        <v>12</v>
      </c>
      <c r="I7801" t="s">
        <v>10</v>
      </c>
    </row>
    <row r="7802" spans="1:9" x14ac:dyDescent="0.25">
      <c r="A7802" t="str">
        <f t="shared" si="190"/>
        <v>89301000</v>
      </c>
      <c r="B7802" t="str">
        <f>"5706141991"</f>
        <v>5706141991</v>
      </c>
      <c r="C7802" s="1">
        <v>45078</v>
      </c>
      <c r="D7802" s="1">
        <v>45082</v>
      </c>
      <c r="E7802">
        <v>1</v>
      </c>
      <c r="F7802" t="str">
        <f>"05-D01-08"</f>
        <v>05-D01-08</v>
      </c>
      <c r="G7802">
        <v>0.43159999999999998</v>
      </c>
      <c r="H7802" t="s">
        <v>11</v>
      </c>
      <c r="I7802" t="s">
        <v>10</v>
      </c>
    </row>
    <row r="7803" spans="1:9" x14ac:dyDescent="0.25">
      <c r="A7803" t="str">
        <f t="shared" si="190"/>
        <v>89301000</v>
      </c>
      <c r="B7803" t="str">
        <f>"5706141991"</f>
        <v>5706141991</v>
      </c>
      <c r="C7803" s="1">
        <v>45258</v>
      </c>
      <c r="D7803" s="1">
        <v>45259</v>
      </c>
      <c r="E7803">
        <v>1</v>
      </c>
      <c r="F7803" t="str">
        <f>"05-M06-08"</f>
        <v>05-M06-08</v>
      </c>
      <c r="G7803">
        <v>1.4228000000000001</v>
      </c>
      <c r="H7803" t="s">
        <v>12</v>
      </c>
      <c r="I7803" t="s">
        <v>10</v>
      </c>
    </row>
    <row r="7804" spans="1:9" x14ac:dyDescent="0.25">
      <c r="A7804" t="str">
        <f t="shared" si="190"/>
        <v>89301000</v>
      </c>
      <c r="B7804" t="str">
        <f>"5706161142"</f>
        <v>5706161142</v>
      </c>
      <c r="C7804" s="1">
        <v>45198</v>
      </c>
      <c r="D7804" s="1">
        <v>45204</v>
      </c>
      <c r="E7804">
        <v>5</v>
      </c>
      <c r="F7804" t="str">
        <f>"10-K02-02"</f>
        <v>10-K02-02</v>
      </c>
      <c r="G7804">
        <v>0.65059999999999996</v>
      </c>
      <c r="H7804" t="s">
        <v>11</v>
      </c>
      <c r="I7804" t="s">
        <v>10</v>
      </c>
    </row>
    <row r="7805" spans="1:9" x14ac:dyDescent="0.25">
      <c r="A7805" t="str">
        <f t="shared" si="190"/>
        <v>89301000</v>
      </c>
      <c r="B7805" t="str">
        <f>"5706181789"</f>
        <v>5706181789</v>
      </c>
      <c r="C7805" s="1">
        <v>44979</v>
      </c>
      <c r="D7805" s="1">
        <v>44982</v>
      </c>
      <c r="E7805">
        <v>1</v>
      </c>
      <c r="F7805" t="str">
        <f>"10-K06-00"</f>
        <v>10-K06-00</v>
      </c>
      <c r="G7805">
        <v>0.4965</v>
      </c>
      <c r="H7805" t="s">
        <v>11</v>
      </c>
      <c r="I7805" t="s">
        <v>10</v>
      </c>
    </row>
    <row r="7806" spans="1:9" x14ac:dyDescent="0.25">
      <c r="A7806" t="str">
        <f t="shared" si="190"/>
        <v>89301000</v>
      </c>
      <c r="B7806" t="str">
        <f>"5706181789"</f>
        <v>5706181789</v>
      </c>
      <c r="C7806" s="1">
        <v>45077</v>
      </c>
      <c r="D7806" s="1">
        <v>45080</v>
      </c>
      <c r="E7806">
        <v>1</v>
      </c>
      <c r="F7806" t="str">
        <f>"17-I09-02"</f>
        <v>17-I09-02</v>
      </c>
      <c r="G7806">
        <v>1.0861000000000001</v>
      </c>
      <c r="H7806" t="s">
        <v>11</v>
      </c>
      <c r="I7806" t="s">
        <v>10</v>
      </c>
    </row>
    <row r="7807" spans="1:9" x14ac:dyDescent="0.25">
      <c r="A7807" t="str">
        <f t="shared" si="190"/>
        <v>89301000</v>
      </c>
      <c r="B7807" t="str">
        <f>"5706181789"</f>
        <v>5706181789</v>
      </c>
      <c r="C7807" s="1">
        <v>44985</v>
      </c>
      <c r="D7807" s="1">
        <v>44992</v>
      </c>
      <c r="E7807">
        <v>1</v>
      </c>
      <c r="F7807" t="str">
        <f>"10-R02-01"</f>
        <v>10-R02-01</v>
      </c>
      <c r="G7807">
        <v>0.92279999999999995</v>
      </c>
      <c r="H7807" t="s">
        <v>9</v>
      </c>
      <c r="I7807" t="s">
        <v>10</v>
      </c>
    </row>
    <row r="7808" spans="1:9" x14ac:dyDescent="0.25">
      <c r="A7808" t="str">
        <f t="shared" si="190"/>
        <v>89301000</v>
      </c>
      <c r="B7808" t="str">
        <f>"5706190380"</f>
        <v>5706190380</v>
      </c>
      <c r="C7808" s="1">
        <v>45048</v>
      </c>
      <c r="D7808" s="1">
        <v>45050</v>
      </c>
      <c r="E7808">
        <v>1</v>
      </c>
      <c r="F7808" t="str">
        <f>"05-M05-02"</f>
        <v>05-M05-02</v>
      </c>
      <c r="G7808">
        <v>3.4817999999999998</v>
      </c>
      <c r="H7808" t="s">
        <v>14</v>
      </c>
      <c r="I7808" t="s">
        <v>10</v>
      </c>
    </row>
    <row r="7809" spans="1:9" x14ac:dyDescent="0.25">
      <c r="A7809" t="str">
        <f t="shared" si="190"/>
        <v>89301000</v>
      </c>
      <c r="B7809" t="str">
        <f>"5706211467"</f>
        <v>5706211467</v>
      </c>
      <c r="C7809" s="1">
        <v>45089</v>
      </c>
      <c r="D7809" s="1">
        <v>45091</v>
      </c>
      <c r="E7809">
        <v>1</v>
      </c>
      <c r="F7809" t="str">
        <f>"05-I30-02"</f>
        <v>05-I30-02</v>
      </c>
      <c r="G7809">
        <v>0.41699999999999998</v>
      </c>
      <c r="H7809" t="s">
        <v>12</v>
      </c>
      <c r="I7809" t="s">
        <v>10</v>
      </c>
    </row>
    <row r="7810" spans="1:9" x14ac:dyDescent="0.25">
      <c r="A7810" t="str">
        <f t="shared" si="190"/>
        <v>89301000</v>
      </c>
      <c r="B7810" t="str">
        <f>"5706221895"</f>
        <v>5706221895</v>
      </c>
      <c r="C7810" s="1">
        <v>45138</v>
      </c>
      <c r="D7810" s="1">
        <v>45139</v>
      </c>
      <c r="E7810">
        <v>1</v>
      </c>
      <c r="F7810" t="str">
        <f>"07-M02-02"</f>
        <v>07-M02-02</v>
      </c>
      <c r="G7810">
        <v>1.1806000000000001</v>
      </c>
      <c r="H7810" t="s">
        <v>12</v>
      </c>
      <c r="I7810" t="s">
        <v>10</v>
      </c>
    </row>
    <row r="7811" spans="1:9" x14ac:dyDescent="0.25">
      <c r="A7811" t="str">
        <f t="shared" si="190"/>
        <v>89301000</v>
      </c>
      <c r="B7811" t="str">
        <f>"5706221895"</f>
        <v>5706221895</v>
      </c>
      <c r="C7811" s="1">
        <v>45091</v>
      </c>
      <c r="D7811" s="1">
        <v>45096</v>
      </c>
      <c r="E7811">
        <v>1</v>
      </c>
      <c r="F7811" t="str">
        <f>"06-K20-02"</f>
        <v>06-K20-02</v>
      </c>
      <c r="G7811">
        <v>0.73929999999999996</v>
      </c>
      <c r="H7811" t="s">
        <v>11</v>
      </c>
      <c r="I7811" t="s">
        <v>10</v>
      </c>
    </row>
    <row r="7812" spans="1:9" x14ac:dyDescent="0.25">
      <c r="A7812" t="str">
        <f t="shared" si="190"/>
        <v>89301000</v>
      </c>
      <c r="B7812" t="str">
        <f>"5706262155"</f>
        <v>5706262155</v>
      </c>
      <c r="C7812" s="1">
        <v>45069</v>
      </c>
      <c r="D7812" s="1">
        <v>45072</v>
      </c>
      <c r="E7812">
        <v>1</v>
      </c>
      <c r="F7812" t="str">
        <f>"11-M03-02"</f>
        <v>11-M03-02</v>
      </c>
      <c r="G7812">
        <v>1.4410000000000001</v>
      </c>
      <c r="H7812" t="s">
        <v>12</v>
      </c>
      <c r="I7812" t="s">
        <v>10</v>
      </c>
    </row>
    <row r="7813" spans="1:9" x14ac:dyDescent="0.25">
      <c r="A7813" t="str">
        <f t="shared" si="190"/>
        <v>89301000</v>
      </c>
      <c r="B7813" t="str">
        <f>"5706291162"</f>
        <v>5706291162</v>
      </c>
      <c r="C7813" s="1">
        <v>45138</v>
      </c>
      <c r="D7813" s="1">
        <v>45142</v>
      </c>
      <c r="E7813">
        <v>1</v>
      </c>
      <c r="F7813" t="str">
        <f>"17-K07-02"</f>
        <v>17-K07-02</v>
      </c>
      <c r="G7813">
        <v>0.90310000000000001</v>
      </c>
      <c r="H7813" t="s">
        <v>11</v>
      </c>
      <c r="I7813" t="s">
        <v>10</v>
      </c>
    </row>
    <row r="7814" spans="1:9" x14ac:dyDescent="0.25">
      <c r="A7814" t="str">
        <f t="shared" si="190"/>
        <v>89301000</v>
      </c>
      <c r="B7814" t="str">
        <f>"5706291459"</f>
        <v>5706291459</v>
      </c>
      <c r="C7814" s="1">
        <v>44936</v>
      </c>
      <c r="D7814" s="1">
        <v>44949</v>
      </c>
      <c r="E7814">
        <v>1</v>
      </c>
      <c r="F7814" t="str">
        <f>"06-I04-03"</f>
        <v>06-I04-03</v>
      </c>
      <c r="G7814">
        <v>4.1456999999999997</v>
      </c>
      <c r="H7814" t="s">
        <v>12</v>
      </c>
      <c r="I7814" t="s">
        <v>10</v>
      </c>
    </row>
    <row r="7815" spans="1:9" x14ac:dyDescent="0.25">
      <c r="A7815" t="str">
        <f t="shared" si="190"/>
        <v>89301000</v>
      </c>
      <c r="B7815" t="str">
        <f>"5707031693"</f>
        <v>5707031693</v>
      </c>
      <c r="C7815" s="1">
        <v>45189</v>
      </c>
      <c r="D7815" s="1">
        <v>45191</v>
      </c>
      <c r="E7815">
        <v>1</v>
      </c>
      <c r="F7815" t="str">
        <f>"06-C02-03"</f>
        <v>06-C02-03</v>
      </c>
      <c r="G7815">
        <v>0.32650000000000001</v>
      </c>
      <c r="H7815" t="s">
        <v>11</v>
      </c>
      <c r="I7815" t="s">
        <v>10</v>
      </c>
    </row>
    <row r="7816" spans="1:9" x14ac:dyDescent="0.25">
      <c r="A7816" t="str">
        <f t="shared" si="190"/>
        <v>89301000</v>
      </c>
      <c r="B7816" t="str">
        <f>"5707031693"</f>
        <v>5707031693</v>
      </c>
      <c r="C7816" s="1">
        <v>45143</v>
      </c>
      <c r="D7816" s="1">
        <v>45160</v>
      </c>
      <c r="E7816">
        <v>1</v>
      </c>
      <c r="F7816" t="str">
        <f>"06-I07-03"</f>
        <v>06-I07-03</v>
      </c>
      <c r="G7816">
        <v>5.3734999999999999</v>
      </c>
      <c r="H7816" t="s">
        <v>12</v>
      </c>
      <c r="I7816" t="s">
        <v>10</v>
      </c>
    </row>
    <row r="7817" spans="1:9" x14ac:dyDescent="0.25">
      <c r="A7817" t="str">
        <f t="shared" si="190"/>
        <v>89301000</v>
      </c>
      <c r="B7817" t="str">
        <f>"5707070622"</f>
        <v>5707070622</v>
      </c>
      <c r="C7817" s="1">
        <v>45230</v>
      </c>
      <c r="D7817" s="1">
        <v>45236</v>
      </c>
      <c r="E7817">
        <v>1</v>
      </c>
      <c r="F7817" t="str">
        <f>"04-I02-03"</f>
        <v>04-I02-03</v>
      </c>
      <c r="G7817">
        <v>3.6791</v>
      </c>
      <c r="H7817" t="s">
        <v>14</v>
      </c>
      <c r="I7817" t="s">
        <v>10</v>
      </c>
    </row>
    <row r="7818" spans="1:9" x14ac:dyDescent="0.25">
      <c r="A7818" t="str">
        <f t="shared" si="190"/>
        <v>89301000</v>
      </c>
      <c r="B7818" t="str">
        <f>"5707070622"</f>
        <v>5707070622</v>
      </c>
      <c r="C7818" s="1">
        <v>45076</v>
      </c>
      <c r="D7818" s="1">
        <v>45082</v>
      </c>
      <c r="E7818">
        <v>1</v>
      </c>
      <c r="F7818" t="str">
        <f>"12-I03-01"</f>
        <v>12-I03-01</v>
      </c>
      <c r="G7818">
        <v>2.6934999999999998</v>
      </c>
      <c r="H7818" t="s">
        <v>9</v>
      </c>
      <c r="I7818" t="s">
        <v>10</v>
      </c>
    </row>
    <row r="7819" spans="1:9" x14ac:dyDescent="0.25">
      <c r="A7819" t="str">
        <f t="shared" si="190"/>
        <v>89301000</v>
      </c>
      <c r="B7819" t="str">
        <f>"5707082139"</f>
        <v>5707082139</v>
      </c>
      <c r="C7819" s="1">
        <v>45243</v>
      </c>
      <c r="D7819" s="1">
        <v>45244</v>
      </c>
      <c r="E7819">
        <v>6</v>
      </c>
      <c r="F7819" t="str">
        <f>"01-K06-00"</f>
        <v>01-K06-00</v>
      </c>
      <c r="G7819">
        <v>0.1535</v>
      </c>
      <c r="H7819" t="s">
        <v>11</v>
      </c>
      <c r="I7819" t="s">
        <v>10</v>
      </c>
    </row>
    <row r="7820" spans="1:9" x14ac:dyDescent="0.25">
      <c r="A7820" t="str">
        <f t="shared" si="190"/>
        <v>89301000</v>
      </c>
      <c r="B7820" t="str">
        <f>"5707130770"</f>
        <v>5707130770</v>
      </c>
      <c r="C7820" s="1">
        <v>44945</v>
      </c>
      <c r="D7820" s="1">
        <v>44946</v>
      </c>
      <c r="E7820">
        <v>1</v>
      </c>
      <c r="F7820" t="str">
        <f>"05-I25-03"</f>
        <v>05-I25-03</v>
      </c>
      <c r="G7820">
        <v>1.633</v>
      </c>
      <c r="H7820" t="s">
        <v>12</v>
      </c>
      <c r="I7820" t="s">
        <v>10</v>
      </c>
    </row>
    <row r="7821" spans="1:9" x14ac:dyDescent="0.25">
      <c r="A7821" t="str">
        <f t="shared" si="190"/>
        <v>89301000</v>
      </c>
      <c r="B7821" t="str">
        <f>"5707161427"</f>
        <v>5707161427</v>
      </c>
      <c r="C7821" s="1">
        <v>45223</v>
      </c>
      <c r="D7821" s="1">
        <v>45225</v>
      </c>
      <c r="E7821">
        <v>1</v>
      </c>
      <c r="F7821" t="str">
        <f>"17-C05-04"</f>
        <v>17-C05-04</v>
      </c>
      <c r="G7821">
        <v>1.2394000000000001</v>
      </c>
      <c r="H7821" t="s">
        <v>11</v>
      </c>
      <c r="I7821" t="s">
        <v>10</v>
      </c>
    </row>
    <row r="7822" spans="1:9" x14ac:dyDescent="0.25">
      <c r="A7822" t="str">
        <f t="shared" si="190"/>
        <v>89301000</v>
      </c>
      <c r="B7822" t="str">
        <f>"5707161427"</f>
        <v>5707161427</v>
      </c>
      <c r="C7822" s="1">
        <v>45177</v>
      </c>
      <c r="D7822" s="1">
        <v>45212</v>
      </c>
      <c r="E7822">
        <v>1</v>
      </c>
      <c r="F7822" t="str">
        <f>"17-I09-01"</f>
        <v>17-I09-01</v>
      </c>
      <c r="G7822">
        <v>4.3387000000000002</v>
      </c>
      <c r="H7822" t="s">
        <v>11</v>
      </c>
      <c r="I7822" t="s">
        <v>10</v>
      </c>
    </row>
    <row r="7823" spans="1:9" x14ac:dyDescent="0.25">
      <c r="A7823" t="str">
        <f t="shared" si="190"/>
        <v>89301000</v>
      </c>
      <c r="B7823" t="str">
        <f>"5707161427"</f>
        <v>5707161427</v>
      </c>
      <c r="C7823" s="1">
        <v>45141</v>
      </c>
      <c r="D7823" s="1">
        <v>45152</v>
      </c>
      <c r="E7823">
        <v>1</v>
      </c>
      <c r="F7823" t="str">
        <f>"16-K01-01"</f>
        <v>16-K01-01</v>
      </c>
      <c r="G7823">
        <v>0.83150000000000002</v>
      </c>
      <c r="H7823" t="s">
        <v>11</v>
      </c>
      <c r="I7823" t="s">
        <v>10</v>
      </c>
    </row>
    <row r="7824" spans="1:9" x14ac:dyDescent="0.25">
      <c r="A7824" t="str">
        <f t="shared" si="190"/>
        <v>89301000</v>
      </c>
      <c r="B7824" t="str">
        <f>"5707161427"</f>
        <v>5707161427</v>
      </c>
      <c r="C7824" s="1">
        <v>45169</v>
      </c>
      <c r="D7824" s="1">
        <v>45171</v>
      </c>
      <c r="E7824">
        <v>1</v>
      </c>
      <c r="F7824" t="str">
        <f>"16-K01-02"</f>
        <v>16-K01-02</v>
      </c>
      <c r="G7824">
        <v>0.47449999999999998</v>
      </c>
      <c r="H7824" t="s">
        <v>11</v>
      </c>
      <c r="I7824" t="s">
        <v>10</v>
      </c>
    </row>
    <row r="7825" spans="1:9" x14ac:dyDescent="0.25">
      <c r="A7825" t="str">
        <f t="shared" si="190"/>
        <v>89301000</v>
      </c>
      <c r="B7825" t="str">
        <f>"5707271350"</f>
        <v>5707271350</v>
      </c>
      <c r="C7825" s="1">
        <v>45021</v>
      </c>
      <c r="D7825" s="1">
        <v>45024</v>
      </c>
      <c r="E7825">
        <v>1</v>
      </c>
      <c r="F7825" t="str">
        <f>"08-I23-02"</f>
        <v>08-I23-02</v>
      </c>
      <c r="G7825">
        <v>0.91059999999999997</v>
      </c>
      <c r="H7825" t="s">
        <v>12</v>
      </c>
      <c r="I7825" t="s">
        <v>10</v>
      </c>
    </row>
    <row r="7826" spans="1:9" x14ac:dyDescent="0.25">
      <c r="A7826" t="str">
        <f t="shared" si="190"/>
        <v>89301000</v>
      </c>
      <c r="B7826" t="str">
        <f>"5707290952"</f>
        <v>5707290952</v>
      </c>
      <c r="C7826" s="1">
        <v>45222</v>
      </c>
      <c r="D7826" s="1">
        <v>45226</v>
      </c>
      <c r="E7826">
        <v>1</v>
      </c>
      <c r="F7826" t="str">
        <f>"08-I06-05"</f>
        <v>08-I06-05</v>
      </c>
      <c r="G7826">
        <v>2.1507000000000001</v>
      </c>
      <c r="H7826" t="s">
        <v>9</v>
      </c>
      <c r="I7826" t="s">
        <v>10</v>
      </c>
    </row>
    <row r="7827" spans="1:9" x14ac:dyDescent="0.25">
      <c r="A7827" t="str">
        <f t="shared" si="190"/>
        <v>89301000</v>
      </c>
      <c r="B7827" t="str">
        <f>"5707311258"</f>
        <v>5707311258</v>
      </c>
      <c r="C7827" s="1">
        <v>44937</v>
      </c>
      <c r="D7827" s="1">
        <v>44944</v>
      </c>
      <c r="E7827">
        <v>1</v>
      </c>
      <c r="F7827" t="str">
        <f>"06-M01-02"</f>
        <v>06-M01-02</v>
      </c>
      <c r="G7827">
        <v>1.3918999999999999</v>
      </c>
      <c r="H7827" t="s">
        <v>11</v>
      </c>
      <c r="I7827" t="s">
        <v>10</v>
      </c>
    </row>
    <row r="7828" spans="1:9" x14ac:dyDescent="0.25">
      <c r="A7828" t="str">
        <f t="shared" si="190"/>
        <v>89301000</v>
      </c>
      <c r="B7828" t="str">
        <f>"5708020593"</f>
        <v>5708020593</v>
      </c>
      <c r="C7828" s="1">
        <v>45200</v>
      </c>
      <c r="D7828" s="1">
        <v>45204</v>
      </c>
      <c r="E7828">
        <v>1</v>
      </c>
      <c r="F7828" t="str">
        <f>"06-I18-04"</f>
        <v>06-I18-04</v>
      </c>
      <c r="G7828">
        <v>1.1088</v>
      </c>
      <c r="H7828" t="s">
        <v>9</v>
      </c>
      <c r="I7828" t="s">
        <v>10</v>
      </c>
    </row>
    <row r="7829" spans="1:9" x14ac:dyDescent="0.25">
      <c r="A7829" t="str">
        <f t="shared" si="190"/>
        <v>89301000</v>
      </c>
      <c r="B7829" t="str">
        <f>"5708061942"</f>
        <v>5708061942</v>
      </c>
      <c r="C7829" s="1">
        <v>44956</v>
      </c>
      <c r="D7829" s="1">
        <v>44960</v>
      </c>
      <c r="E7829">
        <v>1</v>
      </c>
      <c r="F7829" t="str">
        <f>"01-C02-02"</f>
        <v>01-C02-02</v>
      </c>
      <c r="G7829">
        <v>1.6685000000000001</v>
      </c>
      <c r="H7829" t="s">
        <v>11</v>
      </c>
      <c r="I7829" t="s">
        <v>10</v>
      </c>
    </row>
    <row r="7830" spans="1:9" x14ac:dyDescent="0.25">
      <c r="A7830" t="str">
        <f t="shared" si="190"/>
        <v>89301000</v>
      </c>
      <c r="B7830" t="str">
        <f>"5708181281"</f>
        <v>5708181281</v>
      </c>
      <c r="C7830" s="1">
        <v>44964</v>
      </c>
      <c r="D7830" s="1">
        <v>44965</v>
      </c>
      <c r="E7830">
        <v>1</v>
      </c>
      <c r="F7830" t="str">
        <f>"02-I06-04"</f>
        <v>02-I06-04</v>
      </c>
      <c r="G7830">
        <v>0.79630000000000001</v>
      </c>
      <c r="H7830" t="s">
        <v>12</v>
      </c>
      <c r="I7830" t="s">
        <v>10</v>
      </c>
    </row>
    <row r="7831" spans="1:9" x14ac:dyDescent="0.25">
      <c r="A7831" t="str">
        <f t="shared" si="190"/>
        <v>89301000</v>
      </c>
      <c r="B7831" t="str">
        <f>"5708181281"</f>
        <v>5708181281</v>
      </c>
      <c r="C7831" s="1">
        <v>45189</v>
      </c>
      <c r="D7831" s="1">
        <v>45190</v>
      </c>
      <c r="E7831">
        <v>1</v>
      </c>
      <c r="F7831" t="str">
        <f>"02-I06-04"</f>
        <v>02-I06-04</v>
      </c>
      <c r="G7831">
        <v>0.79630000000000001</v>
      </c>
      <c r="H7831" t="s">
        <v>12</v>
      </c>
      <c r="I7831" t="s">
        <v>10</v>
      </c>
    </row>
    <row r="7832" spans="1:9" x14ac:dyDescent="0.25">
      <c r="A7832" t="str">
        <f t="shared" si="190"/>
        <v>89301000</v>
      </c>
      <c r="B7832" t="str">
        <f>"5708251538"</f>
        <v>5708251538</v>
      </c>
      <c r="C7832" s="1">
        <v>45099</v>
      </c>
      <c r="D7832" s="1">
        <v>45103</v>
      </c>
      <c r="E7832">
        <v>1</v>
      </c>
      <c r="F7832" t="str">
        <f>"10-K04-04"</f>
        <v>10-K04-04</v>
      </c>
      <c r="G7832">
        <v>0.53949999999999998</v>
      </c>
      <c r="H7832" t="s">
        <v>11</v>
      </c>
      <c r="I7832" t="s">
        <v>10</v>
      </c>
    </row>
    <row r="7833" spans="1:9" x14ac:dyDescent="0.25">
      <c r="A7833" t="str">
        <f t="shared" si="190"/>
        <v>89301000</v>
      </c>
      <c r="B7833" t="str">
        <f>"5708310795"</f>
        <v>5708310795</v>
      </c>
      <c r="C7833" s="1">
        <v>45161</v>
      </c>
      <c r="D7833" s="1">
        <v>45161</v>
      </c>
      <c r="E7833">
        <v>1</v>
      </c>
      <c r="F7833" t="str">
        <f>"05-D01-08"</f>
        <v>05-D01-08</v>
      </c>
      <c r="G7833">
        <v>0.2303</v>
      </c>
      <c r="H7833" t="s">
        <v>11</v>
      </c>
      <c r="I7833" t="s">
        <v>10</v>
      </c>
    </row>
    <row r="7834" spans="1:9" x14ac:dyDescent="0.25">
      <c r="A7834" t="str">
        <f t="shared" si="190"/>
        <v>89301000</v>
      </c>
      <c r="B7834" t="str">
        <f>"5709110627"</f>
        <v>5709110627</v>
      </c>
      <c r="C7834" s="1">
        <v>45239</v>
      </c>
      <c r="D7834" s="1">
        <v>45254</v>
      </c>
      <c r="E7834">
        <v>1</v>
      </c>
      <c r="F7834" t="str">
        <f>"24-M07-01"</f>
        <v>24-M07-01</v>
      </c>
      <c r="G7834">
        <v>1.7831999999999999</v>
      </c>
      <c r="H7834" t="s">
        <v>11</v>
      </c>
      <c r="I7834" t="s">
        <v>10</v>
      </c>
    </row>
    <row r="7835" spans="1:9" x14ac:dyDescent="0.25">
      <c r="A7835" t="str">
        <f t="shared" si="190"/>
        <v>89301000</v>
      </c>
      <c r="B7835" t="str">
        <f>"5709110627"</f>
        <v>5709110627</v>
      </c>
      <c r="C7835" s="1">
        <v>45231</v>
      </c>
      <c r="D7835" s="1">
        <v>45239</v>
      </c>
      <c r="E7835">
        <v>3</v>
      </c>
      <c r="F7835" t="str">
        <f>"01-C02-01"</f>
        <v>01-C02-01</v>
      </c>
      <c r="G7835">
        <v>2.5163000000000002</v>
      </c>
      <c r="H7835" t="s">
        <v>11</v>
      </c>
      <c r="I7835" t="s">
        <v>10</v>
      </c>
    </row>
    <row r="7836" spans="1:9" x14ac:dyDescent="0.25">
      <c r="A7836" t="str">
        <f t="shared" si="190"/>
        <v>89301000</v>
      </c>
      <c r="B7836" t="str">
        <f>"5709110627"</f>
        <v>5709110627</v>
      </c>
      <c r="C7836" s="1">
        <v>45189</v>
      </c>
      <c r="D7836" s="1">
        <v>45189</v>
      </c>
      <c r="E7836">
        <v>1</v>
      </c>
      <c r="F7836" t="str">
        <f>"05-I25-03"</f>
        <v>05-I25-03</v>
      </c>
      <c r="G7836">
        <v>1.3169</v>
      </c>
      <c r="H7836" t="s">
        <v>12</v>
      </c>
      <c r="I7836" t="s">
        <v>10</v>
      </c>
    </row>
    <row r="7837" spans="1:9" x14ac:dyDescent="0.25">
      <c r="A7837" t="str">
        <f t="shared" si="190"/>
        <v>89301000</v>
      </c>
      <c r="B7837" t="str">
        <f>"5709130548"</f>
        <v>5709130548</v>
      </c>
      <c r="C7837" s="1">
        <v>45196</v>
      </c>
      <c r="D7837" s="1">
        <v>45199</v>
      </c>
      <c r="E7837">
        <v>1</v>
      </c>
      <c r="F7837" t="str">
        <f>"08-I16-03"</f>
        <v>08-I16-03</v>
      </c>
      <c r="G7837">
        <v>1.3762000000000001</v>
      </c>
      <c r="H7837" t="s">
        <v>12</v>
      </c>
      <c r="I7837" t="s">
        <v>10</v>
      </c>
    </row>
    <row r="7838" spans="1:9" x14ac:dyDescent="0.25">
      <c r="A7838" t="str">
        <f t="shared" si="190"/>
        <v>89301000</v>
      </c>
      <c r="B7838" t="str">
        <f>"5709201861"</f>
        <v>5709201861</v>
      </c>
      <c r="C7838" s="1">
        <v>45049</v>
      </c>
      <c r="D7838" s="1">
        <v>45058</v>
      </c>
      <c r="E7838">
        <v>1</v>
      </c>
      <c r="F7838" t="str">
        <f>"08-I17-02"</f>
        <v>08-I17-02</v>
      </c>
      <c r="G7838">
        <v>1.3260000000000001</v>
      </c>
      <c r="H7838" t="s">
        <v>11</v>
      </c>
      <c r="I7838" t="s">
        <v>10</v>
      </c>
    </row>
    <row r="7839" spans="1:9" x14ac:dyDescent="0.25">
      <c r="A7839" t="str">
        <f t="shared" si="190"/>
        <v>89301000</v>
      </c>
      <c r="B7839" t="str">
        <f>"5709241142"</f>
        <v>5709241142</v>
      </c>
      <c r="C7839" s="1">
        <v>45148</v>
      </c>
      <c r="D7839" s="1">
        <v>45156</v>
      </c>
      <c r="E7839">
        <v>1</v>
      </c>
      <c r="F7839" t="str">
        <f>"05-I27-02"</f>
        <v>05-I27-02</v>
      </c>
      <c r="G7839">
        <v>1.0730999999999999</v>
      </c>
      <c r="H7839" t="s">
        <v>11</v>
      </c>
      <c r="I7839" t="s">
        <v>10</v>
      </c>
    </row>
    <row r="7840" spans="1:9" x14ac:dyDescent="0.25">
      <c r="A7840" t="str">
        <f t="shared" si="190"/>
        <v>89301000</v>
      </c>
      <c r="B7840" t="str">
        <f>"5709241142"</f>
        <v>5709241142</v>
      </c>
      <c r="C7840" s="1">
        <v>45159</v>
      </c>
      <c r="D7840" s="1">
        <v>45162</v>
      </c>
      <c r="E7840">
        <v>1</v>
      </c>
      <c r="F7840" t="str">
        <f>"05-M07-06"</f>
        <v>05-M07-06</v>
      </c>
      <c r="G7840">
        <v>1.2264999999999999</v>
      </c>
      <c r="H7840" t="s">
        <v>12</v>
      </c>
      <c r="I7840" t="s">
        <v>10</v>
      </c>
    </row>
    <row r="7841" spans="1:9" x14ac:dyDescent="0.25">
      <c r="A7841" t="str">
        <f t="shared" si="190"/>
        <v>89301000</v>
      </c>
      <c r="B7841" t="str">
        <f>"5709271447"</f>
        <v>5709271447</v>
      </c>
      <c r="C7841" s="1">
        <v>45000</v>
      </c>
      <c r="D7841" s="1">
        <v>45005</v>
      </c>
      <c r="E7841">
        <v>1</v>
      </c>
      <c r="F7841" t="str">
        <f>"05-M06-06"</f>
        <v>05-M06-06</v>
      </c>
      <c r="G7841">
        <v>1.8264</v>
      </c>
      <c r="H7841" t="s">
        <v>12</v>
      </c>
      <c r="I7841" t="s">
        <v>10</v>
      </c>
    </row>
    <row r="7842" spans="1:9" x14ac:dyDescent="0.25">
      <c r="A7842" t="str">
        <f t="shared" si="190"/>
        <v>89301000</v>
      </c>
      <c r="B7842" t="str">
        <f>"5709280940"</f>
        <v>5709280940</v>
      </c>
      <c r="C7842" s="1">
        <v>45063</v>
      </c>
      <c r="D7842" s="1">
        <v>45064</v>
      </c>
      <c r="E7842">
        <v>1</v>
      </c>
      <c r="F7842" t="str">
        <f>"02-I13-02"</f>
        <v>02-I13-02</v>
      </c>
      <c r="G7842">
        <v>0.4259</v>
      </c>
      <c r="H7842" t="s">
        <v>11</v>
      </c>
      <c r="I7842" t="s">
        <v>10</v>
      </c>
    </row>
    <row r="7843" spans="1:9" x14ac:dyDescent="0.25">
      <c r="A7843" t="str">
        <f t="shared" si="190"/>
        <v>89301000</v>
      </c>
      <c r="B7843" t="str">
        <f>"5709290961"</f>
        <v>5709290961</v>
      </c>
      <c r="C7843" s="1">
        <v>45271</v>
      </c>
      <c r="D7843" s="1">
        <v>45276</v>
      </c>
      <c r="E7843">
        <v>1</v>
      </c>
      <c r="F7843" t="str">
        <f>"01-I09-02"</f>
        <v>01-I09-02</v>
      </c>
      <c r="G7843">
        <v>1.5277000000000001</v>
      </c>
      <c r="H7843" t="s">
        <v>12</v>
      </c>
      <c r="I7843" t="s">
        <v>10</v>
      </c>
    </row>
    <row r="7844" spans="1:9" x14ac:dyDescent="0.25">
      <c r="A7844" t="str">
        <f t="shared" si="190"/>
        <v>89301000</v>
      </c>
      <c r="B7844" t="str">
        <f>"5709290983"</f>
        <v>5709290983</v>
      </c>
      <c r="C7844" s="1">
        <v>44960</v>
      </c>
      <c r="D7844" s="1">
        <v>44961</v>
      </c>
      <c r="E7844">
        <v>1</v>
      </c>
      <c r="F7844" t="str">
        <f>"06-M01-02"</f>
        <v>06-M01-02</v>
      </c>
      <c r="G7844">
        <v>1.2206999999999999</v>
      </c>
      <c r="H7844" t="s">
        <v>11</v>
      </c>
      <c r="I7844" t="s">
        <v>10</v>
      </c>
    </row>
    <row r="7845" spans="1:9" x14ac:dyDescent="0.25">
      <c r="A7845" t="str">
        <f t="shared" si="190"/>
        <v>89301000</v>
      </c>
      <c r="B7845" t="str">
        <f>"5710020536"</f>
        <v>5710020536</v>
      </c>
      <c r="C7845" s="1">
        <v>44963</v>
      </c>
      <c r="D7845" s="1">
        <v>44979</v>
      </c>
      <c r="E7845">
        <v>1</v>
      </c>
      <c r="F7845" t="str">
        <f>"12-R02-07"</f>
        <v>12-R02-07</v>
      </c>
      <c r="G7845">
        <v>1.6976</v>
      </c>
      <c r="H7845" t="s">
        <v>11</v>
      </c>
      <c r="I7845" t="s">
        <v>10</v>
      </c>
    </row>
    <row r="7846" spans="1:9" x14ac:dyDescent="0.25">
      <c r="A7846" t="str">
        <f t="shared" si="190"/>
        <v>89301000</v>
      </c>
      <c r="B7846" t="str">
        <f>"5710020536"</f>
        <v>5710020536</v>
      </c>
      <c r="C7846" s="1">
        <v>45009</v>
      </c>
      <c r="D7846" s="1">
        <v>45012</v>
      </c>
      <c r="E7846">
        <v>1</v>
      </c>
      <c r="F7846" t="str">
        <f>"12-K05-01"</f>
        <v>12-K05-01</v>
      </c>
      <c r="G7846">
        <v>1.5271999999999999</v>
      </c>
      <c r="H7846" t="s">
        <v>11</v>
      </c>
      <c r="I7846" t="s">
        <v>10</v>
      </c>
    </row>
    <row r="7847" spans="1:9" x14ac:dyDescent="0.25">
      <c r="A7847" t="str">
        <f t="shared" si="190"/>
        <v>89301000</v>
      </c>
      <c r="B7847" t="str">
        <f>"5710020536"</f>
        <v>5710020536</v>
      </c>
      <c r="C7847" s="1">
        <v>45041</v>
      </c>
      <c r="D7847" s="1">
        <v>45044</v>
      </c>
      <c r="E7847">
        <v>1</v>
      </c>
      <c r="F7847" t="str">
        <f>"12-K05-02"</f>
        <v>12-K05-02</v>
      </c>
      <c r="G7847">
        <v>0.48549999999999999</v>
      </c>
      <c r="H7847" t="s">
        <v>11</v>
      </c>
      <c r="I7847" t="s">
        <v>10</v>
      </c>
    </row>
    <row r="7848" spans="1:9" x14ac:dyDescent="0.25">
      <c r="A7848" t="str">
        <f t="shared" si="190"/>
        <v>89301000</v>
      </c>
      <c r="B7848" t="str">
        <f>"5710051116"</f>
        <v>5710051116</v>
      </c>
      <c r="C7848" s="1">
        <v>44981</v>
      </c>
      <c r="D7848" s="1">
        <v>44987</v>
      </c>
      <c r="E7848">
        <v>1</v>
      </c>
      <c r="F7848" t="str">
        <f>"11-I17-03"</f>
        <v>11-I17-03</v>
      </c>
      <c r="G7848">
        <v>0.50139999999999996</v>
      </c>
      <c r="H7848" t="s">
        <v>11</v>
      </c>
      <c r="I7848" t="s">
        <v>10</v>
      </c>
    </row>
    <row r="7849" spans="1:9" x14ac:dyDescent="0.25">
      <c r="A7849" t="str">
        <f t="shared" si="190"/>
        <v>89301000</v>
      </c>
      <c r="B7849" t="str">
        <f>"5710071367"</f>
        <v>5710071367</v>
      </c>
      <c r="C7849" s="1">
        <v>45043</v>
      </c>
      <c r="D7849" s="1">
        <v>45045</v>
      </c>
      <c r="E7849">
        <v>1</v>
      </c>
      <c r="F7849" t="str">
        <f>"05-I14-04"</f>
        <v>05-I14-04</v>
      </c>
      <c r="G7849">
        <v>5.2220000000000004</v>
      </c>
      <c r="H7849" t="s">
        <v>12</v>
      </c>
      <c r="I7849" t="s">
        <v>10</v>
      </c>
    </row>
    <row r="7850" spans="1:9" x14ac:dyDescent="0.25">
      <c r="A7850" t="str">
        <f t="shared" si="190"/>
        <v>89301000</v>
      </c>
      <c r="B7850" t="str">
        <f>"5710081113"</f>
        <v>5710081113</v>
      </c>
      <c r="C7850" s="1">
        <v>45204</v>
      </c>
      <c r="D7850" s="1">
        <v>45209</v>
      </c>
      <c r="E7850">
        <v>1</v>
      </c>
      <c r="F7850" t="str">
        <f>"01-K10-03"</f>
        <v>01-K10-03</v>
      </c>
      <c r="G7850">
        <v>1.0348999999999999</v>
      </c>
      <c r="H7850" t="s">
        <v>11</v>
      </c>
      <c r="I7850" t="s">
        <v>10</v>
      </c>
    </row>
    <row r="7851" spans="1:9" x14ac:dyDescent="0.25">
      <c r="A7851" t="str">
        <f t="shared" si="190"/>
        <v>89301000</v>
      </c>
      <c r="B7851" t="str">
        <f>"5710101012"</f>
        <v>5710101012</v>
      </c>
      <c r="C7851" s="1">
        <v>45064</v>
      </c>
      <c r="D7851" s="1">
        <v>45068</v>
      </c>
      <c r="E7851">
        <v>4</v>
      </c>
      <c r="F7851" t="str">
        <f>"05-I29-03"</f>
        <v>05-I29-03</v>
      </c>
      <c r="G7851">
        <v>1.0323</v>
      </c>
      <c r="H7851" t="s">
        <v>12</v>
      </c>
      <c r="I7851" t="s">
        <v>10</v>
      </c>
    </row>
    <row r="7852" spans="1:9" x14ac:dyDescent="0.25">
      <c r="A7852" t="str">
        <f t="shared" si="190"/>
        <v>89301000</v>
      </c>
      <c r="B7852" t="str">
        <f>"5710101947"</f>
        <v>5710101947</v>
      </c>
      <c r="C7852" s="1">
        <v>45183</v>
      </c>
      <c r="D7852" s="1">
        <v>45188</v>
      </c>
      <c r="E7852">
        <v>1</v>
      </c>
      <c r="F7852" t="str">
        <f>"07-I11-02"</f>
        <v>07-I11-02</v>
      </c>
      <c r="G7852">
        <v>1.2623</v>
      </c>
      <c r="H7852" t="s">
        <v>11</v>
      </c>
      <c r="I7852" t="s">
        <v>10</v>
      </c>
    </row>
    <row r="7853" spans="1:9" x14ac:dyDescent="0.25">
      <c r="A7853" t="str">
        <f t="shared" si="190"/>
        <v>89301000</v>
      </c>
      <c r="B7853" t="str">
        <f>"5710191817"</f>
        <v>5710191817</v>
      </c>
      <c r="C7853" s="1">
        <v>45049</v>
      </c>
      <c r="D7853" s="1">
        <v>45050</v>
      </c>
      <c r="E7853">
        <v>1</v>
      </c>
      <c r="F7853" t="str">
        <f>"03-I24-00"</f>
        <v>03-I24-00</v>
      </c>
      <c r="G7853">
        <v>0.40670000000000001</v>
      </c>
      <c r="H7853" t="s">
        <v>11</v>
      </c>
      <c r="I7853" t="s">
        <v>10</v>
      </c>
    </row>
    <row r="7854" spans="1:9" x14ac:dyDescent="0.25">
      <c r="A7854" t="str">
        <f t="shared" si="190"/>
        <v>89301000</v>
      </c>
      <c r="B7854" t="str">
        <f>"5710250568"</f>
        <v>5710250568</v>
      </c>
      <c r="C7854" s="1">
        <v>45057</v>
      </c>
      <c r="D7854" s="1">
        <v>45057</v>
      </c>
      <c r="E7854">
        <v>1</v>
      </c>
      <c r="F7854" t="str">
        <f>"05-D01-08"</f>
        <v>05-D01-08</v>
      </c>
      <c r="G7854">
        <v>0.2303</v>
      </c>
      <c r="H7854" t="s">
        <v>11</v>
      </c>
      <c r="I7854" t="s">
        <v>10</v>
      </c>
    </row>
    <row r="7855" spans="1:9" x14ac:dyDescent="0.25">
      <c r="A7855" t="str">
        <f t="shared" si="190"/>
        <v>89301000</v>
      </c>
      <c r="B7855" t="str">
        <f>"5710291598"</f>
        <v>5710291598</v>
      </c>
      <c r="C7855" s="1">
        <v>44944</v>
      </c>
      <c r="D7855" s="1">
        <v>44945</v>
      </c>
      <c r="E7855">
        <v>1</v>
      </c>
      <c r="F7855" t="str">
        <f>"03-K09-01"</f>
        <v>03-K09-01</v>
      </c>
      <c r="G7855">
        <v>0.58250000000000002</v>
      </c>
      <c r="H7855" t="s">
        <v>11</v>
      </c>
      <c r="I7855" t="s">
        <v>10</v>
      </c>
    </row>
    <row r="7856" spans="1:9" x14ac:dyDescent="0.25">
      <c r="A7856" t="str">
        <f t="shared" si="190"/>
        <v>89301000</v>
      </c>
      <c r="B7856" t="str">
        <f>"5710291598"</f>
        <v>5710291598</v>
      </c>
      <c r="C7856" s="1">
        <v>45097</v>
      </c>
      <c r="D7856" s="1">
        <v>45098</v>
      </c>
      <c r="E7856">
        <v>1</v>
      </c>
      <c r="F7856" t="str">
        <f>"03-K09-01"</f>
        <v>03-K09-01</v>
      </c>
      <c r="G7856">
        <v>0.54100000000000004</v>
      </c>
      <c r="H7856" t="s">
        <v>11</v>
      </c>
      <c r="I7856" t="s">
        <v>10</v>
      </c>
    </row>
    <row r="7857" spans="1:9" x14ac:dyDescent="0.25">
      <c r="A7857" t="str">
        <f t="shared" si="190"/>
        <v>89301000</v>
      </c>
      <c r="B7857" t="str">
        <f>"5710291598"</f>
        <v>5710291598</v>
      </c>
      <c r="C7857" s="1">
        <v>45105</v>
      </c>
      <c r="D7857" s="1">
        <v>45114</v>
      </c>
      <c r="E7857">
        <v>1</v>
      </c>
      <c r="F7857" t="str">
        <f>"03-I03-02"</f>
        <v>03-I03-02</v>
      </c>
      <c r="G7857">
        <v>5.4272999999999998</v>
      </c>
      <c r="H7857" t="s">
        <v>14</v>
      </c>
      <c r="I7857" t="s">
        <v>10</v>
      </c>
    </row>
    <row r="7858" spans="1:9" x14ac:dyDescent="0.25">
      <c r="A7858" t="str">
        <f t="shared" si="190"/>
        <v>89301000</v>
      </c>
      <c r="B7858" t="str">
        <f>"5710291598"</f>
        <v>5710291598</v>
      </c>
      <c r="C7858" s="1">
        <v>45140</v>
      </c>
      <c r="D7858" s="1">
        <v>45142</v>
      </c>
      <c r="E7858">
        <v>1</v>
      </c>
      <c r="F7858" t="str">
        <f>"23-K05-02"</f>
        <v>23-K05-02</v>
      </c>
      <c r="G7858">
        <v>0.4274</v>
      </c>
      <c r="H7858" t="s">
        <v>11</v>
      </c>
      <c r="I7858" t="s">
        <v>10</v>
      </c>
    </row>
    <row r="7859" spans="1:9" x14ac:dyDescent="0.25">
      <c r="A7859" t="str">
        <f t="shared" si="190"/>
        <v>89301000</v>
      </c>
      <c r="B7859" t="str">
        <f>"5710291598"</f>
        <v>5710291598</v>
      </c>
      <c r="C7859" s="1">
        <v>45274</v>
      </c>
      <c r="D7859" s="1">
        <v>45279</v>
      </c>
      <c r="E7859">
        <v>1</v>
      </c>
      <c r="F7859" t="str">
        <f>"03-C01-02"</f>
        <v>03-C01-02</v>
      </c>
      <c r="G7859">
        <v>0.45800000000000002</v>
      </c>
      <c r="H7859" t="s">
        <v>11</v>
      </c>
      <c r="I7859" t="s">
        <v>10</v>
      </c>
    </row>
    <row r="7860" spans="1:9" x14ac:dyDescent="0.25">
      <c r="A7860" t="str">
        <f t="shared" si="190"/>
        <v>89301000</v>
      </c>
      <c r="B7860" t="str">
        <f>"5711021514"</f>
        <v>5711021514</v>
      </c>
      <c r="C7860" s="1">
        <v>45046</v>
      </c>
      <c r="D7860" s="1">
        <v>45049</v>
      </c>
      <c r="E7860">
        <v>1</v>
      </c>
      <c r="F7860" t="str">
        <f>"12-K01-02"</f>
        <v>12-K01-02</v>
      </c>
      <c r="G7860">
        <v>0.56440000000000001</v>
      </c>
      <c r="H7860" t="s">
        <v>11</v>
      </c>
      <c r="I7860" t="s">
        <v>10</v>
      </c>
    </row>
    <row r="7861" spans="1:9" x14ac:dyDescent="0.25">
      <c r="A7861" t="str">
        <f t="shared" si="190"/>
        <v>89301000</v>
      </c>
      <c r="B7861" t="str">
        <f>"5711031744"</f>
        <v>5711031744</v>
      </c>
      <c r="C7861" s="1">
        <v>45221</v>
      </c>
      <c r="D7861" s="1">
        <v>45224</v>
      </c>
      <c r="E7861">
        <v>1</v>
      </c>
      <c r="F7861" t="str">
        <f>"08-M03-05"</f>
        <v>08-M03-05</v>
      </c>
      <c r="G7861">
        <v>0.46810000000000002</v>
      </c>
      <c r="H7861" t="s">
        <v>11</v>
      </c>
      <c r="I7861" t="s">
        <v>10</v>
      </c>
    </row>
    <row r="7862" spans="1:9" x14ac:dyDescent="0.25">
      <c r="A7862" t="str">
        <f t="shared" si="190"/>
        <v>89301000</v>
      </c>
      <c r="B7862" t="str">
        <f>"5711032239"</f>
        <v>5711032239</v>
      </c>
      <c r="C7862" s="1">
        <v>44964</v>
      </c>
      <c r="D7862" s="1">
        <v>44965</v>
      </c>
      <c r="E7862">
        <v>1</v>
      </c>
      <c r="F7862" t="str">
        <f>"01-K04-02"</f>
        <v>01-K04-02</v>
      </c>
      <c r="G7862">
        <v>0.5333</v>
      </c>
      <c r="H7862" t="s">
        <v>11</v>
      </c>
      <c r="I7862" t="s">
        <v>10</v>
      </c>
    </row>
    <row r="7863" spans="1:9" x14ac:dyDescent="0.25">
      <c r="A7863" t="str">
        <f t="shared" si="190"/>
        <v>89301000</v>
      </c>
      <c r="B7863" t="str">
        <f>"5711032239"</f>
        <v>5711032239</v>
      </c>
      <c r="C7863" s="1">
        <v>45076</v>
      </c>
      <c r="D7863" s="1">
        <v>45077</v>
      </c>
      <c r="E7863">
        <v>1</v>
      </c>
      <c r="F7863" t="str">
        <f>"01-K04-02"</f>
        <v>01-K04-02</v>
      </c>
      <c r="G7863">
        <v>0.5333</v>
      </c>
      <c r="H7863" t="s">
        <v>11</v>
      </c>
      <c r="I7863" t="s">
        <v>10</v>
      </c>
    </row>
    <row r="7864" spans="1:9" x14ac:dyDescent="0.25">
      <c r="A7864" t="str">
        <f t="shared" ref="A7864:A7927" si="191">"89301000"</f>
        <v>89301000</v>
      </c>
      <c r="B7864" t="str">
        <f>"5711041974"</f>
        <v>5711041974</v>
      </c>
      <c r="C7864" s="1">
        <v>44999</v>
      </c>
      <c r="D7864" s="1">
        <v>45006</v>
      </c>
      <c r="E7864">
        <v>1</v>
      </c>
      <c r="F7864" t="str">
        <f>"06-I05-01"</f>
        <v>06-I05-01</v>
      </c>
      <c r="G7864">
        <v>3.8811</v>
      </c>
      <c r="H7864" t="s">
        <v>12</v>
      </c>
      <c r="I7864" t="s">
        <v>10</v>
      </c>
    </row>
    <row r="7865" spans="1:9" x14ac:dyDescent="0.25">
      <c r="A7865" t="str">
        <f t="shared" si="191"/>
        <v>89301000</v>
      </c>
      <c r="B7865" t="str">
        <f>"5711071432"</f>
        <v>5711071432</v>
      </c>
      <c r="C7865" s="1">
        <v>45028</v>
      </c>
      <c r="D7865" s="1">
        <v>45034</v>
      </c>
      <c r="E7865">
        <v>1</v>
      </c>
      <c r="F7865" t="str">
        <f>"01-K12-01"</f>
        <v>01-K12-01</v>
      </c>
      <c r="G7865">
        <v>0.73780000000000001</v>
      </c>
      <c r="H7865" t="s">
        <v>11</v>
      </c>
      <c r="I7865" t="s">
        <v>10</v>
      </c>
    </row>
    <row r="7866" spans="1:9" x14ac:dyDescent="0.25">
      <c r="A7866" t="str">
        <f t="shared" si="191"/>
        <v>89301000</v>
      </c>
      <c r="B7866" t="str">
        <f>"5711121097"</f>
        <v>5711121097</v>
      </c>
      <c r="C7866" s="1">
        <v>44992</v>
      </c>
      <c r="D7866" s="1">
        <v>44997</v>
      </c>
      <c r="E7866">
        <v>1</v>
      </c>
      <c r="F7866" t="str">
        <f>"11-I08-03"</f>
        <v>11-I08-03</v>
      </c>
      <c r="G7866">
        <v>2.0529999999999999</v>
      </c>
      <c r="H7866" t="s">
        <v>9</v>
      </c>
      <c r="I7866" t="s">
        <v>10</v>
      </c>
    </row>
    <row r="7867" spans="1:9" x14ac:dyDescent="0.25">
      <c r="A7867" t="str">
        <f t="shared" si="191"/>
        <v>89301000</v>
      </c>
      <c r="B7867" t="str">
        <f>"5711140435"</f>
        <v>5711140435</v>
      </c>
      <c r="C7867" s="1">
        <v>45104</v>
      </c>
      <c r="D7867" s="1">
        <v>45110</v>
      </c>
      <c r="E7867">
        <v>1</v>
      </c>
      <c r="F7867" t="str">
        <f>"12-I03-01"</f>
        <v>12-I03-01</v>
      </c>
      <c r="G7867">
        <v>2.6934999999999998</v>
      </c>
      <c r="H7867" t="s">
        <v>9</v>
      </c>
      <c r="I7867" t="s">
        <v>10</v>
      </c>
    </row>
    <row r="7868" spans="1:9" x14ac:dyDescent="0.25">
      <c r="A7868" t="str">
        <f t="shared" si="191"/>
        <v>89301000</v>
      </c>
      <c r="B7868" t="str">
        <f>"5711211913"</f>
        <v>5711211913</v>
      </c>
      <c r="C7868" s="1">
        <v>45054</v>
      </c>
      <c r="D7868" s="1">
        <v>45057</v>
      </c>
      <c r="E7868">
        <v>1</v>
      </c>
      <c r="F7868" t="str">
        <f>"12-M02-02"</f>
        <v>12-M02-02</v>
      </c>
      <c r="G7868">
        <v>0.95020000000000004</v>
      </c>
      <c r="H7868" t="s">
        <v>9</v>
      </c>
      <c r="I7868" t="s">
        <v>10</v>
      </c>
    </row>
    <row r="7869" spans="1:9" x14ac:dyDescent="0.25">
      <c r="A7869" t="str">
        <f t="shared" si="191"/>
        <v>89301000</v>
      </c>
      <c r="B7869" t="str">
        <f>"5711230943"</f>
        <v>5711230943</v>
      </c>
      <c r="C7869" s="1">
        <v>45034</v>
      </c>
      <c r="D7869" s="1">
        <v>45036</v>
      </c>
      <c r="E7869">
        <v>1</v>
      </c>
      <c r="F7869" t="str">
        <f>"08-I04-02"</f>
        <v>08-I04-02</v>
      </c>
      <c r="G7869">
        <v>1.6229</v>
      </c>
      <c r="H7869" t="s">
        <v>14</v>
      </c>
      <c r="I7869" t="s">
        <v>10</v>
      </c>
    </row>
    <row r="7870" spans="1:9" x14ac:dyDescent="0.25">
      <c r="A7870" t="str">
        <f t="shared" si="191"/>
        <v>89301000</v>
      </c>
      <c r="B7870" t="str">
        <f>"5711260852"</f>
        <v>5711260852</v>
      </c>
      <c r="C7870" s="1">
        <v>45105</v>
      </c>
      <c r="D7870" s="1">
        <v>45106</v>
      </c>
      <c r="E7870">
        <v>1</v>
      </c>
      <c r="F7870" t="str">
        <f>"06-M01-05"</f>
        <v>06-M01-05</v>
      </c>
      <c r="G7870">
        <v>0.4178</v>
      </c>
      <c r="H7870" t="s">
        <v>11</v>
      </c>
      <c r="I7870" t="s">
        <v>10</v>
      </c>
    </row>
    <row r="7871" spans="1:9" x14ac:dyDescent="0.25">
      <c r="A7871" t="str">
        <f t="shared" si="191"/>
        <v>89301000</v>
      </c>
      <c r="B7871" t="str">
        <f>"5711262128"</f>
        <v>5711262128</v>
      </c>
      <c r="C7871" s="1">
        <v>45188</v>
      </c>
      <c r="D7871" s="1">
        <v>45236</v>
      </c>
      <c r="E7871">
        <v>5</v>
      </c>
      <c r="F7871" t="str">
        <f>"06-K14-02"</f>
        <v>06-K14-02</v>
      </c>
      <c r="G7871">
        <v>2.8113000000000001</v>
      </c>
      <c r="H7871" t="s">
        <v>11</v>
      </c>
      <c r="I7871" t="s">
        <v>10</v>
      </c>
    </row>
    <row r="7872" spans="1:9" x14ac:dyDescent="0.25">
      <c r="A7872" t="str">
        <f t="shared" si="191"/>
        <v>89301000</v>
      </c>
      <c r="B7872" t="str">
        <f>"5712021458"</f>
        <v>5712021458</v>
      </c>
      <c r="C7872" s="1">
        <v>45170</v>
      </c>
      <c r="D7872" s="1">
        <v>45173</v>
      </c>
      <c r="E7872">
        <v>1</v>
      </c>
      <c r="F7872" t="str">
        <f>"01-D01-03"</f>
        <v>01-D01-03</v>
      </c>
      <c r="G7872">
        <v>0.21060000000000001</v>
      </c>
      <c r="H7872" t="s">
        <v>11</v>
      </c>
      <c r="I7872" t="s">
        <v>10</v>
      </c>
    </row>
    <row r="7873" spans="1:9" x14ac:dyDescent="0.25">
      <c r="A7873" t="str">
        <f t="shared" si="191"/>
        <v>89301000</v>
      </c>
      <c r="B7873" t="str">
        <f>"5712021458"</f>
        <v>5712021458</v>
      </c>
      <c r="C7873" s="1">
        <v>45092</v>
      </c>
      <c r="D7873" s="1">
        <v>45093</v>
      </c>
      <c r="E7873">
        <v>1</v>
      </c>
      <c r="F7873" t="str">
        <f>"01-D01-03"</f>
        <v>01-D01-03</v>
      </c>
      <c r="G7873">
        <v>0.16200000000000001</v>
      </c>
      <c r="H7873" t="s">
        <v>11</v>
      </c>
      <c r="I7873" t="s">
        <v>10</v>
      </c>
    </row>
    <row r="7874" spans="1:9" x14ac:dyDescent="0.25">
      <c r="A7874" t="str">
        <f t="shared" si="191"/>
        <v>89301000</v>
      </c>
      <c r="B7874" t="str">
        <f>"5712071266"</f>
        <v>5712071266</v>
      </c>
      <c r="C7874" s="1">
        <v>45263</v>
      </c>
      <c r="D7874" s="1">
        <v>45266</v>
      </c>
      <c r="E7874">
        <v>1</v>
      </c>
      <c r="F7874" t="str">
        <f>"06-I16-04"</f>
        <v>06-I16-04</v>
      </c>
      <c r="G7874">
        <v>0.68920000000000003</v>
      </c>
      <c r="H7874" t="s">
        <v>9</v>
      </c>
      <c r="I7874" t="s">
        <v>10</v>
      </c>
    </row>
    <row r="7875" spans="1:9" x14ac:dyDescent="0.25">
      <c r="A7875" t="str">
        <f t="shared" si="191"/>
        <v>89301000</v>
      </c>
      <c r="B7875" t="str">
        <f>"5712150510"</f>
        <v>5712150510</v>
      </c>
      <c r="C7875" s="1">
        <v>45051</v>
      </c>
      <c r="D7875" s="1">
        <v>45058</v>
      </c>
      <c r="E7875">
        <v>1</v>
      </c>
      <c r="F7875" t="str">
        <f>"03-K03-02"</f>
        <v>03-K03-02</v>
      </c>
      <c r="G7875">
        <v>0.62729999999999997</v>
      </c>
      <c r="H7875" t="s">
        <v>11</v>
      </c>
      <c r="I7875" t="s">
        <v>10</v>
      </c>
    </row>
    <row r="7876" spans="1:9" x14ac:dyDescent="0.25">
      <c r="A7876" t="str">
        <f t="shared" si="191"/>
        <v>89301000</v>
      </c>
      <c r="B7876" t="str">
        <f>"5712150510"</f>
        <v>5712150510</v>
      </c>
      <c r="C7876" s="1">
        <v>45218</v>
      </c>
      <c r="D7876" s="1">
        <v>45223</v>
      </c>
      <c r="E7876">
        <v>1</v>
      </c>
      <c r="F7876" t="str">
        <f>"23-K04-02"</f>
        <v>23-K04-02</v>
      </c>
      <c r="G7876">
        <v>0.62809999999999999</v>
      </c>
      <c r="H7876" t="s">
        <v>11</v>
      </c>
      <c r="I7876" t="s">
        <v>10</v>
      </c>
    </row>
    <row r="7877" spans="1:9" x14ac:dyDescent="0.25">
      <c r="A7877" t="str">
        <f t="shared" si="191"/>
        <v>89301000</v>
      </c>
      <c r="B7877" t="str">
        <f>"5712150510"</f>
        <v>5712150510</v>
      </c>
      <c r="C7877" s="1">
        <v>45119</v>
      </c>
      <c r="D7877" s="1">
        <v>45125</v>
      </c>
      <c r="E7877">
        <v>1</v>
      </c>
      <c r="F7877" t="str">
        <f>"03-K09-01"</f>
        <v>03-K09-01</v>
      </c>
      <c r="G7877">
        <v>0.65329999999999999</v>
      </c>
      <c r="H7877" t="s">
        <v>11</v>
      </c>
      <c r="I7877" t="s">
        <v>10</v>
      </c>
    </row>
    <row r="7878" spans="1:9" x14ac:dyDescent="0.25">
      <c r="A7878" t="str">
        <f t="shared" si="191"/>
        <v>89301000</v>
      </c>
      <c r="B7878" t="str">
        <f>"5712150521"</f>
        <v>5712150521</v>
      </c>
      <c r="C7878" s="1">
        <v>45201</v>
      </c>
      <c r="D7878" s="1">
        <v>45202</v>
      </c>
      <c r="E7878">
        <v>1</v>
      </c>
      <c r="F7878" t="str">
        <f>"01-D01-03"</f>
        <v>01-D01-03</v>
      </c>
      <c r="G7878">
        <v>0.16200000000000001</v>
      </c>
      <c r="H7878" t="s">
        <v>11</v>
      </c>
      <c r="I7878" t="s">
        <v>10</v>
      </c>
    </row>
    <row r="7879" spans="1:9" x14ac:dyDescent="0.25">
      <c r="A7879" t="str">
        <f t="shared" si="191"/>
        <v>89301000</v>
      </c>
      <c r="B7879" t="str">
        <f>"5712300847"</f>
        <v>5712300847</v>
      </c>
      <c r="C7879" s="1">
        <v>44929</v>
      </c>
      <c r="D7879" s="1">
        <v>44935</v>
      </c>
      <c r="E7879">
        <v>1</v>
      </c>
      <c r="F7879" t="str">
        <f>"11-I04-02"</f>
        <v>11-I04-02</v>
      </c>
      <c r="G7879">
        <v>2.6577999999999999</v>
      </c>
      <c r="H7879" t="s">
        <v>9</v>
      </c>
      <c r="I7879" t="s">
        <v>10</v>
      </c>
    </row>
    <row r="7880" spans="1:9" x14ac:dyDescent="0.25">
      <c r="A7880" t="str">
        <f t="shared" si="191"/>
        <v>89301000</v>
      </c>
      <c r="B7880" t="str">
        <f>"5712301045"</f>
        <v>5712301045</v>
      </c>
      <c r="C7880" s="1">
        <v>45283</v>
      </c>
      <c r="D7880" s="1">
        <v>45287</v>
      </c>
      <c r="E7880">
        <v>1</v>
      </c>
      <c r="F7880" t="str">
        <f>"05-M06-06"</f>
        <v>05-M06-06</v>
      </c>
      <c r="G7880">
        <v>2.0110999999999999</v>
      </c>
      <c r="H7880" t="s">
        <v>12</v>
      </c>
      <c r="I7880" t="s">
        <v>10</v>
      </c>
    </row>
    <row r="7881" spans="1:9" x14ac:dyDescent="0.25">
      <c r="A7881" t="str">
        <f t="shared" si="191"/>
        <v>89301000</v>
      </c>
      <c r="B7881" t="str">
        <f>"5712301089"</f>
        <v>5712301089</v>
      </c>
      <c r="C7881" s="1">
        <v>44931</v>
      </c>
      <c r="D7881" s="1">
        <v>44932</v>
      </c>
      <c r="E7881">
        <v>1</v>
      </c>
      <c r="F7881" t="str">
        <f>"08-I17-02"</f>
        <v>08-I17-02</v>
      </c>
      <c r="G7881">
        <v>0.89680000000000004</v>
      </c>
      <c r="H7881" t="s">
        <v>11</v>
      </c>
      <c r="I7881" t="s">
        <v>10</v>
      </c>
    </row>
    <row r="7882" spans="1:9" x14ac:dyDescent="0.25">
      <c r="A7882" t="str">
        <f t="shared" si="191"/>
        <v>89301000</v>
      </c>
      <c r="B7882" t="str">
        <f>"5751011904"</f>
        <v>5751011904</v>
      </c>
      <c r="C7882" s="1">
        <v>45032</v>
      </c>
      <c r="D7882" s="1">
        <v>45040</v>
      </c>
      <c r="E7882">
        <v>3</v>
      </c>
      <c r="F7882" t="str">
        <f>"08-I05-04"</f>
        <v>08-I05-04</v>
      </c>
      <c r="G7882">
        <v>2.4445000000000001</v>
      </c>
      <c r="H7882" t="s">
        <v>12</v>
      </c>
      <c r="I7882" t="s">
        <v>10</v>
      </c>
    </row>
    <row r="7883" spans="1:9" x14ac:dyDescent="0.25">
      <c r="A7883" t="str">
        <f t="shared" si="191"/>
        <v>89301000</v>
      </c>
      <c r="B7883" t="str">
        <f>"5751011904"</f>
        <v>5751011904</v>
      </c>
      <c r="C7883" s="1">
        <v>45040</v>
      </c>
      <c r="D7883" s="1">
        <v>45051</v>
      </c>
      <c r="E7883">
        <v>1</v>
      </c>
      <c r="F7883" t="str">
        <f>"24-M06-02"</f>
        <v>24-M06-02</v>
      </c>
      <c r="G7883">
        <v>1.0699000000000001</v>
      </c>
      <c r="H7883" t="s">
        <v>11</v>
      </c>
      <c r="I7883" t="s">
        <v>10</v>
      </c>
    </row>
    <row r="7884" spans="1:9" x14ac:dyDescent="0.25">
      <c r="A7884" t="str">
        <f t="shared" si="191"/>
        <v>89301000</v>
      </c>
      <c r="B7884" t="str">
        <f>"5751061833"</f>
        <v>5751061833</v>
      </c>
      <c r="C7884" s="1">
        <v>45254</v>
      </c>
      <c r="D7884" s="1">
        <v>45265</v>
      </c>
      <c r="E7884">
        <v>1</v>
      </c>
      <c r="F7884" t="str">
        <f>"01-K08-02"</f>
        <v>01-K08-02</v>
      </c>
      <c r="G7884">
        <v>0.61160000000000003</v>
      </c>
      <c r="H7884" t="s">
        <v>11</v>
      </c>
      <c r="I7884" t="s">
        <v>10</v>
      </c>
    </row>
    <row r="7885" spans="1:9" x14ac:dyDescent="0.25">
      <c r="A7885" t="str">
        <f t="shared" si="191"/>
        <v>89301000</v>
      </c>
      <c r="B7885" t="str">
        <f>"5751160206"</f>
        <v>5751160206</v>
      </c>
      <c r="C7885" s="1">
        <v>45277</v>
      </c>
      <c r="D7885" s="1">
        <v>45280</v>
      </c>
      <c r="E7885">
        <v>1</v>
      </c>
      <c r="F7885" t="str">
        <f>"03-I19-03"</f>
        <v>03-I19-03</v>
      </c>
      <c r="G7885">
        <v>0.53249999999999997</v>
      </c>
      <c r="H7885" t="s">
        <v>11</v>
      </c>
      <c r="I7885" t="s">
        <v>10</v>
      </c>
    </row>
    <row r="7886" spans="1:9" x14ac:dyDescent="0.25">
      <c r="A7886" t="str">
        <f t="shared" si="191"/>
        <v>89301000</v>
      </c>
      <c r="B7886" t="str">
        <f>"5751231728"</f>
        <v>5751231728</v>
      </c>
      <c r="C7886" s="1">
        <v>44956</v>
      </c>
      <c r="D7886" s="1">
        <v>44957</v>
      </c>
      <c r="E7886">
        <v>1</v>
      </c>
      <c r="F7886" t="str">
        <f>"16-K02-03"</f>
        <v>16-K02-03</v>
      </c>
      <c r="G7886">
        <v>0.46679999999999999</v>
      </c>
      <c r="H7886" t="s">
        <v>11</v>
      </c>
      <c r="I7886" t="s">
        <v>10</v>
      </c>
    </row>
    <row r="7887" spans="1:9" x14ac:dyDescent="0.25">
      <c r="A7887" t="str">
        <f t="shared" si="191"/>
        <v>89301000</v>
      </c>
      <c r="B7887" t="str">
        <f>"5751231728"</f>
        <v>5751231728</v>
      </c>
      <c r="C7887" s="1">
        <v>45045</v>
      </c>
      <c r="D7887" s="1">
        <v>45047</v>
      </c>
      <c r="E7887">
        <v>8</v>
      </c>
      <c r="F7887" t="str">
        <f>"04-K02-03"</f>
        <v>04-K02-03</v>
      </c>
      <c r="G7887">
        <v>0.98640000000000005</v>
      </c>
      <c r="H7887" t="s">
        <v>11</v>
      </c>
      <c r="I7887" t="s">
        <v>10</v>
      </c>
    </row>
    <row r="7888" spans="1:9" x14ac:dyDescent="0.25">
      <c r="A7888" t="str">
        <f t="shared" si="191"/>
        <v>89301000</v>
      </c>
      <c r="B7888" t="str">
        <f>"5751231772"</f>
        <v>5751231772</v>
      </c>
      <c r="C7888" s="1">
        <v>45149</v>
      </c>
      <c r="D7888" s="1">
        <v>45156</v>
      </c>
      <c r="E7888">
        <v>1</v>
      </c>
      <c r="F7888" t="str">
        <f>"08-K08-00"</f>
        <v>08-K08-00</v>
      </c>
      <c r="G7888">
        <v>0.5272</v>
      </c>
      <c r="H7888" t="s">
        <v>11</v>
      </c>
      <c r="I7888" t="s">
        <v>10</v>
      </c>
    </row>
    <row r="7889" spans="1:9" x14ac:dyDescent="0.25">
      <c r="A7889" t="str">
        <f t="shared" si="191"/>
        <v>89301000</v>
      </c>
      <c r="B7889" t="str">
        <f>"5751240418"</f>
        <v>5751240418</v>
      </c>
      <c r="C7889" s="1">
        <v>44966</v>
      </c>
      <c r="D7889" s="1">
        <v>44973</v>
      </c>
      <c r="E7889">
        <v>5</v>
      </c>
      <c r="F7889" t="str">
        <f>"04-K02-03"</f>
        <v>04-K02-03</v>
      </c>
      <c r="G7889">
        <v>1.298</v>
      </c>
      <c r="H7889" t="s">
        <v>11</v>
      </c>
      <c r="I7889" t="s">
        <v>10</v>
      </c>
    </row>
    <row r="7890" spans="1:9" x14ac:dyDescent="0.25">
      <c r="A7890" t="str">
        <f t="shared" si="191"/>
        <v>89301000</v>
      </c>
      <c r="B7890" t="str">
        <f>"5751242145"</f>
        <v>5751242145</v>
      </c>
      <c r="C7890" s="1">
        <v>45112</v>
      </c>
      <c r="D7890" s="1">
        <v>45117</v>
      </c>
      <c r="E7890">
        <v>1</v>
      </c>
      <c r="F7890" t="str">
        <f>"06-K05-02"</f>
        <v>06-K05-02</v>
      </c>
      <c r="G7890">
        <v>0.40039999999999998</v>
      </c>
      <c r="H7890" t="s">
        <v>11</v>
      </c>
      <c r="I7890" t="s">
        <v>10</v>
      </c>
    </row>
    <row r="7891" spans="1:9" x14ac:dyDescent="0.25">
      <c r="A7891" t="str">
        <f t="shared" si="191"/>
        <v>89301000</v>
      </c>
      <c r="B7891" t="str">
        <f>"5751251583"</f>
        <v>5751251583</v>
      </c>
      <c r="C7891" s="1">
        <v>45146</v>
      </c>
      <c r="D7891" s="1">
        <v>45149</v>
      </c>
      <c r="E7891">
        <v>1</v>
      </c>
      <c r="F7891" t="str">
        <f>"08-M03-05"</f>
        <v>08-M03-05</v>
      </c>
      <c r="G7891">
        <v>0.46810000000000002</v>
      </c>
      <c r="H7891" t="s">
        <v>11</v>
      </c>
      <c r="I7891" t="s">
        <v>10</v>
      </c>
    </row>
    <row r="7892" spans="1:9" x14ac:dyDescent="0.25">
      <c r="A7892" t="str">
        <f t="shared" si="191"/>
        <v>89301000</v>
      </c>
      <c r="B7892" t="str">
        <f>"5751290754"</f>
        <v>5751290754</v>
      </c>
      <c r="C7892" s="1">
        <v>44969</v>
      </c>
      <c r="D7892" s="1">
        <v>44971</v>
      </c>
      <c r="E7892">
        <v>1</v>
      </c>
      <c r="F7892" t="str">
        <f>"05-I30-02"</f>
        <v>05-I30-02</v>
      </c>
      <c r="G7892">
        <v>0.41699999999999998</v>
      </c>
      <c r="H7892" t="s">
        <v>12</v>
      </c>
      <c r="I7892" t="s">
        <v>10</v>
      </c>
    </row>
    <row r="7893" spans="1:9" x14ac:dyDescent="0.25">
      <c r="A7893" t="str">
        <f t="shared" si="191"/>
        <v>89301000</v>
      </c>
      <c r="B7893" t="str">
        <f>"5751310499"</f>
        <v>5751310499</v>
      </c>
      <c r="C7893" s="1">
        <v>45130</v>
      </c>
      <c r="D7893" s="1">
        <v>45156</v>
      </c>
      <c r="E7893">
        <v>4</v>
      </c>
      <c r="F7893" t="str">
        <f>"01-K16-02"</f>
        <v>01-K16-02</v>
      </c>
      <c r="G7893">
        <v>2.0889000000000002</v>
      </c>
      <c r="H7893" t="s">
        <v>11</v>
      </c>
      <c r="I7893" t="s">
        <v>10</v>
      </c>
    </row>
    <row r="7894" spans="1:9" x14ac:dyDescent="0.25">
      <c r="A7894" t="str">
        <f t="shared" si="191"/>
        <v>89301000</v>
      </c>
      <c r="B7894" t="str">
        <f>"5751311720"</f>
        <v>5751311720</v>
      </c>
      <c r="C7894" s="1">
        <v>45257</v>
      </c>
      <c r="D7894" s="1">
        <v>45261</v>
      </c>
      <c r="E7894">
        <v>1</v>
      </c>
      <c r="F7894" t="str">
        <f>"10-K04-04"</f>
        <v>10-K04-04</v>
      </c>
      <c r="G7894">
        <v>0.53949999999999998</v>
      </c>
      <c r="H7894" t="s">
        <v>11</v>
      </c>
      <c r="I7894" t="s">
        <v>10</v>
      </c>
    </row>
    <row r="7895" spans="1:9" x14ac:dyDescent="0.25">
      <c r="A7895" t="str">
        <f t="shared" si="191"/>
        <v>89301000</v>
      </c>
      <c r="B7895" t="str">
        <f>"5751311720"</f>
        <v>5751311720</v>
      </c>
      <c r="C7895" s="1">
        <v>45061</v>
      </c>
      <c r="D7895" s="1">
        <v>45065</v>
      </c>
      <c r="E7895">
        <v>1</v>
      </c>
      <c r="F7895" t="str">
        <f>"10-K04-04"</f>
        <v>10-K04-04</v>
      </c>
      <c r="G7895">
        <v>0.53949999999999998</v>
      </c>
      <c r="H7895" t="s">
        <v>11</v>
      </c>
      <c r="I7895" t="s">
        <v>10</v>
      </c>
    </row>
    <row r="7896" spans="1:9" x14ac:dyDescent="0.25">
      <c r="A7896" t="str">
        <f t="shared" si="191"/>
        <v>89301000</v>
      </c>
      <c r="B7896" t="str">
        <f>"5752012068"</f>
        <v>5752012068</v>
      </c>
      <c r="C7896" s="1">
        <v>44935</v>
      </c>
      <c r="D7896" s="1">
        <v>44938</v>
      </c>
      <c r="E7896">
        <v>4</v>
      </c>
      <c r="F7896" t="str">
        <f>"01-K13-02"</f>
        <v>01-K13-02</v>
      </c>
      <c r="G7896">
        <v>0.72440000000000004</v>
      </c>
      <c r="H7896" t="s">
        <v>11</v>
      </c>
      <c r="I7896" t="s">
        <v>10</v>
      </c>
    </row>
    <row r="7897" spans="1:9" x14ac:dyDescent="0.25">
      <c r="A7897" t="str">
        <f t="shared" si="191"/>
        <v>89301000</v>
      </c>
      <c r="B7897" t="str">
        <f>"5752041867"</f>
        <v>5752041867</v>
      </c>
      <c r="C7897" s="1">
        <v>44957</v>
      </c>
      <c r="D7897" s="1">
        <v>44958</v>
      </c>
      <c r="E7897">
        <v>1</v>
      </c>
      <c r="F7897" t="str">
        <f>"02-I13-02"</f>
        <v>02-I13-02</v>
      </c>
      <c r="G7897">
        <v>0.4259</v>
      </c>
      <c r="H7897" t="s">
        <v>11</v>
      </c>
      <c r="I7897" t="s">
        <v>10</v>
      </c>
    </row>
    <row r="7898" spans="1:9" x14ac:dyDescent="0.25">
      <c r="A7898" t="str">
        <f t="shared" si="191"/>
        <v>89301000</v>
      </c>
      <c r="B7898" t="str">
        <f>"5752120792"</f>
        <v>5752120792</v>
      </c>
      <c r="C7898" s="1">
        <v>45209</v>
      </c>
      <c r="D7898" s="1">
        <v>45219</v>
      </c>
      <c r="E7898">
        <v>1</v>
      </c>
      <c r="F7898" t="str">
        <f>"06-I12-03"</f>
        <v>06-I12-03</v>
      </c>
      <c r="G7898">
        <v>1.9540999999999999</v>
      </c>
      <c r="H7898" t="s">
        <v>11</v>
      </c>
      <c r="I7898" t="s">
        <v>10</v>
      </c>
    </row>
    <row r="7899" spans="1:9" x14ac:dyDescent="0.25">
      <c r="A7899" t="str">
        <f t="shared" si="191"/>
        <v>89301000</v>
      </c>
      <c r="B7899" t="str">
        <f>"5752161382"</f>
        <v>5752161382</v>
      </c>
      <c r="C7899" s="1">
        <v>45000</v>
      </c>
      <c r="D7899" s="1">
        <v>45006</v>
      </c>
      <c r="E7899">
        <v>1</v>
      </c>
      <c r="F7899" t="str">
        <f>"06-I17-02"</f>
        <v>06-I17-02</v>
      </c>
      <c r="G7899">
        <v>1.0106999999999999</v>
      </c>
      <c r="H7899" t="s">
        <v>12</v>
      </c>
      <c r="I7899" t="s">
        <v>10</v>
      </c>
    </row>
    <row r="7900" spans="1:9" x14ac:dyDescent="0.25">
      <c r="A7900" t="str">
        <f t="shared" si="191"/>
        <v>89301000</v>
      </c>
      <c r="B7900" t="str">
        <f>"5752161382"</f>
        <v>5752161382</v>
      </c>
      <c r="C7900" s="1">
        <v>45018</v>
      </c>
      <c r="D7900" s="1">
        <v>45029</v>
      </c>
      <c r="E7900">
        <v>1</v>
      </c>
      <c r="F7900" t="str">
        <f>"09-K01-04"</f>
        <v>09-K01-04</v>
      </c>
      <c r="G7900">
        <v>0.60570000000000002</v>
      </c>
      <c r="H7900" t="s">
        <v>11</v>
      </c>
      <c r="I7900" t="s">
        <v>10</v>
      </c>
    </row>
    <row r="7901" spans="1:9" x14ac:dyDescent="0.25">
      <c r="A7901" t="str">
        <f t="shared" si="191"/>
        <v>89301000</v>
      </c>
      <c r="B7901" t="str">
        <f>"5752191962"</f>
        <v>5752191962</v>
      </c>
      <c r="C7901" s="1">
        <v>44969</v>
      </c>
      <c r="D7901" s="1">
        <v>44973</v>
      </c>
      <c r="E7901">
        <v>1</v>
      </c>
      <c r="F7901" t="str">
        <f>"13-I11-03"</f>
        <v>13-I11-03</v>
      </c>
      <c r="G7901">
        <v>1.4332</v>
      </c>
      <c r="H7901" t="s">
        <v>9</v>
      </c>
      <c r="I7901" t="s">
        <v>10</v>
      </c>
    </row>
    <row r="7902" spans="1:9" x14ac:dyDescent="0.25">
      <c r="A7902" t="str">
        <f t="shared" si="191"/>
        <v>89301000</v>
      </c>
      <c r="B7902" t="str">
        <f>"5752232189"</f>
        <v>5752232189</v>
      </c>
      <c r="C7902" s="1">
        <v>44985</v>
      </c>
      <c r="D7902" s="1">
        <v>44993</v>
      </c>
      <c r="E7902">
        <v>4</v>
      </c>
      <c r="F7902" t="str">
        <f>"08-I05-04"</f>
        <v>08-I05-04</v>
      </c>
      <c r="G7902">
        <v>2.4445000000000001</v>
      </c>
      <c r="H7902" t="s">
        <v>12</v>
      </c>
      <c r="I7902" t="s">
        <v>10</v>
      </c>
    </row>
    <row r="7903" spans="1:9" x14ac:dyDescent="0.25">
      <c r="A7903" t="str">
        <f t="shared" si="191"/>
        <v>89301000</v>
      </c>
      <c r="B7903" t="str">
        <f>"5752232189"</f>
        <v>5752232189</v>
      </c>
      <c r="C7903" s="1">
        <v>45184</v>
      </c>
      <c r="D7903" s="1">
        <v>45191</v>
      </c>
      <c r="E7903">
        <v>4</v>
      </c>
      <c r="F7903" t="str">
        <f>"24-M06-02"</f>
        <v>24-M06-02</v>
      </c>
      <c r="G7903">
        <v>1.0699000000000001</v>
      </c>
      <c r="H7903" t="s">
        <v>11</v>
      </c>
      <c r="I7903" t="s">
        <v>10</v>
      </c>
    </row>
    <row r="7904" spans="1:9" x14ac:dyDescent="0.25">
      <c r="A7904" t="str">
        <f t="shared" si="191"/>
        <v>89301000</v>
      </c>
      <c r="B7904" t="str">
        <f>"5752232189"</f>
        <v>5752232189</v>
      </c>
      <c r="C7904" s="1">
        <v>45179</v>
      </c>
      <c r="D7904" s="1">
        <v>45184</v>
      </c>
      <c r="E7904">
        <v>3</v>
      </c>
      <c r="F7904" t="str">
        <f>"08-I05-04"</f>
        <v>08-I05-04</v>
      </c>
      <c r="G7904">
        <v>2.4445000000000001</v>
      </c>
      <c r="H7904" t="s">
        <v>12</v>
      </c>
      <c r="I7904" t="s">
        <v>10</v>
      </c>
    </row>
    <row r="7905" spans="1:9" x14ac:dyDescent="0.25">
      <c r="A7905" t="str">
        <f t="shared" si="191"/>
        <v>89301000</v>
      </c>
      <c r="B7905" t="str">
        <f>"5752261174"</f>
        <v>5752261174</v>
      </c>
      <c r="C7905" s="1">
        <v>45136</v>
      </c>
      <c r="D7905" s="1">
        <v>45146</v>
      </c>
      <c r="E7905">
        <v>1</v>
      </c>
      <c r="F7905" t="str">
        <f>"08-K08-00"</f>
        <v>08-K08-00</v>
      </c>
      <c r="G7905">
        <v>0.5272</v>
      </c>
      <c r="H7905" t="s">
        <v>11</v>
      </c>
      <c r="I7905" t="s">
        <v>10</v>
      </c>
    </row>
    <row r="7906" spans="1:9" x14ac:dyDescent="0.25">
      <c r="A7906" t="str">
        <f t="shared" si="191"/>
        <v>89301000</v>
      </c>
      <c r="B7906" t="str">
        <f>"5753011242"</f>
        <v>5753011242</v>
      </c>
      <c r="C7906" s="1">
        <v>45240</v>
      </c>
      <c r="D7906" s="1">
        <v>45247</v>
      </c>
      <c r="E7906">
        <v>1</v>
      </c>
      <c r="F7906" t="str">
        <f>"08-K08-00"</f>
        <v>08-K08-00</v>
      </c>
      <c r="G7906">
        <v>0.5272</v>
      </c>
      <c r="H7906" t="s">
        <v>11</v>
      </c>
      <c r="I7906" t="s">
        <v>10</v>
      </c>
    </row>
    <row r="7907" spans="1:9" x14ac:dyDescent="0.25">
      <c r="A7907" t="str">
        <f t="shared" si="191"/>
        <v>89301000</v>
      </c>
      <c r="B7907" t="str">
        <f>"5753020130"</f>
        <v>5753020130</v>
      </c>
      <c r="C7907" s="1">
        <v>45107</v>
      </c>
      <c r="D7907" s="1">
        <v>45107</v>
      </c>
      <c r="E7907">
        <v>1</v>
      </c>
      <c r="F7907" t="str">
        <f>"05-D01-08"</f>
        <v>05-D01-08</v>
      </c>
      <c r="G7907">
        <v>0.2303</v>
      </c>
      <c r="H7907" t="s">
        <v>11</v>
      </c>
      <c r="I7907" t="s">
        <v>10</v>
      </c>
    </row>
    <row r="7908" spans="1:9" x14ac:dyDescent="0.25">
      <c r="A7908" t="str">
        <f t="shared" si="191"/>
        <v>89301000</v>
      </c>
      <c r="B7908" t="str">
        <f>"5753030690"</f>
        <v>5753030690</v>
      </c>
      <c r="C7908" s="1">
        <v>45202</v>
      </c>
      <c r="D7908" s="1">
        <v>45209</v>
      </c>
      <c r="E7908">
        <v>1</v>
      </c>
      <c r="F7908" t="str">
        <f>"02-I09-03"</f>
        <v>02-I09-03</v>
      </c>
      <c r="G7908">
        <v>0.88970000000000005</v>
      </c>
      <c r="H7908" t="s">
        <v>11</v>
      </c>
      <c r="I7908" t="s">
        <v>10</v>
      </c>
    </row>
    <row r="7909" spans="1:9" x14ac:dyDescent="0.25">
      <c r="A7909" t="str">
        <f t="shared" si="191"/>
        <v>89301000</v>
      </c>
      <c r="B7909" t="str">
        <f>"5753030690"</f>
        <v>5753030690</v>
      </c>
      <c r="C7909" s="1">
        <v>44971</v>
      </c>
      <c r="D7909" s="1">
        <v>44980</v>
      </c>
      <c r="E7909">
        <v>1</v>
      </c>
      <c r="F7909" t="str">
        <f>"02-I13-01"</f>
        <v>02-I13-01</v>
      </c>
      <c r="G7909">
        <v>0.92759999999999998</v>
      </c>
      <c r="H7909" t="s">
        <v>11</v>
      </c>
      <c r="I7909" t="s">
        <v>10</v>
      </c>
    </row>
    <row r="7910" spans="1:9" x14ac:dyDescent="0.25">
      <c r="A7910" t="str">
        <f t="shared" si="191"/>
        <v>89301000</v>
      </c>
      <c r="B7910" t="str">
        <f>"5753030690"</f>
        <v>5753030690</v>
      </c>
      <c r="C7910" s="1">
        <v>45231</v>
      </c>
      <c r="D7910" s="1">
        <v>45233</v>
      </c>
      <c r="E7910">
        <v>1</v>
      </c>
      <c r="F7910" t="str">
        <f>"02-I09-03"</f>
        <v>02-I09-03</v>
      </c>
      <c r="G7910">
        <v>0.88970000000000005</v>
      </c>
      <c r="H7910" t="s">
        <v>11</v>
      </c>
      <c r="I7910" t="s">
        <v>10</v>
      </c>
    </row>
    <row r="7911" spans="1:9" x14ac:dyDescent="0.25">
      <c r="A7911" t="str">
        <f t="shared" si="191"/>
        <v>89301000</v>
      </c>
      <c r="B7911" t="str">
        <f>"5753036355"</f>
        <v>5753036355</v>
      </c>
      <c r="C7911" s="1">
        <v>45071</v>
      </c>
      <c r="D7911" s="1">
        <v>45073</v>
      </c>
      <c r="E7911">
        <v>1</v>
      </c>
      <c r="F7911" t="str">
        <f>"04-C02-02"</f>
        <v>04-C02-02</v>
      </c>
      <c r="G7911">
        <v>0.36070000000000002</v>
      </c>
      <c r="H7911" t="s">
        <v>11</v>
      </c>
      <c r="I7911" t="s">
        <v>10</v>
      </c>
    </row>
    <row r="7912" spans="1:9" x14ac:dyDescent="0.25">
      <c r="A7912" t="str">
        <f t="shared" si="191"/>
        <v>89301000</v>
      </c>
      <c r="B7912" t="str">
        <f>"5753036355"</f>
        <v>5753036355</v>
      </c>
      <c r="C7912" s="1">
        <v>44993</v>
      </c>
      <c r="D7912" s="1">
        <v>45029</v>
      </c>
      <c r="E7912">
        <v>1</v>
      </c>
      <c r="F7912" t="str">
        <f>"04-R02-05"</f>
        <v>04-R02-05</v>
      </c>
      <c r="G7912">
        <v>2.6840999999999999</v>
      </c>
      <c r="H7912" t="s">
        <v>11</v>
      </c>
      <c r="I7912" t="s">
        <v>10</v>
      </c>
    </row>
    <row r="7913" spans="1:9" x14ac:dyDescent="0.25">
      <c r="A7913" t="str">
        <f t="shared" si="191"/>
        <v>89301000</v>
      </c>
      <c r="B7913" t="str">
        <f>"5753036355"</f>
        <v>5753036355</v>
      </c>
      <c r="C7913" s="1">
        <v>45034</v>
      </c>
      <c r="D7913" s="1">
        <v>45043</v>
      </c>
      <c r="E7913">
        <v>1</v>
      </c>
      <c r="F7913" t="str">
        <f>"04-K09-03"</f>
        <v>04-K09-03</v>
      </c>
      <c r="G7913">
        <v>0.65600000000000003</v>
      </c>
      <c r="H7913" t="s">
        <v>11</v>
      </c>
      <c r="I7913" t="s">
        <v>10</v>
      </c>
    </row>
    <row r="7914" spans="1:9" x14ac:dyDescent="0.25">
      <c r="A7914" t="str">
        <f t="shared" si="191"/>
        <v>89301000</v>
      </c>
      <c r="B7914" t="str">
        <f>"5753090090"</f>
        <v>5753090090</v>
      </c>
      <c r="C7914" s="1">
        <v>44937</v>
      </c>
      <c r="D7914" s="1">
        <v>44949</v>
      </c>
      <c r="E7914">
        <v>1</v>
      </c>
      <c r="F7914" t="str">
        <f>"10-R02-01"</f>
        <v>10-R02-01</v>
      </c>
      <c r="G7914">
        <v>0.92279999999999995</v>
      </c>
      <c r="H7914" t="s">
        <v>9</v>
      </c>
      <c r="I7914" t="s">
        <v>10</v>
      </c>
    </row>
    <row r="7915" spans="1:9" x14ac:dyDescent="0.25">
      <c r="A7915" t="str">
        <f t="shared" si="191"/>
        <v>89301000</v>
      </c>
      <c r="B7915" t="str">
        <f>"5753150975"</f>
        <v>5753150975</v>
      </c>
      <c r="C7915" s="1">
        <v>45210</v>
      </c>
      <c r="D7915" s="1">
        <v>45212</v>
      </c>
      <c r="E7915">
        <v>1</v>
      </c>
      <c r="F7915" t="str">
        <f>"16-K02-03"</f>
        <v>16-K02-03</v>
      </c>
      <c r="G7915">
        <v>0.46679999999999999</v>
      </c>
      <c r="H7915" t="s">
        <v>11</v>
      </c>
      <c r="I7915" t="s">
        <v>10</v>
      </c>
    </row>
    <row r="7916" spans="1:9" x14ac:dyDescent="0.25">
      <c r="A7916" t="str">
        <f t="shared" si="191"/>
        <v>89301000</v>
      </c>
      <c r="B7916" t="str">
        <f>"5753152339"</f>
        <v>5753152339</v>
      </c>
      <c r="C7916" s="1">
        <v>45180</v>
      </c>
      <c r="D7916" s="1">
        <v>45183</v>
      </c>
      <c r="E7916">
        <v>1</v>
      </c>
      <c r="F7916" t="str">
        <f>"00-M10-02"</f>
        <v>00-M10-02</v>
      </c>
      <c r="G7916">
        <v>0.99629999999999996</v>
      </c>
      <c r="H7916" t="s">
        <v>14</v>
      </c>
      <c r="I7916" t="s">
        <v>10</v>
      </c>
    </row>
    <row r="7917" spans="1:9" x14ac:dyDescent="0.25">
      <c r="A7917" t="str">
        <f t="shared" si="191"/>
        <v>89301000</v>
      </c>
      <c r="B7917" t="str">
        <f>"5753152339"</f>
        <v>5753152339</v>
      </c>
      <c r="C7917" s="1">
        <v>45222</v>
      </c>
      <c r="D7917" s="1">
        <v>45240</v>
      </c>
      <c r="E7917">
        <v>1</v>
      </c>
      <c r="F7917" t="str">
        <f>"00-M08-00"</f>
        <v>00-M08-00</v>
      </c>
      <c r="G7917">
        <v>3.5783</v>
      </c>
      <c r="H7917" t="s">
        <v>14</v>
      </c>
      <c r="I7917" t="s">
        <v>10</v>
      </c>
    </row>
    <row r="7918" spans="1:9" x14ac:dyDescent="0.25">
      <c r="A7918" t="str">
        <f t="shared" si="191"/>
        <v>89301000</v>
      </c>
      <c r="B7918" t="str">
        <f>"5753152339"</f>
        <v>5753152339</v>
      </c>
      <c r="C7918" s="1">
        <v>45173</v>
      </c>
      <c r="D7918" s="1">
        <v>45174</v>
      </c>
      <c r="E7918">
        <v>1</v>
      </c>
      <c r="F7918" t="str">
        <f>"17-C05-05"</f>
        <v>17-C05-05</v>
      </c>
      <c r="G7918">
        <v>0.66069999999999995</v>
      </c>
      <c r="H7918" t="s">
        <v>11</v>
      </c>
      <c r="I7918" t="s">
        <v>10</v>
      </c>
    </row>
    <row r="7919" spans="1:9" x14ac:dyDescent="0.25">
      <c r="A7919" t="str">
        <f t="shared" si="191"/>
        <v>89301000</v>
      </c>
      <c r="B7919" t="str">
        <f>"5753152339"</f>
        <v>5753152339</v>
      </c>
      <c r="C7919" s="1">
        <v>45065</v>
      </c>
      <c r="D7919" s="1">
        <v>45072</v>
      </c>
      <c r="E7919">
        <v>1</v>
      </c>
      <c r="F7919" t="str">
        <f>"17-C05-05"</f>
        <v>17-C05-05</v>
      </c>
      <c r="G7919">
        <v>0.66069999999999995</v>
      </c>
      <c r="H7919" t="s">
        <v>11</v>
      </c>
      <c r="I7919" t="s">
        <v>10</v>
      </c>
    </row>
    <row r="7920" spans="1:9" x14ac:dyDescent="0.25">
      <c r="A7920" t="str">
        <f t="shared" si="191"/>
        <v>89301000</v>
      </c>
      <c r="B7920" t="str">
        <f>"5753152339"</f>
        <v>5753152339</v>
      </c>
      <c r="C7920" s="1">
        <v>45033</v>
      </c>
      <c r="D7920" s="1">
        <v>45035</v>
      </c>
      <c r="E7920">
        <v>1</v>
      </c>
      <c r="F7920" t="str">
        <f>"11-M06-03"</f>
        <v>11-M06-03</v>
      </c>
      <c r="G7920">
        <v>0.62280000000000002</v>
      </c>
      <c r="H7920" t="s">
        <v>12</v>
      </c>
      <c r="I7920" t="s">
        <v>10</v>
      </c>
    </row>
    <row r="7921" spans="1:9" x14ac:dyDescent="0.25">
      <c r="A7921" t="str">
        <f t="shared" si="191"/>
        <v>89301000</v>
      </c>
      <c r="B7921" t="str">
        <f>"5753161205"</f>
        <v>5753161205</v>
      </c>
      <c r="C7921" s="1">
        <v>45118</v>
      </c>
      <c r="D7921" s="1">
        <v>45124</v>
      </c>
      <c r="E7921">
        <v>1</v>
      </c>
      <c r="F7921" t="str">
        <f>"13-I18-01"</f>
        <v>13-I18-01</v>
      </c>
      <c r="G7921">
        <v>1.7659</v>
      </c>
      <c r="H7921" t="s">
        <v>11</v>
      </c>
      <c r="I7921" t="s">
        <v>10</v>
      </c>
    </row>
    <row r="7922" spans="1:9" x14ac:dyDescent="0.25">
      <c r="A7922" t="str">
        <f t="shared" si="191"/>
        <v>89301000</v>
      </c>
      <c r="B7922" t="str">
        <f>"5753182127"</f>
        <v>5753182127</v>
      </c>
      <c r="C7922" s="1">
        <v>44949</v>
      </c>
      <c r="D7922" s="1">
        <v>44956</v>
      </c>
      <c r="E7922">
        <v>1</v>
      </c>
      <c r="F7922" t="str">
        <f>"04-I02-03"</f>
        <v>04-I02-03</v>
      </c>
      <c r="G7922">
        <v>3.6791</v>
      </c>
      <c r="H7922" t="s">
        <v>14</v>
      </c>
      <c r="I7922" t="s">
        <v>10</v>
      </c>
    </row>
    <row r="7923" spans="1:9" x14ac:dyDescent="0.25">
      <c r="A7923" t="str">
        <f t="shared" si="191"/>
        <v>89301000</v>
      </c>
      <c r="B7923" t="str">
        <f>"5753182215"</f>
        <v>5753182215</v>
      </c>
      <c r="C7923" s="1">
        <v>45055</v>
      </c>
      <c r="D7923" s="1">
        <v>45056</v>
      </c>
      <c r="E7923">
        <v>8</v>
      </c>
      <c r="F7923" t="str">
        <f>"18-K01-01"</f>
        <v>18-K01-01</v>
      </c>
      <c r="G7923">
        <v>1.8927</v>
      </c>
      <c r="H7923" t="s">
        <v>11</v>
      </c>
      <c r="I7923" t="s">
        <v>10</v>
      </c>
    </row>
    <row r="7924" spans="1:9" x14ac:dyDescent="0.25">
      <c r="A7924" t="str">
        <f t="shared" si="191"/>
        <v>89301000</v>
      </c>
      <c r="B7924" t="str">
        <f>"5753211288"</f>
        <v>5753211288</v>
      </c>
      <c r="C7924" s="1">
        <v>45077</v>
      </c>
      <c r="D7924" s="1">
        <v>45093</v>
      </c>
      <c r="E7924">
        <v>1</v>
      </c>
      <c r="F7924" t="str">
        <f>"04-R02-07"</f>
        <v>04-R02-07</v>
      </c>
      <c r="G7924">
        <v>1.4739</v>
      </c>
      <c r="H7924" t="s">
        <v>11</v>
      </c>
      <c r="I7924" t="s">
        <v>10</v>
      </c>
    </row>
    <row r="7925" spans="1:9" x14ac:dyDescent="0.25">
      <c r="A7925" t="str">
        <f t="shared" si="191"/>
        <v>89301000</v>
      </c>
      <c r="B7925" t="str">
        <f>"5753211288"</f>
        <v>5753211288</v>
      </c>
      <c r="C7925" s="1">
        <v>44958</v>
      </c>
      <c r="D7925" s="1">
        <v>44972</v>
      </c>
      <c r="E7925">
        <v>1</v>
      </c>
      <c r="F7925" t="str">
        <f>"04-K09-02"</f>
        <v>04-K09-02</v>
      </c>
      <c r="G7925">
        <v>1.155</v>
      </c>
      <c r="H7925" t="s">
        <v>11</v>
      </c>
      <c r="I7925" t="s">
        <v>10</v>
      </c>
    </row>
    <row r="7926" spans="1:9" x14ac:dyDescent="0.25">
      <c r="A7926" t="str">
        <f t="shared" si="191"/>
        <v>89301000</v>
      </c>
      <c r="B7926" t="str">
        <f>"5753211288"</f>
        <v>5753211288</v>
      </c>
      <c r="C7926" s="1">
        <v>45125</v>
      </c>
      <c r="D7926" s="1">
        <v>45128</v>
      </c>
      <c r="E7926">
        <v>1</v>
      </c>
      <c r="F7926" t="str">
        <f>"04-K09-02"</f>
        <v>04-K09-02</v>
      </c>
      <c r="G7926">
        <v>1.155</v>
      </c>
      <c r="H7926" t="s">
        <v>11</v>
      </c>
      <c r="I7926" t="s">
        <v>10</v>
      </c>
    </row>
    <row r="7927" spans="1:9" x14ac:dyDescent="0.25">
      <c r="A7927" t="str">
        <f t="shared" si="191"/>
        <v>89301000</v>
      </c>
      <c r="B7927" t="str">
        <f>"5753241813"</f>
        <v>5753241813</v>
      </c>
      <c r="C7927" s="1">
        <v>45155</v>
      </c>
      <c r="D7927" s="1">
        <v>45169</v>
      </c>
      <c r="E7927">
        <v>1</v>
      </c>
      <c r="F7927" t="str">
        <f>"19-K04-02"</f>
        <v>19-K04-02</v>
      </c>
      <c r="G7927">
        <v>1.3379000000000001</v>
      </c>
      <c r="H7927" t="s">
        <v>15</v>
      </c>
      <c r="I7927" t="s">
        <v>10</v>
      </c>
    </row>
    <row r="7928" spans="1:9" x14ac:dyDescent="0.25">
      <c r="A7928" t="str">
        <f t="shared" ref="A7928:A7991" si="192">"89301000"</f>
        <v>89301000</v>
      </c>
      <c r="B7928" t="str">
        <f>"5754011395"</f>
        <v>5754011395</v>
      </c>
      <c r="C7928" s="1">
        <v>44978</v>
      </c>
      <c r="D7928" s="1">
        <v>44979</v>
      </c>
      <c r="E7928">
        <v>1</v>
      </c>
      <c r="F7928" t="str">
        <f>"05-D01-08"</f>
        <v>05-D01-08</v>
      </c>
      <c r="G7928">
        <v>0.43159999999999998</v>
      </c>
      <c r="H7928" t="s">
        <v>11</v>
      </c>
      <c r="I7928" t="s">
        <v>10</v>
      </c>
    </row>
    <row r="7929" spans="1:9" x14ac:dyDescent="0.25">
      <c r="A7929" t="str">
        <f t="shared" si="192"/>
        <v>89301000</v>
      </c>
      <c r="B7929" t="str">
        <f>"5754020712"</f>
        <v>5754020712</v>
      </c>
      <c r="C7929" s="1">
        <v>45035</v>
      </c>
      <c r="D7929" s="1">
        <v>45048</v>
      </c>
      <c r="E7929">
        <v>4</v>
      </c>
      <c r="F7929" t="str">
        <f>"05-I12-03"</f>
        <v>05-I12-03</v>
      </c>
      <c r="G7929">
        <v>6.7496</v>
      </c>
      <c r="H7929" t="s">
        <v>14</v>
      </c>
      <c r="I7929" t="s">
        <v>10</v>
      </c>
    </row>
    <row r="7930" spans="1:9" x14ac:dyDescent="0.25">
      <c r="A7930" t="str">
        <f t="shared" si="192"/>
        <v>89301000</v>
      </c>
      <c r="B7930" t="str">
        <f>"5754050357"</f>
        <v>5754050357</v>
      </c>
      <c r="C7930" s="1">
        <v>45063</v>
      </c>
      <c r="D7930" s="1">
        <v>45066</v>
      </c>
      <c r="E7930">
        <v>1</v>
      </c>
      <c r="F7930" t="str">
        <f>"13-I14-03"</f>
        <v>13-I14-03</v>
      </c>
      <c r="G7930">
        <v>0.87760000000000005</v>
      </c>
      <c r="H7930" t="s">
        <v>9</v>
      </c>
      <c r="I7930" t="s">
        <v>10</v>
      </c>
    </row>
    <row r="7931" spans="1:9" x14ac:dyDescent="0.25">
      <c r="A7931" t="str">
        <f t="shared" si="192"/>
        <v>89301000</v>
      </c>
      <c r="B7931" t="str">
        <f>"5754071807"</f>
        <v>5754071807</v>
      </c>
      <c r="C7931" s="1">
        <v>44998</v>
      </c>
      <c r="D7931" s="1">
        <v>45000</v>
      </c>
      <c r="E7931">
        <v>1</v>
      </c>
      <c r="F7931" t="str">
        <f>"05-I30-02"</f>
        <v>05-I30-02</v>
      </c>
      <c r="G7931">
        <v>0.41699999999999998</v>
      </c>
      <c r="H7931" t="s">
        <v>12</v>
      </c>
      <c r="I7931" t="s">
        <v>10</v>
      </c>
    </row>
    <row r="7932" spans="1:9" x14ac:dyDescent="0.25">
      <c r="A7932" t="str">
        <f t="shared" si="192"/>
        <v>89301000</v>
      </c>
      <c r="B7932" t="str">
        <f>"5754121813"</f>
        <v>5754121813</v>
      </c>
      <c r="C7932" s="1">
        <v>44936</v>
      </c>
      <c r="D7932" s="1">
        <v>44937</v>
      </c>
      <c r="E7932">
        <v>1</v>
      </c>
      <c r="F7932" t="str">
        <f>"05-D01-06"</f>
        <v>05-D01-06</v>
      </c>
      <c r="G7932">
        <v>0.7571</v>
      </c>
      <c r="H7932" t="s">
        <v>11</v>
      </c>
      <c r="I7932" t="s">
        <v>10</v>
      </c>
    </row>
    <row r="7933" spans="1:9" x14ac:dyDescent="0.25">
      <c r="A7933" t="str">
        <f t="shared" si="192"/>
        <v>89301000</v>
      </c>
      <c r="B7933" t="str">
        <f>"5754131471"</f>
        <v>5754131471</v>
      </c>
      <c r="C7933" s="1">
        <v>45034</v>
      </c>
      <c r="D7933" s="1">
        <v>45037</v>
      </c>
      <c r="E7933">
        <v>1</v>
      </c>
      <c r="F7933" t="str">
        <f>"07-M02-02"</f>
        <v>07-M02-02</v>
      </c>
      <c r="G7933">
        <v>2.0733000000000001</v>
      </c>
      <c r="H7933" t="s">
        <v>12</v>
      </c>
      <c r="I7933" t="s">
        <v>10</v>
      </c>
    </row>
    <row r="7934" spans="1:9" x14ac:dyDescent="0.25">
      <c r="A7934" t="str">
        <f t="shared" si="192"/>
        <v>89301000</v>
      </c>
      <c r="B7934" t="str">
        <f>"5754131471"</f>
        <v>5754131471</v>
      </c>
      <c r="C7934" s="1">
        <v>45075</v>
      </c>
      <c r="D7934" s="1">
        <v>45082</v>
      </c>
      <c r="E7934">
        <v>1</v>
      </c>
      <c r="F7934" t="str">
        <f>"07-I10-02"</f>
        <v>07-I10-02</v>
      </c>
      <c r="G7934">
        <v>2.0217999999999998</v>
      </c>
      <c r="H7934" t="s">
        <v>12</v>
      </c>
      <c r="I7934" t="s">
        <v>10</v>
      </c>
    </row>
    <row r="7935" spans="1:9" x14ac:dyDescent="0.25">
      <c r="A7935" t="str">
        <f t="shared" si="192"/>
        <v>89301000</v>
      </c>
      <c r="B7935" t="str">
        <f>"5754291268"</f>
        <v>5754291268</v>
      </c>
      <c r="C7935" s="1">
        <v>45069</v>
      </c>
      <c r="D7935" s="1">
        <v>45071</v>
      </c>
      <c r="E7935">
        <v>1</v>
      </c>
      <c r="F7935" t="str">
        <f>"04-K10-02"</f>
        <v>04-K10-02</v>
      </c>
      <c r="G7935">
        <v>0.40129999999999999</v>
      </c>
      <c r="H7935" t="s">
        <v>11</v>
      </c>
      <c r="I7935" t="s">
        <v>10</v>
      </c>
    </row>
    <row r="7936" spans="1:9" x14ac:dyDescent="0.25">
      <c r="A7936" t="str">
        <f t="shared" si="192"/>
        <v>89301000</v>
      </c>
      <c r="B7936" t="str">
        <f>"5754291268"</f>
        <v>5754291268</v>
      </c>
      <c r="C7936" s="1">
        <v>45106</v>
      </c>
      <c r="D7936" s="1">
        <v>45107</v>
      </c>
      <c r="E7936">
        <v>1</v>
      </c>
      <c r="F7936" t="str">
        <f>"04-K09-03"</f>
        <v>04-K09-03</v>
      </c>
      <c r="G7936">
        <v>0.629</v>
      </c>
      <c r="H7936" t="s">
        <v>11</v>
      </c>
      <c r="I7936" t="s">
        <v>10</v>
      </c>
    </row>
    <row r="7937" spans="1:9" x14ac:dyDescent="0.25">
      <c r="A7937" t="str">
        <f t="shared" si="192"/>
        <v>89301000</v>
      </c>
      <c r="B7937" t="str">
        <f>"5754291268"</f>
        <v>5754291268</v>
      </c>
      <c r="C7937" s="1">
        <v>45118</v>
      </c>
      <c r="D7937" s="1">
        <v>45125</v>
      </c>
      <c r="E7937">
        <v>1</v>
      </c>
      <c r="F7937" t="str">
        <f>"04-I02-03"</f>
        <v>04-I02-03</v>
      </c>
      <c r="G7937">
        <v>3.5158999999999998</v>
      </c>
      <c r="H7937" t="s">
        <v>14</v>
      </c>
      <c r="I7937" t="s">
        <v>10</v>
      </c>
    </row>
    <row r="7938" spans="1:9" x14ac:dyDescent="0.25">
      <c r="A7938" t="str">
        <f t="shared" si="192"/>
        <v>89301000</v>
      </c>
      <c r="B7938" t="str">
        <f>"5755011966"</f>
        <v>5755011966</v>
      </c>
      <c r="C7938" s="1">
        <v>45180</v>
      </c>
      <c r="D7938" s="1">
        <v>45183</v>
      </c>
      <c r="E7938">
        <v>1</v>
      </c>
      <c r="F7938" t="str">
        <f>"08-I10-01"</f>
        <v>08-I10-01</v>
      </c>
      <c r="G7938">
        <v>1.2050000000000001</v>
      </c>
      <c r="H7938" t="s">
        <v>12</v>
      </c>
      <c r="I7938" t="s">
        <v>10</v>
      </c>
    </row>
    <row r="7939" spans="1:9" x14ac:dyDescent="0.25">
      <c r="A7939" t="str">
        <f t="shared" si="192"/>
        <v>89301000</v>
      </c>
      <c r="B7939" t="str">
        <f>"5755090594"</f>
        <v>5755090594</v>
      </c>
      <c r="C7939" s="1">
        <v>45259</v>
      </c>
      <c r="D7939" s="1">
        <v>45264</v>
      </c>
      <c r="E7939">
        <v>4</v>
      </c>
      <c r="F7939" t="str">
        <f>"08-I06-04"</f>
        <v>08-I06-04</v>
      </c>
      <c r="G7939">
        <v>2.4180000000000001</v>
      </c>
      <c r="H7939" t="s">
        <v>9</v>
      </c>
      <c r="I7939" t="s">
        <v>10</v>
      </c>
    </row>
    <row r="7940" spans="1:9" x14ac:dyDescent="0.25">
      <c r="A7940" t="str">
        <f t="shared" si="192"/>
        <v>89301000</v>
      </c>
      <c r="B7940" t="str">
        <f>"5755102441"</f>
        <v>5755102441</v>
      </c>
      <c r="C7940" s="1">
        <v>44949</v>
      </c>
      <c r="D7940" s="1">
        <v>44953</v>
      </c>
      <c r="E7940">
        <v>1</v>
      </c>
      <c r="F7940" t="str">
        <f>"05-K07-05"</f>
        <v>05-K07-05</v>
      </c>
      <c r="G7940">
        <v>0.75139999999999996</v>
      </c>
      <c r="H7940" t="s">
        <v>11</v>
      </c>
      <c r="I7940" t="s">
        <v>10</v>
      </c>
    </row>
    <row r="7941" spans="1:9" x14ac:dyDescent="0.25">
      <c r="A7941" t="str">
        <f t="shared" si="192"/>
        <v>89301000</v>
      </c>
      <c r="B7941" t="str">
        <f>"5755102441"</f>
        <v>5755102441</v>
      </c>
      <c r="C7941" s="1">
        <v>45194</v>
      </c>
      <c r="D7941" s="1">
        <v>45195</v>
      </c>
      <c r="E7941">
        <v>1</v>
      </c>
      <c r="F7941" t="str">
        <f>"05-K04-02"</f>
        <v>05-K04-02</v>
      </c>
      <c r="G7941">
        <v>0.3851</v>
      </c>
      <c r="H7941" t="s">
        <v>11</v>
      </c>
      <c r="I7941" t="s">
        <v>10</v>
      </c>
    </row>
    <row r="7942" spans="1:9" x14ac:dyDescent="0.25">
      <c r="A7942" t="str">
        <f t="shared" si="192"/>
        <v>89301000</v>
      </c>
      <c r="B7942" t="str">
        <f>"5755102441"</f>
        <v>5755102441</v>
      </c>
      <c r="C7942" s="1">
        <v>45127</v>
      </c>
      <c r="D7942" s="1">
        <v>45128</v>
      </c>
      <c r="E7942">
        <v>1</v>
      </c>
      <c r="F7942" t="str">
        <f>"05-M06-08"</f>
        <v>05-M06-08</v>
      </c>
      <c r="G7942">
        <v>1.4228000000000001</v>
      </c>
      <c r="H7942" t="s">
        <v>12</v>
      </c>
      <c r="I7942" t="s">
        <v>10</v>
      </c>
    </row>
    <row r="7943" spans="1:9" x14ac:dyDescent="0.25">
      <c r="A7943" t="str">
        <f t="shared" si="192"/>
        <v>89301000</v>
      </c>
      <c r="B7943" t="str">
        <f>"5755102441"</f>
        <v>5755102441</v>
      </c>
      <c r="C7943" s="1">
        <v>44980</v>
      </c>
      <c r="D7943" s="1">
        <v>44988</v>
      </c>
      <c r="E7943">
        <v>1</v>
      </c>
      <c r="F7943" t="str">
        <f>"05-K07-05"</f>
        <v>05-K07-05</v>
      </c>
      <c r="G7943">
        <v>0.74719999999999998</v>
      </c>
      <c r="H7943" t="s">
        <v>11</v>
      </c>
      <c r="I7943" t="s">
        <v>10</v>
      </c>
    </row>
    <row r="7944" spans="1:9" x14ac:dyDescent="0.25">
      <c r="A7944" t="str">
        <f t="shared" si="192"/>
        <v>89301000</v>
      </c>
      <c r="B7944" t="str">
        <f>"5755161544"</f>
        <v>5755161544</v>
      </c>
      <c r="C7944" s="1">
        <v>45131</v>
      </c>
      <c r="D7944" s="1">
        <v>45133</v>
      </c>
      <c r="E7944">
        <v>1</v>
      </c>
      <c r="F7944" t="str">
        <f>"11-M02-07"</f>
        <v>11-M02-07</v>
      </c>
      <c r="G7944">
        <v>0.64419999999999999</v>
      </c>
      <c r="H7944" t="s">
        <v>11</v>
      </c>
      <c r="I7944" t="s">
        <v>10</v>
      </c>
    </row>
    <row r="7945" spans="1:9" x14ac:dyDescent="0.25">
      <c r="A7945" t="str">
        <f t="shared" si="192"/>
        <v>89301000</v>
      </c>
      <c r="B7945" t="str">
        <f>"5755161544"</f>
        <v>5755161544</v>
      </c>
      <c r="C7945" s="1">
        <v>45100</v>
      </c>
      <c r="D7945" s="1">
        <v>45105</v>
      </c>
      <c r="E7945">
        <v>1</v>
      </c>
      <c r="F7945" t="str">
        <f>"05-I24-01"</f>
        <v>05-I24-01</v>
      </c>
      <c r="G7945">
        <v>5.2704000000000004</v>
      </c>
      <c r="H7945" t="s">
        <v>12</v>
      </c>
      <c r="I7945" t="s">
        <v>10</v>
      </c>
    </row>
    <row r="7946" spans="1:9" x14ac:dyDescent="0.25">
      <c r="A7946" t="str">
        <f t="shared" si="192"/>
        <v>89301000</v>
      </c>
      <c r="B7946" t="str">
        <f>"5755192311"</f>
        <v>5755192311</v>
      </c>
      <c r="C7946" s="1">
        <v>45280</v>
      </c>
      <c r="D7946" s="1">
        <v>45281</v>
      </c>
      <c r="E7946">
        <v>1</v>
      </c>
      <c r="F7946" t="str">
        <f>"07-K06-02"</f>
        <v>07-K06-02</v>
      </c>
      <c r="G7946">
        <v>0.47520000000000001</v>
      </c>
      <c r="H7946" t="s">
        <v>11</v>
      </c>
      <c r="I7946" t="s">
        <v>10</v>
      </c>
    </row>
    <row r="7947" spans="1:9" x14ac:dyDescent="0.25">
      <c r="A7947" t="str">
        <f t="shared" si="192"/>
        <v>89301000</v>
      </c>
      <c r="B7947" t="str">
        <f>"5755211154"</f>
        <v>5755211154</v>
      </c>
      <c r="C7947" s="1">
        <v>45256</v>
      </c>
      <c r="D7947" s="1">
        <v>45266</v>
      </c>
      <c r="E7947">
        <v>1</v>
      </c>
      <c r="F7947" t="str">
        <f>"01-K10-03"</f>
        <v>01-K10-03</v>
      </c>
      <c r="G7947">
        <v>1.0348999999999999</v>
      </c>
      <c r="H7947" t="s">
        <v>11</v>
      </c>
      <c r="I7947" t="s">
        <v>10</v>
      </c>
    </row>
    <row r="7948" spans="1:9" x14ac:dyDescent="0.25">
      <c r="A7948" t="str">
        <f t="shared" si="192"/>
        <v>89301000</v>
      </c>
      <c r="B7948" t="str">
        <f t="shared" ref="B7948:B7958" si="193">"5755242152"</f>
        <v>5755242152</v>
      </c>
      <c r="C7948" s="1">
        <v>45034</v>
      </c>
      <c r="D7948" s="1">
        <v>45041</v>
      </c>
      <c r="E7948">
        <v>1</v>
      </c>
      <c r="F7948" t="str">
        <f>"04-K07-02"</f>
        <v>04-K07-02</v>
      </c>
      <c r="G7948">
        <v>1.1585000000000001</v>
      </c>
      <c r="H7948" t="s">
        <v>11</v>
      </c>
      <c r="I7948" t="s">
        <v>10</v>
      </c>
    </row>
    <row r="7949" spans="1:9" x14ac:dyDescent="0.25">
      <c r="A7949" t="str">
        <f t="shared" si="192"/>
        <v>89301000</v>
      </c>
      <c r="B7949" t="str">
        <f t="shared" si="193"/>
        <v>5755242152</v>
      </c>
      <c r="C7949" s="1">
        <v>44939</v>
      </c>
      <c r="D7949" s="1">
        <v>44940</v>
      </c>
      <c r="E7949">
        <v>1</v>
      </c>
      <c r="F7949" t="str">
        <f>"23-K06-00"</f>
        <v>23-K06-00</v>
      </c>
      <c r="G7949">
        <v>0.63160000000000005</v>
      </c>
      <c r="H7949" t="s">
        <v>11</v>
      </c>
      <c r="I7949" t="s">
        <v>10</v>
      </c>
    </row>
    <row r="7950" spans="1:9" x14ac:dyDescent="0.25">
      <c r="A7950" t="str">
        <f t="shared" si="192"/>
        <v>89301000</v>
      </c>
      <c r="B7950" t="str">
        <f t="shared" si="193"/>
        <v>5755242152</v>
      </c>
      <c r="C7950" s="1">
        <v>44952</v>
      </c>
      <c r="D7950" s="1">
        <v>44958</v>
      </c>
      <c r="E7950">
        <v>1</v>
      </c>
      <c r="F7950" t="str">
        <f>"04-K07-02"</f>
        <v>04-K07-02</v>
      </c>
      <c r="G7950">
        <v>1.1275999999999999</v>
      </c>
      <c r="H7950" t="s">
        <v>11</v>
      </c>
      <c r="I7950" t="s">
        <v>10</v>
      </c>
    </row>
    <row r="7951" spans="1:9" x14ac:dyDescent="0.25">
      <c r="A7951" t="str">
        <f t="shared" si="192"/>
        <v>89301000</v>
      </c>
      <c r="B7951" t="str">
        <f t="shared" si="193"/>
        <v>5755242152</v>
      </c>
      <c r="C7951" s="1">
        <v>45194</v>
      </c>
      <c r="D7951" s="1">
        <v>45202</v>
      </c>
      <c r="E7951">
        <v>7</v>
      </c>
      <c r="F7951" t="str">
        <f>"04-K07-02"</f>
        <v>04-K07-02</v>
      </c>
      <c r="G7951">
        <v>1.1817</v>
      </c>
      <c r="H7951" t="s">
        <v>11</v>
      </c>
      <c r="I7951" t="s">
        <v>10</v>
      </c>
    </row>
    <row r="7952" spans="1:9" x14ac:dyDescent="0.25">
      <c r="A7952" t="str">
        <f t="shared" si="192"/>
        <v>89301000</v>
      </c>
      <c r="B7952" t="str">
        <f t="shared" si="193"/>
        <v>5755242152</v>
      </c>
      <c r="C7952" s="1">
        <v>45147</v>
      </c>
      <c r="D7952" s="1">
        <v>45152</v>
      </c>
      <c r="E7952">
        <v>1</v>
      </c>
      <c r="F7952" t="str">
        <f>"04-K08-04"</f>
        <v>04-K08-04</v>
      </c>
      <c r="G7952">
        <v>0.94240000000000002</v>
      </c>
      <c r="H7952" t="s">
        <v>11</v>
      </c>
      <c r="I7952" t="s">
        <v>10</v>
      </c>
    </row>
    <row r="7953" spans="1:9" x14ac:dyDescent="0.25">
      <c r="A7953" t="str">
        <f t="shared" si="192"/>
        <v>89301000</v>
      </c>
      <c r="B7953" t="str">
        <f t="shared" si="193"/>
        <v>5755242152</v>
      </c>
      <c r="C7953" s="1">
        <v>45014</v>
      </c>
      <c r="D7953" s="1">
        <v>45019</v>
      </c>
      <c r="E7953">
        <v>1</v>
      </c>
      <c r="F7953" t="str">
        <f>"04-K07-02"</f>
        <v>04-K07-02</v>
      </c>
      <c r="G7953">
        <v>1.1366000000000001</v>
      </c>
      <c r="H7953" t="s">
        <v>11</v>
      </c>
      <c r="I7953" t="s">
        <v>10</v>
      </c>
    </row>
    <row r="7954" spans="1:9" x14ac:dyDescent="0.25">
      <c r="A7954" t="str">
        <f t="shared" si="192"/>
        <v>89301000</v>
      </c>
      <c r="B7954" t="str">
        <f t="shared" si="193"/>
        <v>5755242152</v>
      </c>
      <c r="C7954" s="1">
        <v>44998</v>
      </c>
      <c r="D7954" s="1">
        <v>45001</v>
      </c>
      <c r="E7954">
        <v>1</v>
      </c>
      <c r="F7954" t="str">
        <f>"04-K07-02"</f>
        <v>04-K07-02</v>
      </c>
      <c r="G7954">
        <v>1.1275999999999999</v>
      </c>
      <c r="H7954" t="s">
        <v>11</v>
      </c>
      <c r="I7954" t="s">
        <v>10</v>
      </c>
    </row>
    <row r="7955" spans="1:9" x14ac:dyDescent="0.25">
      <c r="A7955" t="str">
        <f t="shared" si="192"/>
        <v>89301000</v>
      </c>
      <c r="B7955" t="str">
        <f t="shared" si="193"/>
        <v>5755242152</v>
      </c>
      <c r="C7955" s="1">
        <v>44973</v>
      </c>
      <c r="D7955" s="1">
        <v>44978</v>
      </c>
      <c r="E7955">
        <v>1</v>
      </c>
      <c r="F7955" t="str">
        <f>"04-K08-04"</f>
        <v>04-K08-04</v>
      </c>
      <c r="G7955">
        <v>0.91639999999999999</v>
      </c>
      <c r="H7955" t="s">
        <v>11</v>
      </c>
      <c r="I7955" t="s">
        <v>10</v>
      </c>
    </row>
    <row r="7956" spans="1:9" x14ac:dyDescent="0.25">
      <c r="A7956" t="str">
        <f t="shared" si="192"/>
        <v>89301000</v>
      </c>
      <c r="B7956" t="str">
        <f t="shared" si="193"/>
        <v>5755242152</v>
      </c>
      <c r="C7956" s="1">
        <v>45050</v>
      </c>
      <c r="D7956" s="1">
        <v>45057</v>
      </c>
      <c r="E7956">
        <v>1</v>
      </c>
      <c r="F7956" t="str">
        <f>"04-K07-02"</f>
        <v>04-K07-02</v>
      </c>
      <c r="G7956">
        <v>1.1275999999999999</v>
      </c>
      <c r="H7956" t="s">
        <v>11</v>
      </c>
      <c r="I7956" t="s">
        <v>10</v>
      </c>
    </row>
    <row r="7957" spans="1:9" x14ac:dyDescent="0.25">
      <c r="A7957" t="str">
        <f t="shared" si="192"/>
        <v>89301000</v>
      </c>
      <c r="B7957" t="str">
        <f t="shared" si="193"/>
        <v>5755242152</v>
      </c>
      <c r="C7957" s="1">
        <v>45075</v>
      </c>
      <c r="D7957" s="1">
        <v>45082</v>
      </c>
      <c r="E7957">
        <v>1</v>
      </c>
      <c r="F7957" t="str">
        <f>"04-K07-02"</f>
        <v>04-K07-02</v>
      </c>
      <c r="G7957">
        <v>1.2001999999999999</v>
      </c>
      <c r="H7957" t="s">
        <v>11</v>
      </c>
      <c r="I7957" t="s">
        <v>10</v>
      </c>
    </row>
    <row r="7958" spans="1:9" x14ac:dyDescent="0.25">
      <c r="A7958" t="str">
        <f t="shared" si="192"/>
        <v>89301000</v>
      </c>
      <c r="B7958" t="str">
        <f t="shared" si="193"/>
        <v>5755242152</v>
      </c>
      <c r="C7958" s="1">
        <v>45105</v>
      </c>
      <c r="D7958" s="1">
        <v>45111</v>
      </c>
      <c r="E7958">
        <v>1</v>
      </c>
      <c r="F7958" t="str">
        <f>"04-K03-02"</f>
        <v>04-K03-02</v>
      </c>
      <c r="G7958">
        <v>0.80810000000000004</v>
      </c>
      <c r="H7958" t="s">
        <v>11</v>
      </c>
      <c r="I7958" t="s">
        <v>10</v>
      </c>
    </row>
    <row r="7959" spans="1:9" x14ac:dyDescent="0.25">
      <c r="A7959" t="str">
        <f t="shared" si="192"/>
        <v>89301000</v>
      </c>
      <c r="B7959" t="str">
        <f>"5755260786"</f>
        <v>5755260786</v>
      </c>
      <c r="C7959" s="1">
        <v>45157</v>
      </c>
      <c r="D7959" s="1">
        <v>45169</v>
      </c>
      <c r="E7959">
        <v>1</v>
      </c>
      <c r="F7959" t="str">
        <f>"09-K01-02"</f>
        <v>09-K01-02</v>
      </c>
      <c r="G7959">
        <v>1.0348999999999999</v>
      </c>
      <c r="H7959" t="s">
        <v>11</v>
      </c>
      <c r="I7959" t="s">
        <v>10</v>
      </c>
    </row>
    <row r="7960" spans="1:9" x14ac:dyDescent="0.25">
      <c r="A7960" t="str">
        <f t="shared" si="192"/>
        <v>89301000</v>
      </c>
      <c r="B7960" t="str">
        <f>"5755260786"</f>
        <v>5755260786</v>
      </c>
      <c r="C7960" s="1">
        <v>45047</v>
      </c>
      <c r="D7960" s="1">
        <v>45050</v>
      </c>
      <c r="E7960">
        <v>1</v>
      </c>
      <c r="F7960" t="str">
        <f>"05-K14-02"</f>
        <v>05-K14-02</v>
      </c>
      <c r="G7960">
        <v>0.92110000000000003</v>
      </c>
      <c r="H7960" t="s">
        <v>11</v>
      </c>
      <c r="I7960" t="s">
        <v>10</v>
      </c>
    </row>
    <row r="7961" spans="1:9" x14ac:dyDescent="0.25">
      <c r="A7961" t="str">
        <f t="shared" si="192"/>
        <v>89301000</v>
      </c>
      <c r="B7961" t="str">
        <f>"5755291773"</f>
        <v>5755291773</v>
      </c>
      <c r="C7961" s="1">
        <v>44924</v>
      </c>
      <c r="D7961" s="1">
        <v>44947</v>
      </c>
      <c r="E7961">
        <v>5</v>
      </c>
      <c r="F7961" t="str">
        <f>"00-M01-02"</f>
        <v>00-M01-02</v>
      </c>
      <c r="G7961">
        <v>13.5434</v>
      </c>
      <c r="H7961" t="s">
        <v>11</v>
      </c>
      <c r="I7961" t="s">
        <v>10</v>
      </c>
    </row>
    <row r="7962" spans="1:9" x14ac:dyDescent="0.25">
      <c r="A7962" t="str">
        <f t="shared" si="192"/>
        <v>89301000</v>
      </c>
      <c r="B7962" t="str">
        <f>"5755302377"</f>
        <v>5755302377</v>
      </c>
      <c r="C7962" s="1">
        <v>45117</v>
      </c>
      <c r="D7962" s="1">
        <v>45123</v>
      </c>
      <c r="E7962">
        <v>1</v>
      </c>
      <c r="F7962" t="str">
        <f>"08-I03-06"</f>
        <v>08-I03-06</v>
      </c>
      <c r="G7962">
        <v>3.2523</v>
      </c>
      <c r="H7962" t="s">
        <v>9</v>
      </c>
      <c r="I7962" t="s">
        <v>10</v>
      </c>
    </row>
    <row r="7963" spans="1:9" x14ac:dyDescent="0.25">
      <c r="A7963" t="str">
        <f t="shared" si="192"/>
        <v>89301000</v>
      </c>
      <c r="B7963" t="str">
        <f>"5755311969"</f>
        <v>5755311969</v>
      </c>
      <c r="C7963" s="1">
        <v>45002</v>
      </c>
      <c r="D7963" s="1">
        <v>45003</v>
      </c>
      <c r="E7963">
        <v>1</v>
      </c>
      <c r="F7963" t="str">
        <f>"05-M05-03"</f>
        <v>05-M05-03</v>
      </c>
      <c r="G7963">
        <v>2.0312999999999999</v>
      </c>
      <c r="H7963" t="s">
        <v>14</v>
      </c>
      <c r="I7963" t="s">
        <v>10</v>
      </c>
    </row>
    <row r="7964" spans="1:9" x14ac:dyDescent="0.25">
      <c r="A7964" t="str">
        <f t="shared" si="192"/>
        <v>89301000</v>
      </c>
      <c r="B7964" t="str">
        <f>"5756100911"</f>
        <v>5756100911</v>
      </c>
      <c r="C7964" s="1">
        <v>44958</v>
      </c>
      <c r="D7964" s="1">
        <v>44963</v>
      </c>
      <c r="E7964">
        <v>1</v>
      </c>
      <c r="F7964" t="str">
        <f>"01-C02-02"</f>
        <v>01-C02-02</v>
      </c>
      <c r="G7964">
        <v>1.6685000000000001</v>
      </c>
      <c r="H7964" t="s">
        <v>11</v>
      </c>
      <c r="I7964" t="s">
        <v>10</v>
      </c>
    </row>
    <row r="7965" spans="1:9" x14ac:dyDescent="0.25">
      <c r="A7965" t="str">
        <f t="shared" si="192"/>
        <v>89301000</v>
      </c>
      <c r="B7965" t="str">
        <f>"5756100944"</f>
        <v>5756100944</v>
      </c>
      <c r="C7965" s="1">
        <v>45204</v>
      </c>
      <c r="D7965" s="1">
        <v>45205</v>
      </c>
      <c r="E7965">
        <v>1</v>
      </c>
      <c r="F7965" t="str">
        <f>"02-I06-04"</f>
        <v>02-I06-04</v>
      </c>
      <c r="G7965">
        <v>0.79630000000000001</v>
      </c>
      <c r="H7965" t="s">
        <v>12</v>
      </c>
      <c r="I7965" t="s">
        <v>10</v>
      </c>
    </row>
    <row r="7966" spans="1:9" x14ac:dyDescent="0.25">
      <c r="A7966" t="str">
        <f t="shared" si="192"/>
        <v>89301000</v>
      </c>
      <c r="B7966" t="str">
        <f>"5756130391"</f>
        <v>5756130391</v>
      </c>
      <c r="C7966" s="1">
        <v>45041</v>
      </c>
      <c r="D7966" s="1">
        <v>45051</v>
      </c>
      <c r="E7966">
        <v>1</v>
      </c>
      <c r="F7966" t="str">
        <f>"24-M06-02"</f>
        <v>24-M06-02</v>
      </c>
      <c r="G7966">
        <v>1.0699000000000001</v>
      </c>
      <c r="H7966" t="s">
        <v>11</v>
      </c>
      <c r="I7966" t="s">
        <v>10</v>
      </c>
    </row>
    <row r="7967" spans="1:9" x14ac:dyDescent="0.25">
      <c r="A7967" t="str">
        <f t="shared" si="192"/>
        <v>89301000</v>
      </c>
      <c r="B7967" t="str">
        <f>"5756201803"</f>
        <v>5756201803</v>
      </c>
      <c r="C7967" s="1">
        <v>45254</v>
      </c>
      <c r="D7967" s="1">
        <v>45257</v>
      </c>
      <c r="E7967">
        <v>1</v>
      </c>
      <c r="F7967" t="str">
        <f>"03-K03-02"</f>
        <v>03-K03-02</v>
      </c>
      <c r="G7967">
        <v>0.51949999999999996</v>
      </c>
      <c r="H7967" t="s">
        <v>11</v>
      </c>
      <c r="I7967" t="s">
        <v>10</v>
      </c>
    </row>
    <row r="7968" spans="1:9" x14ac:dyDescent="0.25">
      <c r="A7968" t="str">
        <f t="shared" si="192"/>
        <v>89301000</v>
      </c>
      <c r="B7968" t="str">
        <f>"5756232108"</f>
        <v>5756232108</v>
      </c>
      <c r="C7968" s="1">
        <v>45258</v>
      </c>
      <c r="D7968" s="1">
        <v>45271</v>
      </c>
      <c r="E7968">
        <v>4</v>
      </c>
      <c r="F7968" t="str">
        <f>"08-I05-05"</f>
        <v>08-I05-05</v>
      </c>
      <c r="G7968">
        <v>2.6461000000000001</v>
      </c>
      <c r="H7968" t="s">
        <v>12</v>
      </c>
      <c r="I7968" t="s">
        <v>10</v>
      </c>
    </row>
    <row r="7969" spans="1:9" x14ac:dyDescent="0.25">
      <c r="A7969" t="str">
        <f t="shared" si="192"/>
        <v>89301000</v>
      </c>
      <c r="B7969" t="str">
        <f>"5756232108"</f>
        <v>5756232108</v>
      </c>
      <c r="C7969" s="1">
        <v>44953</v>
      </c>
      <c r="D7969" s="1">
        <v>44981</v>
      </c>
      <c r="E7969">
        <v>1</v>
      </c>
      <c r="F7969" t="str">
        <f>"08-I05-03"</f>
        <v>08-I05-03</v>
      </c>
      <c r="G7969">
        <v>3.3738000000000001</v>
      </c>
      <c r="H7969" t="s">
        <v>12</v>
      </c>
      <c r="I7969" t="s">
        <v>10</v>
      </c>
    </row>
    <row r="7970" spans="1:9" x14ac:dyDescent="0.25">
      <c r="A7970" t="str">
        <f t="shared" si="192"/>
        <v>89301000</v>
      </c>
      <c r="B7970" t="str">
        <f>"5756232218"</f>
        <v>5756232218</v>
      </c>
      <c r="C7970" s="1">
        <v>45187</v>
      </c>
      <c r="D7970" s="1">
        <v>45191</v>
      </c>
      <c r="E7970">
        <v>1</v>
      </c>
      <c r="F7970" t="str">
        <f>"17-I10-02"</f>
        <v>17-I10-02</v>
      </c>
      <c r="G7970">
        <v>0.84730000000000005</v>
      </c>
      <c r="H7970" t="s">
        <v>11</v>
      </c>
      <c r="I7970" t="s">
        <v>10</v>
      </c>
    </row>
    <row r="7971" spans="1:9" x14ac:dyDescent="0.25">
      <c r="A7971" t="str">
        <f t="shared" si="192"/>
        <v>89301000</v>
      </c>
      <c r="B7971" t="str">
        <f>"5756232218"</f>
        <v>5756232218</v>
      </c>
      <c r="C7971" s="1">
        <v>45166</v>
      </c>
      <c r="D7971" s="1">
        <v>45171</v>
      </c>
      <c r="E7971">
        <v>1</v>
      </c>
      <c r="F7971" t="str">
        <f>"09-I06-04"</f>
        <v>09-I06-04</v>
      </c>
      <c r="G7971">
        <v>0.95069999999999999</v>
      </c>
      <c r="H7971" t="s">
        <v>12</v>
      </c>
      <c r="I7971" t="s">
        <v>10</v>
      </c>
    </row>
    <row r="7972" spans="1:9" x14ac:dyDescent="0.25">
      <c r="A7972" t="str">
        <f t="shared" si="192"/>
        <v>89301000</v>
      </c>
      <c r="B7972" t="str">
        <f>"5757041092"</f>
        <v>5757041092</v>
      </c>
      <c r="C7972" s="1">
        <v>45208</v>
      </c>
      <c r="D7972" s="1">
        <v>45211</v>
      </c>
      <c r="E7972">
        <v>1</v>
      </c>
      <c r="F7972" t="str">
        <f>"08-M03-05"</f>
        <v>08-M03-05</v>
      </c>
      <c r="G7972">
        <v>0.46810000000000002</v>
      </c>
      <c r="H7972" t="s">
        <v>11</v>
      </c>
      <c r="I7972" t="s">
        <v>10</v>
      </c>
    </row>
    <row r="7973" spans="1:9" x14ac:dyDescent="0.25">
      <c r="A7973" t="str">
        <f t="shared" si="192"/>
        <v>89301000</v>
      </c>
      <c r="B7973" t="str">
        <f>"5757081847"</f>
        <v>5757081847</v>
      </c>
      <c r="C7973" s="1">
        <v>45036</v>
      </c>
      <c r="D7973" s="1">
        <v>45040</v>
      </c>
      <c r="E7973">
        <v>3</v>
      </c>
      <c r="F7973" t="str">
        <f>"08-I06-04"</f>
        <v>08-I06-04</v>
      </c>
      <c r="G7973">
        <v>2.3702000000000001</v>
      </c>
      <c r="H7973" t="s">
        <v>9</v>
      </c>
      <c r="I7973" t="s">
        <v>10</v>
      </c>
    </row>
    <row r="7974" spans="1:9" x14ac:dyDescent="0.25">
      <c r="A7974" t="str">
        <f t="shared" si="192"/>
        <v>89301000</v>
      </c>
      <c r="B7974" t="str">
        <f>"5757081847"</f>
        <v>5757081847</v>
      </c>
      <c r="C7974" s="1">
        <v>45040</v>
      </c>
      <c r="D7974" s="1">
        <v>45051</v>
      </c>
      <c r="E7974">
        <v>1</v>
      </c>
      <c r="F7974" t="str">
        <f>"24-M06-02"</f>
        <v>24-M06-02</v>
      </c>
      <c r="G7974">
        <v>1.0699000000000001</v>
      </c>
      <c r="H7974" t="s">
        <v>11</v>
      </c>
      <c r="I7974" t="s">
        <v>10</v>
      </c>
    </row>
    <row r="7975" spans="1:9" x14ac:dyDescent="0.25">
      <c r="A7975" t="str">
        <f t="shared" si="192"/>
        <v>89301000</v>
      </c>
      <c r="B7975" t="str">
        <f>"5757161839"</f>
        <v>5757161839</v>
      </c>
      <c r="C7975" s="1">
        <v>45109</v>
      </c>
      <c r="D7975" s="1">
        <v>45112</v>
      </c>
      <c r="E7975">
        <v>1</v>
      </c>
      <c r="F7975" t="str">
        <f>"08-M03-05"</f>
        <v>08-M03-05</v>
      </c>
      <c r="G7975">
        <v>0.46810000000000002</v>
      </c>
      <c r="H7975" t="s">
        <v>11</v>
      </c>
      <c r="I7975" t="s">
        <v>10</v>
      </c>
    </row>
    <row r="7976" spans="1:9" x14ac:dyDescent="0.25">
      <c r="A7976" t="str">
        <f t="shared" si="192"/>
        <v>89301000</v>
      </c>
      <c r="B7976" t="str">
        <f>"5757181716"</f>
        <v>5757181716</v>
      </c>
      <c r="C7976" s="1">
        <v>45180</v>
      </c>
      <c r="D7976" s="1">
        <v>45191</v>
      </c>
      <c r="E7976">
        <v>1</v>
      </c>
      <c r="F7976" t="str">
        <f>"24-M06-02"</f>
        <v>24-M06-02</v>
      </c>
      <c r="G7976">
        <v>1.0699000000000001</v>
      </c>
      <c r="H7976" t="s">
        <v>11</v>
      </c>
      <c r="I7976" t="s">
        <v>10</v>
      </c>
    </row>
    <row r="7977" spans="1:9" x14ac:dyDescent="0.25">
      <c r="A7977" t="str">
        <f t="shared" si="192"/>
        <v>89301000</v>
      </c>
      <c r="B7977" t="str">
        <f>"5757181716"</f>
        <v>5757181716</v>
      </c>
      <c r="C7977" s="1">
        <v>45173</v>
      </c>
      <c r="D7977" s="1">
        <v>45180</v>
      </c>
      <c r="E7977">
        <v>3</v>
      </c>
      <c r="F7977" t="str">
        <f>"08-I05-05"</f>
        <v>08-I05-05</v>
      </c>
      <c r="G7977">
        <v>2.2633000000000001</v>
      </c>
      <c r="H7977" t="s">
        <v>12</v>
      </c>
      <c r="I7977" t="s">
        <v>10</v>
      </c>
    </row>
    <row r="7978" spans="1:9" x14ac:dyDescent="0.25">
      <c r="A7978" t="str">
        <f t="shared" si="192"/>
        <v>89301000</v>
      </c>
      <c r="B7978" t="str">
        <f>"5757206026"</f>
        <v>5757206026</v>
      </c>
      <c r="C7978" s="1">
        <v>45176</v>
      </c>
      <c r="D7978" s="1">
        <v>45176</v>
      </c>
      <c r="E7978">
        <v>1</v>
      </c>
      <c r="F7978" t="str">
        <f>"05-D01-08"</f>
        <v>05-D01-08</v>
      </c>
      <c r="G7978">
        <v>0.2303</v>
      </c>
      <c r="H7978" t="s">
        <v>11</v>
      </c>
      <c r="I7978" t="s">
        <v>10</v>
      </c>
    </row>
    <row r="7979" spans="1:9" x14ac:dyDescent="0.25">
      <c r="A7979" t="str">
        <f t="shared" si="192"/>
        <v>89301000</v>
      </c>
      <c r="B7979" t="str">
        <f>"5757240280"</f>
        <v>5757240280</v>
      </c>
      <c r="C7979" s="1">
        <v>45235</v>
      </c>
      <c r="D7979" s="1">
        <v>45236</v>
      </c>
      <c r="E7979">
        <v>1</v>
      </c>
      <c r="F7979" t="str">
        <f>"09-K13-02"</f>
        <v>09-K13-02</v>
      </c>
      <c r="G7979">
        <v>0.31409999999999999</v>
      </c>
      <c r="H7979" t="s">
        <v>11</v>
      </c>
      <c r="I7979" t="s">
        <v>10</v>
      </c>
    </row>
    <row r="7980" spans="1:9" x14ac:dyDescent="0.25">
      <c r="A7980" t="str">
        <f t="shared" si="192"/>
        <v>89301000</v>
      </c>
      <c r="B7980" t="str">
        <f>"5757271784"</f>
        <v>5757271784</v>
      </c>
      <c r="C7980" s="1">
        <v>45256</v>
      </c>
      <c r="D7980" s="1">
        <v>45259</v>
      </c>
      <c r="E7980">
        <v>1</v>
      </c>
      <c r="F7980" t="str">
        <f>"10-K12-03"</f>
        <v>10-K12-03</v>
      </c>
      <c r="G7980">
        <v>0.5091</v>
      </c>
      <c r="H7980" t="s">
        <v>11</v>
      </c>
      <c r="I7980" t="s">
        <v>10</v>
      </c>
    </row>
    <row r="7981" spans="1:9" x14ac:dyDescent="0.25">
      <c r="A7981" t="str">
        <f t="shared" si="192"/>
        <v>89301000</v>
      </c>
      <c r="B7981" t="str">
        <f>"5758071121"</f>
        <v>5758071121</v>
      </c>
      <c r="C7981" s="1">
        <v>45166</v>
      </c>
      <c r="D7981" s="1">
        <v>45170</v>
      </c>
      <c r="E7981">
        <v>1</v>
      </c>
      <c r="F7981" t="str">
        <f>"08-K02-02"</f>
        <v>08-K02-02</v>
      </c>
      <c r="G7981">
        <v>0.81369999999999998</v>
      </c>
      <c r="H7981" t="s">
        <v>11</v>
      </c>
      <c r="I7981" t="s">
        <v>10</v>
      </c>
    </row>
    <row r="7982" spans="1:9" x14ac:dyDescent="0.25">
      <c r="A7982" t="str">
        <f t="shared" si="192"/>
        <v>89301000</v>
      </c>
      <c r="B7982" t="str">
        <f>"5758101866"</f>
        <v>5758101866</v>
      </c>
      <c r="C7982" s="1">
        <v>45005</v>
      </c>
      <c r="D7982" s="1">
        <v>45006</v>
      </c>
      <c r="E7982">
        <v>1</v>
      </c>
      <c r="F7982" t="str">
        <f>"13-I19-00"</f>
        <v>13-I19-00</v>
      </c>
      <c r="G7982">
        <v>0.28249999999999997</v>
      </c>
      <c r="H7982" t="s">
        <v>11</v>
      </c>
      <c r="I7982" t="s">
        <v>10</v>
      </c>
    </row>
    <row r="7983" spans="1:9" x14ac:dyDescent="0.25">
      <c r="A7983" t="str">
        <f t="shared" si="192"/>
        <v>89301000</v>
      </c>
      <c r="B7983" t="str">
        <f>"5758130950"</f>
        <v>5758130950</v>
      </c>
      <c r="C7983" s="1">
        <v>44978</v>
      </c>
      <c r="D7983" s="1">
        <v>44983</v>
      </c>
      <c r="E7983">
        <v>1</v>
      </c>
      <c r="F7983" t="str">
        <f>"06-I18-04"</f>
        <v>06-I18-04</v>
      </c>
      <c r="G7983">
        <v>1.1088</v>
      </c>
      <c r="H7983" t="s">
        <v>9</v>
      </c>
      <c r="I7983" t="s">
        <v>10</v>
      </c>
    </row>
    <row r="7984" spans="1:9" x14ac:dyDescent="0.25">
      <c r="A7984" t="str">
        <f t="shared" si="192"/>
        <v>89301000</v>
      </c>
      <c r="B7984" t="str">
        <f>"5758190361"</f>
        <v>5758190361</v>
      </c>
      <c r="C7984" s="1">
        <v>44922</v>
      </c>
      <c r="D7984" s="1">
        <v>44949</v>
      </c>
      <c r="E7984">
        <v>1</v>
      </c>
      <c r="F7984" t="str">
        <f>"18-K01-06"</f>
        <v>18-K01-06</v>
      </c>
      <c r="G7984">
        <v>2.0124</v>
      </c>
      <c r="H7984" t="s">
        <v>11</v>
      </c>
      <c r="I7984" t="s">
        <v>10</v>
      </c>
    </row>
    <row r="7985" spans="1:9" x14ac:dyDescent="0.25">
      <c r="A7985" t="str">
        <f t="shared" si="192"/>
        <v>89301000</v>
      </c>
      <c r="B7985" t="str">
        <f>"5759081801"</f>
        <v>5759081801</v>
      </c>
      <c r="C7985" s="1">
        <v>45144</v>
      </c>
      <c r="D7985" s="1">
        <v>45152</v>
      </c>
      <c r="E7985">
        <v>1</v>
      </c>
      <c r="F7985" t="str">
        <f>"04-I02-03"</f>
        <v>04-I02-03</v>
      </c>
      <c r="G7985">
        <v>3.6791</v>
      </c>
      <c r="H7985" t="s">
        <v>14</v>
      </c>
      <c r="I7985" t="s">
        <v>10</v>
      </c>
    </row>
    <row r="7986" spans="1:9" x14ac:dyDescent="0.25">
      <c r="A7986" t="str">
        <f t="shared" si="192"/>
        <v>89301000</v>
      </c>
      <c r="B7986" t="str">
        <f>"5759131708"</f>
        <v>5759131708</v>
      </c>
      <c r="C7986" s="1">
        <v>45000</v>
      </c>
      <c r="D7986" s="1">
        <v>45002</v>
      </c>
      <c r="E7986">
        <v>1</v>
      </c>
      <c r="F7986" t="str">
        <f>"13-R02-02"</f>
        <v>13-R02-02</v>
      </c>
      <c r="G7986">
        <v>0.42759999999999998</v>
      </c>
      <c r="H7986" t="s">
        <v>11</v>
      </c>
      <c r="I7986" t="s">
        <v>10</v>
      </c>
    </row>
    <row r="7987" spans="1:9" x14ac:dyDescent="0.25">
      <c r="A7987" t="str">
        <f t="shared" si="192"/>
        <v>89301000</v>
      </c>
      <c r="B7987" t="str">
        <f>"5759131708"</f>
        <v>5759131708</v>
      </c>
      <c r="C7987" s="1">
        <v>45012</v>
      </c>
      <c r="D7987" s="1">
        <v>45014</v>
      </c>
      <c r="E7987">
        <v>1</v>
      </c>
      <c r="F7987" t="str">
        <f>"13-K08-02"</f>
        <v>13-K08-02</v>
      </c>
      <c r="G7987">
        <v>0.41320000000000001</v>
      </c>
      <c r="H7987" t="s">
        <v>11</v>
      </c>
      <c r="I7987" t="s">
        <v>10</v>
      </c>
    </row>
    <row r="7988" spans="1:9" x14ac:dyDescent="0.25">
      <c r="A7988" t="str">
        <f t="shared" si="192"/>
        <v>89301000</v>
      </c>
      <c r="B7988" t="str">
        <f>"5759131708"</f>
        <v>5759131708</v>
      </c>
      <c r="C7988" s="1">
        <v>45005</v>
      </c>
      <c r="D7988" s="1">
        <v>45009</v>
      </c>
      <c r="E7988">
        <v>1</v>
      </c>
      <c r="F7988" t="str">
        <f>"13-R02-01"</f>
        <v>13-R02-01</v>
      </c>
      <c r="G7988">
        <v>1.7144999999999999</v>
      </c>
      <c r="H7988" t="s">
        <v>11</v>
      </c>
      <c r="I7988" t="s">
        <v>10</v>
      </c>
    </row>
    <row r="7989" spans="1:9" x14ac:dyDescent="0.25">
      <c r="A7989" t="str">
        <f t="shared" si="192"/>
        <v>89301000</v>
      </c>
      <c r="B7989" t="str">
        <f>"5759131708"</f>
        <v>5759131708</v>
      </c>
      <c r="C7989" s="1">
        <v>44993</v>
      </c>
      <c r="D7989" s="1">
        <v>44995</v>
      </c>
      <c r="E7989">
        <v>1</v>
      </c>
      <c r="F7989" t="str">
        <f>"13-R01-08"</f>
        <v>13-R01-08</v>
      </c>
      <c r="G7989">
        <v>0.8387</v>
      </c>
      <c r="H7989" t="s">
        <v>11</v>
      </c>
      <c r="I7989" t="s">
        <v>10</v>
      </c>
    </row>
    <row r="7990" spans="1:9" x14ac:dyDescent="0.25">
      <c r="A7990" t="str">
        <f t="shared" si="192"/>
        <v>89301000</v>
      </c>
      <c r="B7990" t="str">
        <f>"5759201668"</f>
        <v>5759201668</v>
      </c>
      <c r="C7990" s="1">
        <v>45222</v>
      </c>
      <c r="D7990" s="1">
        <v>45229</v>
      </c>
      <c r="E7990">
        <v>1</v>
      </c>
      <c r="F7990" t="str">
        <f>"06-K07-02"</f>
        <v>06-K07-02</v>
      </c>
      <c r="G7990">
        <v>0.4385</v>
      </c>
      <c r="H7990" t="s">
        <v>11</v>
      </c>
      <c r="I7990" t="s">
        <v>10</v>
      </c>
    </row>
    <row r="7991" spans="1:9" x14ac:dyDescent="0.25">
      <c r="A7991" t="str">
        <f t="shared" si="192"/>
        <v>89301000</v>
      </c>
      <c r="B7991" t="str">
        <f>"5759220104"</f>
        <v>5759220104</v>
      </c>
      <c r="C7991" s="1">
        <v>44994</v>
      </c>
      <c r="D7991" s="1">
        <v>44995</v>
      </c>
      <c r="E7991">
        <v>1</v>
      </c>
      <c r="F7991" t="str">
        <f>"05-D01-08"</f>
        <v>05-D01-08</v>
      </c>
      <c r="G7991">
        <v>0.43159999999999998</v>
      </c>
      <c r="H7991" t="s">
        <v>11</v>
      </c>
      <c r="I7991" t="s">
        <v>10</v>
      </c>
    </row>
    <row r="7992" spans="1:9" x14ac:dyDescent="0.25">
      <c r="A7992" t="str">
        <f t="shared" ref="A7992:A8054" si="194">"89301000"</f>
        <v>89301000</v>
      </c>
      <c r="B7992" t="str">
        <f>"5759240333"</f>
        <v>5759240333</v>
      </c>
      <c r="C7992" s="1">
        <v>45008</v>
      </c>
      <c r="D7992" s="1">
        <v>45011</v>
      </c>
      <c r="E7992">
        <v>1</v>
      </c>
      <c r="F7992" t="str">
        <f>"07-I10-06"</f>
        <v>07-I10-06</v>
      </c>
      <c r="G7992">
        <v>0.98419999999999996</v>
      </c>
      <c r="H7992" t="s">
        <v>12</v>
      </c>
      <c r="I7992" t="s">
        <v>10</v>
      </c>
    </row>
    <row r="7993" spans="1:9" x14ac:dyDescent="0.25">
      <c r="A7993" t="str">
        <f t="shared" si="194"/>
        <v>89301000</v>
      </c>
      <c r="B7993" t="str">
        <f>"5759252081"</f>
        <v>5759252081</v>
      </c>
      <c r="C7993" s="1">
        <v>45039</v>
      </c>
      <c r="D7993" s="1">
        <v>45043</v>
      </c>
      <c r="E7993">
        <v>1</v>
      </c>
      <c r="F7993" t="str">
        <f>"13-I11-03"</f>
        <v>13-I11-03</v>
      </c>
      <c r="G7993">
        <v>1.4332</v>
      </c>
      <c r="H7993" t="s">
        <v>9</v>
      </c>
      <c r="I7993" t="s">
        <v>10</v>
      </c>
    </row>
    <row r="7994" spans="1:9" x14ac:dyDescent="0.25">
      <c r="A7994" t="str">
        <f t="shared" si="194"/>
        <v>89301000</v>
      </c>
      <c r="B7994" t="str">
        <f>"5759252081"</f>
        <v>5759252081</v>
      </c>
      <c r="C7994" s="1">
        <v>44956</v>
      </c>
      <c r="D7994" s="1">
        <v>44957</v>
      </c>
      <c r="E7994">
        <v>1</v>
      </c>
      <c r="F7994" t="str">
        <f>"13-I19-00"</f>
        <v>13-I19-00</v>
      </c>
      <c r="G7994">
        <v>0.28249999999999997</v>
      </c>
      <c r="H7994" t="s">
        <v>11</v>
      </c>
      <c r="I7994" t="s">
        <v>10</v>
      </c>
    </row>
    <row r="7995" spans="1:9" x14ac:dyDescent="0.25">
      <c r="A7995" t="str">
        <f t="shared" si="194"/>
        <v>89301000</v>
      </c>
      <c r="B7995" t="str">
        <f>"5760040550"</f>
        <v>5760040550</v>
      </c>
      <c r="C7995" s="1">
        <v>44999</v>
      </c>
      <c r="D7995" s="1">
        <v>45002</v>
      </c>
      <c r="E7995">
        <v>1</v>
      </c>
      <c r="F7995" t="str">
        <f>"08-I03-08"</f>
        <v>08-I03-08</v>
      </c>
      <c r="G7995">
        <v>1.9455</v>
      </c>
      <c r="H7995" t="s">
        <v>9</v>
      </c>
      <c r="I7995" t="s">
        <v>10</v>
      </c>
    </row>
    <row r="7996" spans="1:9" x14ac:dyDescent="0.25">
      <c r="A7996" t="str">
        <f t="shared" si="194"/>
        <v>89301000</v>
      </c>
      <c r="B7996" t="str">
        <f>"5760151298"</f>
        <v>5760151298</v>
      </c>
      <c r="C7996" s="1">
        <v>45181</v>
      </c>
      <c r="D7996" s="1">
        <v>45182</v>
      </c>
      <c r="E7996">
        <v>1</v>
      </c>
      <c r="F7996" t="str">
        <f>"05-D01-08"</f>
        <v>05-D01-08</v>
      </c>
      <c r="G7996">
        <v>0.43159999999999998</v>
      </c>
      <c r="H7996" t="s">
        <v>11</v>
      </c>
      <c r="I7996" t="s">
        <v>10</v>
      </c>
    </row>
    <row r="7997" spans="1:9" x14ac:dyDescent="0.25">
      <c r="A7997" t="str">
        <f t="shared" si="194"/>
        <v>89301000</v>
      </c>
      <c r="B7997" t="str">
        <f>"5760220070"</f>
        <v>5760220070</v>
      </c>
      <c r="C7997" s="1">
        <v>45240</v>
      </c>
      <c r="D7997" s="1">
        <v>45246</v>
      </c>
      <c r="E7997">
        <v>1</v>
      </c>
      <c r="F7997" t="str">
        <f>"05-K12-02"</f>
        <v>05-K12-02</v>
      </c>
      <c r="G7997">
        <v>0.48820000000000002</v>
      </c>
      <c r="H7997" t="s">
        <v>11</v>
      </c>
      <c r="I7997" t="s">
        <v>10</v>
      </c>
    </row>
    <row r="7998" spans="1:9" x14ac:dyDescent="0.25">
      <c r="A7998" t="str">
        <f t="shared" si="194"/>
        <v>89301000</v>
      </c>
      <c r="B7998" t="str">
        <f>"5760230212"</f>
        <v>5760230212</v>
      </c>
      <c r="C7998" s="1">
        <v>45208</v>
      </c>
      <c r="D7998" s="1">
        <v>45209</v>
      </c>
      <c r="E7998">
        <v>8</v>
      </c>
      <c r="F7998" t="str">
        <f>"18-K01-04"</f>
        <v>18-K01-04</v>
      </c>
      <c r="G7998">
        <v>1.3061</v>
      </c>
      <c r="H7998" t="s">
        <v>11</v>
      </c>
      <c r="I7998" t="s">
        <v>10</v>
      </c>
    </row>
    <row r="7999" spans="1:9" x14ac:dyDescent="0.25">
      <c r="A7999" t="str">
        <f t="shared" si="194"/>
        <v>89301000</v>
      </c>
      <c r="B7999" t="str">
        <f>"5760262189"</f>
        <v>5760262189</v>
      </c>
      <c r="C7999" s="1">
        <v>45113</v>
      </c>
      <c r="D7999" s="1">
        <v>45115</v>
      </c>
      <c r="E7999">
        <v>1</v>
      </c>
      <c r="F7999" t="str">
        <f>"03-I14-02"</f>
        <v>03-I14-02</v>
      </c>
      <c r="G7999">
        <v>1.0793999999999999</v>
      </c>
      <c r="H7999" t="s">
        <v>11</v>
      </c>
      <c r="I7999" t="s">
        <v>10</v>
      </c>
    </row>
    <row r="8000" spans="1:9" x14ac:dyDescent="0.25">
      <c r="A8000" t="str">
        <f t="shared" si="194"/>
        <v>89301000</v>
      </c>
      <c r="B8000" t="str">
        <f>"5760301459"</f>
        <v>5760301459</v>
      </c>
      <c r="C8000" s="1">
        <v>45035</v>
      </c>
      <c r="D8000" s="1">
        <v>45037</v>
      </c>
      <c r="E8000">
        <v>1</v>
      </c>
      <c r="F8000" t="str">
        <f>"06-K15-02"</f>
        <v>06-K15-02</v>
      </c>
      <c r="G8000">
        <v>0.26600000000000001</v>
      </c>
      <c r="H8000" t="s">
        <v>11</v>
      </c>
      <c r="I8000" t="s">
        <v>10</v>
      </c>
    </row>
    <row r="8001" spans="1:9" x14ac:dyDescent="0.25">
      <c r="A8001" t="str">
        <f t="shared" si="194"/>
        <v>89301000</v>
      </c>
      <c r="B8001" t="str">
        <f>"5760310611"</f>
        <v>5760310611</v>
      </c>
      <c r="C8001" s="1">
        <v>45180</v>
      </c>
      <c r="D8001" s="1">
        <v>45181</v>
      </c>
      <c r="E8001">
        <v>1</v>
      </c>
      <c r="F8001" t="str">
        <f>"01-D01-03"</f>
        <v>01-D01-03</v>
      </c>
      <c r="G8001">
        <v>0.16200000000000001</v>
      </c>
      <c r="H8001" t="s">
        <v>11</v>
      </c>
      <c r="I8001" t="s">
        <v>10</v>
      </c>
    </row>
    <row r="8002" spans="1:9" x14ac:dyDescent="0.25">
      <c r="A8002" t="str">
        <f t="shared" si="194"/>
        <v>89301000</v>
      </c>
      <c r="B8002" t="str">
        <f>"5760310611"</f>
        <v>5760310611</v>
      </c>
      <c r="C8002" s="1">
        <v>45238</v>
      </c>
      <c r="D8002" s="1">
        <v>45239</v>
      </c>
      <c r="E8002">
        <v>1</v>
      </c>
      <c r="F8002" t="str">
        <f>"10-K15-02"</f>
        <v>10-K15-02</v>
      </c>
      <c r="G8002">
        <v>0.66379999999999995</v>
      </c>
      <c r="H8002" t="s">
        <v>11</v>
      </c>
      <c r="I8002" t="s">
        <v>10</v>
      </c>
    </row>
    <row r="8003" spans="1:9" x14ac:dyDescent="0.25">
      <c r="A8003" t="str">
        <f t="shared" si="194"/>
        <v>89301000</v>
      </c>
      <c r="B8003" t="str">
        <f>"5761030077"</f>
        <v>5761030077</v>
      </c>
      <c r="C8003" s="1">
        <v>45239</v>
      </c>
      <c r="D8003" s="1">
        <v>45240</v>
      </c>
      <c r="E8003">
        <v>1</v>
      </c>
      <c r="F8003" t="str">
        <f>"13-K02-00"</f>
        <v>13-K02-00</v>
      </c>
      <c r="G8003">
        <v>0.2611</v>
      </c>
      <c r="H8003" t="s">
        <v>11</v>
      </c>
      <c r="I8003" t="s">
        <v>10</v>
      </c>
    </row>
    <row r="8004" spans="1:9" x14ac:dyDescent="0.25">
      <c r="A8004" t="str">
        <f t="shared" si="194"/>
        <v>89301000</v>
      </c>
      <c r="B8004" t="str">
        <f>"5761051351"</f>
        <v>5761051351</v>
      </c>
      <c r="C8004" s="1">
        <v>45049</v>
      </c>
      <c r="D8004" s="1">
        <v>45051</v>
      </c>
      <c r="E8004">
        <v>1</v>
      </c>
      <c r="F8004" t="str">
        <f>"06-I16-04"</f>
        <v>06-I16-04</v>
      </c>
      <c r="G8004">
        <v>0.68920000000000003</v>
      </c>
      <c r="H8004" t="s">
        <v>9</v>
      </c>
      <c r="I8004" t="s">
        <v>10</v>
      </c>
    </row>
    <row r="8005" spans="1:9" x14ac:dyDescent="0.25">
      <c r="A8005" t="str">
        <f t="shared" si="194"/>
        <v>89301000</v>
      </c>
      <c r="B8005" t="str">
        <f>"5761101181"</f>
        <v>5761101181</v>
      </c>
      <c r="C8005" s="1">
        <v>45218</v>
      </c>
      <c r="D8005" s="1">
        <v>45225</v>
      </c>
      <c r="E8005">
        <v>2</v>
      </c>
      <c r="F8005" t="str">
        <f>"01-K03-08"</f>
        <v>01-K03-08</v>
      </c>
      <c r="G8005">
        <v>0.44030000000000002</v>
      </c>
      <c r="H8005" t="s">
        <v>11</v>
      </c>
      <c r="I8005" t="s">
        <v>10</v>
      </c>
    </row>
    <row r="8006" spans="1:9" x14ac:dyDescent="0.25">
      <c r="A8006" t="str">
        <f t="shared" si="194"/>
        <v>89301000</v>
      </c>
      <c r="B8006" t="str">
        <f>"5761101181"</f>
        <v>5761101181</v>
      </c>
      <c r="C8006" s="1">
        <v>45251</v>
      </c>
      <c r="D8006" s="1">
        <v>45251</v>
      </c>
      <c r="E8006">
        <v>8</v>
      </c>
      <c r="F8006" t="str">
        <f>"18-K01-06"</f>
        <v>18-K01-06</v>
      </c>
      <c r="G8006">
        <v>0.42530000000000001</v>
      </c>
      <c r="H8006" t="s">
        <v>11</v>
      </c>
      <c r="I8006" t="s">
        <v>10</v>
      </c>
    </row>
    <row r="8007" spans="1:9" x14ac:dyDescent="0.25">
      <c r="A8007" t="str">
        <f t="shared" si="194"/>
        <v>89301000</v>
      </c>
      <c r="B8007" t="str">
        <f>"5761140495"</f>
        <v>5761140495</v>
      </c>
      <c r="C8007" s="1">
        <v>45050</v>
      </c>
      <c r="D8007" s="1">
        <v>45055</v>
      </c>
      <c r="E8007">
        <v>1</v>
      </c>
      <c r="F8007" t="str">
        <f>"06-M01-02"</f>
        <v>06-M01-02</v>
      </c>
      <c r="G8007">
        <v>1.5228999999999999</v>
      </c>
      <c r="H8007" t="s">
        <v>11</v>
      </c>
      <c r="I8007" t="s">
        <v>10</v>
      </c>
    </row>
    <row r="8008" spans="1:9" x14ac:dyDescent="0.25">
      <c r="A8008" t="str">
        <f t="shared" si="194"/>
        <v>89301000</v>
      </c>
      <c r="B8008" t="str">
        <f>"5761150560"</f>
        <v>5761150560</v>
      </c>
      <c r="C8008" s="1">
        <v>45036</v>
      </c>
      <c r="D8008" s="1">
        <v>45038</v>
      </c>
      <c r="E8008">
        <v>1</v>
      </c>
      <c r="F8008" t="str">
        <f>"09-I09-02"</f>
        <v>09-I09-02</v>
      </c>
      <c r="G8008">
        <v>0.76900000000000002</v>
      </c>
      <c r="H8008" t="s">
        <v>12</v>
      </c>
      <c r="I8008" t="s">
        <v>10</v>
      </c>
    </row>
    <row r="8009" spans="1:9" x14ac:dyDescent="0.25">
      <c r="A8009" t="str">
        <f t="shared" si="194"/>
        <v>89301000</v>
      </c>
      <c r="B8009" t="str">
        <f>"5761161769"</f>
        <v>5761161769</v>
      </c>
      <c r="C8009" s="1">
        <v>44978</v>
      </c>
      <c r="D8009" s="1">
        <v>44986</v>
      </c>
      <c r="E8009">
        <v>4</v>
      </c>
      <c r="F8009" t="str">
        <f>"08-I05-04"</f>
        <v>08-I05-04</v>
      </c>
      <c r="G8009">
        <v>1.5290999999999999</v>
      </c>
      <c r="H8009" t="s">
        <v>12</v>
      </c>
      <c r="I8009" t="s">
        <v>10</v>
      </c>
    </row>
    <row r="8010" spans="1:9" x14ac:dyDescent="0.25">
      <c r="A8010" t="str">
        <f t="shared" si="194"/>
        <v>89301000</v>
      </c>
      <c r="B8010" t="str">
        <f>"5761221026"</f>
        <v>5761221026</v>
      </c>
      <c r="C8010" s="1">
        <v>45216</v>
      </c>
      <c r="D8010" s="1">
        <v>45217</v>
      </c>
      <c r="E8010">
        <v>1</v>
      </c>
      <c r="F8010" t="str">
        <f>"05-D01-08"</f>
        <v>05-D01-08</v>
      </c>
      <c r="G8010">
        <v>0.43159999999999998</v>
      </c>
      <c r="H8010" t="s">
        <v>11</v>
      </c>
      <c r="I8010" t="s">
        <v>10</v>
      </c>
    </row>
    <row r="8011" spans="1:9" x14ac:dyDescent="0.25">
      <c r="A8011" t="str">
        <f t="shared" si="194"/>
        <v>89301000</v>
      </c>
      <c r="B8011" t="str">
        <f>"5762091797"</f>
        <v>5762091797</v>
      </c>
      <c r="C8011" s="1">
        <v>45065</v>
      </c>
      <c r="D8011" s="1">
        <v>45068</v>
      </c>
      <c r="E8011">
        <v>1</v>
      </c>
      <c r="F8011" t="str">
        <f>"02-I06-04"</f>
        <v>02-I06-04</v>
      </c>
      <c r="G8011">
        <v>0.79630000000000001</v>
      </c>
      <c r="H8011" t="s">
        <v>12</v>
      </c>
      <c r="I8011" t="s">
        <v>10</v>
      </c>
    </row>
    <row r="8012" spans="1:9" x14ac:dyDescent="0.25">
      <c r="A8012" t="str">
        <f t="shared" si="194"/>
        <v>89301000</v>
      </c>
      <c r="B8012" t="str">
        <f>"5762101873"</f>
        <v>5762101873</v>
      </c>
      <c r="C8012" s="1">
        <v>45266</v>
      </c>
      <c r="D8012" s="1">
        <v>45273</v>
      </c>
      <c r="E8012">
        <v>1</v>
      </c>
      <c r="F8012" t="str">
        <f>"01-K07-02"</f>
        <v>01-K07-02</v>
      </c>
      <c r="G8012">
        <v>1.8241000000000001</v>
      </c>
      <c r="H8012" t="s">
        <v>11</v>
      </c>
      <c r="I8012" t="s">
        <v>10</v>
      </c>
    </row>
    <row r="8013" spans="1:9" x14ac:dyDescent="0.25">
      <c r="A8013" t="str">
        <f t="shared" si="194"/>
        <v>89301000</v>
      </c>
      <c r="B8013" t="str">
        <f>"5762220057"</f>
        <v>5762220057</v>
      </c>
      <c r="C8013" s="1">
        <v>45187</v>
      </c>
      <c r="D8013" s="1">
        <v>45190</v>
      </c>
      <c r="E8013">
        <v>1</v>
      </c>
      <c r="F8013" t="str">
        <f>"10-I13-03"</f>
        <v>10-I13-03</v>
      </c>
      <c r="G8013">
        <v>0.86270000000000002</v>
      </c>
      <c r="H8013" t="s">
        <v>9</v>
      </c>
      <c r="I8013" t="s">
        <v>10</v>
      </c>
    </row>
    <row r="8014" spans="1:9" x14ac:dyDescent="0.25">
      <c r="A8014" t="str">
        <f t="shared" si="194"/>
        <v>89301000</v>
      </c>
      <c r="B8014" t="str">
        <f>"5801052488"</f>
        <v>5801052488</v>
      </c>
      <c r="C8014" s="1">
        <v>45109</v>
      </c>
      <c r="D8014" s="1">
        <v>45117</v>
      </c>
      <c r="E8014">
        <v>1</v>
      </c>
      <c r="F8014" t="str">
        <f>"05-I24-04"</f>
        <v>05-I24-04</v>
      </c>
      <c r="G8014">
        <v>2.1032000000000002</v>
      </c>
      <c r="H8014" t="s">
        <v>12</v>
      </c>
      <c r="I8014" t="s">
        <v>10</v>
      </c>
    </row>
    <row r="8015" spans="1:9" x14ac:dyDescent="0.25">
      <c r="A8015" t="str">
        <f t="shared" si="194"/>
        <v>89301000</v>
      </c>
      <c r="B8015" t="str">
        <f>"5801112042"</f>
        <v>5801112042</v>
      </c>
      <c r="C8015" s="1">
        <v>45221</v>
      </c>
      <c r="D8015" s="1">
        <v>45230</v>
      </c>
      <c r="E8015">
        <v>3</v>
      </c>
      <c r="F8015" t="str">
        <f>"01-K11-01"</f>
        <v>01-K11-01</v>
      </c>
      <c r="G8015">
        <v>3.2582</v>
      </c>
      <c r="H8015" t="s">
        <v>11</v>
      </c>
      <c r="I8015" t="s">
        <v>10</v>
      </c>
    </row>
    <row r="8016" spans="1:9" x14ac:dyDescent="0.25">
      <c r="A8016" t="str">
        <f t="shared" si="194"/>
        <v>89301000</v>
      </c>
      <c r="B8016" t="str">
        <f>"5801112042"</f>
        <v>5801112042</v>
      </c>
      <c r="C8016" s="1">
        <v>45230</v>
      </c>
      <c r="D8016" s="1">
        <v>45252</v>
      </c>
      <c r="E8016">
        <v>4</v>
      </c>
      <c r="F8016" t="str">
        <f>"24-M08-01"</f>
        <v>24-M08-01</v>
      </c>
      <c r="G8016">
        <v>2.024</v>
      </c>
      <c r="H8016" t="s">
        <v>11</v>
      </c>
      <c r="I8016" t="s">
        <v>10</v>
      </c>
    </row>
    <row r="8017" spans="1:9" x14ac:dyDescent="0.25">
      <c r="A8017" t="str">
        <f t="shared" si="194"/>
        <v>89301000</v>
      </c>
      <c r="B8017" t="str">
        <f>"5801160112"</f>
        <v>5801160112</v>
      </c>
      <c r="C8017" s="1">
        <v>45129</v>
      </c>
      <c r="D8017" s="1">
        <v>45133</v>
      </c>
      <c r="E8017">
        <v>1</v>
      </c>
      <c r="F8017" t="str">
        <f>"07-K04-03"</f>
        <v>07-K04-03</v>
      </c>
      <c r="G8017">
        <v>0.93859999999999999</v>
      </c>
      <c r="H8017" t="s">
        <v>11</v>
      </c>
      <c r="I8017" t="s">
        <v>10</v>
      </c>
    </row>
    <row r="8018" spans="1:9" x14ac:dyDescent="0.25">
      <c r="A8018" t="str">
        <f t="shared" si="194"/>
        <v>89301000</v>
      </c>
      <c r="B8018" t="str">
        <f>"5801160112"</f>
        <v>5801160112</v>
      </c>
      <c r="C8018" s="1">
        <v>45272</v>
      </c>
      <c r="D8018" s="1">
        <v>45274</v>
      </c>
      <c r="E8018">
        <v>2</v>
      </c>
      <c r="F8018" t="str">
        <f>"05-K07-04"</f>
        <v>05-K07-04</v>
      </c>
      <c r="G8018">
        <v>1.0760000000000001</v>
      </c>
      <c r="H8018" t="s">
        <v>11</v>
      </c>
      <c r="I8018" t="s">
        <v>10</v>
      </c>
    </row>
    <row r="8019" spans="1:9" x14ac:dyDescent="0.25">
      <c r="A8019" t="str">
        <f t="shared" si="194"/>
        <v>89301000</v>
      </c>
      <c r="B8019" t="str">
        <f>"5801160112"</f>
        <v>5801160112</v>
      </c>
      <c r="C8019" s="1">
        <v>45254</v>
      </c>
      <c r="D8019" s="1">
        <v>45258</v>
      </c>
      <c r="E8019">
        <v>1</v>
      </c>
      <c r="F8019" t="str">
        <f>"07-K04-03"</f>
        <v>07-K04-03</v>
      </c>
      <c r="G8019">
        <v>0.98650000000000004</v>
      </c>
      <c r="H8019" t="s">
        <v>11</v>
      </c>
      <c r="I8019" t="s">
        <v>10</v>
      </c>
    </row>
    <row r="8020" spans="1:9" x14ac:dyDescent="0.25">
      <c r="A8020" t="str">
        <f t="shared" si="194"/>
        <v>89301000</v>
      </c>
      <c r="B8020" t="str">
        <f>"5801160112"</f>
        <v>5801160112</v>
      </c>
      <c r="C8020" s="1">
        <v>45189</v>
      </c>
      <c r="D8020" s="1">
        <v>45201</v>
      </c>
      <c r="E8020">
        <v>1</v>
      </c>
      <c r="F8020" t="str">
        <f>"06-I12-03"</f>
        <v>06-I12-03</v>
      </c>
      <c r="G8020">
        <v>1.9786999999999999</v>
      </c>
      <c r="H8020" t="s">
        <v>11</v>
      </c>
      <c r="I8020" t="s">
        <v>10</v>
      </c>
    </row>
    <row r="8021" spans="1:9" x14ac:dyDescent="0.25">
      <c r="A8021" t="str">
        <f t="shared" si="194"/>
        <v>89301000</v>
      </c>
      <c r="B8021" t="str">
        <f>"5801160112"</f>
        <v>5801160112</v>
      </c>
      <c r="C8021" s="1">
        <v>45146</v>
      </c>
      <c r="D8021" s="1">
        <v>45149</v>
      </c>
      <c r="E8021">
        <v>1</v>
      </c>
      <c r="F8021" t="str">
        <f>"05-K05-01"</f>
        <v>05-K05-01</v>
      </c>
      <c r="G8021">
        <v>1.9391</v>
      </c>
      <c r="H8021" t="s">
        <v>11</v>
      </c>
      <c r="I8021" t="s">
        <v>10</v>
      </c>
    </row>
    <row r="8022" spans="1:9" x14ac:dyDescent="0.25">
      <c r="A8022" t="str">
        <f t="shared" si="194"/>
        <v>89301000</v>
      </c>
      <c r="B8022" t="str">
        <f>"5801201648"</f>
        <v>5801201648</v>
      </c>
      <c r="C8022" s="1">
        <v>45028</v>
      </c>
      <c r="D8022" s="1">
        <v>45032</v>
      </c>
      <c r="E8022">
        <v>1</v>
      </c>
      <c r="F8022" t="str">
        <f>"16-I04-01"</f>
        <v>16-I04-01</v>
      </c>
      <c r="G8022">
        <v>0.93820000000000003</v>
      </c>
      <c r="H8022" t="s">
        <v>12</v>
      </c>
      <c r="I8022" t="s">
        <v>10</v>
      </c>
    </row>
    <row r="8023" spans="1:9" x14ac:dyDescent="0.25">
      <c r="A8023" t="str">
        <f t="shared" si="194"/>
        <v>89301000</v>
      </c>
      <c r="B8023" t="str">
        <f>"5801212065"</f>
        <v>5801212065</v>
      </c>
      <c r="C8023" s="1">
        <v>45051</v>
      </c>
      <c r="D8023" s="1">
        <v>45053</v>
      </c>
      <c r="E8023">
        <v>1</v>
      </c>
      <c r="F8023" t="str">
        <f>"03-I24-00"</f>
        <v>03-I24-00</v>
      </c>
      <c r="G8023">
        <v>0.40899999999999997</v>
      </c>
      <c r="H8023" t="s">
        <v>11</v>
      </c>
      <c r="I8023" t="s">
        <v>10</v>
      </c>
    </row>
    <row r="8024" spans="1:9" x14ac:dyDescent="0.25">
      <c r="A8024" t="str">
        <f t="shared" si="194"/>
        <v>89301000</v>
      </c>
      <c r="B8024" t="str">
        <f>"5801251940"</f>
        <v>5801251940</v>
      </c>
      <c r="C8024" s="1">
        <v>45007</v>
      </c>
      <c r="D8024" s="1">
        <v>45009</v>
      </c>
      <c r="E8024">
        <v>1</v>
      </c>
      <c r="F8024" t="str">
        <f>"08-K01-03"</f>
        <v>08-K01-03</v>
      </c>
      <c r="G8024">
        <v>0.59189999999999998</v>
      </c>
      <c r="H8024" t="s">
        <v>11</v>
      </c>
      <c r="I8024" t="s">
        <v>10</v>
      </c>
    </row>
    <row r="8025" spans="1:9" x14ac:dyDescent="0.25">
      <c r="A8025" t="str">
        <f t="shared" si="194"/>
        <v>89301000</v>
      </c>
      <c r="B8025" t="str">
        <f>"5801296083"</f>
        <v>5801296083</v>
      </c>
      <c r="C8025" s="1">
        <v>45119</v>
      </c>
      <c r="D8025" s="1">
        <v>45119</v>
      </c>
      <c r="E8025">
        <v>1</v>
      </c>
      <c r="F8025" t="str">
        <f>"05-D01-08"</f>
        <v>05-D01-08</v>
      </c>
      <c r="G8025">
        <v>0.2303</v>
      </c>
      <c r="H8025" t="s">
        <v>11</v>
      </c>
      <c r="I8025" t="s">
        <v>10</v>
      </c>
    </row>
    <row r="8026" spans="1:9" x14ac:dyDescent="0.25">
      <c r="A8026" t="str">
        <f t="shared" si="194"/>
        <v>89301000</v>
      </c>
      <c r="B8026" t="str">
        <f>"5802010148"</f>
        <v>5802010148</v>
      </c>
      <c r="C8026" s="1">
        <v>45106</v>
      </c>
      <c r="D8026" s="1">
        <v>45114</v>
      </c>
      <c r="E8026">
        <v>1</v>
      </c>
      <c r="F8026" t="str">
        <f>"09-K01-03"</f>
        <v>09-K01-03</v>
      </c>
      <c r="G8026">
        <v>0.85919999999999996</v>
      </c>
      <c r="H8026" t="s">
        <v>11</v>
      </c>
      <c r="I8026" t="s">
        <v>10</v>
      </c>
    </row>
    <row r="8027" spans="1:9" x14ac:dyDescent="0.25">
      <c r="A8027" t="str">
        <f t="shared" si="194"/>
        <v>89301000</v>
      </c>
      <c r="B8027" t="str">
        <f>"5802030509"</f>
        <v>5802030509</v>
      </c>
      <c r="C8027" s="1">
        <v>44962</v>
      </c>
      <c r="D8027" s="1">
        <v>44965</v>
      </c>
      <c r="E8027">
        <v>1</v>
      </c>
      <c r="F8027" t="str">
        <f>"05-M05-02"</f>
        <v>05-M05-02</v>
      </c>
      <c r="G8027">
        <v>1.6234999999999999</v>
      </c>
      <c r="H8027" t="s">
        <v>14</v>
      </c>
      <c r="I8027" t="s">
        <v>10</v>
      </c>
    </row>
    <row r="8028" spans="1:9" x14ac:dyDescent="0.25">
      <c r="A8028" t="str">
        <f t="shared" si="194"/>
        <v>89301000</v>
      </c>
      <c r="B8028" t="str">
        <f>"5802051552"</f>
        <v>5802051552</v>
      </c>
      <c r="C8028" s="1">
        <v>45239</v>
      </c>
      <c r="D8028" s="1">
        <v>45250</v>
      </c>
      <c r="E8028">
        <v>1</v>
      </c>
      <c r="F8028" t="str">
        <f>"05-K11-01"</f>
        <v>05-K11-01</v>
      </c>
      <c r="G8028">
        <v>0.9536</v>
      </c>
      <c r="H8028" t="s">
        <v>11</v>
      </c>
      <c r="I8028" t="s">
        <v>10</v>
      </c>
    </row>
    <row r="8029" spans="1:9" x14ac:dyDescent="0.25">
      <c r="A8029" t="str">
        <f t="shared" si="194"/>
        <v>89301000</v>
      </c>
      <c r="B8029" t="str">
        <f>"5802051552"</f>
        <v>5802051552</v>
      </c>
      <c r="C8029" s="1">
        <v>44979</v>
      </c>
      <c r="D8029" s="1">
        <v>44982</v>
      </c>
      <c r="E8029">
        <v>1</v>
      </c>
      <c r="F8029" t="str">
        <f>"05-K07-04"</f>
        <v>05-K07-04</v>
      </c>
      <c r="G8029">
        <v>1.0598000000000001</v>
      </c>
      <c r="H8029" t="s">
        <v>11</v>
      </c>
      <c r="I8029" t="s">
        <v>10</v>
      </c>
    </row>
    <row r="8030" spans="1:9" x14ac:dyDescent="0.25">
      <c r="A8030" t="str">
        <f t="shared" si="194"/>
        <v>89301000</v>
      </c>
      <c r="B8030" t="str">
        <f>"5802070197"</f>
        <v>5802070197</v>
      </c>
      <c r="C8030" s="1">
        <v>45047</v>
      </c>
      <c r="D8030" s="1">
        <v>45050</v>
      </c>
      <c r="E8030">
        <v>1</v>
      </c>
      <c r="F8030" t="str">
        <f>"08-M03-05"</f>
        <v>08-M03-05</v>
      </c>
      <c r="G8030">
        <v>0.46810000000000002</v>
      </c>
      <c r="H8030" t="s">
        <v>11</v>
      </c>
      <c r="I8030" t="s">
        <v>10</v>
      </c>
    </row>
    <row r="8031" spans="1:9" x14ac:dyDescent="0.25">
      <c r="A8031" t="str">
        <f t="shared" si="194"/>
        <v>89301000</v>
      </c>
      <c r="B8031" t="str">
        <f>"5802100216"</f>
        <v>5802100216</v>
      </c>
      <c r="C8031" s="1">
        <v>45059</v>
      </c>
      <c r="D8031" s="1">
        <v>45093</v>
      </c>
      <c r="E8031">
        <v>1</v>
      </c>
      <c r="F8031" t="str">
        <f>"19-M01-01"</f>
        <v>19-M01-01</v>
      </c>
      <c r="G8031">
        <v>2.8563999999999998</v>
      </c>
      <c r="H8031" t="s">
        <v>15</v>
      </c>
      <c r="I8031" t="s">
        <v>10</v>
      </c>
    </row>
    <row r="8032" spans="1:9" x14ac:dyDescent="0.25">
      <c r="A8032" t="str">
        <f t="shared" si="194"/>
        <v>89301000</v>
      </c>
      <c r="B8032" t="str">
        <f>"5802100216"</f>
        <v>5802100216</v>
      </c>
      <c r="C8032" s="1">
        <v>44969</v>
      </c>
      <c r="D8032" s="1">
        <v>44987</v>
      </c>
      <c r="E8032">
        <v>1</v>
      </c>
      <c r="F8032" t="str">
        <f>"19-K05-02"</f>
        <v>19-K05-02</v>
      </c>
      <c r="G8032">
        <v>1.7688999999999999</v>
      </c>
      <c r="H8032" t="s">
        <v>15</v>
      </c>
      <c r="I8032" t="s">
        <v>10</v>
      </c>
    </row>
    <row r="8033" spans="1:9" x14ac:dyDescent="0.25">
      <c r="A8033" t="str">
        <f t="shared" si="194"/>
        <v>89301000</v>
      </c>
      <c r="B8033" t="str">
        <f>"5802102471"</f>
        <v>5802102471</v>
      </c>
      <c r="C8033" s="1">
        <v>45090</v>
      </c>
      <c r="D8033" s="1">
        <v>45094</v>
      </c>
      <c r="E8033">
        <v>1</v>
      </c>
      <c r="F8033" t="str">
        <f>"08-I05-04"</f>
        <v>08-I05-04</v>
      </c>
      <c r="G8033">
        <v>2.4445000000000001</v>
      </c>
      <c r="H8033" t="s">
        <v>12</v>
      </c>
      <c r="I8033" t="s">
        <v>10</v>
      </c>
    </row>
    <row r="8034" spans="1:9" x14ac:dyDescent="0.25">
      <c r="A8034" t="str">
        <f t="shared" si="194"/>
        <v>89301000</v>
      </c>
      <c r="B8034" t="str">
        <f>"5802110402"</f>
        <v>5802110402</v>
      </c>
      <c r="C8034" s="1">
        <v>45230</v>
      </c>
      <c r="D8034" s="1">
        <v>45231</v>
      </c>
      <c r="E8034">
        <v>1</v>
      </c>
      <c r="F8034" t="str">
        <f>"02-K03-00"</f>
        <v>02-K03-00</v>
      </c>
      <c r="G8034">
        <v>0.58779999999999999</v>
      </c>
      <c r="H8034" t="s">
        <v>11</v>
      </c>
      <c r="I8034" t="s">
        <v>10</v>
      </c>
    </row>
    <row r="8035" spans="1:9" x14ac:dyDescent="0.25">
      <c r="A8035" t="str">
        <f t="shared" si="194"/>
        <v>89301000</v>
      </c>
      <c r="B8035" t="str">
        <f>"5802151784"</f>
        <v>5802151784</v>
      </c>
      <c r="C8035" s="1">
        <v>44997</v>
      </c>
      <c r="D8035" s="1">
        <v>45008</v>
      </c>
      <c r="E8035">
        <v>4</v>
      </c>
      <c r="F8035" t="str">
        <f>"10-K04-04"</f>
        <v>10-K04-04</v>
      </c>
      <c r="G8035">
        <v>0.53949999999999998</v>
      </c>
      <c r="H8035" t="s">
        <v>11</v>
      </c>
      <c r="I8035" t="s">
        <v>10</v>
      </c>
    </row>
    <row r="8036" spans="1:9" x14ac:dyDescent="0.25">
      <c r="A8036" t="str">
        <f t="shared" si="194"/>
        <v>89301000</v>
      </c>
      <c r="B8036" t="str">
        <f>"5802200151"</f>
        <v>5802200151</v>
      </c>
      <c r="C8036" s="1">
        <v>45053</v>
      </c>
      <c r="D8036" s="1">
        <v>45058</v>
      </c>
      <c r="E8036">
        <v>1</v>
      </c>
      <c r="F8036" t="str">
        <f>"11-K01-01"</f>
        <v>11-K01-01</v>
      </c>
      <c r="G8036">
        <v>1.377</v>
      </c>
      <c r="H8036" t="s">
        <v>11</v>
      </c>
      <c r="I8036" t="s">
        <v>10</v>
      </c>
    </row>
    <row r="8037" spans="1:9" x14ac:dyDescent="0.25">
      <c r="A8037" t="str">
        <f t="shared" si="194"/>
        <v>89301000</v>
      </c>
      <c r="B8037" t="str">
        <f>"5802240356"</f>
        <v>5802240356</v>
      </c>
      <c r="C8037" s="1">
        <v>45080</v>
      </c>
      <c r="D8037" s="1">
        <v>45091</v>
      </c>
      <c r="E8037">
        <v>1</v>
      </c>
      <c r="F8037" t="str">
        <f>"11-M06-03"</f>
        <v>11-M06-03</v>
      </c>
      <c r="G8037">
        <v>1.0156000000000001</v>
      </c>
      <c r="H8037" t="s">
        <v>12</v>
      </c>
      <c r="I8037" t="s">
        <v>10</v>
      </c>
    </row>
    <row r="8038" spans="1:9" x14ac:dyDescent="0.25">
      <c r="A8038" t="str">
        <f t="shared" si="194"/>
        <v>89301000</v>
      </c>
      <c r="B8038" t="str">
        <f>"5802270144"</f>
        <v>5802270144</v>
      </c>
      <c r="C8038" s="1">
        <v>45036</v>
      </c>
      <c r="D8038" s="1">
        <v>45041</v>
      </c>
      <c r="E8038">
        <v>1</v>
      </c>
      <c r="F8038" t="str">
        <f>"11-K01-04"</f>
        <v>11-K01-04</v>
      </c>
      <c r="G8038">
        <v>0.57130000000000003</v>
      </c>
      <c r="H8038" t="s">
        <v>11</v>
      </c>
      <c r="I8038" t="s">
        <v>10</v>
      </c>
    </row>
    <row r="8039" spans="1:9" x14ac:dyDescent="0.25">
      <c r="A8039" t="str">
        <f t="shared" si="194"/>
        <v>89301000</v>
      </c>
      <c r="B8039" t="str">
        <f>"5802270144"</f>
        <v>5802270144</v>
      </c>
      <c r="C8039" s="1">
        <v>45051</v>
      </c>
      <c r="D8039" s="1">
        <v>45057</v>
      </c>
      <c r="E8039">
        <v>1</v>
      </c>
      <c r="F8039" t="str">
        <f>"11-K01-04"</f>
        <v>11-K01-04</v>
      </c>
      <c r="G8039">
        <v>0.57130000000000003</v>
      </c>
      <c r="H8039" t="s">
        <v>11</v>
      </c>
      <c r="I8039" t="s">
        <v>10</v>
      </c>
    </row>
    <row r="8040" spans="1:9" x14ac:dyDescent="0.25">
      <c r="A8040" t="str">
        <f t="shared" si="194"/>
        <v>89301000</v>
      </c>
      <c r="B8040" t="str">
        <f>"5802270144"</f>
        <v>5802270144</v>
      </c>
      <c r="C8040" s="1">
        <v>45074</v>
      </c>
      <c r="D8040" s="1">
        <v>45089</v>
      </c>
      <c r="E8040">
        <v>4</v>
      </c>
      <c r="F8040" t="str">
        <f>"05-I14-04"</f>
        <v>05-I14-04</v>
      </c>
      <c r="G8040">
        <v>6.2093999999999996</v>
      </c>
      <c r="H8040" t="s">
        <v>12</v>
      </c>
      <c r="I8040" t="s">
        <v>10</v>
      </c>
    </row>
    <row r="8041" spans="1:9" x14ac:dyDescent="0.25">
      <c r="A8041" t="str">
        <f t="shared" si="194"/>
        <v>89301000</v>
      </c>
      <c r="B8041" t="str">
        <f>"5802270144"</f>
        <v>5802270144</v>
      </c>
      <c r="C8041" s="1">
        <v>45195</v>
      </c>
      <c r="D8041" s="1">
        <v>45209</v>
      </c>
      <c r="E8041">
        <v>4</v>
      </c>
      <c r="F8041" t="str">
        <f>"08-I05-06"</f>
        <v>08-I05-06</v>
      </c>
      <c r="G8041">
        <v>2.0308000000000002</v>
      </c>
      <c r="H8041" t="s">
        <v>12</v>
      </c>
      <c r="I8041" t="s">
        <v>10</v>
      </c>
    </row>
    <row r="8042" spans="1:9" x14ac:dyDescent="0.25">
      <c r="A8042" t="str">
        <f t="shared" si="194"/>
        <v>89301000</v>
      </c>
      <c r="B8042" t="str">
        <f>"5803050088"</f>
        <v>5803050088</v>
      </c>
      <c r="C8042" s="1">
        <v>45272</v>
      </c>
      <c r="D8042" s="1">
        <v>45275</v>
      </c>
      <c r="E8042">
        <v>1</v>
      </c>
      <c r="F8042" t="str">
        <f>"11-K07-01"</f>
        <v>11-K07-01</v>
      </c>
      <c r="G8042">
        <v>1.1374</v>
      </c>
      <c r="H8042" t="s">
        <v>11</v>
      </c>
      <c r="I8042" t="s">
        <v>10</v>
      </c>
    </row>
    <row r="8043" spans="1:9" x14ac:dyDescent="0.25">
      <c r="A8043" t="str">
        <f t="shared" si="194"/>
        <v>89301000</v>
      </c>
      <c r="B8043" t="str">
        <f>"5803172551"</f>
        <v>5803172551</v>
      </c>
      <c r="C8043" s="1">
        <v>45141</v>
      </c>
      <c r="D8043" s="1">
        <v>45143</v>
      </c>
      <c r="E8043">
        <v>1</v>
      </c>
      <c r="F8043" t="str">
        <f>"12-I13-02"</f>
        <v>12-I13-02</v>
      </c>
      <c r="G8043">
        <v>0.53879999999999995</v>
      </c>
      <c r="H8043" t="s">
        <v>9</v>
      </c>
      <c r="I8043" t="s">
        <v>10</v>
      </c>
    </row>
    <row r="8044" spans="1:9" x14ac:dyDescent="0.25">
      <c r="A8044" t="str">
        <f t="shared" si="194"/>
        <v>89301000</v>
      </c>
      <c r="B8044" t="str">
        <f>"5803181219"</f>
        <v>5803181219</v>
      </c>
      <c r="C8044" s="1">
        <v>45147</v>
      </c>
      <c r="D8044" s="1">
        <v>45148</v>
      </c>
      <c r="E8044">
        <v>1</v>
      </c>
      <c r="F8044" t="str">
        <f>"09-K07-02"</f>
        <v>09-K07-02</v>
      </c>
      <c r="G8044">
        <v>0.47970000000000002</v>
      </c>
      <c r="H8044" t="s">
        <v>11</v>
      </c>
      <c r="I8044" t="s">
        <v>10</v>
      </c>
    </row>
    <row r="8045" spans="1:9" x14ac:dyDescent="0.25">
      <c r="A8045" t="str">
        <f t="shared" si="194"/>
        <v>89301000</v>
      </c>
      <c r="B8045" t="str">
        <f>"5803181219"</f>
        <v>5803181219</v>
      </c>
      <c r="C8045" s="1">
        <v>45097</v>
      </c>
      <c r="D8045" s="1">
        <v>45099</v>
      </c>
      <c r="E8045">
        <v>1</v>
      </c>
      <c r="F8045" t="str">
        <f>"16-K04-02"</f>
        <v>16-K04-02</v>
      </c>
      <c r="G8045">
        <v>1.0081</v>
      </c>
      <c r="H8045" t="s">
        <v>11</v>
      </c>
      <c r="I8045" t="s">
        <v>10</v>
      </c>
    </row>
    <row r="8046" spans="1:9" x14ac:dyDescent="0.25">
      <c r="A8046" t="str">
        <f t="shared" si="194"/>
        <v>89301000</v>
      </c>
      <c r="B8046" t="str">
        <f>"5803240388"</f>
        <v>5803240388</v>
      </c>
      <c r="C8046" s="1">
        <v>45165</v>
      </c>
      <c r="D8046" s="1">
        <v>45168</v>
      </c>
      <c r="E8046">
        <v>1</v>
      </c>
      <c r="F8046" t="str">
        <f>"06-I21-02"</f>
        <v>06-I21-02</v>
      </c>
      <c r="G8046">
        <v>0.77229999999999999</v>
      </c>
      <c r="H8046" t="s">
        <v>12</v>
      </c>
      <c r="I8046" t="s">
        <v>10</v>
      </c>
    </row>
    <row r="8047" spans="1:9" x14ac:dyDescent="0.25">
      <c r="A8047" t="str">
        <f t="shared" si="194"/>
        <v>89301000</v>
      </c>
      <c r="B8047" t="str">
        <f>"5803240784"</f>
        <v>5803240784</v>
      </c>
      <c r="C8047" s="1">
        <v>45190</v>
      </c>
      <c r="D8047" s="1">
        <v>45198</v>
      </c>
      <c r="E8047">
        <v>3</v>
      </c>
      <c r="F8047" t="str">
        <f>"08-I05-04"</f>
        <v>08-I05-04</v>
      </c>
      <c r="G8047">
        <v>2.4445000000000001</v>
      </c>
      <c r="H8047" t="s">
        <v>12</v>
      </c>
      <c r="I8047" t="s">
        <v>10</v>
      </c>
    </row>
    <row r="8048" spans="1:9" x14ac:dyDescent="0.25">
      <c r="A8048" t="str">
        <f t="shared" si="194"/>
        <v>89301000</v>
      </c>
      <c r="B8048" t="str">
        <f>"5803240784"</f>
        <v>5803240784</v>
      </c>
      <c r="C8048" s="1">
        <v>45198</v>
      </c>
      <c r="D8048" s="1">
        <v>45209</v>
      </c>
      <c r="E8048">
        <v>1</v>
      </c>
      <c r="F8048" t="str">
        <f>"24-M06-02"</f>
        <v>24-M06-02</v>
      </c>
      <c r="G8048">
        <v>1.0699000000000001</v>
      </c>
      <c r="H8048" t="s">
        <v>11</v>
      </c>
      <c r="I8048" t="s">
        <v>10</v>
      </c>
    </row>
    <row r="8049" spans="1:9" x14ac:dyDescent="0.25">
      <c r="A8049" t="str">
        <f t="shared" si="194"/>
        <v>89301000</v>
      </c>
      <c r="B8049" t="str">
        <f>"5804040693"</f>
        <v>5804040693</v>
      </c>
      <c r="C8049" s="1">
        <v>45092</v>
      </c>
      <c r="D8049" s="1">
        <v>45094</v>
      </c>
      <c r="E8049">
        <v>1</v>
      </c>
      <c r="F8049" t="str">
        <f>"06-M01-03"</f>
        <v>06-M01-03</v>
      </c>
      <c r="G8049">
        <v>0.82350000000000001</v>
      </c>
      <c r="H8049" t="s">
        <v>11</v>
      </c>
      <c r="I8049" t="s">
        <v>10</v>
      </c>
    </row>
    <row r="8050" spans="1:9" x14ac:dyDescent="0.25">
      <c r="A8050" t="str">
        <f t="shared" si="194"/>
        <v>89301000</v>
      </c>
      <c r="B8050" t="str">
        <f>"5804040693"</f>
        <v>5804040693</v>
      </c>
      <c r="C8050" s="1">
        <v>44965</v>
      </c>
      <c r="D8050" s="1">
        <v>44967</v>
      </c>
      <c r="E8050">
        <v>1</v>
      </c>
      <c r="F8050" t="str">
        <f>"03-I22-02"</f>
        <v>03-I22-02</v>
      </c>
      <c r="G8050">
        <v>0.49809999999999999</v>
      </c>
      <c r="H8050" t="s">
        <v>11</v>
      </c>
      <c r="I8050" t="s">
        <v>10</v>
      </c>
    </row>
    <row r="8051" spans="1:9" x14ac:dyDescent="0.25">
      <c r="A8051" t="str">
        <f t="shared" si="194"/>
        <v>89301000</v>
      </c>
      <c r="B8051" t="str">
        <f>"5804072197"</f>
        <v>5804072197</v>
      </c>
      <c r="C8051" s="1">
        <v>45272</v>
      </c>
      <c r="D8051" s="1">
        <v>45273</v>
      </c>
      <c r="E8051">
        <v>1</v>
      </c>
      <c r="F8051" t="str">
        <f>"05-I14-04"</f>
        <v>05-I14-04</v>
      </c>
      <c r="G8051">
        <v>5.2220000000000004</v>
      </c>
      <c r="H8051" t="s">
        <v>12</v>
      </c>
      <c r="I8051" t="s">
        <v>10</v>
      </c>
    </row>
    <row r="8052" spans="1:9" x14ac:dyDescent="0.25">
      <c r="A8052" t="str">
        <f t="shared" si="194"/>
        <v>89301000</v>
      </c>
      <c r="B8052" t="str">
        <f>"5804072197"</f>
        <v>5804072197</v>
      </c>
      <c r="C8052" s="1">
        <v>45256</v>
      </c>
      <c r="D8052" s="1">
        <v>45257</v>
      </c>
      <c r="E8052">
        <v>1</v>
      </c>
      <c r="F8052" t="str">
        <f>"05-M06-08"</f>
        <v>05-M06-08</v>
      </c>
      <c r="G8052">
        <v>1.4228000000000001</v>
      </c>
      <c r="H8052" t="s">
        <v>12</v>
      </c>
      <c r="I8052" t="s">
        <v>10</v>
      </c>
    </row>
    <row r="8053" spans="1:9" x14ac:dyDescent="0.25">
      <c r="A8053" t="str">
        <f t="shared" si="194"/>
        <v>89301000</v>
      </c>
      <c r="B8053" t="str">
        <f>"5804091744"</f>
        <v>5804091744</v>
      </c>
      <c r="C8053" s="1">
        <v>45233</v>
      </c>
      <c r="D8053" s="1">
        <v>45237</v>
      </c>
      <c r="E8053">
        <v>1</v>
      </c>
      <c r="F8053" t="str">
        <f>"10-K04-04"</f>
        <v>10-K04-04</v>
      </c>
      <c r="G8053">
        <v>0.53949999999999998</v>
      </c>
      <c r="H8053" t="s">
        <v>11</v>
      </c>
      <c r="I8053" t="s">
        <v>10</v>
      </c>
    </row>
    <row r="8054" spans="1:9" x14ac:dyDescent="0.25">
      <c r="A8054" t="str">
        <f t="shared" si="194"/>
        <v>89301000</v>
      </c>
      <c r="B8054" t="str">
        <f>"5804091744"</f>
        <v>5804091744</v>
      </c>
      <c r="C8054" s="1">
        <v>45048</v>
      </c>
      <c r="D8054" s="1">
        <v>45052</v>
      </c>
      <c r="E8054">
        <v>1</v>
      </c>
      <c r="F8054" t="str">
        <f>"01-K08-02"</f>
        <v>01-K08-02</v>
      </c>
      <c r="G8054">
        <v>0.60619999999999996</v>
      </c>
      <c r="H8054" t="s">
        <v>11</v>
      </c>
      <c r="I8054" t="s">
        <v>10</v>
      </c>
    </row>
    <row r="8055" spans="1:9" x14ac:dyDescent="0.25">
      <c r="A8055" t="str">
        <f t="shared" ref="A8055:A8117" si="195">"89301000"</f>
        <v>89301000</v>
      </c>
      <c r="B8055" t="str">
        <f>"5804110345"</f>
        <v>5804110345</v>
      </c>
      <c r="C8055" s="1">
        <v>45147</v>
      </c>
      <c r="D8055" s="1">
        <v>45155</v>
      </c>
      <c r="E8055">
        <v>1</v>
      </c>
      <c r="F8055" t="str">
        <f>"06-K13-02"</f>
        <v>06-K13-02</v>
      </c>
      <c r="G8055">
        <v>0.62629999999999997</v>
      </c>
      <c r="H8055" t="s">
        <v>11</v>
      </c>
      <c r="I8055" t="s">
        <v>10</v>
      </c>
    </row>
    <row r="8056" spans="1:9" x14ac:dyDescent="0.25">
      <c r="A8056" t="str">
        <f t="shared" si="195"/>
        <v>89301000</v>
      </c>
      <c r="B8056" t="str">
        <f>"5804110345"</f>
        <v>5804110345</v>
      </c>
      <c r="C8056" s="1">
        <v>45209</v>
      </c>
      <c r="D8056" s="1">
        <v>45262</v>
      </c>
      <c r="E8056">
        <v>8</v>
      </c>
      <c r="F8056" t="str">
        <f>"06-I12-01"</f>
        <v>06-I12-01</v>
      </c>
      <c r="G8056">
        <v>8.2015999999999991</v>
      </c>
      <c r="H8056" t="s">
        <v>11</v>
      </c>
      <c r="I8056" t="s">
        <v>10</v>
      </c>
    </row>
    <row r="8057" spans="1:9" x14ac:dyDescent="0.25">
      <c r="A8057" t="str">
        <f t="shared" si="195"/>
        <v>89301000</v>
      </c>
      <c r="B8057" t="str">
        <f>"5804110345"</f>
        <v>5804110345</v>
      </c>
      <c r="C8057" s="1">
        <v>45201</v>
      </c>
      <c r="D8057" s="1">
        <v>45204</v>
      </c>
      <c r="E8057">
        <v>1</v>
      </c>
      <c r="F8057" t="str">
        <f>"06-K13-02"</f>
        <v>06-K13-02</v>
      </c>
      <c r="G8057">
        <v>0.62629999999999997</v>
      </c>
      <c r="H8057" t="s">
        <v>11</v>
      </c>
      <c r="I8057" t="s">
        <v>10</v>
      </c>
    </row>
    <row r="8058" spans="1:9" x14ac:dyDescent="0.25">
      <c r="A8058" t="str">
        <f t="shared" si="195"/>
        <v>89301000</v>
      </c>
      <c r="B8058" t="str">
        <f>"5804110345"</f>
        <v>5804110345</v>
      </c>
      <c r="C8058" s="1">
        <v>45174</v>
      </c>
      <c r="D8058" s="1">
        <v>45176</v>
      </c>
      <c r="E8058">
        <v>1</v>
      </c>
      <c r="F8058" t="str">
        <f>"11-K08-02"</f>
        <v>11-K08-02</v>
      </c>
      <c r="G8058">
        <v>0.50570000000000004</v>
      </c>
      <c r="H8058" t="s">
        <v>11</v>
      </c>
      <c r="I8058" t="s">
        <v>10</v>
      </c>
    </row>
    <row r="8059" spans="1:9" x14ac:dyDescent="0.25">
      <c r="A8059" t="str">
        <f t="shared" si="195"/>
        <v>89301000</v>
      </c>
      <c r="B8059" t="str">
        <f>"5804110345"</f>
        <v>5804110345</v>
      </c>
      <c r="C8059" s="1">
        <v>45104</v>
      </c>
      <c r="D8059" s="1">
        <v>45127</v>
      </c>
      <c r="E8059">
        <v>1</v>
      </c>
      <c r="F8059" t="str">
        <f>"06-I07-05"</f>
        <v>06-I07-05</v>
      </c>
      <c r="G8059">
        <v>3.3071000000000002</v>
      </c>
      <c r="H8059" t="s">
        <v>12</v>
      </c>
      <c r="I8059" t="s">
        <v>10</v>
      </c>
    </row>
    <row r="8060" spans="1:9" x14ac:dyDescent="0.25">
      <c r="A8060" t="str">
        <f t="shared" si="195"/>
        <v>89301000</v>
      </c>
      <c r="B8060" t="str">
        <f>"5804130761"</f>
        <v>5804130761</v>
      </c>
      <c r="C8060" s="1">
        <v>45126</v>
      </c>
      <c r="D8060" s="1">
        <v>45129</v>
      </c>
      <c r="E8060">
        <v>1</v>
      </c>
      <c r="F8060" t="str">
        <f>"05-M07-06"</f>
        <v>05-M07-06</v>
      </c>
      <c r="G8060">
        <v>1.2264999999999999</v>
      </c>
      <c r="H8060" t="s">
        <v>12</v>
      </c>
      <c r="I8060" t="s">
        <v>10</v>
      </c>
    </row>
    <row r="8061" spans="1:9" x14ac:dyDescent="0.25">
      <c r="A8061" t="str">
        <f t="shared" si="195"/>
        <v>89301000</v>
      </c>
      <c r="B8061" t="str">
        <f>"5804150737"</f>
        <v>5804150737</v>
      </c>
      <c r="C8061" s="1">
        <v>45187</v>
      </c>
      <c r="D8061" s="1">
        <v>45187</v>
      </c>
      <c r="E8061">
        <v>1</v>
      </c>
      <c r="F8061" t="str">
        <f>"05-D01-08"</f>
        <v>05-D01-08</v>
      </c>
      <c r="G8061">
        <v>0.46439999999999998</v>
      </c>
      <c r="H8061" t="s">
        <v>11</v>
      </c>
      <c r="I8061" t="s">
        <v>10</v>
      </c>
    </row>
    <row r="8062" spans="1:9" x14ac:dyDescent="0.25">
      <c r="A8062" t="str">
        <f t="shared" si="195"/>
        <v>89301000</v>
      </c>
      <c r="B8062" t="str">
        <f>"5804150737"</f>
        <v>5804150737</v>
      </c>
      <c r="C8062" s="1">
        <v>45197</v>
      </c>
      <c r="D8062" s="1">
        <v>45199</v>
      </c>
      <c r="E8062">
        <v>1</v>
      </c>
      <c r="F8062" t="str">
        <f>"05-I14-03"</f>
        <v>05-I14-03</v>
      </c>
      <c r="G8062">
        <v>6.0362</v>
      </c>
      <c r="H8062" t="s">
        <v>12</v>
      </c>
      <c r="I8062" t="s">
        <v>10</v>
      </c>
    </row>
    <row r="8063" spans="1:9" x14ac:dyDescent="0.25">
      <c r="A8063" t="str">
        <f t="shared" si="195"/>
        <v>89301000</v>
      </c>
      <c r="B8063" t="str">
        <f>"5804150737"</f>
        <v>5804150737</v>
      </c>
      <c r="C8063" s="1">
        <v>45168</v>
      </c>
      <c r="D8063" s="1">
        <v>45172</v>
      </c>
      <c r="E8063">
        <v>1</v>
      </c>
      <c r="F8063" t="str">
        <f>"05-K07-03"</f>
        <v>05-K07-03</v>
      </c>
      <c r="G8063">
        <v>1.8048</v>
      </c>
      <c r="H8063" t="s">
        <v>11</v>
      </c>
      <c r="I8063" t="s">
        <v>10</v>
      </c>
    </row>
    <row r="8064" spans="1:9" x14ac:dyDescent="0.25">
      <c r="A8064" t="str">
        <f t="shared" si="195"/>
        <v>89301000</v>
      </c>
      <c r="B8064" t="str">
        <f>"5804201722"</f>
        <v>5804201722</v>
      </c>
      <c r="C8064" s="1">
        <v>45236</v>
      </c>
      <c r="D8064" s="1">
        <v>45241</v>
      </c>
      <c r="E8064">
        <v>3</v>
      </c>
      <c r="F8064" t="str">
        <f>"24-M05-01"</f>
        <v>24-M05-01</v>
      </c>
      <c r="G8064">
        <v>0.63700000000000001</v>
      </c>
      <c r="H8064" t="s">
        <v>11</v>
      </c>
      <c r="I8064" t="s">
        <v>10</v>
      </c>
    </row>
    <row r="8065" spans="1:9" x14ac:dyDescent="0.25">
      <c r="A8065" t="str">
        <f t="shared" si="195"/>
        <v>89301000</v>
      </c>
      <c r="B8065" t="str">
        <f>"5804201722"</f>
        <v>5804201722</v>
      </c>
      <c r="C8065" s="1">
        <v>45040</v>
      </c>
      <c r="D8065" s="1">
        <v>45058</v>
      </c>
      <c r="E8065">
        <v>1</v>
      </c>
      <c r="F8065" t="str">
        <f>"24-M08-01"</f>
        <v>24-M08-01</v>
      </c>
      <c r="G8065">
        <v>2.0236999999999998</v>
      </c>
      <c r="H8065" t="s">
        <v>11</v>
      </c>
      <c r="I8065" t="s">
        <v>10</v>
      </c>
    </row>
    <row r="8066" spans="1:9" x14ac:dyDescent="0.25">
      <c r="A8066" t="str">
        <f t="shared" si="195"/>
        <v>89301000</v>
      </c>
      <c r="B8066" t="str">
        <f>"5804201722"</f>
        <v>5804201722</v>
      </c>
      <c r="C8066" s="1">
        <v>45250</v>
      </c>
      <c r="D8066" s="1">
        <v>45254</v>
      </c>
      <c r="E8066">
        <v>1</v>
      </c>
      <c r="F8066" t="str">
        <f>"24-M05-01"</f>
        <v>24-M05-01</v>
      </c>
      <c r="G8066">
        <v>0.63700000000000001</v>
      </c>
      <c r="H8066" t="s">
        <v>11</v>
      </c>
      <c r="I8066" t="s">
        <v>10</v>
      </c>
    </row>
    <row r="8067" spans="1:9" x14ac:dyDescent="0.25">
      <c r="A8067" t="str">
        <f t="shared" si="195"/>
        <v>89301000</v>
      </c>
      <c r="B8067" t="str">
        <f>"5804201722"</f>
        <v>5804201722</v>
      </c>
      <c r="C8067" s="1">
        <v>45241</v>
      </c>
      <c r="D8067" s="1">
        <v>45250</v>
      </c>
      <c r="E8067">
        <v>3</v>
      </c>
      <c r="F8067" t="str">
        <f>"08-K07-00"</f>
        <v>08-K07-00</v>
      </c>
      <c r="G8067">
        <v>0.98470000000000002</v>
      </c>
      <c r="H8067" t="s">
        <v>11</v>
      </c>
      <c r="I8067" t="s">
        <v>10</v>
      </c>
    </row>
    <row r="8068" spans="1:9" x14ac:dyDescent="0.25">
      <c r="A8068" t="str">
        <f t="shared" si="195"/>
        <v>89301000</v>
      </c>
      <c r="B8068" t="str">
        <f>"5804202008"</f>
        <v>5804202008</v>
      </c>
      <c r="C8068" s="1">
        <v>45235</v>
      </c>
      <c r="D8068" s="1">
        <v>45236</v>
      </c>
      <c r="E8068">
        <v>1</v>
      </c>
      <c r="F8068" t="str">
        <f>"05-K14-03"</f>
        <v>05-K14-03</v>
      </c>
      <c r="G8068">
        <v>0.3962</v>
      </c>
      <c r="H8068" t="s">
        <v>11</v>
      </c>
      <c r="I8068" t="s">
        <v>10</v>
      </c>
    </row>
    <row r="8069" spans="1:9" x14ac:dyDescent="0.25">
      <c r="A8069" t="str">
        <f t="shared" si="195"/>
        <v>89301000</v>
      </c>
      <c r="B8069" t="str">
        <f>"5804251794"</f>
        <v>5804251794</v>
      </c>
      <c r="C8069" s="1">
        <v>44993</v>
      </c>
      <c r="D8069" s="1">
        <v>44996</v>
      </c>
      <c r="E8069">
        <v>1</v>
      </c>
      <c r="F8069" t="str">
        <f>"08-I25-02"</f>
        <v>08-I25-02</v>
      </c>
      <c r="G8069">
        <v>0.63970000000000005</v>
      </c>
      <c r="H8069" t="s">
        <v>11</v>
      </c>
      <c r="I8069" t="s">
        <v>10</v>
      </c>
    </row>
    <row r="8070" spans="1:9" x14ac:dyDescent="0.25">
      <c r="A8070" t="str">
        <f t="shared" si="195"/>
        <v>89301000</v>
      </c>
      <c r="B8070" t="str">
        <f>"5804251794"</f>
        <v>5804251794</v>
      </c>
      <c r="C8070" s="1">
        <v>45187</v>
      </c>
      <c r="D8070" s="1">
        <v>45203</v>
      </c>
      <c r="E8070">
        <v>4</v>
      </c>
      <c r="F8070" t="str">
        <f>"01-M02-00"</f>
        <v>01-M02-00</v>
      </c>
      <c r="G8070">
        <v>5.3973000000000004</v>
      </c>
      <c r="H8070" t="s">
        <v>12</v>
      </c>
      <c r="I8070" t="s">
        <v>10</v>
      </c>
    </row>
    <row r="8071" spans="1:9" x14ac:dyDescent="0.25">
      <c r="A8071" t="str">
        <f t="shared" si="195"/>
        <v>89301000</v>
      </c>
      <c r="B8071" t="str">
        <f>"5804302020"</f>
        <v>5804302020</v>
      </c>
      <c r="C8071" s="1">
        <v>45265</v>
      </c>
      <c r="D8071" s="1">
        <v>45267</v>
      </c>
      <c r="E8071">
        <v>1</v>
      </c>
      <c r="F8071" t="str">
        <f>"05-M05-02"</f>
        <v>05-M05-02</v>
      </c>
      <c r="G8071">
        <v>3.5579999999999998</v>
      </c>
      <c r="H8071" t="s">
        <v>14</v>
      </c>
      <c r="I8071" t="s">
        <v>10</v>
      </c>
    </row>
    <row r="8072" spans="1:9" x14ac:dyDescent="0.25">
      <c r="A8072" t="str">
        <f t="shared" si="195"/>
        <v>89301000</v>
      </c>
      <c r="B8072" t="str">
        <f>"5805030121"</f>
        <v>5805030121</v>
      </c>
      <c r="C8072" s="1">
        <v>45278</v>
      </c>
      <c r="D8072" s="1">
        <v>45284</v>
      </c>
      <c r="E8072">
        <v>1</v>
      </c>
      <c r="F8072" t="str">
        <f>"03-I16-02"</f>
        <v>03-I16-02</v>
      </c>
      <c r="G8072">
        <v>0.92979999999999996</v>
      </c>
      <c r="H8072" t="s">
        <v>9</v>
      </c>
      <c r="I8072" t="s">
        <v>10</v>
      </c>
    </row>
    <row r="8073" spans="1:9" x14ac:dyDescent="0.25">
      <c r="A8073" t="str">
        <f t="shared" si="195"/>
        <v>89301000</v>
      </c>
      <c r="B8073" t="str">
        <f>"5805062153"</f>
        <v>5805062153</v>
      </c>
      <c r="C8073" s="1">
        <v>45266</v>
      </c>
      <c r="D8073" s="1">
        <v>45267</v>
      </c>
      <c r="E8073">
        <v>1</v>
      </c>
      <c r="F8073" t="str">
        <f>"05-D01-08"</f>
        <v>05-D01-08</v>
      </c>
      <c r="G8073">
        <v>0.43159999999999998</v>
      </c>
      <c r="H8073" t="s">
        <v>11</v>
      </c>
      <c r="I8073" t="s">
        <v>10</v>
      </c>
    </row>
    <row r="8074" spans="1:9" x14ac:dyDescent="0.25">
      <c r="A8074" t="str">
        <f t="shared" si="195"/>
        <v>89301000</v>
      </c>
      <c r="B8074" t="str">
        <f>"5805091919"</f>
        <v>5805091919</v>
      </c>
      <c r="C8074" s="1">
        <v>44996</v>
      </c>
      <c r="D8074" s="1">
        <v>44998</v>
      </c>
      <c r="E8074">
        <v>1</v>
      </c>
      <c r="F8074" t="str">
        <f>"05-M06-06"</f>
        <v>05-M06-06</v>
      </c>
      <c r="G8074">
        <v>1.8264</v>
      </c>
      <c r="H8074" t="s">
        <v>12</v>
      </c>
      <c r="I8074" t="s">
        <v>10</v>
      </c>
    </row>
    <row r="8075" spans="1:9" x14ac:dyDescent="0.25">
      <c r="A8075" t="str">
        <f t="shared" si="195"/>
        <v>89301000</v>
      </c>
      <c r="B8075" t="str">
        <f>"5805132729"</f>
        <v>5805132729</v>
      </c>
      <c r="C8075" s="1">
        <v>45238</v>
      </c>
      <c r="D8075" s="1">
        <v>45239</v>
      </c>
      <c r="E8075">
        <v>1</v>
      </c>
      <c r="F8075" t="str">
        <f>"01-D01-03"</f>
        <v>01-D01-03</v>
      </c>
      <c r="G8075">
        <v>0.16200000000000001</v>
      </c>
      <c r="H8075" t="s">
        <v>11</v>
      </c>
      <c r="I8075" t="s">
        <v>10</v>
      </c>
    </row>
    <row r="8076" spans="1:9" x14ac:dyDescent="0.25">
      <c r="A8076" t="str">
        <f t="shared" si="195"/>
        <v>89301000</v>
      </c>
      <c r="B8076" t="str">
        <f>"5805132729"</f>
        <v>5805132729</v>
      </c>
      <c r="C8076" s="1">
        <v>45146</v>
      </c>
      <c r="D8076" s="1">
        <v>45152</v>
      </c>
      <c r="E8076">
        <v>1</v>
      </c>
      <c r="F8076" t="str">
        <f>"05-K07-05"</f>
        <v>05-K07-05</v>
      </c>
      <c r="G8076">
        <v>0.76119999999999999</v>
      </c>
      <c r="H8076" t="s">
        <v>11</v>
      </c>
      <c r="I8076" t="s">
        <v>10</v>
      </c>
    </row>
    <row r="8077" spans="1:9" x14ac:dyDescent="0.25">
      <c r="A8077" t="str">
        <f t="shared" si="195"/>
        <v>89301000</v>
      </c>
      <c r="B8077" t="str">
        <f>"5805132729"</f>
        <v>5805132729</v>
      </c>
      <c r="C8077" s="1">
        <v>45211</v>
      </c>
      <c r="D8077" s="1">
        <v>45215</v>
      </c>
      <c r="E8077">
        <v>1</v>
      </c>
      <c r="F8077" t="str">
        <f>"05-M06-08"</f>
        <v>05-M06-08</v>
      </c>
      <c r="G8077">
        <v>1.4228000000000001</v>
      </c>
      <c r="H8077" t="s">
        <v>12</v>
      </c>
      <c r="I8077" t="s">
        <v>10</v>
      </c>
    </row>
    <row r="8078" spans="1:9" x14ac:dyDescent="0.25">
      <c r="A8078" t="str">
        <f t="shared" si="195"/>
        <v>89301000</v>
      </c>
      <c r="B8078" t="str">
        <f>"5805141584"</f>
        <v>5805141584</v>
      </c>
      <c r="C8078" s="1">
        <v>45097</v>
      </c>
      <c r="D8078" s="1">
        <v>45098</v>
      </c>
      <c r="E8078">
        <v>1</v>
      </c>
      <c r="F8078" t="str">
        <f>"05-D01-08"</f>
        <v>05-D01-08</v>
      </c>
      <c r="G8078">
        <v>0.43159999999999998</v>
      </c>
      <c r="H8078" t="s">
        <v>11</v>
      </c>
      <c r="I8078" t="s">
        <v>10</v>
      </c>
    </row>
    <row r="8079" spans="1:9" x14ac:dyDescent="0.25">
      <c r="A8079" t="str">
        <f t="shared" si="195"/>
        <v>89301000</v>
      </c>
      <c r="B8079" t="str">
        <f>"5805161714"</f>
        <v>5805161714</v>
      </c>
      <c r="C8079" s="1">
        <v>45258</v>
      </c>
      <c r="D8079" s="1">
        <v>45267</v>
      </c>
      <c r="E8079">
        <v>1</v>
      </c>
      <c r="F8079" t="str">
        <f>"08-K08-00"</f>
        <v>08-K08-00</v>
      </c>
      <c r="G8079">
        <v>0.5272</v>
      </c>
      <c r="H8079" t="s">
        <v>11</v>
      </c>
      <c r="I8079" t="s">
        <v>10</v>
      </c>
    </row>
    <row r="8080" spans="1:9" x14ac:dyDescent="0.25">
      <c r="A8080" t="str">
        <f t="shared" si="195"/>
        <v>89301000</v>
      </c>
      <c r="B8080" t="str">
        <f>"5805180788"</f>
        <v>5805180788</v>
      </c>
      <c r="C8080" s="1">
        <v>44997</v>
      </c>
      <c r="D8080" s="1">
        <v>45005</v>
      </c>
      <c r="E8080">
        <v>3</v>
      </c>
      <c r="F8080" t="str">
        <f>"08-I05-04"</f>
        <v>08-I05-04</v>
      </c>
      <c r="G8080">
        <v>2.4445000000000001</v>
      </c>
      <c r="H8080" t="s">
        <v>12</v>
      </c>
      <c r="I8080" t="s">
        <v>10</v>
      </c>
    </row>
    <row r="8081" spans="1:9" x14ac:dyDescent="0.25">
      <c r="A8081" t="str">
        <f t="shared" si="195"/>
        <v>89301000</v>
      </c>
      <c r="B8081" t="str">
        <f>"5805180788"</f>
        <v>5805180788</v>
      </c>
      <c r="C8081" s="1">
        <v>45005</v>
      </c>
      <c r="D8081" s="1">
        <v>45016</v>
      </c>
      <c r="E8081">
        <v>1</v>
      </c>
      <c r="F8081" t="str">
        <f>"24-M06-02"</f>
        <v>24-M06-02</v>
      </c>
      <c r="G8081">
        <v>1.0699000000000001</v>
      </c>
      <c r="H8081" t="s">
        <v>11</v>
      </c>
      <c r="I8081" t="s">
        <v>10</v>
      </c>
    </row>
    <row r="8082" spans="1:9" x14ac:dyDescent="0.25">
      <c r="A8082" t="str">
        <f t="shared" si="195"/>
        <v>89301000</v>
      </c>
      <c r="B8082" t="str">
        <f>"5805221389"</f>
        <v>5805221389</v>
      </c>
      <c r="C8082" s="1">
        <v>45236</v>
      </c>
      <c r="D8082" s="1">
        <v>45240</v>
      </c>
      <c r="E8082">
        <v>1</v>
      </c>
      <c r="F8082" t="str">
        <f>"01-I14-02"</f>
        <v>01-I14-02</v>
      </c>
      <c r="G8082">
        <v>1.2188000000000001</v>
      </c>
      <c r="H8082" t="s">
        <v>12</v>
      </c>
      <c r="I8082" t="s">
        <v>10</v>
      </c>
    </row>
    <row r="8083" spans="1:9" x14ac:dyDescent="0.25">
      <c r="A8083" t="str">
        <f t="shared" si="195"/>
        <v>89301000</v>
      </c>
      <c r="B8083" t="str">
        <f>"5805221389"</f>
        <v>5805221389</v>
      </c>
      <c r="C8083" s="1">
        <v>45075</v>
      </c>
      <c r="D8083" s="1">
        <v>45079</v>
      </c>
      <c r="E8083">
        <v>1</v>
      </c>
      <c r="F8083" t="str">
        <f>"01-K08-02"</f>
        <v>01-K08-02</v>
      </c>
      <c r="G8083">
        <v>0.60619999999999996</v>
      </c>
      <c r="H8083" t="s">
        <v>11</v>
      </c>
      <c r="I8083" t="s">
        <v>10</v>
      </c>
    </row>
    <row r="8084" spans="1:9" x14ac:dyDescent="0.25">
      <c r="A8084" t="str">
        <f t="shared" si="195"/>
        <v>89301000</v>
      </c>
      <c r="B8084" t="str">
        <f>"5805251551"</f>
        <v>5805251551</v>
      </c>
      <c r="C8084" s="1">
        <v>45159</v>
      </c>
      <c r="D8084" s="1">
        <v>45160</v>
      </c>
      <c r="E8084">
        <v>1</v>
      </c>
      <c r="F8084" t="str">
        <f>"05-M05-02"</f>
        <v>05-M05-02</v>
      </c>
      <c r="G8084">
        <v>3.6899000000000002</v>
      </c>
      <c r="H8084" t="s">
        <v>14</v>
      </c>
      <c r="I8084" t="s">
        <v>10</v>
      </c>
    </row>
    <row r="8085" spans="1:9" x14ac:dyDescent="0.25">
      <c r="A8085" t="str">
        <f t="shared" si="195"/>
        <v>89301000</v>
      </c>
      <c r="B8085" t="str">
        <f>"5805251551"</f>
        <v>5805251551</v>
      </c>
      <c r="C8085" s="1">
        <v>44964</v>
      </c>
      <c r="D8085" s="1">
        <v>44964</v>
      </c>
      <c r="E8085">
        <v>1</v>
      </c>
      <c r="F8085" t="str">
        <f>"05-M06-07"</f>
        <v>05-M06-07</v>
      </c>
      <c r="G8085">
        <v>1.6095999999999999</v>
      </c>
      <c r="H8085" t="s">
        <v>12</v>
      </c>
      <c r="I8085" t="s">
        <v>10</v>
      </c>
    </row>
    <row r="8086" spans="1:9" x14ac:dyDescent="0.25">
      <c r="A8086" t="str">
        <f t="shared" si="195"/>
        <v>89301000</v>
      </c>
      <c r="B8086" t="str">
        <f>"5805261891"</f>
        <v>5805261891</v>
      </c>
      <c r="C8086" s="1">
        <v>45195</v>
      </c>
      <c r="D8086" s="1">
        <v>45197</v>
      </c>
      <c r="E8086">
        <v>1</v>
      </c>
      <c r="F8086" t="str">
        <f>"05-M05-03"</f>
        <v>05-M05-03</v>
      </c>
      <c r="G8086">
        <v>0.70599999999999996</v>
      </c>
      <c r="H8086" t="s">
        <v>14</v>
      </c>
      <c r="I8086" t="s">
        <v>10</v>
      </c>
    </row>
    <row r="8087" spans="1:9" x14ac:dyDescent="0.25">
      <c r="A8087" t="str">
        <f t="shared" si="195"/>
        <v>89301000</v>
      </c>
      <c r="B8087" t="str">
        <f>"5806011695"</f>
        <v>5806011695</v>
      </c>
      <c r="C8087" s="1">
        <v>45148</v>
      </c>
      <c r="D8087" s="1">
        <v>45150</v>
      </c>
      <c r="E8087">
        <v>1</v>
      </c>
      <c r="F8087" t="str">
        <f>"12-I12-00"</f>
        <v>12-I12-00</v>
      </c>
      <c r="G8087">
        <v>0.61209999999999998</v>
      </c>
      <c r="H8087" t="s">
        <v>12</v>
      </c>
      <c r="I8087" t="s">
        <v>10</v>
      </c>
    </row>
    <row r="8088" spans="1:9" x14ac:dyDescent="0.25">
      <c r="A8088" t="str">
        <f t="shared" si="195"/>
        <v>89301000</v>
      </c>
      <c r="B8088" t="str">
        <f>"5806092237"</f>
        <v>5806092237</v>
      </c>
      <c r="C8088" s="1">
        <v>45058</v>
      </c>
      <c r="D8088" s="1">
        <v>45070</v>
      </c>
      <c r="E8088">
        <v>1</v>
      </c>
      <c r="F8088" t="str">
        <f>"24-M07-01"</f>
        <v>24-M07-01</v>
      </c>
      <c r="G8088">
        <v>1.7825</v>
      </c>
      <c r="H8088" t="s">
        <v>11</v>
      </c>
      <c r="I8088" t="s">
        <v>10</v>
      </c>
    </row>
    <row r="8089" spans="1:9" x14ac:dyDescent="0.25">
      <c r="A8089" t="str">
        <f t="shared" si="195"/>
        <v>89301000</v>
      </c>
      <c r="B8089" t="str">
        <f>"5806092237"</f>
        <v>5806092237</v>
      </c>
      <c r="C8089" s="1">
        <v>45193</v>
      </c>
      <c r="D8089" s="1">
        <v>45195</v>
      </c>
      <c r="E8089">
        <v>1</v>
      </c>
      <c r="F8089" t="str">
        <f>"08-M03-05"</f>
        <v>08-M03-05</v>
      </c>
      <c r="G8089">
        <v>0.46810000000000002</v>
      </c>
      <c r="H8089" t="s">
        <v>11</v>
      </c>
      <c r="I8089" t="s">
        <v>10</v>
      </c>
    </row>
    <row r="8090" spans="1:9" x14ac:dyDescent="0.25">
      <c r="A8090" t="str">
        <f t="shared" si="195"/>
        <v>89301000</v>
      </c>
      <c r="B8090" t="str">
        <f>"5806092237"</f>
        <v>5806092237</v>
      </c>
      <c r="C8090" s="1">
        <v>45054</v>
      </c>
      <c r="D8090" s="1">
        <v>45058</v>
      </c>
      <c r="E8090">
        <v>3</v>
      </c>
      <c r="F8090" t="str">
        <f>"01-K10-03"</f>
        <v>01-K10-03</v>
      </c>
      <c r="G8090">
        <v>1.0348999999999999</v>
      </c>
      <c r="H8090" t="s">
        <v>11</v>
      </c>
      <c r="I8090" t="s">
        <v>10</v>
      </c>
    </row>
    <row r="8091" spans="1:9" x14ac:dyDescent="0.25">
      <c r="A8091" t="str">
        <f t="shared" si="195"/>
        <v>89301000</v>
      </c>
      <c r="B8091" t="str">
        <f>"5806112059"</f>
        <v>5806112059</v>
      </c>
      <c r="C8091" s="1">
        <v>44973</v>
      </c>
      <c r="D8091" s="1">
        <v>44974</v>
      </c>
      <c r="E8091">
        <v>1</v>
      </c>
      <c r="F8091" t="str">
        <f>"23-I10-00"</f>
        <v>23-I10-00</v>
      </c>
      <c r="G8091">
        <v>0.57330000000000003</v>
      </c>
      <c r="H8091" t="s">
        <v>11</v>
      </c>
      <c r="I8091" t="s">
        <v>10</v>
      </c>
    </row>
    <row r="8092" spans="1:9" x14ac:dyDescent="0.25">
      <c r="A8092" t="str">
        <f t="shared" si="195"/>
        <v>89301000</v>
      </c>
      <c r="B8092" t="str">
        <f>"5806131287"</f>
        <v>5806131287</v>
      </c>
      <c r="C8092" s="1">
        <v>45193</v>
      </c>
      <c r="D8092" s="1">
        <v>45199</v>
      </c>
      <c r="E8092">
        <v>1</v>
      </c>
      <c r="F8092" t="str">
        <f>"12-I03-01"</f>
        <v>12-I03-01</v>
      </c>
      <c r="G8092">
        <v>2.6934999999999998</v>
      </c>
      <c r="H8092" t="s">
        <v>9</v>
      </c>
      <c r="I8092" t="s">
        <v>10</v>
      </c>
    </row>
    <row r="8093" spans="1:9" x14ac:dyDescent="0.25">
      <c r="A8093" t="str">
        <f t="shared" si="195"/>
        <v>89301000</v>
      </c>
      <c r="B8093" t="str">
        <f>"5806152154"</f>
        <v>5806152154</v>
      </c>
      <c r="C8093" s="1">
        <v>45042</v>
      </c>
      <c r="D8093" s="1">
        <v>45048</v>
      </c>
      <c r="E8093">
        <v>3</v>
      </c>
      <c r="F8093" t="str">
        <f>"08-I06-04"</f>
        <v>08-I06-04</v>
      </c>
      <c r="G8093">
        <v>2.4180000000000001</v>
      </c>
      <c r="H8093" t="s">
        <v>9</v>
      </c>
      <c r="I8093" t="s">
        <v>10</v>
      </c>
    </row>
    <row r="8094" spans="1:9" x14ac:dyDescent="0.25">
      <c r="A8094" t="str">
        <f t="shared" si="195"/>
        <v>89301000</v>
      </c>
      <c r="B8094" t="str">
        <f>"5806152154"</f>
        <v>5806152154</v>
      </c>
      <c r="C8094" s="1">
        <v>45048</v>
      </c>
      <c r="D8094" s="1">
        <v>45057</v>
      </c>
      <c r="E8094">
        <v>1</v>
      </c>
      <c r="F8094" t="str">
        <f>"24-M06-02"</f>
        <v>24-M06-02</v>
      </c>
      <c r="G8094">
        <v>1.0699000000000001</v>
      </c>
      <c r="H8094" t="s">
        <v>11</v>
      </c>
      <c r="I8094" t="s">
        <v>10</v>
      </c>
    </row>
    <row r="8095" spans="1:9" x14ac:dyDescent="0.25">
      <c r="A8095" t="str">
        <f t="shared" si="195"/>
        <v>89301000</v>
      </c>
      <c r="B8095" t="str">
        <f>"5806160613"</f>
        <v>5806160613</v>
      </c>
      <c r="C8095" s="1">
        <v>44959</v>
      </c>
      <c r="D8095" s="1">
        <v>44963</v>
      </c>
      <c r="E8095">
        <v>1</v>
      </c>
      <c r="F8095" t="str">
        <f>"03-K04-01"</f>
        <v>03-K04-01</v>
      </c>
      <c r="G8095">
        <v>0.46479999999999999</v>
      </c>
      <c r="H8095" t="s">
        <v>11</v>
      </c>
      <c r="I8095" t="s">
        <v>10</v>
      </c>
    </row>
    <row r="8096" spans="1:9" x14ac:dyDescent="0.25">
      <c r="A8096" t="str">
        <f t="shared" si="195"/>
        <v>89301000</v>
      </c>
      <c r="B8096" t="str">
        <f>"5806272395"</f>
        <v>5806272395</v>
      </c>
      <c r="C8096" s="1">
        <v>45050</v>
      </c>
      <c r="D8096" s="1">
        <v>45052</v>
      </c>
      <c r="E8096">
        <v>1</v>
      </c>
      <c r="F8096" t="str">
        <f>"08-M03-03"</f>
        <v>08-M03-03</v>
      </c>
      <c r="G8096">
        <v>0.56640000000000001</v>
      </c>
      <c r="H8096" t="s">
        <v>11</v>
      </c>
      <c r="I8096" t="s">
        <v>10</v>
      </c>
    </row>
    <row r="8097" spans="1:9" x14ac:dyDescent="0.25">
      <c r="A8097" t="str">
        <f t="shared" si="195"/>
        <v>89301000</v>
      </c>
      <c r="B8097" t="str">
        <f>"5806290391"</f>
        <v>5806290391</v>
      </c>
      <c r="C8097" s="1">
        <v>44981</v>
      </c>
      <c r="D8097" s="1">
        <v>44984</v>
      </c>
      <c r="E8097">
        <v>1</v>
      </c>
      <c r="F8097" t="str">
        <f>"16-K02-03"</f>
        <v>16-K02-03</v>
      </c>
      <c r="G8097">
        <v>0.58299999999999996</v>
      </c>
      <c r="H8097" t="s">
        <v>11</v>
      </c>
      <c r="I8097" t="s">
        <v>10</v>
      </c>
    </row>
    <row r="8098" spans="1:9" x14ac:dyDescent="0.25">
      <c r="A8098" t="str">
        <f t="shared" si="195"/>
        <v>89301000</v>
      </c>
      <c r="B8098" t="str">
        <f>"5807071039"</f>
        <v>5807071039</v>
      </c>
      <c r="C8098" s="1">
        <v>45077</v>
      </c>
      <c r="D8098" s="1">
        <v>45078</v>
      </c>
      <c r="E8098">
        <v>1</v>
      </c>
      <c r="F8098" t="str">
        <f>"08-K04-03"</f>
        <v>08-K04-03</v>
      </c>
      <c r="G8098">
        <v>0.41799999999999998</v>
      </c>
      <c r="H8098" t="s">
        <v>11</v>
      </c>
      <c r="I8098" t="s">
        <v>10</v>
      </c>
    </row>
    <row r="8099" spans="1:9" x14ac:dyDescent="0.25">
      <c r="A8099" t="str">
        <f t="shared" si="195"/>
        <v>89301000</v>
      </c>
      <c r="B8099" t="str">
        <f>"5807071039"</f>
        <v>5807071039</v>
      </c>
      <c r="C8099" s="1">
        <v>45120</v>
      </c>
      <c r="D8099" s="1">
        <v>45142</v>
      </c>
      <c r="E8099">
        <v>1</v>
      </c>
      <c r="F8099" t="str">
        <f>"08-I06-03"</f>
        <v>08-I06-03</v>
      </c>
      <c r="G8099">
        <v>2.8209</v>
      </c>
      <c r="H8099" t="s">
        <v>9</v>
      </c>
      <c r="I8099" t="s">
        <v>10</v>
      </c>
    </row>
    <row r="8100" spans="1:9" x14ac:dyDescent="0.25">
      <c r="A8100" t="str">
        <f t="shared" si="195"/>
        <v>89301000</v>
      </c>
      <c r="B8100" t="str">
        <f>"5807120253"</f>
        <v>5807120253</v>
      </c>
      <c r="C8100" s="1">
        <v>45098</v>
      </c>
      <c r="D8100" s="1">
        <v>45123</v>
      </c>
      <c r="E8100">
        <v>1</v>
      </c>
      <c r="F8100" t="str">
        <f>"07-I01-02"</f>
        <v>07-I01-02</v>
      </c>
      <c r="G8100">
        <v>5.8490000000000002</v>
      </c>
      <c r="H8100" t="s">
        <v>14</v>
      </c>
      <c r="I8100" t="s">
        <v>10</v>
      </c>
    </row>
    <row r="8101" spans="1:9" x14ac:dyDescent="0.25">
      <c r="A8101" t="str">
        <f t="shared" si="195"/>
        <v>89301000</v>
      </c>
      <c r="B8101" t="str">
        <f>"5807171766"</f>
        <v>5807171766</v>
      </c>
      <c r="C8101" s="1">
        <v>45050</v>
      </c>
      <c r="D8101" s="1">
        <v>45054</v>
      </c>
      <c r="E8101">
        <v>1</v>
      </c>
      <c r="F8101" t="str">
        <f>"08-M03-05"</f>
        <v>08-M03-05</v>
      </c>
      <c r="G8101">
        <v>0.46810000000000002</v>
      </c>
      <c r="H8101" t="s">
        <v>11</v>
      </c>
      <c r="I8101" t="s">
        <v>10</v>
      </c>
    </row>
    <row r="8102" spans="1:9" x14ac:dyDescent="0.25">
      <c r="A8102" t="str">
        <f t="shared" si="195"/>
        <v>89301000</v>
      </c>
      <c r="B8102" t="str">
        <f>"5807201928"</f>
        <v>5807201928</v>
      </c>
      <c r="C8102" s="1">
        <v>45252</v>
      </c>
      <c r="D8102" s="1">
        <v>45254</v>
      </c>
      <c r="E8102">
        <v>1</v>
      </c>
      <c r="F8102" t="str">
        <f>"05-I14-03"</f>
        <v>05-I14-03</v>
      </c>
      <c r="G8102">
        <v>6.0362</v>
      </c>
      <c r="H8102" t="s">
        <v>12</v>
      </c>
      <c r="I8102" t="s">
        <v>10</v>
      </c>
    </row>
    <row r="8103" spans="1:9" x14ac:dyDescent="0.25">
      <c r="A8103" t="str">
        <f t="shared" si="195"/>
        <v>89301000</v>
      </c>
      <c r="B8103" t="str">
        <f>"5807201928"</f>
        <v>5807201928</v>
      </c>
      <c r="C8103" s="1">
        <v>45177</v>
      </c>
      <c r="D8103" s="1">
        <v>45177</v>
      </c>
      <c r="E8103">
        <v>1</v>
      </c>
      <c r="F8103" t="str">
        <f>"05-D01-07"</f>
        <v>05-D01-07</v>
      </c>
      <c r="G8103">
        <v>0.31559999999999999</v>
      </c>
      <c r="H8103" t="s">
        <v>11</v>
      </c>
      <c r="I8103" t="s">
        <v>10</v>
      </c>
    </row>
    <row r="8104" spans="1:9" x14ac:dyDescent="0.25">
      <c r="A8104" t="str">
        <f t="shared" si="195"/>
        <v>89301000</v>
      </c>
      <c r="B8104" t="str">
        <f>"5807201928"</f>
        <v>5807201928</v>
      </c>
      <c r="C8104" s="1">
        <v>45034</v>
      </c>
      <c r="D8104" s="1">
        <v>45041</v>
      </c>
      <c r="E8104">
        <v>1</v>
      </c>
      <c r="F8104" t="str">
        <f>"07-I10-06"</f>
        <v>07-I10-06</v>
      </c>
      <c r="G8104">
        <v>1.0752999999999999</v>
      </c>
      <c r="H8104" t="s">
        <v>12</v>
      </c>
      <c r="I8104" t="s">
        <v>10</v>
      </c>
    </row>
    <row r="8105" spans="1:9" x14ac:dyDescent="0.25">
      <c r="A8105" t="str">
        <f t="shared" si="195"/>
        <v>89301000</v>
      </c>
      <c r="B8105" t="str">
        <f>"5807201928"</f>
        <v>5807201928</v>
      </c>
      <c r="C8105" s="1">
        <v>44948</v>
      </c>
      <c r="D8105" s="1">
        <v>44953</v>
      </c>
      <c r="E8105">
        <v>1</v>
      </c>
      <c r="F8105" t="str">
        <f>"07-M02-04"</f>
        <v>07-M02-04</v>
      </c>
      <c r="G8105">
        <v>0.77339999999999998</v>
      </c>
      <c r="H8105" t="s">
        <v>12</v>
      </c>
      <c r="I8105" t="s">
        <v>10</v>
      </c>
    </row>
    <row r="8106" spans="1:9" x14ac:dyDescent="0.25">
      <c r="A8106" t="str">
        <f t="shared" si="195"/>
        <v>89301000</v>
      </c>
      <c r="B8106" t="str">
        <f t="shared" ref="B8106:B8113" si="196">"5807211410"</f>
        <v>5807211410</v>
      </c>
      <c r="C8106" s="1">
        <v>44950</v>
      </c>
      <c r="D8106" s="1">
        <v>44953</v>
      </c>
      <c r="E8106">
        <v>1</v>
      </c>
      <c r="F8106" t="str">
        <f>"04-K09-03"</f>
        <v>04-K09-03</v>
      </c>
      <c r="G8106">
        <v>0.68920000000000003</v>
      </c>
      <c r="H8106" t="s">
        <v>11</v>
      </c>
      <c r="I8106" t="s">
        <v>10</v>
      </c>
    </row>
    <row r="8107" spans="1:9" x14ac:dyDescent="0.25">
      <c r="A8107" t="str">
        <f t="shared" si="195"/>
        <v>89301000</v>
      </c>
      <c r="B8107" t="str">
        <f t="shared" si="196"/>
        <v>5807211410</v>
      </c>
      <c r="C8107" s="1">
        <v>45156</v>
      </c>
      <c r="D8107" s="1">
        <v>45161</v>
      </c>
      <c r="E8107">
        <v>1</v>
      </c>
      <c r="F8107" t="str">
        <f>"04-K09-02"</f>
        <v>04-K09-02</v>
      </c>
      <c r="G8107">
        <v>1.155</v>
      </c>
      <c r="H8107" t="s">
        <v>11</v>
      </c>
      <c r="I8107" t="s">
        <v>10</v>
      </c>
    </row>
    <row r="8108" spans="1:9" x14ac:dyDescent="0.25">
      <c r="A8108" t="str">
        <f t="shared" si="195"/>
        <v>89301000</v>
      </c>
      <c r="B8108" t="str">
        <f t="shared" si="196"/>
        <v>5807211410</v>
      </c>
      <c r="C8108" s="1">
        <v>45145</v>
      </c>
      <c r="D8108" s="1">
        <v>45149</v>
      </c>
      <c r="E8108">
        <v>1</v>
      </c>
      <c r="F8108" t="str">
        <f>"04-C02-02"</f>
        <v>04-C02-02</v>
      </c>
      <c r="G8108">
        <v>0.36070000000000002</v>
      </c>
      <c r="H8108" t="s">
        <v>11</v>
      </c>
      <c r="I8108" t="s">
        <v>10</v>
      </c>
    </row>
    <row r="8109" spans="1:9" x14ac:dyDescent="0.25">
      <c r="A8109" t="str">
        <f t="shared" si="195"/>
        <v>89301000</v>
      </c>
      <c r="B8109" t="str">
        <f t="shared" si="196"/>
        <v>5807211410</v>
      </c>
      <c r="C8109" s="1">
        <v>45124</v>
      </c>
      <c r="D8109" s="1">
        <v>45128</v>
      </c>
      <c r="E8109">
        <v>1</v>
      </c>
      <c r="F8109" t="str">
        <f>"04-K09-02"</f>
        <v>04-K09-02</v>
      </c>
      <c r="G8109">
        <v>1.1033999999999999</v>
      </c>
      <c r="H8109" t="s">
        <v>11</v>
      </c>
      <c r="I8109" t="s">
        <v>10</v>
      </c>
    </row>
    <row r="8110" spans="1:9" x14ac:dyDescent="0.25">
      <c r="A8110" t="str">
        <f t="shared" si="195"/>
        <v>89301000</v>
      </c>
      <c r="B8110" t="str">
        <f t="shared" si="196"/>
        <v>5807211410</v>
      </c>
      <c r="C8110" s="1">
        <v>45096</v>
      </c>
      <c r="D8110" s="1">
        <v>45100</v>
      </c>
      <c r="E8110">
        <v>1</v>
      </c>
      <c r="F8110" t="str">
        <f>"04-C02-02"</f>
        <v>04-C02-02</v>
      </c>
      <c r="G8110">
        <v>0.377</v>
      </c>
      <c r="H8110" t="s">
        <v>11</v>
      </c>
      <c r="I8110" t="s">
        <v>10</v>
      </c>
    </row>
    <row r="8111" spans="1:9" x14ac:dyDescent="0.25">
      <c r="A8111" t="str">
        <f t="shared" si="195"/>
        <v>89301000</v>
      </c>
      <c r="B8111" t="str">
        <f t="shared" si="196"/>
        <v>5807211410</v>
      </c>
      <c r="C8111" s="1">
        <v>45089</v>
      </c>
      <c r="D8111" s="1">
        <v>45091</v>
      </c>
      <c r="E8111">
        <v>1</v>
      </c>
      <c r="F8111" t="str">
        <f>"04-K09-02"</f>
        <v>04-K09-02</v>
      </c>
      <c r="G8111">
        <v>1.155</v>
      </c>
      <c r="H8111" t="s">
        <v>11</v>
      </c>
      <c r="I8111" t="s">
        <v>10</v>
      </c>
    </row>
    <row r="8112" spans="1:9" x14ac:dyDescent="0.25">
      <c r="A8112" t="str">
        <f t="shared" si="195"/>
        <v>89301000</v>
      </c>
      <c r="B8112" t="str">
        <f t="shared" si="196"/>
        <v>5807211410</v>
      </c>
      <c r="C8112" s="1">
        <v>44936</v>
      </c>
      <c r="D8112" s="1">
        <v>44938</v>
      </c>
      <c r="E8112">
        <v>1</v>
      </c>
      <c r="F8112" t="str">
        <f>"04-C02-02"</f>
        <v>04-C02-02</v>
      </c>
      <c r="G8112">
        <v>0.36070000000000002</v>
      </c>
      <c r="H8112" t="s">
        <v>11</v>
      </c>
      <c r="I8112" t="s">
        <v>10</v>
      </c>
    </row>
    <row r="8113" spans="1:9" x14ac:dyDescent="0.25">
      <c r="A8113" t="str">
        <f t="shared" si="195"/>
        <v>89301000</v>
      </c>
      <c r="B8113" t="str">
        <f t="shared" si="196"/>
        <v>5807211410</v>
      </c>
      <c r="C8113" s="1">
        <v>45061</v>
      </c>
      <c r="D8113" s="1">
        <v>45065</v>
      </c>
      <c r="E8113">
        <v>1</v>
      </c>
      <c r="F8113" t="str">
        <f>"04-C02-02"</f>
        <v>04-C02-02</v>
      </c>
      <c r="G8113">
        <v>0.36070000000000002</v>
      </c>
      <c r="H8113" t="s">
        <v>11</v>
      </c>
      <c r="I8113" t="s">
        <v>10</v>
      </c>
    </row>
    <row r="8114" spans="1:9" x14ac:dyDescent="0.25">
      <c r="A8114" t="str">
        <f t="shared" si="195"/>
        <v>89301000</v>
      </c>
      <c r="B8114" t="str">
        <f>"5807220067"</f>
        <v>5807220067</v>
      </c>
      <c r="C8114" s="1">
        <v>45223</v>
      </c>
      <c r="D8114" s="1">
        <v>45225</v>
      </c>
      <c r="E8114">
        <v>1</v>
      </c>
      <c r="F8114" t="str">
        <f>"12-I14-00"</f>
        <v>12-I14-00</v>
      </c>
      <c r="G8114">
        <v>0.42920000000000003</v>
      </c>
      <c r="H8114" t="s">
        <v>11</v>
      </c>
      <c r="I8114" t="s">
        <v>10</v>
      </c>
    </row>
    <row r="8115" spans="1:9" x14ac:dyDescent="0.25">
      <c r="A8115" t="str">
        <f t="shared" si="195"/>
        <v>89301000</v>
      </c>
      <c r="B8115" t="str">
        <f>"5807240087"</f>
        <v>5807240087</v>
      </c>
      <c r="C8115" s="1">
        <v>45146</v>
      </c>
      <c r="D8115" s="1">
        <v>45147</v>
      </c>
      <c r="E8115">
        <v>1</v>
      </c>
      <c r="F8115" t="str">
        <f>"05-M06-06"</f>
        <v>05-M06-06</v>
      </c>
      <c r="G8115">
        <v>1.8264</v>
      </c>
      <c r="H8115" t="s">
        <v>12</v>
      </c>
      <c r="I8115" t="s">
        <v>10</v>
      </c>
    </row>
    <row r="8116" spans="1:9" x14ac:dyDescent="0.25">
      <c r="A8116" t="str">
        <f t="shared" si="195"/>
        <v>89301000</v>
      </c>
      <c r="B8116" t="str">
        <f>"5807240087"</f>
        <v>5807240087</v>
      </c>
      <c r="C8116" s="1">
        <v>45187</v>
      </c>
      <c r="D8116" s="1">
        <v>45189</v>
      </c>
      <c r="E8116">
        <v>1</v>
      </c>
      <c r="F8116" t="str">
        <f>"05-I14-01"</f>
        <v>05-I14-01</v>
      </c>
      <c r="G8116">
        <v>8.4530999999999992</v>
      </c>
      <c r="H8116" t="s">
        <v>12</v>
      </c>
      <c r="I8116" t="s">
        <v>10</v>
      </c>
    </row>
    <row r="8117" spans="1:9" x14ac:dyDescent="0.25">
      <c r="A8117" t="str">
        <f t="shared" si="195"/>
        <v>89301000</v>
      </c>
      <c r="B8117" t="str">
        <f>"5807250130"</f>
        <v>5807250130</v>
      </c>
      <c r="C8117" s="1">
        <v>44971</v>
      </c>
      <c r="D8117" s="1">
        <v>44971</v>
      </c>
      <c r="E8117">
        <v>1</v>
      </c>
      <c r="F8117" t="str">
        <f>"05-D01-06"</f>
        <v>05-D01-06</v>
      </c>
      <c r="G8117">
        <v>0.4037</v>
      </c>
      <c r="H8117" t="s">
        <v>11</v>
      </c>
      <c r="I8117" t="s">
        <v>10</v>
      </c>
    </row>
    <row r="8118" spans="1:9" x14ac:dyDescent="0.25">
      <c r="A8118" t="str">
        <f t="shared" ref="A8118:A8181" si="197">"89301000"</f>
        <v>89301000</v>
      </c>
      <c r="B8118" t="str">
        <f>"5807251560"</f>
        <v>5807251560</v>
      </c>
      <c r="C8118" s="1">
        <v>45061</v>
      </c>
      <c r="D8118" s="1">
        <v>45062</v>
      </c>
      <c r="E8118">
        <v>1</v>
      </c>
      <c r="F8118" t="str">
        <f>"17-K07-02"</f>
        <v>17-K07-02</v>
      </c>
      <c r="G8118">
        <v>0.90310000000000001</v>
      </c>
      <c r="H8118" t="s">
        <v>11</v>
      </c>
      <c r="I8118" t="s">
        <v>10</v>
      </c>
    </row>
    <row r="8119" spans="1:9" x14ac:dyDescent="0.25">
      <c r="A8119" t="str">
        <f t="shared" si="197"/>
        <v>89301000</v>
      </c>
      <c r="B8119" t="str">
        <f>"5807270216"</f>
        <v>5807270216</v>
      </c>
      <c r="C8119" s="1">
        <v>45064</v>
      </c>
      <c r="D8119" s="1">
        <v>45077</v>
      </c>
      <c r="E8119">
        <v>1</v>
      </c>
      <c r="F8119" t="str">
        <f>"11-K07-02"</f>
        <v>11-K07-02</v>
      </c>
      <c r="G8119">
        <v>0.68210000000000004</v>
      </c>
      <c r="H8119" t="s">
        <v>11</v>
      </c>
      <c r="I8119" t="s">
        <v>10</v>
      </c>
    </row>
    <row r="8120" spans="1:9" x14ac:dyDescent="0.25">
      <c r="A8120" t="str">
        <f t="shared" si="197"/>
        <v>89301000</v>
      </c>
      <c r="B8120" t="str">
        <f>"5808021560"</f>
        <v>5808021560</v>
      </c>
      <c r="C8120" s="1">
        <v>45018</v>
      </c>
      <c r="D8120" s="1">
        <v>45024</v>
      </c>
      <c r="E8120">
        <v>1</v>
      </c>
      <c r="F8120" t="str">
        <f>"01-I06-04"</f>
        <v>01-I06-04</v>
      </c>
      <c r="G8120">
        <v>3.6478999999999999</v>
      </c>
      <c r="H8120" t="s">
        <v>12</v>
      </c>
      <c r="I8120" t="s">
        <v>10</v>
      </c>
    </row>
    <row r="8121" spans="1:9" x14ac:dyDescent="0.25">
      <c r="A8121" t="str">
        <f t="shared" si="197"/>
        <v>89301000</v>
      </c>
      <c r="B8121" t="str">
        <f>"5808021835"</f>
        <v>5808021835</v>
      </c>
      <c r="C8121" s="1">
        <v>45124</v>
      </c>
      <c r="D8121" s="1">
        <v>45126</v>
      </c>
      <c r="E8121">
        <v>1</v>
      </c>
      <c r="F8121" t="str">
        <f>"11-K03-02"</f>
        <v>11-K03-02</v>
      </c>
      <c r="G8121">
        <v>0.622</v>
      </c>
      <c r="H8121" t="s">
        <v>11</v>
      </c>
      <c r="I8121" t="s">
        <v>10</v>
      </c>
    </row>
    <row r="8122" spans="1:9" x14ac:dyDescent="0.25">
      <c r="A8122" t="str">
        <f t="shared" si="197"/>
        <v>89301000</v>
      </c>
      <c r="B8122" t="str">
        <f>"5808046893"</f>
        <v>5808046893</v>
      </c>
      <c r="C8122" s="1">
        <v>45097</v>
      </c>
      <c r="D8122" s="1">
        <v>45105</v>
      </c>
      <c r="E8122">
        <v>5</v>
      </c>
      <c r="F8122" t="str">
        <f>"08-I21-01"</f>
        <v>08-I21-01</v>
      </c>
      <c r="G8122">
        <v>2.3639999999999999</v>
      </c>
      <c r="H8122" t="s">
        <v>12</v>
      </c>
      <c r="I8122" t="s">
        <v>10</v>
      </c>
    </row>
    <row r="8123" spans="1:9" x14ac:dyDescent="0.25">
      <c r="A8123" t="str">
        <f t="shared" si="197"/>
        <v>89301000</v>
      </c>
      <c r="B8123" t="str">
        <f>"5808110660"</f>
        <v>5808110660</v>
      </c>
      <c r="C8123" s="1">
        <v>44932</v>
      </c>
      <c r="D8123" s="1">
        <v>44932</v>
      </c>
      <c r="E8123">
        <v>1</v>
      </c>
      <c r="F8123" t="str">
        <f>"05-D01-06"</f>
        <v>05-D01-06</v>
      </c>
      <c r="G8123">
        <v>0.4037</v>
      </c>
      <c r="H8123" t="s">
        <v>11</v>
      </c>
      <c r="I8123" t="s">
        <v>10</v>
      </c>
    </row>
    <row r="8124" spans="1:9" x14ac:dyDescent="0.25">
      <c r="A8124" t="str">
        <f t="shared" si="197"/>
        <v>89301000</v>
      </c>
      <c r="B8124" t="str">
        <f>"5808120879"</f>
        <v>5808120879</v>
      </c>
      <c r="C8124" s="1">
        <v>45261</v>
      </c>
      <c r="D8124" s="1">
        <v>45273</v>
      </c>
      <c r="E8124">
        <v>1</v>
      </c>
      <c r="F8124" t="str">
        <f>"08-K03-02"</f>
        <v>08-K03-02</v>
      </c>
      <c r="G8124">
        <v>1.4953000000000001</v>
      </c>
      <c r="H8124" t="s">
        <v>11</v>
      </c>
      <c r="I8124" t="s">
        <v>10</v>
      </c>
    </row>
    <row r="8125" spans="1:9" x14ac:dyDescent="0.25">
      <c r="A8125" t="str">
        <f t="shared" si="197"/>
        <v>89301000</v>
      </c>
      <c r="B8125" t="str">
        <f>"5808120912"</f>
        <v>5808120912</v>
      </c>
      <c r="C8125" s="1">
        <v>45090</v>
      </c>
      <c r="D8125" s="1">
        <v>45093</v>
      </c>
      <c r="E8125">
        <v>1</v>
      </c>
      <c r="F8125" t="str">
        <f>"01-K18-04"</f>
        <v>01-K18-04</v>
      </c>
      <c r="G8125">
        <v>0.54610000000000003</v>
      </c>
      <c r="H8125" t="s">
        <v>11</v>
      </c>
      <c r="I8125" t="s">
        <v>10</v>
      </c>
    </row>
    <row r="8126" spans="1:9" x14ac:dyDescent="0.25">
      <c r="A8126" t="str">
        <f t="shared" si="197"/>
        <v>89301000</v>
      </c>
      <c r="B8126" t="str">
        <f>"5808211255"</f>
        <v>5808211255</v>
      </c>
      <c r="C8126" s="1">
        <v>45111</v>
      </c>
      <c r="D8126" s="1">
        <v>45117</v>
      </c>
      <c r="E8126">
        <v>1</v>
      </c>
      <c r="F8126" t="str">
        <f>"05-I13-02"</f>
        <v>05-I13-02</v>
      </c>
      <c r="G8126">
        <v>9.7108000000000008</v>
      </c>
      <c r="H8126" t="s">
        <v>14</v>
      </c>
      <c r="I8126" t="s">
        <v>10</v>
      </c>
    </row>
    <row r="8127" spans="1:9" x14ac:dyDescent="0.25">
      <c r="A8127" t="str">
        <f t="shared" si="197"/>
        <v>89301000</v>
      </c>
      <c r="B8127" t="str">
        <f>"5808260821"</f>
        <v>5808260821</v>
      </c>
      <c r="C8127" s="1">
        <v>44929</v>
      </c>
      <c r="D8127" s="1">
        <v>44931</v>
      </c>
      <c r="E8127">
        <v>1</v>
      </c>
      <c r="F8127" t="str">
        <f>"06-K14-02"</f>
        <v>06-K14-02</v>
      </c>
      <c r="G8127">
        <v>0.61380000000000001</v>
      </c>
      <c r="H8127" t="s">
        <v>11</v>
      </c>
      <c r="I8127" t="s">
        <v>10</v>
      </c>
    </row>
    <row r="8128" spans="1:9" x14ac:dyDescent="0.25">
      <c r="A8128" t="str">
        <f t="shared" si="197"/>
        <v>89301000</v>
      </c>
      <c r="B8128" t="str">
        <f>"5808260821"</f>
        <v>5808260821</v>
      </c>
      <c r="C8128" s="1">
        <v>45124</v>
      </c>
      <c r="D8128" s="1">
        <v>45149</v>
      </c>
      <c r="E8128">
        <v>1</v>
      </c>
      <c r="F8128" t="str">
        <f>"06-I12-02"</f>
        <v>06-I12-02</v>
      </c>
      <c r="G8128">
        <v>2.7924000000000002</v>
      </c>
      <c r="H8128" t="s">
        <v>11</v>
      </c>
      <c r="I8128" t="s">
        <v>10</v>
      </c>
    </row>
    <row r="8129" spans="1:9" x14ac:dyDescent="0.25">
      <c r="A8129" t="str">
        <f t="shared" si="197"/>
        <v>89301000</v>
      </c>
      <c r="B8129" t="str">
        <f>"5808280621"</f>
        <v>5808280621</v>
      </c>
      <c r="C8129" s="1">
        <v>45145</v>
      </c>
      <c r="D8129" s="1">
        <v>45151</v>
      </c>
      <c r="E8129">
        <v>8</v>
      </c>
      <c r="F8129" t="str">
        <f>"07-K04-01"</f>
        <v>07-K04-01</v>
      </c>
      <c r="G8129">
        <v>2.4868000000000001</v>
      </c>
      <c r="H8129" t="s">
        <v>11</v>
      </c>
      <c r="I8129" t="s">
        <v>10</v>
      </c>
    </row>
    <row r="8130" spans="1:9" x14ac:dyDescent="0.25">
      <c r="A8130" t="str">
        <f t="shared" si="197"/>
        <v>89301000</v>
      </c>
      <c r="B8130" t="str">
        <f>"5808510532"</f>
        <v>5808510532</v>
      </c>
      <c r="C8130" s="1">
        <v>45049</v>
      </c>
      <c r="D8130" s="1">
        <v>45053</v>
      </c>
      <c r="E8130">
        <v>1</v>
      </c>
      <c r="F8130" t="str">
        <f>"10-K04-04"</f>
        <v>10-K04-04</v>
      </c>
      <c r="G8130">
        <v>0.53949999999999998</v>
      </c>
      <c r="H8130" t="s">
        <v>11</v>
      </c>
      <c r="I8130" t="s">
        <v>10</v>
      </c>
    </row>
    <row r="8131" spans="1:9" x14ac:dyDescent="0.25">
      <c r="A8131" t="str">
        <f t="shared" si="197"/>
        <v>89301000</v>
      </c>
      <c r="B8131" t="str">
        <f>"5809092091"</f>
        <v>5809092091</v>
      </c>
      <c r="C8131" s="1">
        <v>45035</v>
      </c>
      <c r="D8131" s="1">
        <v>45036</v>
      </c>
      <c r="E8131">
        <v>1</v>
      </c>
      <c r="F8131" t="str">
        <f>"05-K15-01"</f>
        <v>05-K15-01</v>
      </c>
      <c r="G8131">
        <v>0.57210000000000005</v>
      </c>
      <c r="H8131" t="s">
        <v>11</v>
      </c>
      <c r="I8131" t="s">
        <v>10</v>
      </c>
    </row>
    <row r="8132" spans="1:9" x14ac:dyDescent="0.25">
      <c r="A8132" t="str">
        <f t="shared" si="197"/>
        <v>89301000</v>
      </c>
      <c r="B8132" t="str">
        <f>"5809122176"</f>
        <v>5809122176</v>
      </c>
      <c r="C8132" s="1">
        <v>45195</v>
      </c>
      <c r="D8132" s="1">
        <v>45196</v>
      </c>
      <c r="E8132">
        <v>1</v>
      </c>
      <c r="F8132" t="str">
        <f>"03-I22-01"</f>
        <v>03-I22-01</v>
      </c>
      <c r="G8132">
        <v>0.62490000000000001</v>
      </c>
      <c r="H8132" t="s">
        <v>11</v>
      </c>
      <c r="I8132" t="s">
        <v>10</v>
      </c>
    </row>
    <row r="8133" spans="1:9" x14ac:dyDescent="0.25">
      <c r="A8133" t="str">
        <f t="shared" si="197"/>
        <v>89301000</v>
      </c>
      <c r="B8133" t="str">
        <f>"5809171599"</f>
        <v>5809171599</v>
      </c>
      <c r="C8133" s="1">
        <v>45134</v>
      </c>
      <c r="D8133" s="1">
        <v>45142</v>
      </c>
      <c r="E8133">
        <v>1</v>
      </c>
      <c r="F8133" t="str">
        <f>"17-K03-02"</f>
        <v>17-K03-02</v>
      </c>
      <c r="G8133">
        <v>2.1981000000000002</v>
      </c>
      <c r="H8133" t="s">
        <v>11</v>
      </c>
      <c r="I8133" t="s">
        <v>10</v>
      </c>
    </row>
    <row r="8134" spans="1:9" x14ac:dyDescent="0.25">
      <c r="A8134" t="str">
        <f t="shared" si="197"/>
        <v>89301000</v>
      </c>
      <c r="B8134" t="str">
        <f>"5809171599"</f>
        <v>5809171599</v>
      </c>
      <c r="C8134" s="1">
        <v>45191</v>
      </c>
      <c r="D8134" s="1">
        <v>45212</v>
      </c>
      <c r="E8134">
        <v>1</v>
      </c>
      <c r="F8134" t="str">
        <f>"17-K03-01"</f>
        <v>17-K03-01</v>
      </c>
      <c r="G8134">
        <v>3.9533999999999998</v>
      </c>
      <c r="H8134" t="s">
        <v>11</v>
      </c>
      <c r="I8134" t="s">
        <v>10</v>
      </c>
    </row>
    <row r="8135" spans="1:9" x14ac:dyDescent="0.25">
      <c r="A8135" t="str">
        <f t="shared" si="197"/>
        <v>89301000</v>
      </c>
      <c r="B8135" t="str">
        <f>"5809172314"</f>
        <v>5809172314</v>
      </c>
      <c r="C8135" s="1">
        <v>45173</v>
      </c>
      <c r="D8135" s="1">
        <v>45177</v>
      </c>
      <c r="E8135">
        <v>1</v>
      </c>
      <c r="F8135" t="str">
        <f>"01-K10-02"</f>
        <v>01-K10-02</v>
      </c>
      <c r="G8135">
        <v>1.6027</v>
      </c>
      <c r="H8135" t="s">
        <v>11</v>
      </c>
      <c r="I8135" t="s">
        <v>10</v>
      </c>
    </row>
    <row r="8136" spans="1:9" x14ac:dyDescent="0.25">
      <c r="A8136" t="str">
        <f t="shared" si="197"/>
        <v>89301000</v>
      </c>
      <c r="B8136" t="str">
        <f>"5809172314"</f>
        <v>5809172314</v>
      </c>
      <c r="C8136" s="1">
        <v>45271</v>
      </c>
      <c r="D8136" s="1">
        <v>45278</v>
      </c>
      <c r="E8136">
        <v>1</v>
      </c>
      <c r="F8136" t="str">
        <f>"00-M10-02"</f>
        <v>00-M10-02</v>
      </c>
      <c r="G8136">
        <v>0.99629999999999996</v>
      </c>
      <c r="H8136" t="s">
        <v>14</v>
      </c>
      <c r="I8136" t="s">
        <v>10</v>
      </c>
    </row>
    <row r="8137" spans="1:9" x14ac:dyDescent="0.25">
      <c r="A8137" t="str">
        <f t="shared" si="197"/>
        <v>89301000</v>
      </c>
      <c r="B8137" t="str">
        <f>"5809172314"</f>
        <v>5809172314</v>
      </c>
      <c r="C8137" s="1">
        <v>45264</v>
      </c>
      <c r="D8137" s="1">
        <v>45265</v>
      </c>
      <c r="E8137">
        <v>1</v>
      </c>
      <c r="F8137" t="str">
        <f>"17-K03-01"</f>
        <v>17-K03-01</v>
      </c>
      <c r="G8137">
        <v>1.1124000000000001</v>
      </c>
      <c r="H8137" t="s">
        <v>11</v>
      </c>
      <c r="I8137" t="s">
        <v>10</v>
      </c>
    </row>
    <row r="8138" spans="1:9" x14ac:dyDescent="0.25">
      <c r="A8138" t="str">
        <f t="shared" si="197"/>
        <v>89301000</v>
      </c>
      <c r="B8138" t="str">
        <f>"5809202113"</f>
        <v>5809202113</v>
      </c>
      <c r="C8138" s="1">
        <v>45068</v>
      </c>
      <c r="D8138" s="1">
        <v>45072</v>
      </c>
      <c r="E8138">
        <v>1</v>
      </c>
      <c r="F8138" t="str">
        <f>"24-M05-02"</f>
        <v>24-M05-02</v>
      </c>
      <c r="G8138">
        <v>0.58660000000000001</v>
      </c>
      <c r="H8138" t="s">
        <v>11</v>
      </c>
      <c r="I8138" t="s">
        <v>10</v>
      </c>
    </row>
    <row r="8139" spans="1:9" x14ac:dyDescent="0.25">
      <c r="A8139" t="str">
        <f t="shared" si="197"/>
        <v>89301000</v>
      </c>
      <c r="B8139" t="str">
        <f>"5809202113"</f>
        <v>5809202113</v>
      </c>
      <c r="C8139" s="1">
        <v>45032</v>
      </c>
      <c r="D8139" s="1">
        <v>45034</v>
      </c>
      <c r="E8139">
        <v>1</v>
      </c>
      <c r="F8139" t="str">
        <f>"08-I14-02"</f>
        <v>08-I14-02</v>
      </c>
      <c r="G8139">
        <v>1.6909000000000001</v>
      </c>
      <c r="H8139" t="s">
        <v>12</v>
      </c>
      <c r="I8139" t="s">
        <v>10</v>
      </c>
    </row>
    <row r="8140" spans="1:9" x14ac:dyDescent="0.25">
      <c r="A8140" t="str">
        <f t="shared" si="197"/>
        <v>89301000</v>
      </c>
      <c r="B8140" t="str">
        <f>"5809280642"</f>
        <v>5809280642</v>
      </c>
      <c r="C8140" s="1">
        <v>45271</v>
      </c>
      <c r="D8140" s="1">
        <v>45273</v>
      </c>
      <c r="E8140">
        <v>1</v>
      </c>
      <c r="F8140" t="str">
        <f>"10-K15-02"</f>
        <v>10-K15-02</v>
      </c>
      <c r="G8140">
        <v>0.66379999999999995</v>
      </c>
      <c r="H8140" t="s">
        <v>11</v>
      </c>
      <c r="I8140" t="s">
        <v>10</v>
      </c>
    </row>
    <row r="8141" spans="1:9" x14ac:dyDescent="0.25">
      <c r="A8141" t="str">
        <f t="shared" si="197"/>
        <v>89301000</v>
      </c>
      <c r="B8141" t="str">
        <f>"5810011691"</f>
        <v>5810011691</v>
      </c>
      <c r="C8141" s="1">
        <v>44950</v>
      </c>
      <c r="D8141" s="1">
        <v>44951</v>
      </c>
      <c r="E8141">
        <v>5</v>
      </c>
      <c r="F8141" t="str">
        <f>"05-D01-06"</f>
        <v>05-D01-06</v>
      </c>
      <c r="G8141">
        <v>0.7571</v>
      </c>
      <c r="H8141" t="s">
        <v>11</v>
      </c>
      <c r="I8141" t="s">
        <v>10</v>
      </c>
    </row>
    <row r="8142" spans="1:9" x14ac:dyDescent="0.25">
      <c r="A8142" t="str">
        <f t="shared" si="197"/>
        <v>89301000</v>
      </c>
      <c r="B8142" t="str">
        <f>"5810081222"</f>
        <v>5810081222</v>
      </c>
      <c r="C8142" s="1">
        <v>45222</v>
      </c>
      <c r="D8142" s="1">
        <v>45225</v>
      </c>
      <c r="E8142">
        <v>1</v>
      </c>
      <c r="F8142" t="str">
        <f>"11-M07-02"</f>
        <v>11-M07-02</v>
      </c>
      <c r="G8142">
        <v>0.64219999999999999</v>
      </c>
      <c r="H8142" t="s">
        <v>12</v>
      </c>
      <c r="I8142" t="s">
        <v>10</v>
      </c>
    </row>
    <row r="8143" spans="1:9" x14ac:dyDescent="0.25">
      <c r="A8143" t="str">
        <f t="shared" si="197"/>
        <v>89301000</v>
      </c>
      <c r="B8143" t="str">
        <f>"5810081222"</f>
        <v>5810081222</v>
      </c>
      <c r="C8143" s="1">
        <v>45013</v>
      </c>
      <c r="D8143" s="1">
        <v>45016</v>
      </c>
      <c r="E8143">
        <v>1</v>
      </c>
      <c r="F8143" t="str">
        <f>"09-K04-02"</f>
        <v>09-K04-02</v>
      </c>
      <c r="G8143">
        <v>0.64849999999999997</v>
      </c>
      <c r="H8143" t="s">
        <v>11</v>
      </c>
      <c r="I8143" t="s">
        <v>10</v>
      </c>
    </row>
    <row r="8144" spans="1:9" x14ac:dyDescent="0.25">
      <c r="A8144" t="str">
        <f t="shared" si="197"/>
        <v>89301000</v>
      </c>
      <c r="B8144" t="str">
        <f>"5810161379"</f>
        <v>5810161379</v>
      </c>
      <c r="C8144" s="1">
        <v>45232</v>
      </c>
      <c r="D8144" s="1">
        <v>45233</v>
      </c>
      <c r="E8144">
        <v>1</v>
      </c>
      <c r="F8144" t="str">
        <f>"17-I08-02"</f>
        <v>17-I08-02</v>
      </c>
      <c r="G8144">
        <v>1.1373</v>
      </c>
      <c r="H8144" t="s">
        <v>11</v>
      </c>
      <c r="I8144" t="s">
        <v>10</v>
      </c>
    </row>
    <row r="8145" spans="1:9" x14ac:dyDescent="0.25">
      <c r="A8145" t="str">
        <f t="shared" si="197"/>
        <v>89301000</v>
      </c>
      <c r="B8145" t="str">
        <f>"5810161379"</f>
        <v>5810161379</v>
      </c>
      <c r="C8145" s="1">
        <v>45217</v>
      </c>
      <c r="D8145" s="1">
        <v>45218</v>
      </c>
      <c r="E8145">
        <v>1</v>
      </c>
      <c r="F8145" t="str">
        <f>"07-I04-02"</f>
        <v>07-I04-02</v>
      </c>
      <c r="G8145">
        <v>1.5416000000000001</v>
      </c>
      <c r="H8145" t="s">
        <v>14</v>
      </c>
      <c r="I8145" t="s">
        <v>10</v>
      </c>
    </row>
    <row r="8146" spans="1:9" x14ac:dyDescent="0.25">
      <c r="A8146" t="str">
        <f t="shared" si="197"/>
        <v>89301000</v>
      </c>
      <c r="B8146" t="str">
        <f>"5810281818"</f>
        <v>5810281818</v>
      </c>
      <c r="C8146" s="1">
        <v>45264</v>
      </c>
      <c r="D8146" s="1">
        <v>45268</v>
      </c>
      <c r="E8146">
        <v>1</v>
      </c>
      <c r="F8146" t="str">
        <f>"06-M01-02"</f>
        <v>06-M01-02</v>
      </c>
      <c r="G8146">
        <v>1.2206999999999999</v>
      </c>
      <c r="H8146" t="s">
        <v>11</v>
      </c>
      <c r="I8146" t="s">
        <v>10</v>
      </c>
    </row>
    <row r="8147" spans="1:9" x14ac:dyDescent="0.25">
      <c r="A8147" t="str">
        <f t="shared" si="197"/>
        <v>89301000</v>
      </c>
      <c r="B8147" t="str">
        <f>"5810760516"</f>
        <v>5810760516</v>
      </c>
      <c r="C8147" s="1">
        <v>44960</v>
      </c>
      <c r="D8147" s="1">
        <v>44966</v>
      </c>
      <c r="E8147">
        <v>1</v>
      </c>
      <c r="F8147" t="str">
        <f>"04-K02-04"</f>
        <v>04-K02-04</v>
      </c>
      <c r="G8147">
        <v>0.82099999999999995</v>
      </c>
      <c r="H8147" t="s">
        <v>11</v>
      </c>
      <c r="I8147" t="s">
        <v>10</v>
      </c>
    </row>
    <row r="8148" spans="1:9" x14ac:dyDescent="0.25">
      <c r="A8148" t="str">
        <f t="shared" si="197"/>
        <v>89301000</v>
      </c>
      <c r="B8148" t="str">
        <f>"5811091836"</f>
        <v>5811091836</v>
      </c>
      <c r="C8148" s="1">
        <v>44936</v>
      </c>
      <c r="D8148" s="1">
        <v>44938</v>
      </c>
      <c r="E8148">
        <v>1</v>
      </c>
      <c r="F8148" t="str">
        <f>"11-I17-03"</f>
        <v>11-I17-03</v>
      </c>
      <c r="G8148">
        <v>0.50139999999999996</v>
      </c>
      <c r="H8148" t="s">
        <v>11</v>
      </c>
      <c r="I8148" t="s">
        <v>10</v>
      </c>
    </row>
    <row r="8149" spans="1:9" x14ac:dyDescent="0.25">
      <c r="A8149" t="str">
        <f t="shared" si="197"/>
        <v>89301000</v>
      </c>
      <c r="B8149" t="str">
        <f>"5811121899"</f>
        <v>5811121899</v>
      </c>
      <c r="C8149" s="1">
        <v>45138</v>
      </c>
      <c r="D8149" s="1">
        <v>45153</v>
      </c>
      <c r="E8149">
        <v>1</v>
      </c>
      <c r="F8149" t="str">
        <f>"06-K01-01"</f>
        <v>06-K01-01</v>
      </c>
      <c r="G8149">
        <v>2.6581000000000001</v>
      </c>
      <c r="H8149" t="s">
        <v>11</v>
      </c>
      <c r="I8149" t="s">
        <v>10</v>
      </c>
    </row>
    <row r="8150" spans="1:9" x14ac:dyDescent="0.25">
      <c r="A8150" t="str">
        <f t="shared" si="197"/>
        <v>89301000</v>
      </c>
      <c r="B8150" t="str">
        <f>"5811171003"</f>
        <v>5811171003</v>
      </c>
      <c r="C8150" s="1">
        <v>45232</v>
      </c>
      <c r="D8150" s="1">
        <v>45233</v>
      </c>
      <c r="E8150">
        <v>1</v>
      </c>
      <c r="F8150" t="str">
        <f>"11-M05-01"</f>
        <v>11-M05-01</v>
      </c>
      <c r="G8150">
        <v>0.83750000000000002</v>
      </c>
      <c r="H8150" t="s">
        <v>12</v>
      </c>
      <c r="I8150" t="s">
        <v>10</v>
      </c>
    </row>
    <row r="8151" spans="1:9" x14ac:dyDescent="0.25">
      <c r="A8151" t="str">
        <f t="shared" si="197"/>
        <v>89301000</v>
      </c>
      <c r="B8151" t="str">
        <f>"5811251897"</f>
        <v>5811251897</v>
      </c>
      <c r="C8151" s="1">
        <v>45198</v>
      </c>
      <c r="D8151" s="1">
        <v>45202</v>
      </c>
      <c r="E8151">
        <v>1</v>
      </c>
      <c r="F8151" t="str">
        <f>"04-M02-04"</f>
        <v>04-M02-04</v>
      </c>
      <c r="G8151">
        <v>0.82489999999999997</v>
      </c>
      <c r="H8151" t="s">
        <v>11</v>
      </c>
      <c r="I8151" t="s">
        <v>10</v>
      </c>
    </row>
    <row r="8152" spans="1:9" x14ac:dyDescent="0.25">
      <c r="A8152" t="str">
        <f t="shared" si="197"/>
        <v>89301000</v>
      </c>
      <c r="B8152" t="str">
        <f>"5811261775"</f>
        <v>5811261775</v>
      </c>
      <c r="C8152" s="1">
        <v>44942</v>
      </c>
      <c r="D8152" s="1">
        <v>44945</v>
      </c>
      <c r="E8152">
        <v>1</v>
      </c>
      <c r="F8152" t="str">
        <f>"05-M07-06"</f>
        <v>05-M07-06</v>
      </c>
      <c r="G8152">
        <v>1.2264999999999999</v>
      </c>
      <c r="H8152" t="s">
        <v>12</v>
      </c>
      <c r="I8152" t="s">
        <v>10</v>
      </c>
    </row>
    <row r="8153" spans="1:9" x14ac:dyDescent="0.25">
      <c r="A8153" t="str">
        <f t="shared" si="197"/>
        <v>89301000</v>
      </c>
      <c r="B8153" t="str">
        <f>"5811261775"</f>
        <v>5811261775</v>
      </c>
      <c r="C8153" s="1">
        <v>44995</v>
      </c>
      <c r="D8153" s="1">
        <v>45033</v>
      </c>
      <c r="E8153">
        <v>4</v>
      </c>
      <c r="F8153" t="str">
        <f>"05-I20-01"</f>
        <v>05-I20-01</v>
      </c>
      <c r="G8153">
        <v>5.1656000000000004</v>
      </c>
      <c r="H8153" t="s">
        <v>11</v>
      </c>
      <c r="I8153" t="s">
        <v>10</v>
      </c>
    </row>
    <row r="8154" spans="1:9" x14ac:dyDescent="0.25">
      <c r="A8154" t="str">
        <f t="shared" si="197"/>
        <v>89301000</v>
      </c>
      <c r="B8154" t="str">
        <f>"5811261775"</f>
        <v>5811261775</v>
      </c>
      <c r="C8154" s="1">
        <v>44957</v>
      </c>
      <c r="D8154" s="1">
        <v>44981</v>
      </c>
      <c r="E8154">
        <v>1</v>
      </c>
      <c r="F8154" t="str">
        <f>"10-K02-01"</f>
        <v>10-K02-01</v>
      </c>
      <c r="G8154">
        <v>1.2081</v>
      </c>
      <c r="H8154" t="s">
        <v>11</v>
      </c>
      <c r="I8154" t="s">
        <v>10</v>
      </c>
    </row>
    <row r="8155" spans="1:9" x14ac:dyDescent="0.25">
      <c r="A8155" t="str">
        <f t="shared" si="197"/>
        <v>89301000</v>
      </c>
      <c r="B8155" t="str">
        <f>"5811280090"</f>
        <v>5811280090</v>
      </c>
      <c r="C8155" s="1">
        <v>45006</v>
      </c>
      <c r="D8155" s="1">
        <v>45008</v>
      </c>
      <c r="E8155">
        <v>1</v>
      </c>
      <c r="F8155" t="str">
        <f>"08-M03-05"</f>
        <v>08-M03-05</v>
      </c>
      <c r="G8155">
        <v>0.46810000000000002</v>
      </c>
      <c r="H8155" t="s">
        <v>11</v>
      </c>
      <c r="I8155" t="s">
        <v>10</v>
      </c>
    </row>
    <row r="8156" spans="1:9" x14ac:dyDescent="0.25">
      <c r="A8156" t="str">
        <f t="shared" si="197"/>
        <v>89301000</v>
      </c>
      <c r="B8156" t="str">
        <f>"5812080186"</f>
        <v>5812080186</v>
      </c>
      <c r="C8156" s="1">
        <v>44966</v>
      </c>
      <c r="D8156" s="1">
        <v>44968</v>
      </c>
      <c r="E8156">
        <v>1</v>
      </c>
      <c r="F8156" t="str">
        <f>"16-K02-03"</f>
        <v>16-K02-03</v>
      </c>
      <c r="G8156">
        <v>0.58299999999999996</v>
      </c>
      <c r="H8156" t="s">
        <v>11</v>
      </c>
      <c r="I8156" t="s">
        <v>10</v>
      </c>
    </row>
    <row r="8157" spans="1:9" x14ac:dyDescent="0.25">
      <c r="A8157" t="str">
        <f t="shared" si="197"/>
        <v>89301000</v>
      </c>
      <c r="B8157" t="str">
        <f>"5812080186"</f>
        <v>5812080186</v>
      </c>
      <c r="C8157" s="1">
        <v>45014</v>
      </c>
      <c r="D8157" s="1">
        <v>45016</v>
      </c>
      <c r="E8157">
        <v>1</v>
      </c>
      <c r="F8157" t="str">
        <f>"16-K02-01"</f>
        <v>16-K02-01</v>
      </c>
      <c r="G8157">
        <v>1.3922000000000001</v>
      </c>
      <c r="H8157" t="s">
        <v>11</v>
      </c>
      <c r="I8157" t="s">
        <v>10</v>
      </c>
    </row>
    <row r="8158" spans="1:9" x14ac:dyDescent="0.25">
      <c r="A8158" t="str">
        <f t="shared" si="197"/>
        <v>89301000</v>
      </c>
      <c r="B8158" t="str">
        <f>"5812080186"</f>
        <v>5812080186</v>
      </c>
      <c r="C8158" s="1">
        <v>45103</v>
      </c>
      <c r="D8158" s="1">
        <v>45104</v>
      </c>
      <c r="E8158">
        <v>1</v>
      </c>
      <c r="F8158" t="str">
        <f>"07-K04-02"</f>
        <v>07-K04-02</v>
      </c>
      <c r="G8158">
        <v>0.80079999999999996</v>
      </c>
      <c r="H8158" t="s">
        <v>11</v>
      </c>
      <c r="I8158" t="s">
        <v>10</v>
      </c>
    </row>
    <row r="8159" spans="1:9" x14ac:dyDescent="0.25">
      <c r="A8159" t="str">
        <f t="shared" si="197"/>
        <v>89301000</v>
      </c>
      <c r="B8159" t="str">
        <f>"5812210129"</f>
        <v>5812210129</v>
      </c>
      <c r="C8159" s="1">
        <v>45081</v>
      </c>
      <c r="D8159" s="1">
        <v>45089</v>
      </c>
      <c r="E8159">
        <v>1</v>
      </c>
      <c r="F8159" t="str">
        <f>"12-K01-02"</f>
        <v>12-K01-02</v>
      </c>
      <c r="G8159">
        <v>0.56440000000000001</v>
      </c>
      <c r="H8159" t="s">
        <v>11</v>
      </c>
      <c r="I8159" t="s">
        <v>10</v>
      </c>
    </row>
    <row r="8160" spans="1:9" x14ac:dyDescent="0.25">
      <c r="A8160" t="str">
        <f t="shared" si="197"/>
        <v>89301000</v>
      </c>
      <c r="B8160" t="str">
        <f>"5812230116"</f>
        <v>5812230116</v>
      </c>
      <c r="C8160" s="1">
        <v>45263</v>
      </c>
      <c r="D8160" s="1">
        <v>45268</v>
      </c>
      <c r="E8160">
        <v>1</v>
      </c>
      <c r="F8160" t="str">
        <f>"04-K09-03"</f>
        <v>04-K09-03</v>
      </c>
      <c r="G8160">
        <v>0.65600000000000003</v>
      </c>
      <c r="H8160" t="s">
        <v>11</v>
      </c>
      <c r="I8160" t="s">
        <v>10</v>
      </c>
    </row>
    <row r="8161" spans="1:9" x14ac:dyDescent="0.25">
      <c r="A8161" t="str">
        <f t="shared" si="197"/>
        <v>89301000</v>
      </c>
      <c r="B8161" t="str">
        <f>"5812230127"</f>
        <v>5812230127</v>
      </c>
      <c r="C8161" s="1">
        <v>44979</v>
      </c>
      <c r="D8161" s="1">
        <v>44983</v>
      </c>
      <c r="E8161">
        <v>1</v>
      </c>
      <c r="F8161" t="str">
        <f>"11-M06-03"</f>
        <v>11-M06-03</v>
      </c>
      <c r="G8161">
        <v>0.62009999999999998</v>
      </c>
      <c r="H8161" t="s">
        <v>12</v>
      </c>
      <c r="I8161" t="s">
        <v>10</v>
      </c>
    </row>
    <row r="8162" spans="1:9" x14ac:dyDescent="0.25">
      <c r="A8162" t="str">
        <f t="shared" si="197"/>
        <v>89301000</v>
      </c>
      <c r="B8162" t="str">
        <f>"5812230127"</f>
        <v>5812230127</v>
      </c>
      <c r="C8162" s="1">
        <v>45127</v>
      </c>
      <c r="D8162" s="1">
        <v>45138</v>
      </c>
      <c r="E8162">
        <v>1</v>
      </c>
      <c r="F8162" t="str">
        <f>"11-I01-02"</f>
        <v>11-I01-02</v>
      </c>
      <c r="G8162">
        <v>4.8537999999999997</v>
      </c>
      <c r="H8162" t="s">
        <v>14</v>
      </c>
      <c r="I8162" t="s">
        <v>10</v>
      </c>
    </row>
    <row r="8163" spans="1:9" x14ac:dyDescent="0.25">
      <c r="A8163" t="str">
        <f t="shared" si="197"/>
        <v>89301000</v>
      </c>
      <c r="B8163" t="str">
        <f>"5812286766"</f>
        <v>5812286766</v>
      </c>
      <c r="C8163" s="1">
        <v>44974</v>
      </c>
      <c r="D8163" s="1">
        <v>44977</v>
      </c>
      <c r="E8163">
        <v>1</v>
      </c>
      <c r="F8163" t="str">
        <f>"10-K12-02"</f>
        <v>10-K12-02</v>
      </c>
      <c r="G8163">
        <v>0.873</v>
      </c>
      <c r="H8163" t="s">
        <v>11</v>
      </c>
      <c r="I8163" t="s">
        <v>10</v>
      </c>
    </row>
    <row r="8164" spans="1:9" x14ac:dyDescent="0.25">
      <c r="A8164" t="str">
        <f t="shared" si="197"/>
        <v>89301000</v>
      </c>
      <c r="B8164" t="str">
        <f>"5851021726"</f>
        <v>5851021726</v>
      </c>
      <c r="C8164" s="1">
        <v>45099</v>
      </c>
      <c r="D8164" s="1">
        <v>45104</v>
      </c>
      <c r="E8164">
        <v>4</v>
      </c>
      <c r="F8164" t="str">
        <f>"08-I06-04"</f>
        <v>08-I06-04</v>
      </c>
      <c r="G8164">
        <v>2.3711000000000002</v>
      </c>
      <c r="H8164" t="s">
        <v>9</v>
      </c>
      <c r="I8164" t="s">
        <v>10</v>
      </c>
    </row>
    <row r="8165" spans="1:9" x14ac:dyDescent="0.25">
      <c r="A8165" t="str">
        <f t="shared" si="197"/>
        <v>89301000</v>
      </c>
      <c r="B8165" t="str">
        <f>"5851040778"</f>
        <v>5851040778</v>
      </c>
      <c r="C8165" s="1">
        <v>45246</v>
      </c>
      <c r="D8165" s="1">
        <v>45250</v>
      </c>
      <c r="E8165">
        <v>1</v>
      </c>
      <c r="F8165" t="str">
        <f>"05-D01-06"</f>
        <v>05-D01-06</v>
      </c>
      <c r="G8165">
        <v>0.7571</v>
      </c>
      <c r="H8165" t="s">
        <v>11</v>
      </c>
      <c r="I8165" t="s">
        <v>10</v>
      </c>
    </row>
    <row r="8166" spans="1:9" x14ac:dyDescent="0.25">
      <c r="A8166" t="str">
        <f t="shared" si="197"/>
        <v>89301000</v>
      </c>
      <c r="B8166" t="str">
        <f>"5851101025"</f>
        <v>5851101025</v>
      </c>
      <c r="C8166" s="1">
        <v>44966</v>
      </c>
      <c r="D8166" s="1">
        <v>44986</v>
      </c>
      <c r="E8166">
        <v>1</v>
      </c>
      <c r="F8166" t="str">
        <f>"07-M02-02"</f>
        <v>07-M02-02</v>
      </c>
      <c r="G8166">
        <v>2.1499000000000001</v>
      </c>
      <c r="H8166" t="s">
        <v>12</v>
      </c>
      <c r="I8166" t="s">
        <v>10</v>
      </c>
    </row>
    <row r="8167" spans="1:9" x14ac:dyDescent="0.25">
      <c r="A8167" t="str">
        <f t="shared" si="197"/>
        <v>89301000</v>
      </c>
      <c r="B8167" t="str">
        <f>"5851110925"</f>
        <v>5851110925</v>
      </c>
      <c r="C8167" s="1">
        <v>45040</v>
      </c>
      <c r="D8167" s="1">
        <v>45042</v>
      </c>
      <c r="E8167">
        <v>1</v>
      </c>
      <c r="F8167" t="str">
        <f>"09-I13-05"</f>
        <v>09-I13-05</v>
      </c>
      <c r="G8167">
        <v>0.42570000000000002</v>
      </c>
      <c r="H8167" t="s">
        <v>11</v>
      </c>
      <c r="I8167" t="s">
        <v>10</v>
      </c>
    </row>
    <row r="8168" spans="1:9" x14ac:dyDescent="0.25">
      <c r="A8168" t="str">
        <f t="shared" si="197"/>
        <v>89301000</v>
      </c>
      <c r="B8168" t="str">
        <f>"5851140372"</f>
        <v>5851140372</v>
      </c>
      <c r="C8168" s="1">
        <v>45237</v>
      </c>
      <c r="D8168" s="1">
        <v>45238</v>
      </c>
      <c r="E8168">
        <v>1</v>
      </c>
      <c r="F8168" t="str">
        <f>"11-I14-02"</f>
        <v>11-I14-02</v>
      </c>
      <c r="G8168">
        <v>0.61839999999999995</v>
      </c>
      <c r="H8168" t="s">
        <v>9</v>
      </c>
      <c r="I8168" t="s">
        <v>10</v>
      </c>
    </row>
    <row r="8169" spans="1:9" x14ac:dyDescent="0.25">
      <c r="A8169" t="str">
        <f t="shared" si="197"/>
        <v>89301000</v>
      </c>
      <c r="B8169" t="str">
        <f>"5851150173"</f>
        <v>5851150173</v>
      </c>
      <c r="C8169" s="1">
        <v>44994</v>
      </c>
      <c r="D8169" s="1">
        <v>44998</v>
      </c>
      <c r="E8169">
        <v>1</v>
      </c>
      <c r="F8169" t="str">
        <f>"09-I09-02"</f>
        <v>09-I09-02</v>
      </c>
      <c r="G8169">
        <v>0.76900000000000002</v>
      </c>
      <c r="H8169" t="s">
        <v>12</v>
      </c>
      <c r="I8169" t="s">
        <v>10</v>
      </c>
    </row>
    <row r="8170" spans="1:9" x14ac:dyDescent="0.25">
      <c r="A8170" t="str">
        <f t="shared" si="197"/>
        <v>89301000</v>
      </c>
      <c r="B8170" t="str">
        <f>"5851192369"</f>
        <v>5851192369</v>
      </c>
      <c r="C8170" s="1">
        <v>44968</v>
      </c>
      <c r="D8170" s="1">
        <v>44971</v>
      </c>
      <c r="E8170">
        <v>1</v>
      </c>
      <c r="F8170" t="str">
        <f>"03-K04-01"</f>
        <v>03-K04-01</v>
      </c>
      <c r="G8170">
        <v>0.46479999999999999</v>
      </c>
      <c r="H8170" t="s">
        <v>11</v>
      </c>
      <c r="I8170" t="s">
        <v>10</v>
      </c>
    </row>
    <row r="8171" spans="1:9" x14ac:dyDescent="0.25">
      <c r="A8171" t="str">
        <f t="shared" si="197"/>
        <v>89301000</v>
      </c>
      <c r="B8171" t="str">
        <f>"5851201499"</f>
        <v>5851201499</v>
      </c>
      <c r="C8171" s="1">
        <v>45051</v>
      </c>
      <c r="D8171" s="1">
        <v>45057</v>
      </c>
      <c r="E8171">
        <v>1</v>
      </c>
      <c r="F8171" t="str">
        <f>"18-K01-05"</f>
        <v>18-K01-05</v>
      </c>
      <c r="G8171">
        <v>1.8069999999999999</v>
      </c>
      <c r="H8171" t="s">
        <v>11</v>
      </c>
      <c r="I8171" t="s">
        <v>10</v>
      </c>
    </row>
    <row r="8172" spans="1:9" x14ac:dyDescent="0.25">
      <c r="A8172" t="str">
        <f t="shared" si="197"/>
        <v>89301000</v>
      </c>
      <c r="B8172" t="str">
        <f>"5851292513"</f>
        <v>5851292513</v>
      </c>
      <c r="C8172" s="1">
        <v>44994</v>
      </c>
      <c r="D8172" s="1">
        <v>44995</v>
      </c>
      <c r="E8172">
        <v>1</v>
      </c>
      <c r="F8172" t="str">
        <f>"06-M01-02"</f>
        <v>06-M01-02</v>
      </c>
      <c r="G8172">
        <v>1.2206999999999999</v>
      </c>
      <c r="H8172" t="s">
        <v>11</v>
      </c>
      <c r="I8172" t="s">
        <v>10</v>
      </c>
    </row>
    <row r="8173" spans="1:9" x14ac:dyDescent="0.25">
      <c r="A8173" t="str">
        <f t="shared" si="197"/>
        <v>89301000</v>
      </c>
      <c r="B8173" t="str">
        <f>"5852021054"</f>
        <v>5852021054</v>
      </c>
      <c r="C8173" s="1">
        <v>45064</v>
      </c>
      <c r="D8173" s="1">
        <v>45067</v>
      </c>
      <c r="E8173">
        <v>1</v>
      </c>
      <c r="F8173" t="str">
        <f>"08-M03-02"</f>
        <v>08-M03-02</v>
      </c>
      <c r="G8173">
        <v>0.91359999999999997</v>
      </c>
      <c r="H8173" t="s">
        <v>11</v>
      </c>
      <c r="I8173" t="s">
        <v>10</v>
      </c>
    </row>
    <row r="8174" spans="1:9" x14ac:dyDescent="0.25">
      <c r="A8174" t="str">
        <f t="shared" si="197"/>
        <v>89301000</v>
      </c>
      <c r="B8174" t="str">
        <f>"5852150964"</f>
        <v>5852150964</v>
      </c>
      <c r="C8174" s="1">
        <v>45061</v>
      </c>
      <c r="D8174" s="1">
        <v>45065</v>
      </c>
      <c r="E8174">
        <v>1</v>
      </c>
      <c r="F8174" t="str">
        <f>"01-K08-02"</f>
        <v>01-K08-02</v>
      </c>
      <c r="G8174">
        <v>0.60619999999999996</v>
      </c>
      <c r="H8174" t="s">
        <v>11</v>
      </c>
      <c r="I8174" t="s">
        <v>10</v>
      </c>
    </row>
    <row r="8175" spans="1:9" x14ac:dyDescent="0.25">
      <c r="A8175" t="str">
        <f t="shared" si="197"/>
        <v>89301000</v>
      </c>
      <c r="B8175" t="str">
        <f>"5852150964"</f>
        <v>5852150964</v>
      </c>
      <c r="C8175" s="1">
        <v>45257</v>
      </c>
      <c r="D8175" s="1">
        <v>45261</v>
      </c>
      <c r="E8175">
        <v>1</v>
      </c>
      <c r="F8175" t="str">
        <f>"10-K04-04"</f>
        <v>10-K04-04</v>
      </c>
      <c r="G8175">
        <v>0.53949999999999998</v>
      </c>
      <c r="H8175" t="s">
        <v>11</v>
      </c>
      <c r="I8175" t="s">
        <v>10</v>
      </c>
    </row>
    <row r="8176" spans="1:9" x14ac:dyDescent="0.25">
      <c r="A8176" t="str">
        <f t="shared" si="197"/>
        <v>89301000</v>
      </c>
      <c r="B8176" t="str">
        <f>"5852182017"</f>
        <v>5852182017</v>
      </c>
      <c r="C8176" s="1">
        <v>45043</v>
      </c>
      <c r="D8176" s="1">
        <v>45045</v>
      </c>
      <c r="E8176">
        <v>1</v>
      </c>
      <c r="F8176" t="str">
        <f>"09-I06-04"</f>
        <v>09-I06-04</v>
      </c>
      <c r="G8176">
        <v>0.95069999999999999</v>
      </c>
      <c r="H8176" t="s">
        <v>12</v>
      </c>
      <c r="I8176" t="s">
        <v>10</v>
      </c>
    </row>
    <row r="8177" spans="1:9" x14ac:dyDescent="0.25">
      <c r="A8177" t="str">
        <f t="shared" si="197"/>
        <v>89301000</v>
      </c>
      <c r="B8177" t="str">
        <f>"5852191763"</f>
        <v>5852191763</v>
      </c>
      <c r="C8177" s="1">
        <v>44930</v>
      </c>
      <c r="D8177" s="1">
        <v>44936</v>
      </c>
      <c r="E8177">
        <v>4</v>
      </c>
      <c r="F8177" t="str">
        <f>"08-I06-04"</f>
        <v>08-I06-04</v>
      </c>
      <c r="G8177">
        <v>2.3433999999999999</v>
      </c>
      <c r="H8177" t="s">
        <v>9</v>
      </c>
      <c r="I8177" t="s">
        <v>10</v>
      </c>
    </row>
    <row r="8178" spans="1:9" x14ac:dyDescent="0.25">
      <c r="A8178" t="str">
        <f t="shared" si="197"/>
        <v>89301000</v>
      </c>
      <c r="B8178" t="str">
        <f>"5852192104"</f>
        <v>5852192104</v>
      </c>
      <c r="C8178" s="1">
        <v>45176</v>
      </c>
      <c r="D8178" s="1">
        <v>45178</v>
      </c>
      <c r="E8178">
        <v>1</v>
      </c>
      <c r="F8178" t="str">
        <f>"09-I06-04"</f>
        <v>09-I06-04</v>
      </c>
      <c r="G8178">
        <v>0.95069999999999999</v>
      </c>
      <c r="H8178" t="s">
        <v>12</v>
      </c>
      <c r="I8178" t="s">
        <v>10</v>
      </c>
    </row>
    <row r="8179" spans="1:9" x14ac:dyDescent="0.25">
      <c r="A8179" t="str">
        <f t="shared" si="197"/>
        <v>89301000</v>
      </c>
      <c r="B8179" t="str">
        <f>"5852221254"</f>
        <v>5852221254</v>
      </c>
      <c r="C8179" s="1">
        <v>45214</v>
      </c>
      <c r="D8179" s="1">
        <v>45218</v>
      </c>
      <c r="E8179">
        <v>1</v>
      </c>
      <c r="F8179" t="str">
        <f>"10-I13-02"</f>
        <v>10-I13-02</v>
      </c>
      <c r="G8179">
        <v>1.1124000000000001</v>
      </c>
      <c r="H8179" t="s">
        <v>9</v>
      </c>
      <c r="I8179" t="s">
        <v>10</v>
      </c>
    </row>
    <row r="8180" spans="1:9" x14ac:dyDescent="0.25">
      <c r="A8180" t="str">
        <f t="shared" si="197"/>
        <v>89301000</v>
      </c>
      <c r="B8180" t="str">
        <f>"5852241494"</f>
        <v>5852241494</v>
      </c>
      <c r="C8180" s="1">
        <v>45286</v>
      </c>
      <c r="D8180" s="1">
        <v>45289</v>
      </c>
      <c r="E8180">
        <v>1</v>
      </c>
      <c r="F8180" t="str">
        <f>"06-I18-04"</f>
        <v>06-I18-04</v>
      </c>
      <c r="G8180">
        <v>1.1088</v>
      </c>
      <c r="H8180" t="s">
        <v>9</v>
      </c>
      <c r="I8180" t="s">
        <v>10</v>
      </c>
    </row>
    <row r="8181" spans="1:9" x14ac:dyDescent="0.25">
      <c r="A8181" t="str">
        <f t="shared" si="197"/>
        <v>89301000</v>
      </c>
      <c r="B8181" t="str">
        <f>"5852242220"</f>
        <v>5852242220</v>
      </c>
      <c r="C8181" s="1">
        <v>45055</v>
      </c>
      <c r="D8181" s="1">
        <v>45061</v>
      </c>
      <c r="E8181">
        <v>4</v>
      </c>
      <c r="F8181" t="str">
        <f>"08-I06-04"</f>
        <v>08-I06-04</v>
      </c>
      <c r="G8181">
        <v>2.4180000000000001</v>
      </c>
      <c r="H8181" t="s">
        <v>9</v>
      </c>
      <c r="I8181" t="s">
        <v>10</v>
      </c>
    </row>
    <row r="8182" spans="1:9" x14ac:dyDescent="0.25">
      <c r="A8182" t="str">
        <f t="shared" ref="A8182:A8244" si="198">"89301000"</f>
        <v>89301000</v>
      </c>
      <c r="B8182" t="str">
        <f>"5852250283"</f>
        <v>5852250283</v>
      </c>
      <c r="C8182" s="1">
        <v>45215</v>
      </c>
      <c r="D8182" s="1">
        <v>45219</v>
      </c>
      <c r="E8182">
        <v>1</v>
      </c>
      <c r="F8182" t="str">
        <f>"13-I11-03"</f>
        <v>13-I11-03</v>
      </c>
      <c r="G8182">
        <v>1.4332</v>
      </c>
      <c r="H8182" t="s">
        <v>9</v>
      </c>
      <c r="I8182" t="s">
        <v>10</v>
      </c>
    </row>
    <row r="8183" spans="1:9" x14ac:dyDescent="0.25">
      <c r="A8183" t="str">
        <f t="shared" si="198"/>
        <v>89301000</v>
      </c>
      <c r="B8183" t="str">
        <f>"5852250283"</f>
        <v>5852250283</v>
      </c>
      <c r="C8183" s="1">
        <v>45036</v>
      </c>
      <c r="D8183" s="1">
        <v>45037</v>
      </c>
      <c r="E8183">
        <v>1</v>
      </c>
      <c r="F8183" t="str">
        <f>"13-I19-00"</f>
        <v>13-I19-00</v>
      </c>
      <c r="G8183">
        <v>0.28249999999999997</v>
      </c>
      <c r="H8183" t="s">
        <v>11</v>
      </c>
      <c r="I8183" t="s">
        <v>10</v>
      </c>
    </row>
    <row r="8184" spans="1:9" x14ac:dyDescent="0.25">
      <c r="A8184" t="str">
        <f t="shared" si="198"/>
        <v>89301000</v>
      </c>
      <c r="B8184" t="str">
        <f>"5852250283"</f>
        <v>5852250283</v>
      </c>
      <c r="C8184" s="1">
        <v>45082</v>
      </c>
      <c r="D8184" s="1">
        <v>45083</v>
      </c>
      <c r="E8184">
        <v>1</v>
      </c>
      <c r="F8184" t="str">
        <f>"13-I19-00"</f>
        <v>13-I19-00</v>
      </c>
      <c r="G8184">
        <v>0.28249999999999997</v>
      </c>
      <c r="H8184" t="s">
        <v>11</v>
      </c>
      <c r="I8184" t="s">
        <v>10</v>
      </c>
    </row>
    <row r="8185" spans="1:9" x14ac:dyDescent="0.25">
      <c r="A8185" t="str">
        <f t="shared" si="198"/>
        <v>89301000</v>
      </c>
      <c r="B8185" t="str">
        <f>"5852252483"</f>
        <v>5852252483</v>
      </c>
      <c r="C8185" s="1">
        <v>44949</v>
      </c>
      <c r="D8185" s="1">
        <v>44963</v>
      </c>
      <c r="E8185">
        <v>1</v>
      </c>
      <c r="F8185" t="str">
        <f>"08-I30-01"</f>
        <v>08-I30-01</v>
      </c>
      <c r="G8185">
        <v>2.3386999999999998</v>
      </c>
      <c r="H8185" t="s">
        <v>11</v>
      </c>
      <c r="I8185" t="s">
        <v>10</v>
      </c>
    </row>
    <row r="8186" spans="1:9" x14ac:dyDescent="0.25">
      <c r="A8186" t="str">
        <f t="shared" si="198"/>
        <v>89301000</v>
      </c>
      <c r="B8186" t="str">
        <f>"5852271359"</f>
        <v>5852271359</v>
      </c>
      <c r="C8186" s="1">
        <v>44952</v>
      </c>
      <c r="D8186" s="1">
        <v>44956</v>
      </c>
      <c r="E8186">
        <v>1</v>
      </c>
      <c r="F8186" t="str">
        <f>"07-I10-06"</f>
        <v>07-I10-06</v>
      </c>
      <c r="G8186">
        <v>0.98419999999999996</v>
      </c>
      <c r="H8186" t="s">
        <v>12</v>
      </c>
      <c r="I8186" t="s">
        <v>10</v>
      </c>
    </row>
    <row r="8187" spans="1:9" x14ac:dyDescent="0.25">
      <c r="A8187" t="str">
        <f t="shared" si="198"/>
        <v>89301000</v>
      </c>
      <c r="B8187" t="str">
        <f>"5853050346"</f>
        <v>5853050346</v>
      </c>
      <c r="C8187" s="1">
        <v>45186</v>
      </c>
      <c r="D8187" s="1">
        <v>45190</v>
      </c>
      <c r="E8187">
        <v>4</v>
      </c>
      <c r="F8187" t="str">
        <f>"08-I06-04"</f>
        <v>08-I06-04</v>
      </c>
      <c r="G8187">
        <v>2.4180000000000001</v>
      </c>
      <c r="H8187" t="s">
        <v>9</v>
      </c>
      <c r="I8187" t="s">
        <v>10</v>
      </c>
    </row>
    <row r="8188" spans="1:9" x14ac:dyDescent="0.25">
      <c r="A8188" t="str">
        <f t="shared" si="198"/>
        <v>89301000</v>
      </c>
      <c r="B8188" t="str">
        <f>"5853150314"</f>
        <v>5853150314</v>
      </c>
      <c r="C8188" s="1">
        <v>45175</v>
      </c>
      <c r="D8188" s="1">
        <v>45176</v>
      </c>
      <c r="E8188">
        <v>1</v>
      </c>
      <c r="F8188" t="str">
        <f>"05-M05-03"</f>
        <v>05-M05-03</v>
      </c>
      <c r="G8188">
        <v>2.0312999999999999</v>
      </c>
      <c r="H8188" t="s">
        <v>14</v>
      </c>
      <c r="I8188" t="s">
        <v>10</v>
      </c>
    </row>
    <row r="8189" spans="1:9" x14ac:dyDescent="0.25">
      <c r="A8189" t="str">
        <f t="shared" si="198"/>
        <v>89301000</v>
      </c>
      <c r="B8189" t="str">
        <f>"5853150347"</f>
        <v>5853150347</v>
      </c>
      <c r="C8189" s="1">
        <v>45218</v>
      </c>
      <c r="D8189" s="1">
        <v>45218</v>
      </c>
      <c r="E8189">
        <v>1</v>
      </c>
      <c r="F8189" t="str">
        <f>"05-M06-08"</f>
        <v>05-M06-08</v>
      </c>
      <c r="G8189">
        <v>1.1012</v>
      </c>
      <c r="H8189" t="s">
        <v>12</v>
      </c>
      <c r="I8189" t="s">
        <v>10</v>
      </c>
    </row>
    <row r="8190" spans="1:9" x14ac:dyDescent="0.25">
      <c r="A8190" t="str">
        <f t="shared" si="198"/>
        <v>89301000</v>
      </c>
      <c r="B8190" t="str">
        <f>"5853150347"</f>
        <v>5853150347</v>
      </c>
      <c r="C8190" s="1">
        <v>45257</v>
      </c>
      <c r="D8190" s="1">
        <v>45257</v>
      </c>
      <c r="E8190">
        <v>1</v>
      </c>
      <c r="F8190" t="str">
        <f>"05-D01-08"</f>
        <v>05-D01-08</v>
      </c>
      <c r="G8190">
        <v>0.2303</v>
      </c>
      <c r="H8190" t="s">
        <v>11</v>
      </c>
      <c r="I8190" t="s">
        <v>10</v>
      </c>
    </row>
    <row r="8191" spans="1:9" x14ac:dyDescent="0.25">
      <c r="A8191" t="str">
        <f t="shared" si="198"/>
        <v>89301000</v>
      </c>
      <c r="B8191" t="str">
        <f>"5853182016"</f>
        <v>5853182016</v>
      </c>
      <c r="C8191" s="1">
        <v>45056</v>
      </c>
      <c r="D8191" s="1">
        <v>45059</v>
      </c>
      <c r="E8191">
        <v>1</v>
      </c>
      <c r="F8191" t="str">
        <f>"17-K02-02"</f>
        <v>17-K02-02</v>
      </c>
      <c r="G8191">
        <v>0.99860000000000004</v>
      </c>
      <c r="H8191" t="s">
        <v>11</v>
      </c>
      <c r="I8191" t="s">
        <v>10</v>
      </c>
    </row>
    <row r="8192" spans="1:9" x14ac:dyDescent="0.25">
      <c r="A8192" t="str">
        <f t="shared" si="198"/>
        <v>89301000</v>
      </c>
      <c r="B8192" t="str">
        <f>"5853182016"</f>
        <v>5853182016</v>
      </c>
      <c r="C8192" s="1">
        <v>45034</v>
      </c>
      <c r="D8192" s="1">
        <v>45040</v>
      </c>
      <c r="E8192">
        <v>1</v>
      </c>
      <c r="F8192" t="str">
        <f>"17-C05-05"</f>
        <v>17-C05-05</v>
      </c>
      <c r="G8192">
        <v>0.66069999999999995</v>
      </c>
      <c r="H8192" t="s">
        <v>11</v>
      </c>
      <c r="I8192" t="s">
        <v>10</v>
      </c>
    </row>
    <row r="8193" spans="1:9" x14ac:dyDescent="0.25">
      <c r="A8193" t="str">
        <f t="shared" si="198"/>
        <v>89301000</v>
      </c>
      <c r="B8193" t="str">
        <f>"5853230273"</f>
        <v>5853230273</v>
      </c>
      <c r="C8193" s="1">
        <v>45103</v>
      </c>
      <c r="D8193" s="1">
        <v>45111</v>
      </c>
      <c r="E8193">
        <v>1</v>
      </c>
      <c r="F8193" t="str">
        <f>"09-K02-00"</f>
        <v>09-K02-00</v>
      </c>
      <c r="G8193">
        <v>0.99539999999999995</v>
      </c>
      <c r="H8193" t="s">
        <v>11</v>
      </c>
      <c r="I8193" t="s">
        <v>10</v>
      </c>
    </row>
    <row r="8194" spans="1:9" x14ac:dyDescent="0.25">
      <c r="A8194" t="str">
        <f t="shared" si="198"/>
        <v>89301000</v>
      </c>
      <c r="B8194" t="str">
        <f>"5853230900"</f>
        <v>5853230900</v>
      </c>
      <c r="C8194" s="1">
        <v>45229</v>
      </c>
      <c r="D8194" s="1">
        <v>45231</v>
      </c>
      <c r="E8194">
        <v>1</v>
      </c>
      <c r="F8194" t="str">
        <f>"05-I30-02"</f>
        <v>05-I30-02</v>
      </c>
      <c r="G8194">
        <v>0.41699999999999998</v>
      </c>
      <c r="H8194" t="s">
        <v>12</v>
      </c>
      <c r="I8194" t="s">
        <v>10</v>
      </c>
    </row>
    <row r="8195" spans="1:9" x14ac:dyDescent="0.25">
      <c r="A8195" t="str">
        <f t="shared" si="198"/>
        <v>89301000</v>
      </c>
      <c r="B8195" t="str">
        <f>"5853240965"</f>
        <v>5853240965</v>
      </c>
      <c r="C8195" s="1">
        <v>45223</v>
      </c>
      <c r="D8195" s="1">
        <v>45229</v>
      </c>
      <c r="E8195">
        <v>3</v>
      </c>
      <c r="F8195" t="str">
        <f>"08-I06-04"</f>
        <v>08-I06-04</v>
      </c>
      <c r="G8195">
        <v>2.4180000000000001</v>
      </c>
      <c r="H8195" t="s">
        <v>9</v>
      </c>
      <c r="I8195" t="s">
        <v>10</v>
      </c>
    </row>
    <row r="8196" spans="1:9" x14ac:dyDescent="0.25">
      <c r="A8196" t="str">
        <f t="shared" si="198"/>
        <v>89301000</v>
      </c>
      <c r="B8196" t="str">
        <f>"5853240965"</f>
        <v>5853240965</v>
      </c>
      <c r="C8196" s="1">
        <v>45229</v>
      </c>
      <c r="D8196" s="1">
        <v>45238</v>
      </c>
      <c r="E8196">
        <v>1</v>
      </c>
      <c r="F8196" t="str">
        <f>"24-M06-02"</f>
        <v>24-M06-02</v>
      </c>
      <c r="G8196">
        <v>1.0699000000000001</v>
      </c>
      <c r="H8196" t="s">
        <v>11</v>
      </c>
      <c r="I8196" t="s">
        <v>10</v>
      </c>
    </row>
    <row r="8197" spans="1:9" x14ac:dyDescent="0.25">
      <c r="A8197" t="str">
        <f t="shared" si="198"/>
        <v>89301000</v>
      </c>
      <c r="B8197" t="str">
        <f>"5853297494"</f>
        <v>5853297494</v>
      </c>
      <c r="C8197" s="1">
        <v>45057</v>
      </c>
      <c r="D8197" s="1">
        <v>45065</v>
      </c>
      <c r="E8197">
        <v>1</v>
      </c>
      <c r="F8197" t="str">
        <f>"08-I14-01"</f>
        <v>08-I14-01</v>
      </c>
      <c r="G8197">
        <v>3.5514999999999999</v>
      </c>
      <c r="H8197" t="s">
        <v>12</v>
      </c>
      <c r="I8197" t="s">
        <v>10</v>
      </c>
    </row>
    <row r="8198" spans="1:9" x14ac:dyDescent="0.25">
      <c r="A8198" t="str">
        <f t="shared" si="198"/>
        <v>89301000</v>
      </c>
      <c r="B8198" t="str">
        <f>"5854120019"</f>
        <v>5854120019</v>
      </c>
      <c r="C8198" s="1">
        <v>45056</v>
      </c>
      <c r="D8198" s="1">
        <v>45059</v>
      </c>
      <c r="E8198">
        <v>1</v>
      </c>
      <c r="F8198" t="str">
        <f>"16-I04-01"</f>
        <v>16-I04-01</v>
      </c>
      <c r="G8198">
        <v>0.93820000000000003</v>
      </c>
      <c r="H8198" t="s">
        <v>12</v>
      </c>
      <c r="I8198" t="s">
        <v>10</v>
      </c>
    </row>
    <row r="8199" spans="1:9" x14ac:dyDescent="0.25">
      <c r="A8199" t="str">
        <f t="shared" si="198"/>
        <v>89301000</v>
      </c>
      <c r="B8199" t="str">
        <f>"5854210274"</f>
        <v>5854210274</v>
      </c>
      <c r="C8199" s="1">
        <v>45264</v>
      </c>
      <c r="D8199" s="1">
        <v>45267</v>
      </c>
      <c r="E8199">
        <v>1</v>
      </c>
      <c r="F8199" t="str">
        <f>"08-I32-00"</f>
        <v>08-I32-00</v>
      </c>
      <c r="G8199">
        <v>0.4093</v>
      </c>
      <c r="H8199" t="s">
        <v>11</v>
      </c>
      <c r="I8199" t="s">
        <v>10</v>
      </c>
    </row>
    <row r="8200" spans="1:9" x14ac:dyDescent="0.25">
      <c r="A8200" t="str">
        <f t="shared" si="198"/>
        <v>89301000</v>
      </c>
      <c r="B8200" t="str">
        <f>"5854210813"</f>
        <v>5854210813</v>
      </c>
      <c r="C8200" s="1">
        <v>45193</v>
      </c>
      <c r="D8200" s="1">
        <v>45195</v>
      </c>
      <c r="E8200">
        <v>1</v>
      </c>
      <c r="F8200" t="str">
        <f>"04-K09-03"</f>
        <v>04-K09-03</v>
      </c>
      <c r="G8200">
        <v>0.79849999999999999</v>
      </c>
      <c r="H8200" t="s">
        <v>11</v>
      </c>
      <c r="I8200" t="s">
        <v>10</v>
      </c>
    </row>
    <row r="8201" spans="1:9" x14ac:dyDescent="0.25">
      <c r="A8201" t="str">
        <f t="shared" si="198"/>
        <v>89301000</v>
      </c>
      <c r="B8201" t="str">
        <f>"5854222110"</f>
        <v>5854222110</v>
      </c>
      <c r="C8201" s="1">
        <v>45085</v>
      </c>
      <c r="D8201" s="1">
        <v>45087</v>
      </c>
      <c r="E8201">
        <v>1</v>
      </c>
      <c r="F8201" t="str">
        <f>"09-I06-04"</f>
        <v>09-I06-04</v>
      </c>
      <c r="G8201">
        <v>0.95069999999999999</v>
      </c>
      <c r="H8201" t="s">
        <v>12</v>
      </c>
      <c r="I8201" t="s">
        <v>10</v>
      </c>
    </row>
    <row r="8202" spans="1:9" x14ac:dyDescent="0.25">
      <c r="A8202" t="str">
        <f t="shared" si="198"/>
        <v>89301000</v>
      </c>
      <c r="B8202" t="str">
        <f>"5854261886"</f>
        <v>5854261886</v>
      </c>
      <c r="C8202" s="1">
        <v>45008</v>
      </c>
      <c r="D8202" s="1">
        <v>45012</v>
      </c>
      <c r="E8202">
        <v>1</v>
      </c>
      <c r="F8202" t="str">
        <f>"09-I13-05"</f>
        <v>09-I13-05</v>
      </c>
      <c r="G8202">
        <v>0.42509999999999998</v>
      </c>
      <c r="H8202" t="s">
        <v>11</v>
      </c>
      <c r="I8202" t="s">
        <v>10</v>
      </c>
    </row>
    <row r="8203" spans="1:9" x14ac:dyDescent="0.25">
      <c r="A8203" t="str">
        <f t="shared" si="198"/>
        <v>89301000</v>
      </c>
      <c r="B8203" t="str">
        <f>"5855032821"</f>
        <v>5855032821</v>
      </c>
      <c r="C8203" s="1">
        <v>45036</v>
      </c>
      <c r="D8203" s="1">
        <v>45039</v>
      </c>
      <c r="E8203">
        <v>1</v>
      </c>
      <c r="F8203" t="str">
        <f>"08-I03-08"</f>
        <v>08-I03-08</v>
      </c>
      <c r="G8203">
        <v>1.9455</v>
      </c>
      <c r="H8203" t="s">
        <v>9</v>
      </c>
      <c r="I8203" t="s">
        <v>10</v>
      </c>
    </row>
    <row r="8204" spans="1:9" x14ac:dyDescent="0.25">
      <c r="A8204" t="str">
        <f t="shared" si="198"/>
        <v>89301000</v>
      </c>
      <c r="B8204" t="str">
        <f>"5855050366"</f>
        <v>5855050366</v>
      </c>
      <c r="C8204" s="1">
        <v>45078</v>
      </c>
      <c r="D8204" s="1">
        <v>45080</v>
      </c>
      <c r="E8204">
        <v>1</v>
      </c>
      <c r="F8204" t="str">
        <f>"09-I09-02"</f>
        <v>09-I09-02</v>
      </c>
      <c r="G8204">
        <v>0.76900000000000002</v>
      </c>
      <c r="H8204" t="s">
        <v>12</v>
      </c>
      <c r="I8204" t="s">
        <v>10</v>
      </c>
    </row>
    <row r="8205" spans="1:9" x14ac:dyDescent="0.25">
      <c r="A8205" t="str">
        <f t="shared" si="198"/>
        <v>89301000</v>
      </c>
      <c r="B8205" t="str">
        <f>"5855050366"</f>
        <v>5855050366</v>
      </c>
      <c r="C8205" s="1">
        <v>45097</v>
      </c>
      <c r="D8205" s="1">
        <v>45098</v>
      </c>
      <c r="E8205">
        <v>1</v>
      </c>
      <c r="F8205" t="str">
        <f>"09-I09-02"</f>
        <v>09-I09-02</v>
      </c>
      <c r="G8205">
        <v>0.76900000000000002</v>
      </c>
      <c r="H8205" t="s">
        <v>12</v>
      </c>
      <c r="I8205" t="s">
        <v>10</v>
      </c>
    </row>
    <row r="8206" spans="1:9" x14ac:dyDescent="0.25">
      <c r="A8206" t="str">
        <f t="shared" si="198"/>
        <v>89301000</v>
      </c>
      <c r="B8206" t="str">
        <f>"5855061630"</f>
        <v>5855061630</v>
      </c>
      <c r="C8206" s="1">
        <v>45135</v>
      </c>
      <c r="D8206" s="1">
        <v>45136</v>
      </c>
      <c r="E8206">
        <v>1</v>
      </c>
      <c r="F8206" t="str">
        <f>"13-I19-00"</f>
        <v>13-I19-00</v>
      </c>
      <c r="G8206">
        <v>0.28249999999999997</v>
      </c>
      <c r="H8206" t="s">
        <v>11</v>
      </c>
      <c r="I8206" t="s">
        <v>10</v>
      </c>
    </row>
    <row r="8207" spans="1:9" x14ac:dyDescent="0.25">
      <c r="A8207" t="str">
        <f t="shared" si="198"/>
        <v>89301000</v>
      </c>
      <c r="B8207" t="str">
        <f>"5855062015"</f>
        <v>5855062015</v>
      </c>
      <c r="C8207" s="1">
        <v>45175</v>
      </c>
      <c r="D8207" s="1">
        <v>45181</v>
      </c>
      <c r="E8207">
        <v>4</v>
      </c>
      <c r="F8207" t="str">
        <f>"07-K04-03"</f>
        <v>07-K04-03</v>
      </c>
      <c r="G8207">
        <v>0.98650000000000004</v>
      </c>
      <c r="H8207" t="s">
        <v>11</v>
      </c>
      <c r="I8207" t="s">
        <v>10</v>
      </c>
    </row>
    <row r="8208" spans="1:9" x14ac:dyDescent="0.25">
      <c r="A8208" t="str">
        <f t="shared" si="198"/>
        <v>89301000</v>
      </c>
      <c r="B8208" t="str">
        <f>"5855062015"</f>
        <v>5855062015</v>
      </c>
      <c r="C8208" s="1">
        <v>45090</v>
      </c>
      <c r="D8208" s="1">
        <v>45104</v>
      </c>
      <c r="E8208">
        <v>1</v>
      </c>
      <c r="F8208" t="str">
        <f>"20-K04-02"</f>
        <v>20-K04-02</v>
      </c>
      <c r="G8208">
        <v>1.3379000000000001</v>
      </c>
      <c r="H8208" t="s">
        <v>11</v>
      </c>
      <c r="I8208" t="s">
        <v>10</v>
      </c>
    </row>
    <row r="8209" spans="1:9" x14ac:dyDescent="0.25">
      <c r="A8209" t="str">
        <f t="shared" si="198"/>
        <v>89301000</v>
      </c>
      <c r="B8209" t="str">
        <f>"5855062015"</f>
        <v>5855062015</v>
      </c>
      <c r="C8209" s="1">
        <v>45075</v>
      </c>
      <c r="D8209" s="1">
        <v>45082</v>
      </c>
      <c r="E8209">
        <v>1</v>
      </c>
      <c r="F8209" t="str">
        <f>"04-K02-03"</f>
        <v>04-K02-03</v>
      </c>
      <c r="G8209">
        <v>1.298</v>
      </c>
      <c r="H8209" t="s">
        <v>11</v>
      </c>
      <c r="I8209" t="s">
        <v>10</v>
      </c>
    </row>
    <row r="8210" spans="1:9" x14ac:dyDescent="0.25">
      <c r="A8210" t="str">
        <f t="shared" si="198"/>
        <v>89301000</v>
      </c>
      <c r="B8210" t="str">
        <f>"5855062015"</f>
        <v>5855062015</v>
      </c>
      <c r="C8210" s="1">
        <v>45000</v>
      </c>
      <c r="D8210" s="1">
        <v>45021</v>
      </c>
      <c r="E8210">
        <v>1</v>
      </c>
      <c r="F8210" t="str">
        <f>"19-K05-02"</f>
        <v>19-K05-02</v>
      </c>
      <c r="G8210">
        <v>1.7688999999999999</v>
      </c>
      <c r="H8210" t="s">
        <v>15</v>
      </c>
      <c r="I8210" t="s">
        <v>10</v>
      </c>
    </row>
    <row r="8211" spans="1:9" x14ac:dyDescent="0.25">
      <c r="A8211" t="str">
        <f t="shared" si="198"/>
        <v>89301000</v>
      </c>
      <c r="B8211" t="str">
        <f>"5855062015"</f>
        <v>5855062015</v>
      </c>
      <c r="C8211" s="1">
        <v>45062</v>
      </c>
      <c r="D8211" s="1">
        <v>45068</v>
      </c>
      <c r="E8211">
        <v>1</v>
      </c>
      <c r="F8211" t="str">
        <f>"04-K06-02"</f>
        <v>04-K06-02</v>
      </c>
      <c r="G8211">
        <v>1.0127999999999999</v>
      </c>
      <c r="H8211" t="s">
        <v>11</v>
      </c>
      <c r="I8211" t="s">
        <v>10</v>
      </c>
    </row>
    <row r="8212" spans="1:9" x14ac:dyDescent="0.25">
      <c r="A8212" t="str">
        <f t="shared" si="198"/>
        <v>89301000</v>
      </c>
      <c r="B8212" t="str">
        <f>"5855080242"</f>
        <v>5855080242</v>
      </c>
      <c r="C8212" s="1">
        <v>45145</v>
      </c>
      <c r="D8212" s="1">
        <v>45148</v>
      </c>
      <c r="E8212">
        <v>1</v>
      </c>
      <c r="F8212" t="str">
        <f>"07-I10-06"</f>
        <v>07-I10-06</v>
      </c>
      <c r="G8212">
        <v>0.98419999999999996</v>
      </c>
      <c r="H8212" t="s">
        <v>12</v>
      </c>
      <c r="I8212" t="s">
        <v>10</v>
      </c>
    </row>
    <row r="8213" spans="1:9" x14ac:dyDescent="0.25">
      <c r="A8213" t="str">
        <f t="shared" si="198"/>
        <v>89301000</v>
      </c>
      <c r="B8213" t="str">
        <f>"5855132635"</f>
        <v>5855132635</v>
      </c>
      <c r="C8213" s="1">
        <v>45005</v>
      </c>
      <c r="D8213" s="1">
        <v>45008</v>
      </c>
      <c r="E8213">
        <v>1</v>
      </c>
      <c r="F8213" t="str">
        <f>"13-I14-03"</f>
        <v>13-I14-03</v>
      </c>
      <c r="G8213">
        <v>0.87760000000000005</v>
      </c>
      <c r="H8213" t="s">
        <v>9</v>
      </c>
      <c r="I8213" t="s">
        <v>10</v>
      </c>
    </row>
    <row r="8214" spans="1:9" x14ac:dyDescent="0.25">
      <c r="A8214" t="str">
        <f t="shared" si="198"/>
        <v>89301000</v>
      </c>
      <c r="B8214" t="str">
        <f>"5855142315"</f>
        <v>5855142315</v>
      </c>
      <c r="C8214" s="1">
        <v>44944</v>
      </c>
      <c r="D8214" s="1">
        <v>44949</v>
      </c>
      <c r="E8214">
        <v>1</v>
      </c>
      <c r="F8214" t="str">
        <f>"13-I11-03"</f>
        <v>13-I11-03</v>
      </c>
      <c r="G8214">
        <v>1.6521999999999999</v>
      </c>
      <c r="H8214" t="s">
        <v>9</v>
      </c>
      <c r="I8214" t="s">
        <v>10</v>
      </c>
    </row>
    <row r="8215" spans="1:9" x14ac:dyDescent="0.25">
      <c r="A8215" t="str">
        <f t="shared" si="198"/>
        <v>89301000</v>
      </c>
      <c r="B8215" t="str">
        <f>"5855181618"</f>
        <v>5855181618</v>
      </c>
      <c r="C8215" s="1">
        <v>44948</v>
      </c>
      <c r="D8215" s="1">
        <v>44950</v>
      </c>
      <c r="E8215">
        <v>1</v>
      </c>
      <c r="F8215" t="str">
        <f>"03-I22-01"</f>
        <v>03-I22-01</v>
      </c>
      <c r="G8215">
        <v>0.62490000000000001</v>
      </c>
      <c r="H8215" t="s">
        <v>11</v>
      </c>
      <c r="I8215" t="s">
        <v>10</v>
      </c>
    </row>
    <row r="8216" spans="1:9" x14ac:dyDescent="0.25">
      <c r="A8216" t="str">
        <f t="shared" si="198"/>
        <v>89301000</v>
      </c>
      <c r="B8216" t="str">
        <f>"5855220789"</f>
        <v>5855220789</v>
      </c>
      <c r="C8216" s="1">
        <v>45169</v>
      </c>
      <c r="D8216" s="1">
        <v>45173</v>
      </c>
      <c r="E8216">
        <v>1</v>
      </c>
      <c r="F8216" t="str">
        <f>"05-D01-05"</f>
        <v>05-D01-05</v>
      </c>
      <c r="G8216">
        <v>1.4167000000000001</v>
      </c>
      <c r="H8216" t="s">
        <v>11</v>
      </c>
      <c r="I8216" t="s">
        <v>10</v>
      </c>
    </row>
    <row r="8217" spans="1:9" x14ac:dyDescent="0.25">
      <c r="A8217" t="str">
        <f t="shared" si="198"/>
        <v>89301000</v>
      </c>
      <c r="B8217" t="str">
        <f>"5855280090"</f>
        <v>5855280090</v>
      </c>
      <c r="C8217" s="1">
        <v>45155</v>
      </c>
      <c r="D8217" s="1">
        <v>45164</v>
      </c>
      <c r="E8217">
        <v>1</v>
      </c>
      <c r="F8217" t="str">
        <f>"11-K01-04"</f>
        <v>11-K01-04</v>
      </c>
      <c r="G8217">
        <v>0.58899999999999997</v>
      </c>
      <c r="H8217" t="s">
        <v>11</v>
      </c>
      <c r="I8217" t="s">
        <v>10</v>
      </c>
    </row>
    <row r="8218" spans="1:9" x14ac:dyDescent="0.25">
      <c r="A8218" t="str">
        <f t="shared" si="198"/>
        <v>89301000</v>
      </c>
      <c r="B8218" t="str">
        <f>"5856010182"</f>
        <v>5856010182</v>
      </c>
      <c r="C8218" s="1">
        <v>44962</v>
      </c>
      <c r="D8218" s="1">
        <v>44966</v>
      </c>
      <c r="E8218">
        <v>1</v>
      </c>
      <c r="F8218" t="str">
        <f>"10-I13-02"</f>
        <v>10-I13-02</v>
      </c>
      <c r="G8218">
        <v>1.1124000000000001</v>
      </c>
      <c r="H8218" t="s">
        <v>9</v>
      </c>
      <c r="I8218" t="s">
        <v>10</v>
      </c>
    </row>
    <row r="8219" spans="1:9" x14ac:dyDescent="0.25">
      <c r="A8219" t="str">
        <f t="shared" si="198"/>
        <v>89301000</v>
      </c>
      <c r="B8219" t="str">
        <f>"5856010215"</f>
        <v>5856010215</v>
      </c>
      <c r="C8219" s="1">
        <v>44944</v>
      </c>
      <c r="D8219" s="1">
        <v>44945</v>
      </c>
      <c r="E8219">
        <v>1</v>
      </c>
      <c r="F8219" t="str">
        <f>"08-I32-00"</f>
        <v>08-I32-00</v>
      </c>
      <c r="G8219">
        <v>0.4093</v>
      </c>
      <c r="H8219" t="s">
        <v>11</v>
      </c>
      <c r="I8219" t="s">
        <v>10</v>
      </c>
    </row>
    <row r="8220" spans="1:9" x14ac:dyDescent="0.25">
      <c r="A8220" t="str">
        <f t="shared" si="198"/>
        <v>89301000</v>
      </c>
      <c r="B8220" t="str">
        <f>"5856010765"</f>
        <v>5856010765</v>
      </c>
      <c r="C8220" s="1">
        <v>45218</v>
      </c>
      <c r="D8220" s="1">
        <v>45219</v>
      </c>
      <c r="E8220">
        <v>1</v>
      </c>
      <c r="F8220" t="str">
        <f>"01-K01-02"</f>
        <v>01-K01-02</v>
      </c>
      <c r="G8220">
        <v>0.442</v>
      </c>
      <c r="H8220" t="s">
        <v>11</v>
      </c>
      <c r="I8220" t="s">
        <v>10</v>
      </c>
    </row>
    <row r="8221" spans="1:9" x14ac:dyDescent="0.25">
      <c r="A8221" t="str">
        <f t="shared" si="198"/>
        <v>89301000</v>
      </c>
      <c r="B8221" t="str">
        <f>"5856010765"</f>
        <v>5856010765</v>
      </c>
      <c r="C8221" s="1">
        <v>45204</v>
      </c>
      <c r="D8221" s="1">
        <v>45205</v>
      </c>
      <c r="E8221">
        <v>1</v>
      </c>
      <c r="F8221" t="str">
        <f>"01-K01-02"</f>
        <v>01-K01-02</v>
      </c>
      <c r="G8221">
        <v>0.442</v>
      </c>
      <c r="H8221" t="s">
        <v>11</v>
      </c>
      <c r="I8221" t="s">
        <v>10</v>
      </c>
    </row>
    <row r="8222" spans="1:9" x14ac:dyDescent="0.25">
      <c r="A8222" t="str">
        <f t="shared" si="198"/>
        <v>89301000</v>
      </c>
      <c r="B8222" t="str">
        <f>"5856020456"</f>
        <v>5856020456</v>
      </c>
      <c r="C8222" s="1">
        <v>45096</v>
      </c>
      <c r="D8222" s="1">
        <v>45098</v>
      </c>
      <c r="E8222">
        <v>1</v>
      </c>
      <c r="F8222" t="str">
        <f>"11-K03-02"</f>
        <v>11-K03-02</v>
      </c>
      <c r="G8222">
        <v>0.63990000000000002</v>
      </c>
      <c r="H8222" t="s">
        <v>11</v>
      </c>
      <c r="I8222" t="s">
        <v>10</v>
      </c>
    </row>
    <row r="8223" spans="1:9" x14ac:dyDescent="0.25">
      <c r="A8223" t="str">
        <f t="shared" si="198"/>
        <v>89301000</v>
      </c>
      <c r="B8223" t="str">
        <f>"5856090119"</f>
        <v>5856090119</v>
      </c>
      <c r="C8223" s="1">
        <v>45193</v>
      </c>
      <c r="D8223" s="1">
        <v>45198</v>
      </c>
      <c r="E8223">
        <v>4</v>
      </c>
      <c r="F8223" t="str">
        <f>"08-I05-04"</f>
        <v>08-I05-04</v>
      </c>
      <c r="G8223">
        <v>2.4445000000000001</v>
      </c>
      <c r="H8223" t="s">
        <v>12</v>
      </c>
      <c r="I8223" t="s">
        <v>10</v>
      </c>
    </row>
    <row r="8224" spans="1:9" x14ac:dyDescent="0.25">
      <c r="A8224" t="str">
        <f t="shared" si="198"/>
        <v>89301000</v>
      </c>
      <c r="B8224" t="str">
        <f>"5856121194"</f>
        <v>5856121194</v>
      </c>
      <c r="C8224" s="1">
        <v>45007</v>
      </c>
      <c r="D8224" s="1">
        <v>45011</v>
      </c>
      <c r="E8224">
        <v>1</v>
      </c>
      <c r="F8224" t="str">
        <f>"10-I13-04"</f>
        <v>10-I13-04</v>
      </c>
      <c r="G8224">
        <v>0.67210000000000003</v>
      </c>
      <c r="H8224" t="s">
        <v>9</v>
      </c>
      <c r="I8224" t="s">
        <v>10</v>
      </c>
    </row>
    <row r="8225" spans="1:9" x14ac:dyDescent="0.25">
      <c r="A8225" t="str">
        <f t="shared" si="198"/>
        <v>89301000</v>
      </c>
      <c r="B8225" t="str">
        <f>"5856132007"</f>
        <v>5856132007</v>
      </c>
      <c r="C8225" s="1">
        <v>45188</v>
      </c>
      <c r="D8225" s="1">
        <v>45189</v>
      </c>
      <c r="E8225">
        <v>1</v>
      </c>
      <c r="F8225" t="str">
        <f>"01-D01-03"</f>
        <v>01-D01-03</v>
      </c>
      <c r="G8225">
        <v>0.16200000000000001</v>
      </c>
      <c r="H8225" t="s">
        <v>11</v>
      </c>
      <c r="I8225" t="s">
        <v>10</v>
      </c>
    </row>
    <row r="8226" spans="1:9" x14ac:dyDescent="0.25">
      <c r="A8226" t="str">
        <f t="shared" si="198"/>
        <v>89301000</v>
      </c>
      <c r="B8226" t="str">
        <f>"5856200075"</f>
        <v>5856200075</v>
      </c>
      <c r="C8226" s="1">
        <v>45019</v>
      </c>
      <c r="D8226" s="1">
        <v>45021</v>
      </c>
      <c r="E8226">
        <v>1</v>
      </c>
      <c r="F8226" t="str">
        <f>"08-M03-05"</f>
        <v>08-M03-05</v>
      </c>
      <c r="G8226">
        <v>0.46810000000000002</v>
      </c>
      <c r="H8226" t="s">
        <v>11</v>
      </c>
      <c r="I8226" t="s">
        <v>10</v>
      </c>
    </row>
    <row r="8227" spans="1:9" x14ac:dyDescent="0.25">
      <c r="A8227" t="str">
        <f t="shared" si="198"/>
        <v>89301000</v>
      </c>
      <c r="B8227" t="str">
        <f>"5856300043"</f>
        <v>5856300043</v>
      </c>
      <c r="C8227" s="1">
        <v>44935</v>
      </c>
      <c r="D8227" s="1">
        <v>44936</v>
      </c>
      <c r="E8227">
        <v>1</v>
      </c>
      <c r="F8227" t="str">
        <f>"13-I19-00"</f>
        <v>13-I19-00</v>
      </c>
      <c r="G8227">
        <v>0.28249999999999997</v>
      </c>
      <c r="H8227" t="s">
        <v>11</v>
      </c>
      <c r="I8227" t="s">
        <v>10</v>
      </c>
    </row>
    <row r="8228" spans="1:9" x14ac:dyDescent="0.25">
      <c r="A8228" t="str">
        <f t="shared" si="198"/>
        <v>89301000</v>
      </c>
      <c r="B8228" t="str">
        <f>"5856300043"</f>
        <v>5856300043</v>
      </c>
      <c r="C8228" s="1">
        <v>45144</v>
      </c>
      <c r="D8228" s="1">
        <v>45146</v>
      </c>
      <c r="E8228">
        <v>1</v>
      </c>
      <c r="F8228" t="str">
        <f>"13-I19-00"</f>
        <v>13-I19-00</v>
      </c>
      <c r="G8228">
        <v>0.28249999999999997</v>
      </c>
      <c r="H8228" t="s">
        <v>11</v>
      </c>
      <c r="I8228" t="s">
        <v>10</v>
      </c>
    </row>
    <row r="8229" spans="1:9" x14ac:dyDescent="0.25">
      <c r="A8229" t="str">
        <f t="shared" si="198"/>
        <v>89301000</v>
      </c>
      <c r="B8229" t="str">
        <f>"5857061397"</f>
        <v>5857061397</v>
      </c>
      <c r="C8229" s="1">
        <v>45049</v>
      </c>
      <c r="D8229" s="1">
        <v>45053</v>
      </c>
      <c r="E8229">
        <v>6</v>
      </c>
      <c r="F8229" t="str">
        <f>"10-I13-02"</f>
        <v>10-I13-02</v>
      </c>
      <c r="G8229">
        <v>1.1124000000000001</v>
      </c>
      <c r="H8229" t="s">
        <v>9</v>
      </c>
      <c r="I8229" t="s">
        <v>10</v>
      </c>
    </row>
    <row r="8230" spans="1:9" x14ac:dyDescent="0.25">
      <c r="A8230" t="str">
        <f t="shared" si="198"/>
        <v>89301000</v>
      </c>
      <c r="B8230" t="str">
        <f>"5857081956"</f>
        <v>5857081956</v>
      </c>
      <c r="C8230" s="1">
        <v>44979</v>
      </c>
      <c r="D8230" s="1">
        <v>44984</v>
      </c>
      <c r="E8230">
        <v>1</v>
      </c>
      <c r="F8230" t="str">
        <f>"10-K06-00"</f>
        <v>10-K06-00</v>
      </c>
      <c r="G8230">
        <v>0.4965</v>
      </c>
      <c r="H8230" t="s">
        <v>11</v>
      </c>
      <c r="I8230" t="s">
        <v>10</v>
      </c>
    </row>
    <row r="8231" spans="1:9" x14ac:dyDescent="0.25">
      <c r="A8231" t="str">
        <f t="shared" si="198"/>
        <v>89301000</v>
      </c>
      <c r="B8231" t="str">
        <f>"5857090118"</f>
        <v>5857090118</v>
      </c>
      <c r="C8231" s="1">
        <v>45272</v>
      </c>
      <c r="D8231" s="1">
        <v>45274</v>
      </c>
      <c r="E8231">
        <v>1</v>
      </c>
      <c r="F8231" t="str">
        <f>"05-M05-02"</f>
        <v>05-M05-02</v>
      </c>
      <c r="G8231">
        <v>3.5649999999999999</v>
      </c>
      <c r="H8231" t="s">
        <v>14</v>
      </c>
      <c r="I8231" t="s">
        <v>10</v>
      </c>
    </row>
    <row r="8232" spans="1:9" x14ac:dyDescent="0.25">
      <c r="A8232" t="str">
        <f t="shared" si="198"/>
        <v>89301000</v>
      </c>
      <c r="B8232" t="str">
        <f>"5857122260"</f>
        <v>5857122260</v>
      </c>
      <c r="C8232" s="1">
        <v>45218</v>
      </c>
      <c r="D8232" s="1">
        <v>45221</v>
      </c>
      <c r="E8232">
        <v>1</v>
      </c>
      <c r="F8232" t="str">
        <f>"08-M03-02"</f>
        <v>08-M03-02</v>
      </c>
      <c r="G8232">
        <v>0.91359999999999997</v>
      </c>
      <c r="H8232" t="s">
        <v>11</v>
      </c>
      <c r="I8232" t="s">
        <v>10</v>
      </c>
    </row>
    <row r="8233" spans="1:9" x14ac:dyDescent="0.25">
      <c r="A8233" t="str">
        <f t="shared" si="198"/>
        <v>89301000</v>
      </c>
      <c r="B8233" t="str">
        <f>"5857151344"</f>
        <v>5857151344</v>
      </c>
      <c r="C8233" s="1">
        <v>45061</v>
      </c>
      <c r="D8233" s="1">
        <v>45062</v>
      </c>
      <c r="E8233">
        <v>1</v>
      </c>
      <c r="F8233" t="str">
        <f>"13-I19-00"</f>
        <v>13-I19-00</v>
      </c>
      <c r="G8233">
        <v>0.28249999999999997</v>
      </c>
      <c r="H8233" t="s">
        <v>11</v>
      </c>
      <c r="I8233" t="s">
        <v>10</v>
      </c>
    </row>
    <row r="8234" spans="1:9" x14ac:dyDescent="0.25">
      <c r="A8234" t="str">
        <f t="shared" si="198"/>
        <v>89301000</v>
      </c>
      <c r="B8234" t="str">
        <f>"5857300152"</f>
        <v>5857300152</v>
      </c>
      <c r="C8234" s="1">
        <v>45139</v>
      </c>
      <c r="D8234" s="1">
        <v>45145</v>
      </c>
      <c r="E8234">
        <v>2</v>
      </c>
      <c r="F8234" t="str">
        <f>"10-K04-04"</f>
        <v>10-K04-04</v>
      </c>
      <c r="G8234">
        <v>0.53949999999999998</v>
      </c>
      <c r="H8234" t="s">
        <v>11</v>
      </c>
      <c r="I8234" t="s">
        <v>10</v>
      </c>
    </row>
    <row r="8235" spans="1:9" x14ac:dyDescent="0.25">
      <c r="A8235" t="str">
        <f t="shared" si="198"/>
        <v>89301000</v>
      </c>
      <c r="B8235" t="str">
        <f>"5857300152"</f>
        <v>5857300152</v>
      </c>
      <c r="C8235" s="1">
        <v>45184</v>
      </c>
      <c r="D8235" s="1">
        <v>45187</v>
      </c>
      <c r="E8235">
        <v>4</v>
      </c>
      <c r="F8235" t="str">
        <f>"07-K04-04"</f>
        <v>07-K04-04</v>
      </c>
      <c r="G8235">
        <v>0.61050000000000004</v>
      </c>
      <c r="H8235" t="s">
        <v>11</v>
      </c>
      <c r="I8235" t="s">
        <v>10</v>
      </c>
    </row>
    <row r="8236" spans="1:9" x14ac:dyDescent="0.25">
      <c r="A8236" t="str">
        <f t="shared" si="198"/>
        <v>89301000</v>
      </c>
      <c r="B8236" t="str">
        <f>"5857300152"</f>
        <v>5857300152</v>
      </c>
      <c r="C8236" s="1">
        <v>45020</v>
      </c>
      <c r="D8236" s="1">
        <v>45034</v>
      </c>
      <c r="E8236">
        <v>1</v>
      </c>
      <c r="F8236" t="str">
        <f>"07-K04-03"</f>
        <v>07-K04-03</v>
      </c>
      <c r="G8236">
        <v>0.98650000000000004</v>
      </c>
      <c r="H8236" t="s">
        <v>11</v>
      </c>
      <c r="I8236" t="s">
        <v>10</v>
      </c>
    </row>
    <row r="8237" spans="1:9" x14ac:dyDescent="0.25">
      <c r="A8237" t="str">
        <f t="shared" si="198"/>
        <v>89301000</v>
      </c>
      <c r="B8237" t="str">
        <f>"5857300152"</f>
        <v>5857300152</v>
      </c>
      <c r="C8237" s="1">
        <v>45084</v>
      </c>
      <c r="D8237" s="1">
        <v>45085</v>
      </c>
      <c r="E8237">
        <v>1</v>
      </c>
      <c r="F8237" t="str">
        <f>"06-M01-05"</f>
        <v>06-M01-05</v>
      </c>
      <c r="G8237">
        <v>0.4481</v>
      </c>
      <c r="H8237" t="s">
        <v>11</v>
      </c>
      <c r="I8237" t="s">
        <v>10</v>
      </c>
    </row>
    <row r="8238" spans="1:9" x14ac:dyDescent="0.25">
      <c r="A8238" t="str">
        <f t="shared" si="198"/>
        <v>89301000</v>
      </c>
      <c r="B8238" t="str">
        <f>"5857300152"</f>
        <v>5857300152</v>
      </c>
      <c r="C8238" s="1">
        <v>45107</v>
      </c>
      <c r="D8238" s="1">
        <v>45120</v>
      </c>
      <c r="E8238">
        <v>4</v>
      </c>
      <c r="F8238" t="str">
        <f>"07-K04-03"</f>
        <v>07-K04-03</v>
      </c>
      <c r="G8238">
        <v>0.93859999999999999</v>
      </c>
      <c r="H8238" t="s">
        <v>11</v>
      </c>
      <c r="I8238" t="s">
        <v>10</v>
      </c>
    </row>
    <row r="8239" spans="1:9" x14ac:dyDescent="0.25">
      <c r="A8239" t="str">
        <f t="shared" si="198"/>
        <v>89301000</v>
      </c>
      <c r="B8239" t="str">
        <f>"5857310184"</f>
        <v>5857310184</v>
      </c>
      <c r="C8239" s="1">
        <v>45216</v>
      </c>
      <c r="D8239" s="1">
        <v>45226</v>
      </c>
      <c r="E8239">
        <v>1</v>
      </c>
      <c r="F8239" t="str">
        <f>"24-M06-02"</f>
        <v>24-M06-02</v>
      </c>
      <c r="G8239">
        <v>1.0699000000000001</v>
      </c>
      <c r="H8239" t="s">
        <v>11</v>
      </c>
      <c r="I8239" t="s">
        <v>10</v>
      </c>
    </row>
    <row r="8240" spans="1:9" x14ac:dyDescent="0.25">
      <c r="A8240" t="str">
        <f t="shared" si="198"/>
        <v>89301000</v>
      </c>
      <c r="B8240" t="str">
        <f>"5857310184"</f>
        <v>5857310184</v>
      </c>
      <c r="C8240" s="1">
        <v>45210</v>
      </c>
      <c r="D8240" s="1">
        <v>45216</v>
      </c>
      <c r="E8240">
        <v>3</v>
      </c>
      <c r="F8240" t="str">
        <f>"08-I05-06"</f>
        <v>08-I05-06</v>
      </c>
      <c r="G8240">
        <v>2.0308000000000002</v>
      </c>
      <c r="H8240" t="s">
        <v>12</v>
      </c>
      <c r="I8240" t="s">
        <v>10</v>
      </c>
    </row>
    <row r="8241" spans="1:9" x14ac:dyDescent="0.25">
      <c r="A8241" t="str">
        <f t="shared" si="198"/>
        <v>89301000</v>
      </c>
      <c r="B8241" t="str">
        <f>"5858040903"</f>
        <v>5858040903</v>
      </c>
      <c r="C8241" s="1">
        <v>45235</v>
      </c>
      <c r="D8241" s="1">
        <v>45237</v>
      </c>
      <c r="E8241">
        <v>1</v>
      </c>
      <c r="F8241" t="str">
        <f>"02-I08-02"</f>
        <v>02-I08-02</v>
      </c>
      <c r="G8241">
        <v>0.60729999999999995</v>
      </c>
      <c r="H8241" t="s">
        <v>12</v>
      </c>
      <c r="I8241" t="s">
        <v>10</v>
      </c>
    </row>
    <row r="8242" spans="1:9" x14ac:dyDescent="0.25">
      <c r="A8242" t="str">
        <f t="shared" si="198"/>
        <v>89301000</v>
      </c>
      <c r="B8242" t="str">
        <f>"5858041266"</f>
        <v>5858041266</v>
      </c>
      <c r="C8242" s="1">
        <v>45124</v>
      </c>
      <c r="D8242" s="1">
        <v>45126</v>
      </c>
      <c r="E8242">
        <v>1</v>
      </c>
      <c r="F8242" t="str">
        <f>"08-I03-08"</f>
        <v>08-I03-08</v>
      </c>
      <c r="G8242">
        <v>1.9455</v>
      </c>
      <c r="H8242" t="s">
        <v>9</v>
      </c>
      <c r="I8242" t="s">
        <v>10</v>
      </c>
    </row>
    <row r="8243" spans="1:9" x14ac:dyDescent="0.25">
      <c r="A8243" t="str">
        <f t="shared" si="198"/>
        <v>89301000</v>
      </c>
      <c r="B8243" t="str">
        <f>"5858041629"</f>
        <v>5858041629</v>
      </c>
      <c r="C8243" s="1">
        <v>44938</v>
      </c>
      <c r="D8243" s="1">
        <v>44939</v>
      </c>
      <c r="E8243">
        <v>1</v>
      </c>
      <c r="F8243" t="str">
        <f>"11-K07-02"</f>
        <v>11-K07-02</v>
      </c>
      <c r="G8243">
        <v>0.55010000000000003</v>
      </c>
      <c r="H8243" t="s">
        <v>11</v>
      </c>
      <c r="I8243" t="s">
        <v>10</v>
      </c>
    </row>
    <row r="8244" spans="1:9" x14ac:dyDescent="0.25">
      <c r="A8244" t="str">
        <f t="shared" si="198"/>
        <v>89301000</v>
      </c>
      <c r="B8244" t="str">
        <f>"5858080217"</f>
        <v>5858080217</v>
      </c>
      <c r="C8244" s="1">
        <v>45068</v>
      </c>
      <c r="D8244" s="1">
        <v>45069</v>
      </c>
      <c r="E8244">
        <v>1</v>
      </c>
      <c r="F8244" t="str">
        <f>"01-D01-03"</f>
        <v>01-D01-03</v>
      </c>
      <c r="G8244">
        <v>0.16200000000000001</v>
      </c>
      <c r="H8244" t="s">
        <v>11</v>
      </c>
      <c r="I8244" t="s">
        <v>10</v>
      </c>
    </row>
    <row r="8245" spans="1:9" x14ac:dyDescent="0.25">
      <c r="A8245" t="str">
        <f t="shared" ref="A8245:A8307" si="199">"89301000"</f>
        <v>89301000</v>
      </c>
      <c r="B8245" t="str">
        <f>"5858080217"</f>
        <v>5858080217</v>
      </c>
      <c r="C8245" s="1">
        <v>45163</v>
      </c>
      <c r="D8245" s="1">
        <v>45166</v>
      </c>
      <c r="E8245">
        <v>1</v>
      </c>
      <c r="F8245" t="str">
        <f>"01-D01-03"</f>
        <v>01-D01-03</v>
      </c>
      <c r="G8245">
        <v>0.21060000000000001</v>
      </c>
      <c r="H8245" t="s">
        <v>11</v>
      </c>
      <c r="I8245" t="s">
        <v>10</v>
      </c>
    </row>
    <row r="8246" spans="1:9" x14ac:dyDescent="0.25">
      <c r="A8246" t="str">
        <f t="shared" si="199"/>
        <v>89301000</v>
      </c>
      <c r="B8246" t="str">
        <f>"5858110940"</f>
        <v>5858110940</v>
      </c>
      <c r="C8246" s="1">
        <v>45082</v>
      </c>
      <c r="D8246" s="1">
        <v>45097</v>
      </c>
      <c r="E8246">
        <v>7</v>
      </c>
      <c r="F8246" t="str">
        <f>"04-I08-03"</f>
        <v>04-I08-03</v>
      </c>
      <c r="G8246">
        <v>1.5931999999999999</v>
      </c>
      <c r="H8246" t="s">
        <v>11</v>
      </c>
      <c r="I8246" t="s">
        <v>10</v>
      </c>
    </row>
    <row r="8247" spans="1:9" x14ac:dyDescent="0.25">
      <c r="A8247" t="str">
        <f t="shared" si="199"/>
        <v>89301000</v>
      </c>
      <c r="B8247" t="str">
        <f>"5858110940"</f>
        <v>5858110940</v>
      </c>
      <c r="C8247" s="1">
        <v>45075</v>
      </c>
      <c r="D8247" s="1">
        <v>45077</v>
      </c>
      <c r="E8247">
        <v>1</v>
      </c>
      <c r="F8247" t="str">
        <f>"09-C03-02"</f>
        <v>09-C03-02</v>
      </c>
      <c r="G8247">
        <v>1.073</v>
      </c>
      <c r="H8247" t="s">
        <v>11</v>
      </c>
      <c r="I8247" t="s">
        <v>10</v>
      </c>
    </row>
    <row r="8248" spans="1:9" x14ac:dyDescent="0.25">
      <c r="A8248" t="str">
        <f t="shared" si="199"/>
        <v>89301000</v>
      </c>
      <c r="B8248" t="str">
        <f>"5858131466"</f>
        <v>5858131466</v>
      </c>
      <c r="C8248" s="1">
        <v>45194</v>
      </c>
      <c r="D8248" s="1">
        <v>45195</v>
      </c>
      <c r="E8248">
        <v>1</v>
      </c>
      <c r="F8248" t="str">
        <f>"01-D01-03"</f>
        <v>01-D01-03</v>
      </c>
      <c r="G8248">
        <v>0.16200000000000001</v>
      </c>
      <c r="H8248" t="s">
        <v>11</v>
      </c>
      <c r="I8248" t="s">
        <v>10</v>
      </c>
    </row>
    <row r="8249" spans="1:9" x14ac:dyDescent="0.25">
      <c r="A8249" t="str">
        <f t="shared" si="199"/>
        <v>89301000</v>
      </c>
      <c r="B8249" t="str">
        <f>"5858131466"</f>
        <v>5858131466</v>
      </c>
      <c r="C8249" s="1">
        <v>45050</v>
      </c>
      <c r="D8249" s="1">
        <v>45051</v>
      </c>
      <c r="E8249">
        <v>1</v>
      </c>
      <c r="F8249" t="str">
        <f>"05-D01-08"</f>
        <v>05-D01-08</v>
      </c>
      <c r="G8249">
        <v>0.43159999999999998</v>
      </c>
      <c r="H8249" t="s">
        <v>11</v>
      </c>
      <c r="I8249" t="s">
        <v>10</v>
      </c>
    </row>
    <row r="8250" spans="1:9" x14ac:dyDescent="0.25">
      <c r="A8250" t="str">
        <f t="shared" si="199"/>
        <v>89301000</v>
      </c>
      <c r="B8250" t="str">
        <f>"5858210160"</f>
        <v>5858210160</v>
      </c>
      <c r="C8250" s="1">
        <v>44935</v>
      </c>
      <c r="D8250" s="1">
        <v>44939</v>
      </c>
      <c r="E8250">
        <v>1</v>
      </c>
      <c r="F8250" t="str">
        <f>"07-M02-03"</f>
        <v>07-M02-03</v>
      </c>
      <c r="G8250">
        <v>1.2942</v>
      </c>
      <c r="H8250" t="s">
        <v>12</v>
      </c>
      <c r="I8250" t="s">
        <v>10</v>
      </c>
    </row>
    <row r="8251" spans="1:9" x14ac:dyDescent="0.25">
      <c r="A8251" t="str">
        <f t="shared" si="199"/>
        <v>89301000</v>
      </c>
      <c r="B8251" t="str">
        <f>"5858210160"</f>
        <v>5858210160</v>
      </c>
      <c r="C8251" s="1">
        <v>44963</v>
      </c>
      <c r="D8251" s="1">
        <v>44964</v>
      </c>
      <c r="E8251">
        <v>1</v>
      </c>
      <c r="F8251" t="str">
        <f>"07-K07-01"</f>
        <v>07-K07-01</v>
      </c>
      <c r="G8251">
        <v>0.69040000000000001</v>
      </c>
      <c r="H8251" t="s">
        <v>11</v>
      </c>
      <c r="I8251" t="s">
        <v>10</v>
      </c>
    </row>
    <row r="8252" spans="1:9" x14ac:dyDescent="0.25">
      <c r="A8252" t="str">
        <f t="shared" si="199"/>
        <v>89301000</v>
      </c>
      <c r="B8252" t="str">
        <f>"5858210160"</f>
        <v>5858210160</v>
      </c>
      <c r="C8252" s="1">
        <v>44995</v>
      </c>
      <c r="D8252" s="1">
        <v>45002</v>
      </c>
      <c r="E8252">
        <v>1</v>
      </c>
      <c r="F8252" t="str">
        <f>"07-K07-01"</f>
        <v>07-K07-01</v>
      </c>
      <c r="G8252">
        <v>1.0079</v>
      </c>
      <c r="H8252" t="s">
        <v>11</v>
      </c>
      <c r="I8252" t="s">
        <v>10</v>
      </c>
    </row>
    <row r="8253" spans="1:9" x14ac:dyDescent="0.25">
      <c r="A8253" t="str">
        <f t="shared" si="199"/>
        <v>89301000</v>
      </c>
      <c r="B8253" t="str">
        <f>"5858210160"</f>
        <v>5858210160</v>
      </c>
      <c r="C8253" s="1">
        <v>45138</v>
      </c>
      <c r="D8253" s="1">
        <v>45139</v>
      </c>
      <c r="E8253">
        <v>1</v>
      </c>
      <c r="F8253" t="str">
        <f>"07-M02-03"</f>
        <v>07-M02-03</v>
      </c>
      <c r="G8253">
        <v>1.339</v>
      </c>
      <c r="H8253" t="s">
        <v>12</v>
      </c>
      <c r="I8253" t="s">
        <v>10</v>
      </c>
    </row>
    <row r="8254" spans="1:9" x14ac:dyDescent="0.25">
      <c r="A8254" t="str">
        <f t="shared" si="199"/>
        <v>89301000</v>
      </c>
      <c r="B8254" t="str">
        <f>"5858231841"</f>
        <v>5858231841</v>
      </c>
      <c r="C8254" s="1">
        <v>44993</v>
      </c>
      <c r="D8254" s="1">
        <v>45007</v>
      </c>
      <c r="E8254">
        <v>4</v>
      </c>
      <c r="F8254" t="str">
        <f>"04-K02-03"</f>
        <v>04-K02-03</v>
      </c>
      <c r="G8254">
        <v>1.298</v>
      </c>
      <c r="H8254" t="s">
        <v>11</v>
      </c>
      <c r="I8254" t="s">
        <v>10</v>
      </c>
    </row>
    <row r="8255" spans="1:9" x14ac:dyDescent="0.25">
      <c r="A8255" t="str">
        <f t="shared" si="199"/>
        <v>89301000</v>
      </c>
      <c r="B8255" t="str">
        <f>"5858231841"</f>
        <v>5858231841</v>
      </c>
      <c r="C8255" s="1">
        <v>45210</v>
      </c>
      <c r="D8255" s="1">
        <v>45212</v>
      </c>
      <c r="E8255">
        <v>1</v>
      </c>
      <c r="F8255" t="str">
        <f>"06-M01-02"</f>
        <v>06-M01-02</v>
      </c>
      <c r="G8255">
        <v>1.2206999999999999</v>
      </c>
      <c r="H8255" t="s">
        <v>11</v>
      </c>
      <c r="I8255" t="s">
        <v>10</v>
      </c>
    </row>
    <row r="8256" spans="1:9" x14ac:dyDescent="0.25">
      <c r="A8256" t="str">
        <f t="shared" si="199"/>
        <v>89301000</v>
      </c>
      <c r="B8256" t="str">
        <f>"5858260364"</f>
        <v>5858260364</v>
      </c>
      <c r="C8256" s="1">
        <v>45120</v>
      </c>
      <c r="D8256" s="1">
        <v>45125</v>
      </c>
      <c r="E8256">
        <v>5</v>
      </c>
      <c r="F8256" t="str">
        <f>"08-I03-04"</f>
        <v>08-I03-04</v>
      </c>
      <c r="G8256">
        <v>4.0967000000000002</v>
      </c>
      <c r="H8256" t="s">
        <v>9</v>
      </c>
      <c r="I8256" t="s">
        <v>10</v>
      </c>
    </row>
    <row r="8257" spans="1:9" x14ac:dyDescent="0.25">
      <c r="A8257" t="str">
        <f t="shared" si="199"/>
        <v>89301000</v>
      </c>
      <c r="B8257" t="str">
        <f>"5858310601"</f>
        <v>5858310601</v>
      </c>
      <c r="C8257" s="1">
        <v>45166</v>
      </c>
      <c r="D8257" s="1">
        <v>45175</v>
      </c>
      <c r="E8257">
        <v>1</v>
      </c>
      <c r="F8257" t="str">
        <f>"13-I06-02"</f>
        <v>13-I06-02</v>
      </c>
      <c r="G8257">
        <v>1.8261000000000001</v>
      </c>
      <c r="H8257" t="s">
        <v>14</v>
      </c>
      <c r="I8257" t="s">
        <v>10</v>
      </c>
    </row>
    <row r="8258" spans="1:9" x14ac:dyDescent="0.25">
      <c r="A8258" t="str">
        <f t="shared" si="199"/>
        <v>89301000</v>
      </c>
      <c r="B8258" t="str">
        <f>"5858310601"</f>
        <v>5858310601</v>
      </c>
      <c r="C8258" s="1">
        <v>45124</v>
      </c>
      <c r="D8258" s="1">
        <v>45146</v>
      </c>
      <c r="E8258">
        <v>1</v>
      </c>
      <c r="F8258" t="str">
        <f>"19-K06-02"</f>
        <v>19-K06-02</v>
      </c>
      <c r="G8258">
        <v>2.2334999999999998</v>
      </c>
      <c r="H8258" t="s">
        <v>15</v>
      </c>
      <c r="I8258" t="s">
        <v>10</v>
      </c>
    </row>
    <row r="8259" spans="1:9" x14ac:dyDescent="0.25">
      <c r="A8259" t="str">
        <f t="shared" si="199"/>
        <v>89301000</v>
      </c>
      <c r="B8259" t="str">
        <f>"5859181449"</f>
        <v>5859181449</v>
      </c>
      <c r="C8259" s="1">
        <v>45033</v>
      </c>
      <c r="D8259" s="1">
        <v>45035</v>
      </c>
      <c r="E8259">
        <v>1</v>
      </c>
      <c r="F8259" t="str">
        <f>"05-I30-02"</f>
        <v>05-I30-02</v>
      </c>
      <c r="G8259">
        <v>0.41699999999999998</v>
      </c>
      <c r="H8259" t="s">
        <v>12</v>
      </c>
      <c r="I8259" t="s">
        <v>10</v>
      </c>
    </row>
    <row r="8260" spans="1:9" x14ac:dyDescent="0.25">
      <c r="A8260" t="str">
        <f t="shared" si="199"/>
        <v>89301000</v>
      </c>
      <c r="B8260" t="str">
        <f>"5859210412"</f>
        <v>5859210412</v>
      </c>
      <c r="C8260" s="1">
        <v>45201</v>
      </c>
      <c r="D8260" s="1">
        <v>45212</v>
      </c>
      <c r="E8260">
        <v>1</v>
      </c>
      <c r="F8260" t="str">
        <f>"24-M06-02"</f>
        <v>24-M06-02</v>
      </c>
      <c r="G8260">
        <v>1.0699000000000001</v>
      </c>
      <c r="H8260" t="s">
        <v>11</v>
      </c>
      <c r="I8260" t="s">
        <v>10</v>
      </c>
    </row>
    <row r="8261" spans="1:9" x14ac:dyDescent="0.25">
      <c r="A8261" t="str">
        <f t="shared" si="199"/>
        <v>89301000</v>
      </c>
      <c r="B8261" t="str">
        <f>"5860011784"</f>
        <v>5860011784</v>
      </c>
      <c r="C8261" s="1">
        <v>45218</v>
      </c>
      <c r="D8261" s="1">
        <v>45223</v>
      </c>
      <c r="E8261">
        <v>1</v>
      </c>
      <c r="F8261" t="str">
        <f>"06-I21-03"</f>
        <v>06-I21-03</v>
      </c>
      <c r="G8261">
        <v>0.4572</v>
      </c>
      <c r="H8261" t="s">
        <v>12</v>
      </c>
      <c r="I8261" t="s">
        <v>10</v>
      </c>
    </row>
    <row r="8262" spans="1:9" x14ac:dyDescent="0.25">
      <c r="A8262" t="str">
        <f t="shared" si="199"/>
        <v>89301000</v>
      </c>
      <c r="B8262" t="str">
        <f>"5860020485"</f>
        <v>5860020485</v>
      </c>
      <c r="C8262" s="1">
        <v>45243</v>
      </c>
      <c r="D8262" s="1">
        <v>45250</v>
      </c>
      <c r="E8262">
        <v>4</v>
      </c>
      <c r="F8262" t="str">
        <f>"20-K03-03"</f>
        <v>20-K03-03</v>
      </c>
      <c r="G8262">
        <v>0.94020000000000004</v>
      </c>
      <c r="H8262" t="s">
        <v>11</v>
      </c>
      <c r="I8262" t="s">
        <v>10</v>
      </c>
    </row>
    <row r="8263" spans="1:9" x14ac:dyDescent="0.25">
      <c r="A8263" t="str">
        <f t="shared" si="199"/>
        <v>89301000</v>
      </c>
      <c r="B8263" t="str">
        <f>"5860161637"</f>
        <v>5860161637</v>
      </c>
      <c r="C8263" s="1">
        <v>45173</v>
      </c>
      <c r="D8263" s="1">
        <v>45174</v>
      </c>
      <c r="E8263">
        <v>1</v>
      </c>
      <c r="F8263" t="str">
        <f>"13-I19-00"</f>
        <v>13-I19-00</v>
      </c>
      <c r="G8263">
        <v>0.28249999999999997</v>
      </c>
      <c r="H8263" t="s">
        <v>11</v>
      </c>
      <c r="I8263" t="s">
        <v>10</v>
      </c>
    </row>
    <row r="8264" spans="1:9" x14ac:dyDescent="0.25">
      <c r="A8264" t="str">
        <f t="shared" si="199"/>
        <v>89301000</v>
      </c>
      <c r="B8264" t="str">
        <f>"5860161637"</f>
        <v>5860161637</v>
      </c>
      <c r="C8264" s="1">
        <v>45243</v>
      </c>
      <c r="D8264" s="1">
        <v>45244</v>
      </c>
      <c r="E8264">
        <v>1</v>
      </c>
      <c r="F8264" t="str">
        <f>"13-I19-00"</f>
        <v>13-I19-00</v>
      </c>
      <c r="G8264">
        <v>0.28249999999999997</v>
      </c>
      <c r="H8264" t="s">
        <v>11</v>
      </c>
      <c r="I8264" t="s">
        <v>10</v>
      </c>
    </row>
    <row r="8265" spans="1:9" x14ac:dyDescent="0.25">
      <c r="A8265" t="str">
        <f t="shared" si="199"/>
        <v>89301000</v>
      </c>
      <c r="B8265" t="str">
        <f>"5860171009"</f>
        <v>5860171009</v>
      </c>
      <c r="C8265" s="1">
        <v>45002</v>
      </c>
      <c r="D8265" s="1">
        <v>45002</v>
      </c>
      <c r="E8265">
        <v>1</v>
      </c>
      <c r="F8265" t="str">
        <f>"05-D01-08"</f>
        <v>05-D01-08</v>
      </c>
      <c r="G8265">
        <v>0.2303</v>
      </c>
      <c r="H8265" t="s">
        <v>11</v>
      </c>
      <c r="I8265" t="s">
        <v>10</v>
      </c>
    </row>
    <row r="8266" spans="1:9" x14ac:dyDescent="0.25">
      <c r="A8266" t="str">
        <f t="shared" si="199"/>
        <v>89301000</v>
      </c>
      <c r="B8266" t="str">
        <f>"5860281779"</f>
        <v>5860281779</v>
      </c>
      <c r="C8266" s="1">
        <v>45145</v>
      </c>
      <c r="D8266" s="1">
        <v>45167</v>
      </c>
      <c r="E8266">
        <v>1</v>
      </c>
      <c r="F8266" t="str">
        <f>"19-K06-02"</f>
        <v>19-K06-02</v>
      </c>
      <c r="G8266">
        <v>2.2334999999999998</v>
      </c>
      <c r="H8266" t="s">
        <v>15</v>
      </c>
      <c r="I8266" t="s">
        <v>10</v>
      </c>
    </row>
    <row r="8267" spans="1:9" x14ac:dyDescent="0.25">
      <c r="A8267" t="str">
        <f t="shared" si="199"/>
        <v>89301000</v>
      </c>
      <c r="B8267" t="str">
        <f>"5861011607"</f>
        <v>5861011607</v>
      </c>
      <c r="C8267" s="1">
        <v>44973</v>
      </c>
      <c r="D8267" s="1">
        <v>44974</v>
      </c>
      <c r="E8267">
        <v>1</v>
      </c>
      <c r="F8267" t="str">
        <f>"13-I19-00"</f>
        <v>13-I19-00</v>
      </c>
      <c r="G8267">
        <v>0.28249999999999997</v>
      </c>
      <c r="H8267" t="s">
        <v>11</v>
      </c>
      <c r="I8267" t="s">
        <v>10</v>
      </c>
    </row>
    <row r="8268" spans="1:9" x14ac:dyDescent="0.25">
      <c r="A8268" t="str">
        <f t="shared" si="199"/>
        <v>89301000</v>
      </c>
      <c r="B8268" t="str">
        <f>"5861011607"</f>
        <v>5861011607</v>
      </c>
      <c r="C8268" s="1">
        <v>45230</v>
      </c>
      <c r="D8268" s="1">
        <v>45233</v>
      </c>
      <c r="E8268">
        <v>1</v>
      </c>
      <c r="F8268" t="str">
        <f>"13-I11-03"</f>
        <v>13-I11-03</v>
      </c>
      <c r="G8268">
        <v>1.4332</v>
      </c>
      <c r="H8268" t="s">
        <v>9</v>
      </c>
      <c r="I8268" t="s">
        <v>10</v>
      </c>
    </row>
    <row r="8269" spans="1:9" x14ac:dyDescent="0.25">
      <c r="A8269" t="str">
        <f t="shared" si="199"/>
        <v>89301000</v>
      </c>
      <c r="B8269" t="str">
        <f>"5861071183"</f>
        <v>5861071183</v>
      </c>
      <c r="C8269" s="1">
        <v>45186</v>
      </c>
      <c r="D8269" s="1">
        <v>45188</v>
      </c>
      <c r="E8269">
        <v>1</v>
      </c>
      <c r="F8269" t="str">
        <f>"08-M03-05"</f>
        <v>08-M03-05</v>
      </c>
      <c r="G8269">
        <v>0.46810000000000002</v>
      </c>
      <c r="H8269" t="s">
        <v>11</v>
      </c>
      <c r="I8269" t="s">
        <v>10</v>
      </c>
    </row>
    <row r="8270" spans="1:9" x14ac:dyDescent="0.25">
      <c r="A8270" t="str">
        <f t="shared" si="199"/>
        <v>89301000</v>
      </c>
      <c r="B8270" t="str">
        <f>"5861111641"</f>
        <v>5861111641</v>
      </c>
      <c r="C8270" s="1">
        <v>45278</v>
      </c>
      <c r="D8270" s="1">
        <v>45279</v>
      </c>
      <c r="E8270">
        <v>8</v>
      </c>
      <c r="F8270" t="str">
        <f>"05-K03-02"</f>
        <v>05-K03-02</v>
      </c>
      <c r="G8270">
        <v>0.87109999999999999</v>
      </c>
      <c r="H8270" t="s">
        <v>11</v>
      </c>
      <c r="I8270" t="s">
        <v>10</v>
      </c>
    </row>
    <row r="8271" spans="1:9" x14ac:dyDescent="0.25">
      <c r="A8271" t="str">
        <f t="shared" si="199"/>
        <v>89301000</v>
      </c>
      <c r="B8271" t="str">
        <f>"5861161482"</f>
        <v>5861161482</v>
      </c>
      <c r="C8271" s="1">
        <v>44945</v>
      </c>
      <c r="D8271" s="1">
        <v>44948</v>
      </c>
      <c r="E8271">
        <v>1</v>
      </c>
      <c r="F8271" t="str">
        <f>"09-I06-04"</f>
        <v>09-I06-04</v>
      </c>
      <c r="G8271">
        <v>1.0626</v>
      </c>
      <c r="H8271" t="s">
        <v>12</v>
      </c>
      <c r="I8271" t="s">
        <v>10</v>
      </c>
    </row>
    <row r="8272" spans="1:9" x14ac:dyDescent="0.25">
      <c r="A8272" t="str">
        <f t="shared" si="199"/>
        <v>89301000</v>
      </c>
      <c r="B8272" t="str">
        <f>"5861181678"</f>
        <v>5861181678</v>
      </c>
      <c r="C8272" s="1">
        <v>44936</v>
      </c>
      <c r="D8272" s="1">
        <v>44940</v>
      </c>
      <c r="E8272">
        <v>1</v>
      </c>
      <c r="F8272" t="str">
        <f>"09-I09-02"</f>
        <v>09-I09-02</v>
      </c>
      <c r="G8272">
        <v>0.76900000000000002</v>
      </c>
      <c r="H8272" t="s">
        <v>12</v>
      </c>
      <c r="I8272" t="s">
        <v>10</v>
      </c>
    </row>
    <row r="8273" spans="1:9" x14ac:dyDescent="0.25">
      <c r="A8273" t="str">
        <f t="shared" si="199"/>
        <v>89301000</v>
      </c>
      <c r="B8273" t="str">
        <f>"5861240286"</f>
        <v>5861240286</v>
      </c>
      <c r="C8273" s="1">
        <v>45208</v>
      </c>
      <c r="D8273" s="1">
        <v>45211</v>
      </c>
      <c r="E8273">
        <v>1</v>
      </c>
      <c r="F8273" t="str">
        <f>"01-K09-02"</f>
        <v>01-K09-02</v>
      </c>
      <c r="G8273">
        <v>0.64290000000000003</v>
      </c>
      <c r="H8273" t="s">
        <v>11</v>
      </c>
      <c r="I8273" t="s">
        <v>10</v>
      </c>
    </row>
    <row r="8274" spans="1:9" x14ac:dyDescent="0.25">
      <c r="A8274" t="str">
        <f t="shared" si="199"/>
        <v>89301000</v>
      </c>
      <c r="B8274" t="str">
        <f>"5862101542"</f>
        <v>5862101542</v>
      </c>
      <c r="C8274" s="1">
        <v>45089</v>
      </c>
      <c r="D8274" s="1">
        <v>45093</v>
      </c>
      <c r="E8274">
        <v>1</v>
      </c>
      <c r="F8274" t="str">
        <f>"03-I18-03"</f>
        <v>03-I18-03</v>
      </c>
      <c r="G8274">
        <v>0.83940000000000003</v>
      </c>
      <c r="H8274" t="s">
        <v>9</v>
      </c>
      <c r="I8274" t="s">
        <v>10</v>
      </c>
    </row>
    <row r="8275" spans="1:9" x14ac:dyDescent="0.25">
      <c r="A8275" t="str">
        <f t="shared" si="199"/>
        <v>89301000</v>
      </c>
      <c r="B8275" t="str">
        <f>"5862171304"</f>
        <v>5862171304</v>
      </c>
      <c r="C8275" s="1">
        <v>45215</v>
      </c>
      <c r="D8275" s="1">
        <v>45218</v>
      </c>
      <c r="E8275">
        <v>1</v>
      </c>
      <c r="F8275" t="str">
        <f>"13-I13-02"</f>
        <v>13-I13-02</v>
      </c>
      <c r="G8275">
        <v>0.94840000000000002</v>
      </c>
      <c r="H8275" t="s">
        <v>12</v>
      </c>
      <c r="I8275" t="s">
        <v>10</v>
      </c>
    </row>
    <row r="8276" spans="1:9" x14ac:dyDescent="0.25">
      <c r="A8276" t="str">
        <f t="shared" si="199"/>
        <v>89301000</v>
      </c>
      <c r="B8276" t="str">
        <f>"5862210981"</f>
        <v>5862210981</v>
      </c>
      <c r="C8276" s="1">
        <v>44942</v>
      </c>
      <c r="D8276" s="1">
        <v>44943</v>
      </c>
      <c r="E8276">
        <v>1</v>
      </c>
      <c r="F8276" t="str">
        <f>"02-I06-04"</f>
        <v>02-I06-04</v>
      </c>
      <c r="G8276">
        <v>0.79630000000000001</v>
      </c>
      <c r="H8276" t="s">
        <v>12</v>
      </c>
      <c r="I8276" t="s">
        <v>10</v>
      </c>
    </row>
    <row r="8277" spans="1:9" x14ac:dyDescent="0.25">
      <c r="A8277" t="str">
        <f t="shared" si="199"/>
        <v>89301000</v>
      </c>
      <c r="B8277" t="str">
        <f>"5862236875"</f>
        <v>5862236875</v>
      </c>
      <c r="C8277" s="1">
        <v>45077</v>
      </c>
      <c r="D8277" s="1">
        <v>45082</v>
      </c>
      <c r="E8277">
        <v>1</v>
      </c>
      <c r="F8277" t="str">
        <f>"05-M01-03"</f>
        <v>05-M01-03</v>
      </c>
      <c r="G8277">
        <v>11.4411</v>
      </c>
      <c r="H8277" t="s">
        <v>12</v>
      </c>
      <c r="I8277" t="s">
        <v>10</v>
      </c>
    </row>
    <row r="8278" spans="1:9" x14ac:dyDescent="0.25">
      <c r="A8278" t="str">
        <f t="shared" si="199"/>
        <v>89301000</v>
      </c>
      <c r="B8278" t="str">
        <f>"5862236875"</f>
        <v>5862236875</v>
      </c>
      <c r="C8278" s="1">
        <v>44973</v>
      </c>
      <c r="D8278" s="1">
        <v>44976</v>
      </c>
      <c r="E8278">
        <v>1</v>
      </c>
      <c r="F8278" t="str">
        <f>"03-I24-00"</f>
        <v>03-I24-00</v>
      </c>
      <c r="G8278">
        <v>0.40899999999999997</v>
      </c>
      <c r="H8278" t="s">
        <v>11</v>
      </c>
      <c r="I8278" t="s">
        <v>10</v>
      </c>
    </row>
    <row r="8279" spans="1:9" x14ac:dyDescent="0.25">
      <c r="A8279" t="str">
        <f t="shared" si="199"/>
        <v>89301000</v>
      </c>
      <c r="B8279" t="str">
        <f>"5862236875"</f>
        <v>5862236875</v>
      </c>
      <c r="C8279" s="1">
        <v>45173</v>
      </c>
      <c r="D8279" s="1">
        <v>45174</v>
      </c>
      <c r="E8279">
        <v>1</v>
      </c>
      <c r="F8279" t="str">
        <f>"17-K07-02"</f>
        <v>17-K07-02</v>
      </c>
      <c r="G8279">
        <v>0.99750000000000005</v>
      </c>
      <c r="H8279" t="s">
        <v>11</v>
      </c>
      <c r="I8279" t="s">
        <v>10</v>
      </c>
    </row>
    <row r="8280" spans="1:9" x14ac:dyDescent="0.25">
      <c r="A8280" t="str">
        <f t="shared" si="199"/>
        <v>89301000</v>
      </c>
      <c r="B8280" t="str">
        <f>"5862241814"</f>
        <v>5862241814</v>
      </c>
      <c r="C8280" s="1">
        <v>45124</v>
      </c>
      <c r="D8280" s="1">
        <v>45133</v>
      </c>
      <c r="E8280">
        <v>1</v>
      </c>
      <c r="F8280" t="str">
        <f>"17-I01-00"</f>
        <v>17-I01-00</v>
      </c>
      <c r="G8280">
        <v>5.8076999999999996</v>
      </c>
      <c r="H8280" t="s">
        <v>12</v>
      </c>
      <c r="I8280" t="s">
        <v>10</v>
      </c>
    </row>
    <row r="8281" spans="1:9" x14ac:dyDescent="0.25">
      <c r="A8281" t="str">
        <f t="shared" si="199"/>
        <v>89301000</v>
      </c>
      <c r="B8281" t="str">
        <f>"5901041212"</f>
        <v>5901041212</v>
      </c>
      <c r="C8281" s="1">
        <v>44930</v>
      </c>
      <c r="D8281" s="1">
        <v>44931</v>
      </c>
      <c r="E8281">
        <v>1</v>
      </c>
      <c r="F8281" t="str">
        <f>"01-D01-03"</f>
        <v>01-D01-03</v>
      </c>
      <c r="G8281">
        <v>0.16200000000000001</v>
      </c>
      <c r="H8281" t="s">
        <v>11</v>
      </c>
      <c r="I8281" t="s">
        <v>10</v>
      </c>
    </row>
    <row r="8282" spans="1:9" x14ac:dyDescent="0.25">
      <c r="A8282" t="str">
        <f t="shared" si="199"/>
        <v>89301000</v>
      </c>
      <c r="B8282" t="str">
        <f>"5901050562"</f>
        <v>5901050562</v>
      </c>
      <c r="C8282" s="1">
        <v>45173</v>
      </c>
      <c r="D8282" s="1">
        <v>45174</v>
      </c>
      <c r="E8282">
        <v>1</v>
      </c>
      <c r="F8282" t="str">
        <f>"05-M05-02"</f>
        <v>05-M05-02</v>
      </c>
      <c r="G8282">
        <v>3.5497000000000001</v>
      </c>
      <c r="H8282" t="s">
        <v>14</v>
      </c>
      <c r="I8282" t="s">
        <v>10</v>
      </c>
    </row>
    <row r="8283" spans="1:9" x14ac:dyDescent="0.25">
      <c r="A8283" t="str">
        <f t="shared" si="199"/>
        <v>89301000</v>
      </c>
      <c r="B8283" t="str">
        <f>"5901091350"</f>
        <v>5901091350</v>
      </c>
      <c r="C8283" s="1">
        <v>45168</v>
      </c>
      <c r="D8283" s="1">
        <v>45177</v>
      </c>
      <c r="E8283">
        <v>1</v>
      </c>
      <c r="F8283" t="str">
        <f>"12-M02-02"</f>
        <v>12-M02-02</v>
      </c>
      <c r="G8283">
        <v>1.0442</v>
      </c>
      <c r="H8283" t="s">
        <v>9</v>
      </c>
      <c r="I8283" t="s">
        <v>10</v>
      </c>
    </row>
    <row r="8284" spans="1:9" x14ac:dyDescent="0.25">
      <c r="A8284" t="str">
        <f t="shared" si="199"/>
        <v>89301000</v>
      </c>
      <c r="B8284" t="str">
        <f>"5901131192"</f>
        <v>5901131192</v>
      </c>
      <c r="C8284" s="1">
        <v>44944</v>
      </c>
      <c r="D8284" s="1">
        <v>44979</v>
      </c>
      <c r="E8284">
        <v>5</v>
      </c>
      <c r="F8284" t="str">
        <f>"05-I21-02"</f>
        <v>05-I21-02</v>
      </c>
      <c r="G8284">
        <v>8.2965</v>
      </c>
      <c r="H8284" t="s">
        <v>12</v>
      </c>
      <c r="I8284" t="s">
        <v>10</v>
      </c>
    </row>
    <row r="8285" spans="1:9" x14ac:dyDescent="0.25">
      <c r="A8285" t="str">
        <f t="shared" si="199"/>
        <v>89301000</v>
      </c>
      <c r="B8285" t="str">
        <f>"5901131192"</f>
        <v>5901131192</v>
      </c>
      <c r="C8285" s="1">
        <v>45068</v>
      </c>
      <c r="D8285" s="1">
        <v>45077</v>
      </c>
      <c r="E8285">
        <v>2</v>
      </c>
      <c r="F8285" t="str">
        <f>"05-K14-01"</f>
        <v>05-K14-01</v>
      </c>
      <c r="G8285">
        <v>1.1519999999999999</v>
      </c>
      <c r="H8285" t="s">
        <v>11</v>
      </c>
      <c r="I8285" t="s">
        <v>10</v>
      </c>
    </row>
    <row r="8286" spans="1:9" x14ac:dyDescent="0.25">
      <c r="A8286" t="str">
        <f t="shared" si="199"/>
        <v>89301000</v>
      </c>
      <c r="B8286" t="str">
        <f>"5901131192"</f>
        <v>5901131192</v>
      </c>
      <c r="C8286" s="1">
        <v>45046</v>
      </c>
      <c r="D8286" s="1">
        <v>45049</v>
      </c>
      <c r="E8286">
        <v>1</v>
      </c>
      <c r="F8286" t="str">
        <f>"05-K05-02"</f>
        <v>05-K05-02</v>
      </c>
      <c r="G8286">
        <v>0.91449999999999998</v>
      </c>
      <c r="H8286" t="s">
        <v>11</v>
      </c>
      <c r="I8286" t="s">
        <v>10</v>
      </c>
    </row>
    <row r="8287" spans="1:9" x14ac:dyDescent="0.25">
      <c r="A8287" t="str">
        <f t="shared" si="199"/>
        <v>89301000</v>
      </c>
      <c r="B8287" t="str">
        <f>"5901170836"</f>
        <v>5901170836</v>
      </c>
      <c r="C8287" s="1">
        <v>44964</v>
      </c>
      <c r="D8287" s="1">
        <v>44967</v>
      </c>
      <c r="E8287">
        <v>1</v>
      </c>
      <c r="F8287" t="str">
        <f>"06-K03-02"</f>
        <v>06-K03-02</v>
      </c>
      <c r="G8287">
        <v>0.92849999999999999</v>
      </c>
      <c r="H8287" t="s">
        <v>11</v>
      </c>
      <c r="I8287" t="s">
        <v>10</v>
      </c>
    </row>
    <row r="8288" spans="1:9" x14ac:dyDescent="0.25">
      <c r="A8288" t="str">
        <f t="shared" si="199"/>
        <v>89301000</v>
      </c>
      <c r="B8288" t="str">
        <f>"5901261608"</f>
        <v>5901261608</v>
      </c>
      <c r="C8288" s="1">
        <v>45118</v>
      </c>
      <c r="D8288" s="1">
        <v>45124</v>
      </c>
      <c r="E8288">
        <v>5</v>
      </c>
      <c r="F8288" t="str">
        <f>"00-M01-01"</f>
        <v>00-M01-01</v>
      </c>
      <c r="G8288">
        <v>13.2201</v>
      </c>
      <c r="H8288" t="s">
        <v>11</v>
      </c>
      <c r="I8288" t="s">
        <v>10</v>
      </c>
    </row>
    <row r="8289" spans="1:9" x14ac:dyDescent="0.25">
      <c r="A8289" t="str">
        <f t="shared" si="199"/>
        <v>89301000</v>
      </c>
      <c r="B8289" t="str">
        <f>"5902060978"</f>
        <v>5902060978</v>
      </c>
      <c r="C8289" s="1">
        <v>45258</v>
      </c>
      <c r="D8289" s="1">
        <v>45261</v>
      </c>
      <c r="E8289">
        <v>1</v>
      </c>
      <c r="F8289" t="str">
        <f>"08-M03-05"</f>
        <v>08-M03-05</v>
      </c>
      <c r="G8289">
        <v>0.46810000000000002</v>
      </c>
      <c r="H8289" t="s">
        <v>11</v>
      </c>
      <c r="I8289" t="s">
        <v>10</v>
      </c>
    </row>
    <row r="8290" spans="1:9" x14ac:dyDescent="0.25">
      <c r="A8290" t="str">
        <f t="shared" si="199"/>
        <v>89301000</v>
      </c>
      <c r="B8290" t="str">
        <f>"5902091140"</f>
        <v>5902091140</v>
      </c>
      <c r="C8290" s="1">
        <v>45040</v>
      </c>
      <c r="D8290" s="1">
        <v>45042</v>
      </c>
      <c r="E8290">
        <v>1</v>
      </c>
      <c r="F8290" t="str">
        <f>"11-M02-07"</f>
        <v>11-M02-07</v>
      </c>
      <c r="G8290">
        <v>0.58520000000000005</v>
      </c>
      <c r="H8290" t="s">
        <v>11</v>
      </c>
      <c r="I8290" t="s">
        <v>10</v>
      </c>
    </row>
    <row r="8291" spans="1:9" x14ac:dyDescent="0.25">
      <c r="A8291" t="str">
        <f t="shared" si="199"/>
        <v>89301000</v>
      </c>
      <c r="B8291" t="str">
        <f>"5902091140"</f>
        <v>5902091140</v>
      </c>
      <c r="C8291" s="1">
        <v>45162</v>
      </c>
      <c r="D8291" s="1">
        <v>45168</v>
      </c>
      <c r="E8291">
        <v>1</v>
      </c>
      <c r="F8291" t="str">
        <f>"11-I08-03"</f>
        <v>11-I08-03</v>
      </c>
      <c r="G8291">
        <v>2.0529999999999999</v>
      </c>
      <c r="H8291" t="s">
        <v>9</v>
      </c>
      <c r="I8291" t="s">
        <v>10</v>
      </c>
    </row>
    <row r="8292" spans="1:9" x14ac:dyDescent="0.25">
      <c r="A8292" t="str">
        <f t="shared" si="199"/>
        <v>89301000</v>
      </c>
      <c r="B8292" t="str">
        <f>"5902121082"</f>
        <v>5902121082</v>
      </c>
      <c r="C8292" s="1">
        <v>45226</v>
      </c>
      <c r="D8292" s="1">
        <v>45231</v>
      </c>
      <c r="E8292">
        <v>1</v>
      </c>
      <c r="F8292" t="str">
        <f>"09-K07-01"</f>
        <v>09-K07-01</v>
      </c>
      <c r="G8292">
        <v>1.2302999999999999</v>
      </c>
      <c r="H8292" t="s">
        <v>11</v>
      </c>
      <c r="I8292" t="s">
        <v>10</v>
      </c>
    </row>
    <row r="8293" spans="1:9" x14ac:dyDescent="0.25">
      <c r="A8293" t="str">
        <f t="shared" si="199"/>
        <v>89301000</v>
      </c>
      <c r="B8293" t="str">
        <f>"5902140959"</f>
        <v>5902140959</v>
      </c>
      <c r="C8293" s="1">
        <v>45239</v>
      </c>
      <c r="D8293" s="1">
        <v>45239</v>
      </c>
      <c r="E8293">
        <v>1</v>
      </c>
      <c r="F8293" t="str">
        <f>"04-K15-03"</f>
        <v>04-K15-03</v>
      </c>
      <c r="G8293">
        <v>0.25459999999999999</v>
      </c>
      <c r="H8293" t="s">
        <v>11</v>
      </c>
      <c r="I8293" t="s">
        <v>10</v>
      </c>
    </row>
    <row r="8294" spans="1:9" x14ac:dyDescent="0.25">
      <c r="A8294" t="str">
        <f t="shared" si="199"/>
        <v>89301000</v>
      </c>
      <c r="B8294" t="str">
        <f>"5902141883"</f>
        <v>5902141883</v>
      </c>
      <c r="C8294" s="1">
        <v>45070</v>
      </c>
      <c r="D8294" s="1">
        <v>45072</v>
      </c>
      <c r="E8294">
        <v>1</v>
      </c>
      <c r="F8294" t="str">
        <f>"06-I16-04"</f>
        <v>06-I16-04</v>
      </c>
      <c r="G8294">
        <v>0.68920000000000003</v>
      </c>
      <c r="H8294" t="s">
        <v>9</v>
      </c>
      <c r="I8294" t="s">
        <v>10</v>
      </c>
    </row>
    <row r="8295" spans="1:9" x14ac:dyDescent="0.25">
      <c r="A8295" t="str">
        <f t="shared" si="199"/>
        <v>89301000</v>
      </c>
      <c r="B8295" t="str">
        <f>"5902141883"</f>
        <v>5902141883</v>
      </c>
      <c r="C8295" s="1">
        <v>44960</v>
      </c>
      <c r="D8295" s="1">
        <v>44966</v>
      </c>
      <c r="E8295">
        <v>1</v>
      </c>
      <c r="F8295" t="str">
        <f>"05-K12-02"</f>
        <v>05-K12-02</v>
      </c>
      <c r="G8295">
        <v>0.48820000000000002</v>
      </c>
      <c r="H8295" t="s">
        <v>11</v>
      </c>
      <c r="I8295" t="s">
        <v>10</v>
      </c>
    </row>
    <row r="8296" spans="1:9" x14ac:dyDescent="0.25">
      <c r="A8296" t="str">
        <f t="shared" si="199"/>
        <v>89301000</v>
      </c>
      <c r="B8296" t="str">
        <f>"5902161837"</f>
        <v>5902161837</v>
      </c>
      <c r="C8296" s="1">
        <v>45050</v>
      </c>
      <c r="D8296" s="1">
        <v>45052</v>
      </c>
      <c r="E8296">
        <v>1</v>
      </c>
      <c r="F8296" t="str">
        <f>"08-M03-05"</f>
        <v>08-M03-05</v>
      </c>
      <c r="G8296">
        <v>0.46810000000000002</v>
      </c>
      <c r="H8296" t="s">
        <v>11</v>
      </c>
      <c r="I8296" t="s">
        <v>10</v>
      </c>
    </row>
    <row r="8297" spans="1:9" x14ac:dyDescent="0.25">
      <c r="A8297" t="str">
        <f t="shared" si="199"/>
        <v>89301000</v>
      </c>
      <c r="B8297" t="str">
        <f>"5902211920"</f>
        <v>5902211920</v>
      </c>
      <c r="C8297" s="1">
        <v>45238</v>
      </c>
      <c r="D8297" s="1">
        <v>45238</v>
      </c>
      <c r="E8297">
        <v>1</v>
      </c>
      <c r="F8297" t="str">
        <f>"05-D01-08"</f>
        <v>05-D01-08</v>
      </c>
      <c r="G8297">
        <v>0.2303</v>
      </c>
      <c r="H8297" t="s">
        <v>11</v>
      </c>
      <c r="I8297" t="s">
        <v>10</v>
      </c>
    </row>
    <row r="8298" spans="1:9" x14ac:dyDescent="0.25">
      <c r="A8298" t="str">
        <f t="shared" si="199"/>
        <v>89301000</v>
      </c>
      <c r="B8298" t="str">
        <f>"5902222073"</f>
        <v>5902222073</v>
      </c>
      <c r="C8298" s="1">
        <v>45276</v>
      </c>
      <c r="D8298" s="1">
        <v>45278</v>
      </c>
      <c r="E8298">
        <v>1</v>
      </c>
      <c r="F8298" t="str">
        <f>"05-D01-06"</f>
        <v>05-D01-06</v>
      </c>
      <c r="G8298">
        <v>0.7571</v>
      </c>
      <c r="H8298" t="s">
        <v>11</v>
      </c>
      <c r="I8298" t="s">
        <v>10</v>
      </c>
    </row>
    <row r="8299" spans="1:9" x14ac:dyDescent="0.25">
      <c r="A8299" t="str">
        <f t="shared" si="199"/>
        <v>89301000</v>
      </c>
      <c r="B8299" t="str">
        <f>"5902222150"</f>
        <v>5902222150</v>
      </c>
      <c r="C8299" s="1">
        <v>44985</v>
      </c>
      <c r="D8299" s="1">
        <v>44988</v>
      </c>
      <c r="E8299">
        <v>2</v>
      </c>
      <c r="F8299" t="str">
        <f>"05-K14-02"</f>
        <v>05-K14-02</v>
      </c>
      <c r="G8299">
        <v>0.92110000000000003</v>
      </c>
      <c r="H8299" t="s">
        <v>11</v>
      </c>
      <c r="I8299" t="s">
        <v>10</v>
      </c>
    </row>
    <row r="8300" spans="1:9" x14ac:dyDescent="0.25">
      <c r="A8300" t="str">
        <f t="shared" si="199"/>
        <v>89301000</v>
      </c>
      <c r="B8300" t="str">
        <f>"5902222194"</f>
        <v>5902222194</v>
      </c>
      <c r="C8300" s="1">
        <v>45078</v>
      </c>
      <c r="D8300" s="1">
        <v>45085</v>
      </c>
      <c r="E8300">
        <v>5</v>
      </c>
      <c r="F8300" t="str">
        <f>"05-M02-02"</f>
        <v>05-M02-02</v>
      </c>
      <c r="G8300">
        <v>8.3742999999999999</v>
      </c>
      <c r="H8300" t="s">
        <v>14</v>
      </c>
      <c r="I8300" t="s">
        <v>10</v>
      </c>
    </row>
    <row r="8301" spans="1:9" x14ac:dyDescent="0.25">
      <c r="A8301" t="str">
        <f t="shared" si="199"/>
        <v>89301000</v>
      </c>
      <c r="B8301" t="str">
        <f>"5902262278"</f>
        <v>5902262278</v>
      </c>
      <c r="C8301" s="1">
        <v>45068</v>
      </c>
      <c r="D8301" s="1">
        <v>45070</v>
      </c>
      <c r="E8301">
        <v>1</v>
      </c>
      <c r="F8301" t="str">
        <f>"08-M03-05"</f>
        <v>08-M03-05</v>
      </c>
      <c r="G8301">
        <v>0.46810000000000002</v>
      </c>
      <c r="H8301" t="s">
        <v>11</v>
      </c>
      <c r="I8301" t="s">
        <v>10</v>
      </c>
    </row>
    <row r="8302" spans="1:9" x14ac:dyDescent="0.25">
      <c r="A8302" t="str">
        <f t="shared" si="199"/>
        <v>89301000</v>
      </c>
      <c r="B8302" t="str">
        <f>"5903012016"</f>
        <v>5903012016</v>
      </c>
      <c r="C8302" s="1">
        <v>45131</v>
      </c>
      <c r="D8302" s="1">
        <v>45134</v>
      </c>
      <c r="E8302">
        <v>1</v>
      </c>
      <c r="F8302" t="str">
        <f>"08-I26-01"</f>
        <v>08-I26-01</v>
      </c>
      <c r="G8302">
        <v>1.2279</v>
      </c>
      <c r="H8302" t="s">
        <v>11</v>
      </c>
      <c r="I8302" t="s">
        <v>10</v>
      </c>
    </row>
    <row r="8303" spans="1:9" x14ac:dyDescent="0.25">
      <c r="A8303" t="str">
        <f t="shared" si="199"/>
        <v>89301000</v>
      </c>
      <c r="B8303" t="str">
        <f>"5903040154"</f>
        <v>5903040154</v>
      </c>
      <c r="C8303" s="1">
        <v>45225</v>
      </c>
      <c r="D8303" s="1">
        <v>45226</v>
      </c>
      <c r="E8303">
        <v>1</v>
      </c>
      <c r="F8303" t="str">
        <f>"01-D01-03"</f>
        <v>01-D01-03</v>
      </c>
      <c r="G8303">
        <v>0.16200000000000001</v>
      </c>
      <c r="H8303" t="s">
        <v>11</v>
      </c>
      <c r="I8303" t="s">
        <v>10</v>
      </c>
    </row>
    <row r="8304" spans="1:9" x14ac:dyDescent="0.25">
      <c r="A8304" t="str">
        <f t="shared" si="199"/>
        <v>89301000</v>
      </c>
      <c r="B8304" t="str">
        <f>"5903060537"</f>
        <v>5903060537</v>
      </c>
      <c r="C8304" s="1">
        <v>44950</v>
      </c>
      <c r="D8304" s="1">
        <v>44960</v>
      </c>
      <c r="E8304">
        <v>4</v>
      </c>
      <c r="F8304" t="str">
        <f>"05-I16-06"</f>
        <v>05-I16-06</v>
      </c>
      <c r="G8304">
        <v>5.6303000000000001</v>
      </c>
      <c r="H8304" t="s">
        <v>14</v>
      </c>
      <c r="I8304" t="s">
        <v>10</v>
      </c>
    </row>
    <row r="8305" spans="1:9" x14ac:dyDescent="0.25">
      <c r="A8305" t="str">
        <f t="shared" si="199"/>
        <v>89301000</v>
      </c>
      <c r="B8305" t="str">
        <f>"5903131289"</f>
        <v>5903131289</v>
      </c>
      <c r="C8305" s="1">
        <v>44975</v>
      </c>
      <c r="D8305" s="1">
        <v>44977</v>
      </c>
      <c r="E8305">
        <v>1</v>
      </c>
      <c r="F8305" t="str">
        <f>"05-M06-08"</f>
        <v>05-M06-08</v>
      </c>
      <c r="G8305">
        <v>1.4228000000000001</v>
      </c>
      <c r="H8305" t="s">
        <v>12</v>
      </c>
      <c r="I8305" t="s">
        <v>10</v>
      </c>
    </row>
    <row r="8306" spans="1:9" x14ac:dyDescent="0.25">
      <c r="A8306" t="str">
        <f t="shared" si="199"/>
        <v>89301000</v>
      </c>
      <c r="B8306" t="str">
        <f>"5903131289"</f>
        <v>5903131289</v>
      </c>
      <c r="C8306" s="1">
        <v>45036</v>
      </c>
      <c r="D8306" s="1">
        <v>45037</v>
      </c>
      <c r="E8306">
        <v>1</v>
      </c>
      <c r="F8306" t="str">
        <f>"05-M06-08"</f>
        <v>05-M06-08</v>
      </c>
      <c r="G8306">
        <v>1.4228000000000001</v>
      </c>
      <c r="H8306" t="s">
        <v>12</v>
      </c>
      <c r="I8306" t="s">
        <v>10</v>
      </c>
    </row>
    <row r="8307" spans="1:9" x14ac:dyDescent="0.25">
      <c r="A8307" t="str">
        <f t="shared" si="199"/>
        <v>89301000</v>
      </c>
      <c r="B8307" t="str">
        <f>"5903131674"</f>
        <v>5903131674</v>
      </c>
      <c r="C8307" s="1">
        <v>45012</v>
      </c>
      <c r="D8307" s="1">
        <v>45013</v>
      </c>
      <c r="E8307">
        <v>1</v>
      </c>
      <c r="F8307" t="str">
        <f>"05-D01-08"</f>
        <v>05-D01-08</v>
      </c>
      <c r="G8307">
        <v>0.43159999999999998</v>
      </c>
      <c r="H8307" t="s">
        <v>11</v>
      </c>
      <c r="I8307" t="s">
        <v>10</v>
      </c>
    </row>
    <row r="8308" spans="1:9" x14ac:dyDescent="0.25">
      <c r="A8308" t="str">
        <f t="shared" ref="A8308:A8370" si="200">"89301000"</f>
        <v>89301000</v>
      </c>
      <c r="B8308" t="str">
        <f>"5903150286"</f>
        <v>5903150286</v>
      </c>
      <c r="C8308" s="1">
        <v>45196</v>
      </c>
      <c r="D8308" s="1">
        <v>45203</v>
      </c>
      <c r="E8308">
        <v>1</v>
      </c>
      <c r="F8308" t="str">
        <f>"05-K07-05"</f>
        <v>05-K07-05</v>
      </c>
      <c r="G8308">
        <v>0.74719999999999998</v>
      </c>
      <c r="H8308" t="s">
        <v>11</v>
      </c>
      <c r="I8308" t="s">
        <v>10</v>
      </c>
    </row>
    <row r="8309" spans="1:9" x14ac:dyDescent="0.25">
      <c r="A8309" t="str">
        <f t="shared" si="200"/>
        <v>89301000</v>
      </c>
      <c r="B8309" t="str">
        <f>"5903150286"</f>
        <v>5903150286</v>
      </c>
      <c r="C8309" s="1">
        <v>45231</v>
      </c>
      <c r="D8309" s="1">
        <v>45232</v>
      </c>
      <c r="E8309">
        <v>1</v>
      </c>
      <c r="F8309" t="str">
        <f>"05-D01-08"</f>
        <v>05-D01-08</v>
      </c>
      <c r="G8309">
        <v>0.43159999999999998</v>
      </c>
      <c r="H8309" t="s">
        <v>11</v>
      </c>
      <c r="I8309" t="s">
        <v>10</v>
      </c>
    </row>
    <row r="8310" spans="1:9" x14ac:dyDescent="0.25">
      <c r="A8310" t="str">
        <f t="shared" si="200"/>
        <v>89301000</v>
      </c>
      <c r="B8310" t="str">
        <f>"5903156237"</f>
        <v>5903156237</v>
      </c>
      <c r="C8310" s="1">
        <v>45099</v>
      </c>
      <c r="D8310" s="1">
        <v>45101</v>
      </c>
      <c r="E8310">
        <v>1</v>
      </c>
      <c r="F8310" t="str">
        <f>"08-M03-02"</f>
        <v>08-M03-02</v>
      </c>
      <c r="G8310">
        <v>0.91359999999999997</v>
      </c>
      <c r="H8310" t="s">
        <v>11</v>
      </c>
      <c r="I8310" t="s">
        <v>10</v>
      </c>
    </row>
    <row r="8311" spans="1:9" x14ac:dyDescent="0.25">
      <c r="A8311" t="str">
        <f t="shared" si="200"/>
        <v>89301000</v>
      </c>
      <c r="B8311" t="str">
        <f>"5903250133"</f>
        <v>5903250133</v>
      </c>
      <c r="C8311" s="1">
        <v>44979</v>
      </c>
      <c r="D8311" s="1">
        <v>44980</v>
      </c>
      <c r="E8311">
        <v>1</v>
      </c>
      <c r="F8311" t="str">
        <f>"05-D01-06"</f>
        <v>05-D01-06</v>
      </c>
      <c r="G8311">
        <v>0.7571</v>
      </c>
      <c r="H8311" t="s">
        <v>11</v>
      </c>
      <c r="I8311" t="s">
        <v>10</v>
      </c>
    </row>
    <row r="8312" spans="1:9" x14ac:dyDescent="0.25">
      <c r="A8312" t="str">
        <f t="shared" si="200"/>
        <v>89301000</v>
      </c>
      <c r="B8312" t="str">
        <f>"5903250133"</f>
        <v>5903250133</v>
      </c>
      <c r="C8312" s="1">
        <v>45089</v>
      </c>
      <c r="D8312" s="1">
        <v>45098</v>
      </c>
      <c r="E8312">
        <v>1</v>
      </c>
      <c r="F8312" t="str">
        <f>"05-I06-03"</f>
        <v>05-I06-03</v>
      </c>
      <c r="G8312">
        <v>9.2710000000000008</v>
      </c>
      <c r="H8312" t="s">
        <v>14</v>
      </c>
      <c r="I8312" t="s">
        <v>10</v>
      </c>
    </row>
    <row r="8313" spans="1:9" x14ac:dyDescent="0.25">
      <c r="A8313" t="str">
        <f t="shared" si="200"/>
        <v>89301000</v>
      </c>
      <c r="B8313" t="str">
        <f>"5903270417"</f>
        <v>5903270417</v>
      </c>
      <c r="C8313" s="1">
        <v>45007</v>
      </c>
      <c r="D8313" s="1">
        <v>45020</v>
      </c>
      <c r="E8313">
        <v>5</v>
      </c>
      <c r="F8313" t="str">
        <f>"00-M02-01"</f>
        <v>00-M02-01</v>
      </c>
      <c r="G8313">
        <v>22.650099999999998</v>
      </c>
      <c r="H8313" t="s">
        <v>11</v>
      </c>
      <c r="I8313" t="s">
        <v>10</v>
      </c>
    </row>
    <row r="8314" spans="1:9" x14ac:dyDescent="0.25">
      <c r="A8314" t="str">
        <f t="shared" si="200"/>
        <v>89301000</v>
      </c>
      <c r="B8314" t="str">
        <f>"5903302053"</f>
        <v>5903302053</v>
      </c>
      <c r="C8314" s="1">
        <v>45070</v>
      </c>
      <c r="D8314" s="1">
        <v>45077</v>
      </c>
      <c r="E8314">
        <v>1</v>
      </c>
      <c r="F8314" t="str">
        <f>"04-K05-02"</f>
        <v>04-K05-02</v>
      </c>
      <c r="G8314">
        <v>1.4463999999999999</v>
      </c>
      <c r="H8314" t="s">
        <v>11</v>
      </c>
      <c r="I8314" t="s">
        <v>10</v>
      </c>
    </row>
    <row r="8315" spans="1:9" x14ac:dyDescent="0.25">
      <c r="A8315" t="str">
        <f t="shared" si="200"/>
        <v>89301000</v>
      </c>
      <c r="B8315" t="str">
        <f>"5904060327"</f>
        <v>5904060327</v>
      </c>
      <c r="C8315" s="1">
        <v>45169</v>
      </c>
      <c r="D8315" s="1">
        <v>45170</v>
      </c>
      <c r="E8315">
        <v>1</v>
      </c>
      <c r="F8315" t="str">
        <f>"01-D01-03"</f>
        <v>01-D01-03</v>
      </c>
      <c r="G8315">
        <v>0.16200000000000001</v>
      </c>
      <c r="H8315" t="s">
        <v>11</v>
      </c>
      <c r="I8315" t="s">
        <v>10</v>
      </c>
    </row>
    <row r="8316" spans="1:9" x14ac:dyDescent="0.25">
      <c r="A8316" t="str">
        <f t="shared" si="200"/>
        <v>89301000</v>
      </c>
      <c r="B8316" t="str">
        <f>"5904060327"</f>
        <v>5904060327</v>
      </c>
      <c r="C8316" s="1">
        <v>45240</v>
      </c>
      <c r="D8316" s="1">
        <v>45243</v>
      </c>
      <c r="E8316">
        <v>1</v>
      </c>
      <c r="F8316" t="str">
        <f>"01-D01-03"</f>
        <v>01-D01-03</v>
      </c>
      <c r="G8316">
        <v>0.21060000000000001</v>
      </c>
      <c r="H8316" t="s">
        <v>11</v>
      </c>
      <c r="I8316" t="s">
        <v>10</v>
      </c>
    </row>
    <row r="8317" spans="1:9" x14ac:dyDescent="0.25">
      <c r="A8317" t="str">
        <f t="shared" si="200"/>
        <v>89301000</v>
      </c>
      <c r="B8317" t="str">
        <f>"5904091259"</f>
        <v>5904091259</v>
      </c>
      <c r="C8317" s="1">
        <v>45124</v>
      </c>
      <c r="D8317" s="1">
        <v>45128</v>
      </c>
      <c r="E8317">
        <v>1</v>
      </c>
      <c r="F8317" t="str">
        <f>"10-I04-01"</f>
        <v>10-I04-01</v>
      </c>
      <c r="G8317">
        <v>2.2404999999999999</v>
      </c>
      <c r="H8317" t="s">
        <v>12</v>
      </c>
      <c r="I8317" t="s">
        <v>10</v>
      </c>
    </row>
    <row r="8318" spans="1:9" x14ac:dyDescent="0.25">
      <c r="A8318" t="str">
        <f t="shared" si="200"/>
        <v>89301000</v>
      </c>
      <c r="B8318" t="str">
        <f>"5904091259"</f>
        <v>5904091259</v>
      </c>
      <c r="C8318" s="1">
        <v>45096</v>
      </c>
      <c r="D8318" s="1">
        <v>45107</v>
      </c>
      <c r="E8318">
        <v>5</v>
      </c>
      <c r="F8318" t="str">
        <f>"05-I24-04"</f>
        <v>05-I24-04</v>
      </c>
      <c r="G8318">
        <v>2.1032000000000002</v>
      </c>
      <c r="H8318" t="s">
        <v>12</v>
      </c>
      <c r="I8318" t="s">
        <v>10</v>
      </c>
    </row>
    <row r="8319" spans="1:9" x14ac:dyDescent="0.25">
      <c r="A8319" t="str">
        <f t="shared" si="200"/>
        <v>89301000</v>
      </c>
      <c r="B8319" t="str">
        <f>"5904130507"</f>
        <v>5904130507</v>
      </c>
      <c r="C8319" s="1">
        <v>44979</v>
      </c>
      <c r="D8319" s="1">
        <v>45001</v>
      </c>
      <c r="E8319">
        <v>1</v>
      </c>
      <c r="F8319" t="str">
        <f>"19-K06-02"</f>
        <v>19-K06-02</v>
      </c>
      <c r="G8319">
        <v>2.2334999999999998</v>
      </c>
      <c r="H8319" t="s">
        <v>15</v>
      </c>
      <c r="I8319" t="s">
        <v>10</v>
      </c>
    </row>
    <row r="8320" spans="1:9" x14ac:dyDescent="0.25">
      <c r="A8320" t="str">
        <f t="shared" si="200"/>
        <v>89301000</v>
      </c>
      <c r="B8320" t="str">
        <f>"5904141749"</f>
        <v>5904141749</v>
      </c>
      <c r="C8320" s="1">
        <v>45174</v>
      </c>
      <c r="D8320" s="1">
        <v>45178</v>
      </c>
      <c r="E8320">
        <v>1</v>
      </c>
      <c r="F8320" t="str">
        <f>"03-I18-03"</f>
        <v>03-I18-03</v>
      </c>
      <c r="G8320">
        <v>0.83940000000000003</v>
      </c>
      <c r="H8320" t="s">
        <v>9</v>
      </c>
      <c r="I8320" t="s">
        <v>10</v>
      </c>
    </row>
    <row r="8321" spans="1:9" x14ac:dyDescent="0.25">
      <c r="A8321" t="str">
        <f t="shared" si="200"/>
        <v>89301000</v>
      </c>
      <c r="B8321" t="str">
        <f>"5904141749"</f>
        <v>5904141749</v>
      </c>
      <c r="C8321" s="1">
        <v>45132</v>
      </c>
      <c r="D8321" s="1">
        <v>45135</v>
      </c>
      <c r="E8321">
        <v>1</v>
      </c>
      <c r="F8321" t="str">
        <f>"11-K01-02"</f>
        <v>11-K01-02</v>
      </c>
      <c r="G8321">
        <v>0.86480000000000001</v>
      </c>
      <c r="H8321" t="s">
        <v>11</v>
      </c>
      <c r="I8321" t="s">
        <v>10</v>
      </c>
    </row>
    <row r="8322" spans="1:9" x14ac:dyDescent="0.25">
      <c r="A8322" t="str">
        <f t="shared" si="200"/>
        <v>89301000</v>
      </c>
      <c r="B8322" t="str">
        <f>"5904150032"</f>
        <v>5904150032</v>
      </c>
      <c r="C8322" s="1">
        <v>45264</v>
      </c>
      <c r="D8322" s="1">
        <v>45265</v>
      </c>
      <c r="E8322">
        <v>5</v>
      </c>
      <c r="F8322" t="str">
        <f>"05-M06-06"</f>
        <v>05-M06-06</v>
      </c>
      <c r="G8322">
        <v>1.8264</v>
      </c>
      <c r="H8322" t="s">
        <v>12</v>
      </c>
      <c r="I8322" t="s">
        <v>10</v>
      </c>
    </row>
    <row r="8323" spans="1:9" x14ac:dyDescent="0.25">
      <c r="A8323" t="str">
        <f t="shared" si="200"/>
        <v>89301000</v>
      </c>
      <c r="B8323" t="str">
        <f>"5904162099"</f>
        <v>5904162099</v>
      </c>
      <c r="C8323" s="1">
        <v>44925</v>
      </c>
      <c r="D8323" s="1">
        <v>44928</v>
      </c>
      <c r="E8323">
        <v>1</v>
      </c>
      <c r="F8323" t="str">
        <f>"05-M06-06"</f>
        <v>05-M06-06</v>
      </c>
      <c r="G8323">
        <v>1.8264</v>
      </c>
      <c r="H8323" t="s">
        <v>12</v>
      </c>
      <c r="I8323" t="s">
        <v>10</v>
      </c>
    </row>
    <row r="8324" spans="1:9" x14ac:dyDescent="0.25">
      <c r="A8324" t="str">
        <f t="shared" si="200"/>
        <v>89301000</v>
      </c>
      <c r="B8324" t="str">
        <f>"5904232081"</f>
        <v>5904232081</v>
      </c>
      <c r="C8324" s="1">
        <v>45058</v>
      </c>
      <c r="D8324" s="1">
        <v>45061</v>
      </c>
      <c r="E8324">
        <v>1</v>
      </c>
      <c r="F8324" t="str">
        <f>"05-D01-08"</f>
        <v>05-D01-08</v>
      </c>
      <c r="G8324">
        <v>0.43159999999999998</v>
      </c>
      <c r="H8324" t="s">
        <v>11</v>
      </c>
      <c r="I8324" t="s">
        <v>10</v>
      </c>
    </row>
    <row r="8325" spans="1:9" x14ac:dyDescent="0.25">
      <c r="A8325" t="str">
        <f t="shared" si="200"/>
        <v>89301000</v>
      </c>
      <c r="B8325" t="str">
        <f>"5904232081"</f>
        <v>5904232081</v>
      </c>
      <c r="C8325" s="1">
        <v>45093</v>
      </c>
      <c r="D8325" s="1">
        <v>45103</v>
      </c>
      <c r="E8325">
        <v>1</v>
      </c>
      <c r="F8325" t="str">
        <f>"05-I16-02"</f>
        <v>05-I16-02</v>
      </c>
      <c r="G8325">
        <v>8.7934999999999999</v>
      </c>
      <c r="H8325" t="s">
        <v>14</v>
      </c>
      <c r="I8325" t="s">
        <v>10</v>
      </c>
    </row>
    <row r="8326" spans="1:9" x14ac:dyDescent="0.25">
      <c r="A8326" t="str">
        <f t="shared" si="200"/>
        <v>89301000</v>
      </c>
      <c r="B8326" t="str">
        <f>"5904270350"</f>
        <v>5904270350</v>
      </c>
      <c r="C8326" s="1">
        <v>45187</v>
      </c>
      <c r="D8326" s="1">
        <v>45194</v>
      </c>
      <c r="E8326">
        <v>5</v>
      </c>
      <c r="F8326" t="str">
        <f>"00-M01-03"</f>
        <v>00-M01-03</v>
      </c>
      <c r="G8326">
        <v>9.6671999999999993</v>
      </c>
      <c r="H8326" t="s">
        <v>11</v>
      </c>
      <c r="I8326" t="s">
        <v>10</v>
      </c>
    </row>
    <row r="8327" spans="1:9" x14ac:dyDescent="0.25">
      <c r="A8327" t="str">
        <f t="shared" si="200"/>
        <v>89301000</v>
      </c>
      <c r="B8327" t="str">
        <f>"5905020022"</f>
        <v>5905020022</v>
      </c>
      <c r="C8327" s="1">
        <v>45244</v>
      </c>
      <c r="D8327" s="1">
        <v>45244</v>
      </c>
      <c r="E8327">
        <v>6</v>
      </c>
      <c r="F8327" t="str">
        <f>"11-K04-02"</f>
        <v>11-K04-02</v>
      </c>
      <c r="G8327">
        <v>0.1772</v>
      </c>
      <c r="H8327" t="s">
        <v>11</v>
      </c>
      <c r="I8327" t="s">
        <v>10</v>
      </c>
    </row>
    <row r="8328" spans="1:9" x14ac:dyDescent="0.25">
      <c r="A8328" t="str">
        <f t="shared" si="200"/>
        <v>89301000</v>
      </c>
      <c r="B8328" t="str">
        <f>"5905020022"</f>
        <v>5905020022</v>
      </c>
      <c r="C8328" s="1">
        <v>45036</v>
      </c>
      <c r="D8328" s="1">
        <v>45038</v>
      </c>
      <c r="E8328">
        <v>1</v>
      </c>
      <c r="F8328" t="str">
        <f>"12-I08-03"</f>
        <v>12-I08-03</v>
      </c>
      <c r="G8328">
        <v>0.7258</v>
      </c>
      <c r="H8328" t="s">
        <v>11</v>
      </c>
      <c r="I8328" t="s">
        <v>10</v>
      </c>
    </row>
    <row r="8329" spans="1:9" x14ac:dyDescent="0.25">
      <c r="A8329" t="str">
        <f t="shared" si="200"/>
        <v>89301000</v>
      </c>
      <c r="B8329" t="str">
        <f>"5905020022"</f>
        <v>5905020022</v>
      </c>
      <c r="C8329" s="1">
        <v>45211</v>
      </c>
      <c r="D8329" s="1">
        <v>45212</v>
      </c>
      <c r="E8329">
        <v>1</v>
      </c>
      <c r="F8329" t="str">
        <f>"06-I17-04"</f>
        <v>06-I17-04</v>
      </c>
      <c r="G8329">
        <v>0.49869999999999998</v>
      </c>
      <c r="H8329" t="s">
        <v>12</v>
      </c>
      <c r="I8329" t="s">
        <v>10</v>
      </c>
    </row>
    <row r="8330" spans="1:9" x14ac:dyDescent="0.25">
      <c r="A8330" t="str">
        <f t="shared" si="200"/>
        <v>89301000</v>
      </c>
      <c r="B8330" t="str">
        <f>"5905061349"</f>
        <v>5905061349</v>
      </c>
      <c r="C8330" s="1">
        <v>45189</v>
      </c>
      <c r="D8330" s="1">
        <v>45231</v>
      </c>
      <c r="E8330">
        <v>1</v>
      </c>
      <c r="F8330" t="str">
        <f>"23-K06-00"</f>
        <v>23-K06-00</v>
      </c>
      <c r="G8330">
        <v>3.2143999999999999</v>
      </c>
      <c r="H8330" t="s">
        <v>11</v>
      </c>
      <c r="I8330" t="s">
        <v>10</v>
      </c>
    </row>
    <row r="8331" spans="1:9" x14ac:dyDescent="0.25">
      <c r="A8331" t="str">
        <f t="shared" si="200"/>
        <v>89301000</v>
      </c>
      <c r="B8331" t="str">
        <f>"5905061349"</f>
        <v>5905061349</v>
      </c>
      <c r="C8331" s="1">
        <v>45142</v>
      </c>
      <c r="D8331" s="1">
        <v>45147</v>
      </c>
      <c r="E8331">
        <v>1</v>
      </c>
      <c r="F8331" t="str">
        <f>"07-K07-02"</f>
        <v>07-K07-02</v>
      </c>
      <c r="G8331">
        <v>0.53069999999999995</v>
      </c>
      <c r="H8331" t="s">
        <v>11</v>
      </c>
      <c r="I8331" t="s">
        <v>10</v>
      </c>
    </row>
    <row r="8332" spans="1:9" x14ac:dyDescent="0.25">
      <c r="A8332" t="str">
        <f t="shared" si="200"/>
        <v>89301000</v>
      </c>
      <c r="B8332" t="str">
        <f>"5905061349"</f>
        <v>5905061349</v>
      </c>
      <c r="C8332" s="1">
        <v>45104</v>
      </c>
      <c r="D8332" s="1">
        <v>45114</v>
      </c>
      <c r="E8332">
        <v>1</v>
      </c>
      <c r="F8332" t="str">
        <f>"07-M02-03"</f>
        <v>07-M02-03</v>
      </c>
      <c r="G8332">
        <v>1.2942</v>
      </c>
      <c r="H8332" t="s">
        <v>12</v>
      </c>
      <c r="I8332" t="s">
        <v>10</v>
      </c>
    </row>
    <row r="8333" spans="1:9" x14ac:dyDescent="0.25">
      <c r="A8333" t="str">
        <f t="shared" si="200"/>
        <v>89301000</v>
      </c>
      <c r="B8333" t="str">
        <f>"5905061349"</f>
        <v>5905061349</v>
      </c>
      <c r="C8333" s="1">
        <v>45081</v>
      </c>
      <c r="D8333" s="1">
        <v>45096</v>
      </c>
      <c r="E8333">
        <v>1</v>
      </c>
      <c r="F8333" t="str">
        <f>"07-I01-02"</f>
        <v>07-I01-02</v>
      </c>
      <c r="G8333">
        <v>5.4336000000000002</v>
      </c>
      <c r="H8333" t="s">
        <v>14</v>
      </c>
      <c r="I8333" t="s">
        <v>10</v>
      </c>
    </row>
    <row r="8334" spans="1:9" x14ac:dyDescent="0.25">
      <c r="A8334" t="str">
        <f t="shared" si="200"/>
        <v>89301000</v>
      </c>
      <c r="B8334" t="str">
        <f>"5905112070"</f>
        <v>5905112070</v>
      </c>
      <c r="C8334" s="1">
        <v>45080</v>
      </c>
      <c r="D8334" s="1">
        <v>45082</v>
      </c>
      <c r="E8334">
        <v>1</v>
      </c>
      <c r="F8334" t="str">
        <f>"05-M06-08"</f>
        <v>05-M06-08</v>
      </c>
      <c r="G8334">
        <v>1.4228000000000001</v>
      </c>
      <c r="H8334" t="s">
        <v>12</v>
      </c>
      <c r="I8334" t="s">
        <v>10</v>
      </c>
    </row>
    <row r="8335" spans="1:9" x14ac:dyDescent="0.25">
      <c r="A8335" t="str">
        <f t="shared" si="200"/>
        <v>89301000</v>
      </c>
      <c r="B8335" t="str">
        <f>"5905112070"</f>
        <v>5905112070</v>
      </c>
      <c r="C8335" s="1">
        <v>45125</v>
      </c>
      <c r="D8335" s="1">
        <v>45126</v>
      </c>
      <c r="E8335">
        <v>1</v>
      </c>
      <c r="F8335" t="str">
        <f>"05-M06-08"</f>
        <v>05-M06-08</v>
      </c>
      <c r="G8335">
        <v>1.4228000000000001</v>
      </c>
      <c r="H8335" t="s">
        <v>12</v>
      </c>
      <c r="I8335" t="s">
        <v>10</v>
      </c>
    </row>
    <row r="8336" spans="1:9" x14ac:dyDescent="0.25">
      <c r="A8336" t="str">
        <f t="shared" si="200"/>
        <v>89301000</v>
      </c>
      <c r="B8336" t="str">
        <f>"5905162087"</f>
        <v>5905162087</v>
      </c>
      <c r="C8336" s="1">
        <v>44929</v>
      </c>
      <c r="D8336" s="1">
        <v>44932</v>
      </c>
      <c r="E8336">
        <v>1</v>
      </c>
      <c r="F8336" t="str">
        <f>"06-K04-02"</f>
        <v>06-K04-02</v>
      </c>
      <c r="G8336">
        <v>0.94599999999999995</v>
      </c>
      <c r="H8336" t="s">
        <v>11</v>
      </c>
      <c r="I8336" t="s">
        <v>10</v>
      </c>
    </row>
    <row r="8337" spans="1:9" x14ac:dyDescent="0.25">
      <c r="A8337" t="str">
        <f t="shared" si="200"/>
        <v>89301000</v>
      </c>
      <c r="B8337" t="str">
        <f>"5905271493"</f>
        <v>5905271493</v>
      </c>
      <c r="C8337" s="1">
        <v>44999</v>
      </c>
      <c r="D8337" s="1">
        <v>45000</v>
      </c>
      <c r="E8337">
        <v>1</v>
      </c>
      <c r="F8337" t="str">
        <f>"05-D01-08"</f>
        <v>05-D01-08</v>
      </c>
      <c r="G8337">
        <v>0.65610000000000002</v>
      </c>
      <c r="H8337" t="s">
        <v>11</v>
      </c>
      <c r="I8337" t="s">
        <v>10</v>
      </c>
    </row>
    <row r="8338" spans="1:9" x14ac:dyDescent="0.25">
      <c r="A8338" t="str">
        <f t="shared" si="200"/>
        <v>89301000</v>
      </c>
      <c r="B8338" t="str">
        <f>"5905281470"</f>
        <v>5905281470</v>
      </c>
      <c r="C8338" s="1">
        <v>45215</v>
      </c>
      <c r="D8338" s="1">
        <v>45217</v>
      </c>
      <c r="E8338">
        <v>1</v>
      </c>
      <c r="F8338" t="str">
        <f>"05-K05-02"</f>
        <v>05-K05-02</v>
      </c>
      <c r="G8338">
        <v>0.91449999999999998</v>
      </c>
      <c r="H8338" t="s">
        <v>11</v>
      </c>
      <c r="I8338" t="s">
        <v>10</v>
      </c>
    </row>
    <row r="8339" spans="1:9" x14ac:dyDescent="0.25">
      <c r="A8339" t="str">
        <f t="shared" si="200"/>
        <v>89301000</v>
      </c>
      <c r="B8339" t="str">
        <f>"5906021638"</f>
        <v>5906021638</v>
      </c>
      <c r="C8339" s="1">
        <v>45243</v>
      </c>
      <c r="D8339" s="1">
        <v>45247</v>
      </c>
      <c r="E8339">
        <v>1</v>
      </c>
      <c r="F8339" t="str">
        <f>"08-I06-04"</f>
        <v>08-I06-04</v>
      </c>
      <c r="G8339">
        <v>2.4180000000000001</v>
      </c>
      <c r="H8339" t="s">
        <v>9</v>
      </c>
      <c r="I8339" t="s">
        <v>10</v>
      </c>
    </row>
    <row r="8340" spans="1:9" x14ac:dyDescent="0.25">
      <c r="A8340" t="str">
        <f t="shared" si="200"/>
        <v>89301000</v>
      </c>
      <c r="B8340" t="str">
        <f>"5906141637"</f>
        <v>5906141637</v>
      </c>
      <c r="C8340" s="1">
        <v>45106</v>
      </c>
      <c r="D8340" s="1">
        <v>45111</v>
      </c>
      <c r="E8340">
        <v>1</v>
      </c>
      <c r="F8340" t="str">
        <f>"11-K01-04"</f>
        <v>11-K01-04</v>
      </c>
      <c r="G8340">
        <v>0.55759999999999998</v>
      </c>
      <c r="H8340" t="s">
        <v>11</v>
      </c>
      <c r="I8340" t="s">
        <v>10</v>
      </c>
    </row>
    <row r="8341" spans="1:9" x14ac:dyDescent="0.25">
      <c r="A8341" t="str">
        <f t="shared" si="200"/>
        <v>89301000</v>
      </c>
      <c r="B8341" t="str">
        <f>"5906141637"</f>
        <v>5906141637</v>
      </c>
      <c r="C8341" s="1">
        <v>45133</v>
      </c>
      <c r="D8341" s="1">
        <v>45135</v>
      </c>
      <c r="E8341">
        <v>1</v>
      </c>
      <c r="F8341" t="str">
        <f>"11-M05-01"</f>
        <v>11-M05-01</v>
      </c>
      <c r="G8341">
        <v>0.83750000000000002</v>
      </c>
      <c r="H8341" t="s">
        <v>12</v>
      </c>
      <c r="I8341" t="s">
        <v>10</v>
      </c>
    </row>
    <row r="8342" spans="1:9" x14ac:dyDescent="0.25">
      <c r="A8342" t="str">
        <f t="shared" si="200"/>
        <v>89301000</v>
      </c>
      <c r="B8342" t="str">
        <f>"5906281249"</f>
        <v>5906281249</v>
      </c>
      <c r="C8342" s="1">
        <v>45049</v>
      </c>
      <c r="D8342" s="1">
        <v>45061</v>
      </c>
      <c r="E8342">
        <v>4</v>
      </c>
      <c r="F8342" t="str">
        <f>"08-I05-04"</f>
        <v>08-I05-04</v>
      </c>
      <c r="G8342">
        <v>2.4445000000000001</v>
      </c>
      <c r="H8342" t="s">
        <v>12</v>
      </c>
      <c r="I8342" t="s">
        <v>10</v>
      </c>
    </row>
    <row r="8343" spans="1:9" x14ac:dyDescent="0.25">
      <c r="A8343" t="str">
        <f t="shared" si="200"/>
        <v>89301000</v>
      </c>
      <c r="B8343" t="str">
        <f>"5907070796"</f>
        <v>5907070796</v>
      </c>
      <c r="C8343" s="1">
        <v>45070</v>
      </c>
      <c r="D8343" s="1">
        <v>45071</v>
      </c>
      <c r="E8343">
        <v>5</v>
      </c>
      <c r="F8343" t="str">
        <f>"01-I06-05"</f>
        <v>01-I06-05</v>
      </c>
      <c r="G8343">
        <v>1.8596999999999999</v>
      </c>
      <c r="H8343" t="s">
        <v>12</v>
      </c>
      <c r="I8343" t="s">
        <v>10</v>
      </c>
    </row>
    <row r="8344" spans="1:9" x14ac:dyDescent="0.25">
      <c r="A8344" t="str">
        <f t="shared" si="200"/>
        <v>89301000</v>
      </c>
      <c r="B8344" t="str">
        <f>"5907100749"</f>
        <v>5907100749</v>
      </c>
      <c r="C8344" s="1">
        <v>44929</v>
      </c>
      <c r="D8344" s="1">
        <v>44937</v>
      </c>
      <c r="E8344">
        <v>5</v>
      </c>
      <c r="F8344" t="str">
        <f>"11-M02-06"</f>
        <v>11-M02-06</v>
      </c>
      <c r="G8344">
        <v>1.1301000000000001</v>
      </c>
      <c r="H8344" t="s">
        <v>11</v>
      </c>
      <c r="I8344" t="s">
        <v>10</v>
      </c>
    </row>
    <row r="8345" spans="1:9" x14ac:dyDescent="0.25">
      <c r="A8345" t="str">
        <f t="shared" si="200"/>
        <v>89301000</v>
      </c>
      <c r="B8345" t="str">
        <f>"5907141944"</f>
        <v>5907141944</v>
      </c>
      <c r="C8345" s="1">
        <v>45266</v>
      </c>
      <c r="D8345" s="1">
        <v>45269</v>
      </c>
      <c r="E8345">
        <v>1</v>
      </c>
      <c r="F8345" t="str">
        <f>"07-I10-06"</f>
        <v>07-I10-06</v>
      </c>
      <c r="G8345">
        <v>0.98419999999999996</v>
      </c>
      <c r="H8345" t="s">
        <v>12</v>
      </c>
      <c r="I8345" t="s">
        <v>10</v>
      </c>
    </row>
    <row r="8346" spans="1:9" x14ac:dyDescent="0.25">
      <c r="A8346" t="str">
        <f t="shared" si="200"/>
        <v>89301000</v>
      </c>
      <c r="B8346" t="str">
        <f>"5907221738"</f>
        <v>5907221738</v>
      </c>
      <c r="C8346" s="1">
        <v>45062</v>
      </c>
      <c r="D8346" s="1">
        <v>45067</v>
      </c>
      <c r="E8346">
        <v>1</v>
      </c>
      <c r="F8346" t="str">
        <f>"11-I08-03"</f>
        <v>11-I08-03</v>
      </c>
      <c r="G8346">
        <v>2.0529999999999999</v>
      </c>
      <c r="H8346" t="s">
        <v>9</v>
      </c>
      <c r="I8346" t="s">
        <v>10</v>
      </c>
    </row>
    <row r="8347" spans="1:9" x14ac:dyDescent="0.25">
      <c r="A8347" t="str">
        <f t="shared" si="200"/>
        <v>89301000</v>
      </c>
      <c r="B8347" t="str">
        <f>"5907231924"</f>
        <v>5907231924</v>
      </c>
      <c r="C8347" s="1">
        <v>44924</v>
      </c>
      <c r="D8347" s="1">
        <v>44941</v>
      </c>
      <c r="E8347">
        <v>8</v>
      </c>
      <c r="F8347" t="str">
        <f>"07-K07-02"</f>
        <v>07-K07-02</v>
      </c>
      <c r="G8347">
        <v>0.93720000000000003</v>
      </c>
      <c r="H8347" t="s">
        <v>11</v>
      </c>
      <c r="I8347" t="s">
        <v>10</v>
      </c>
    </row>
    <row r="8348" spans="1:9" x14ac:dyDescent="0.25">
      <c r="A8348" t="str">
        <f t="shared" si="200"/>
        <v>89301000</v>
      </c>
      <c r="B8348" t="str">
        <f>"5907291247"</f>
        <v>5907291247</v>
      </c>
      <c r="C8348" s="1">
        <v>45264</v>
      </c>
      <c r="D8348" s="1">
        <v>45268</v>
      </c>
      <c r="E8348">
        <v>1</v>
      </c>
      <c r="F8348" t="str">
        <f>"08-K08-00"</f>
        <v>08-K08-00</v>
      </c>
      <c r="G8348">
        <v>0.5272</v>
      </c>
      <c r="H8348" t="s">
        <v>11</v>
      </c>
      <c r="I8348" t="s">
        <v>10</v>
      </c>
    </row>
    <row r="8349" spans="1:9" x14ac:dyDescent="0.25">
      <c r="A8349" t="str">
        <f t="shared" si="200"/>
        <v>89301000</v>
      </c>
      <c r="B8349" t="str">
        <f>"5907300146"</f>
        <v>5907300146</v>
      </c>
      <c r="C8349" s="1">
        <v>45125</v>
      </c>
      <c r="D8349" s="1">
        <v>45128</v>
      </c>
      <c r="E8349">
        <v>1</v>
      </c>
      <c r="F8349" t="str">
        <f>"05-I29-03"</f>
        <v>05-I29-03</v>
      </c>
      <c r="G8349">
        <v>1.0323</v>
      </c>
      <c r="H8349" t="s">
        <v>12</v>
      </c>
      <c r="I8349" t="s">
        <v>10</v>
      </c>
    </row>
    <row r="8350" spans="1:9" x14ac:dyDescent="0.25">
      <c r="A8350" t="str">
        <f t="shared" si="200"/>
        <v>89301000</v>
      </c>
      <c r="B8350" t="str">
        <f>"5907300146"</f>
        <v>5907300146</v>
      </c>
      <c r="C8350" s="1">
        <v>45159</v>
      </c>
      <c r="D8350" s="1">
        <v>45162</v>
      </c>
      <c r="E8350">
        <v>1</v>
      </c>
      <c r="F8350" t="str">
        <f>"11-M02-07"</f>
        <v>11-M02-07</v>
      </c>
      <c r="G8350">
        <v>0.64419999999999999</v>
      </c>
      <c r="H8350" t="s">
        <v>11</v>
      </c>
      <c r="I8350" t="s">
        <v>10</v>
      </c>
    </row>
    <row r="8351" spans="1:9" x14ac:dyDescent="0.25">
      <c r="A8351" t="str">
        <f t="shared" si="200"/>
        <v>89301000</v>
      </c>
      <c r="B8351" t="str">
        <f>"5908050291"</f>
        <v>5908050291</v>
      </c>
      <c r="C8351" s="1">
        <v>45258</v>
      </c>
      <c r="D8351" s="1">
        <v>45260</v>
      </c>
      <c r="E8351">
        <v>1</v>
      </c>
      <c r="F8351" t="str">
        <f>"11-K03-02"</f>
        <v>11-K03-02</v>
      </c>
      <c r="G8351">
        <v>0.63990000000000002</v>
      </c>
      <c r="H8351" t="s">
        <v>11</v>
      </c>
      <c r="I8351" t="s">
        <v>10</v>
      </c>
    </row>
    <row r="8352" spans="1:9" x14ac:dyDescent="0.25">
      <c r="A8352" t="str">
        <f t="shared" si="200"/>
        <v>89301000</v>
      </c>
      <c r="B8352" t="str">
        <f>"5908071862"</f>
        <v>5908071862</v>
      </c>
      <c r="C8352" s="1">
        <v>45085</v>
      </c>
      <c r="D8352" s="1">
        <v>45119</v>
      </c>
      <c r="E8352">
        <v>1</v>
      </c>
      <c r="F8352" t="str">
        <f>"19-K08-01"</f>
        <v>19-K08-01</v>
      </c>
      <c r="G8352">
        <v>4.8014999999999999</v>
      </c>
      <c r="H8352" t="s">
        <v>15</v>
      </c>
      <c r="I8352" t="s">
        <v>10</v>
      </c>
    </row>
    <row r="8353" spans="1:9" x14ac:dyDescent="0.25">
      <c r="A8353" t="str">
        <f t="shared" si="200"/>
        <v>89301000</v>
      </c>
      <c r="B8353" t="str">
        <f>"5908130668"</f>
        <v>5908130668</v>
      </c>
      <c r="C8353" s="1">
        <v>45178</v>
      </c>
      <c r="D8353" s="1">
        <v>45182</v>
      </c>
      <c r="E8353">
        <v>1</v>
      </c>
      <c r="F8353" t="str">
        <f>"08-I03-03"</f>
        <v>08-I03-03</v>
      </c>
      <c r="G8353">
        <v>4.3807</v>
      </c>
      <c r="H8353" t="s">
        <v>9</v>
      </c>
      <c r="I8353" t="s">
        <v>10</v>
      </c>
    </row>
    <row r="8354" spans="1:9" x14ac:dyDescent="0.25">
      <c r="A8354" t="str">
        <f t="shared" si="200"/>
        <v>89301000</v>
      </c>
      <c r="B8354" t="str">
        <f>"5908201486"</f>
        <v>5908201486</v>
      </c>
      <c r="C8354" s="1">
        <v>45138</v>
      </c>
      <c r="D8354" s="1">
        <v>45140</v>
      </c>
      <c r="E8354">
        <v>1</v>
      </c>
      <c r="F8354" t="str">
        <f>"10-K13-02"</f>
        <v>10-K13-02</v>
      </c>
      <c r="G8354">
        <v>1.0306999999999999</v>
      </c>
      <c r="H8354" t="s">
        <v>11</v>
      </c>
      <c r="I8354" t="s">
        <v>10</v>
      </c>
    </row>
    <row r="8355" spans="1:9" x14ac:dyDescent="0.25">
      <c r="A8355" t="str">
        <f t="shared" si="200"/>
        <v>89301000</v>
      </c>
      <c r="B8355" t="str">
        <f>"5908251558"</f>
        <v>5908251558</v>
      </c>
      <c r="C8355" s="1">
        <v>44969</v>
      </c>
      <c r="D8355" s="1">
        <v>44972</v>
      </c>
      <c r="E8355">
        <v>1</v>
      </c>
      <c r="F8355" t="str">
        <f>"06-I21-03"</f>
        <v>06-I21-03</v>
      </c>
      <c r="G8355">
        <v>0.4572</v>
      </c>
      <c r="H8355" t="s">
        <v>12</v>
      </c>
      <c r="I8355" t="s">
        <v>10</v>
      </c>
    </row>
    <row r="8356" spans="1:9" x14ac:dyDescent="0.25">
      <c r="A8356" t="str">
        <f t="shared" si="200"/>
        <v>89301000</v>
      </c>
      <c r="B8356" t="str">
        <f>"5908290960"</f>
        <v>5908290960</v>
      </c>
      <c r="C8356" s="1">
        <v>45148</v>
      </c>
      <c r="D8356" s="1">
        <v>45149</v>
      </c>
      <c r="E8356">
        <v>1</v>
      </c>
      <c r="F8356" t="str">
        <f>"04-K10-02"</f>
        <v>04-K10-02</v>
      </c>
      <c r="G8356">
        <v>0.41899999999999998</v>
      </c>
      <c r="H8356" t="s">
        <v>11</v>
      </c>
      <c r="I8356" t="s">
        <v>10</v>
      </c>
    </row>
    <row r="8357" spans="1:9" x14ac:dyDescent="0.25">
      <c r="A8357" t="str">
        <f t="shared" si="200"/>
        <v>89301000</v>
      </c>
      <c r="B8357" t="str">
        <f>"5908300321"</f>
        <v>5908300321</v>
      </c>
      <c r="C8357" s="1">
        <v>45191</v>
      </c>
      <c r="D8357" s="1">
        <v>45208</v>
      </c>
      <c r="E8357">
        <v>1</v>
      </c>
      <c r="F8357" t="str">
        <f>"06-I12-01"</f>
        <v>06-I12-01</v>
      </c>
      <c r="G8357">
        <v>4.9291</v>
      </c>
      <c r="H8357" t="s">
        <v>11</v>
      </c>
      <c r="I8357" t="s">
        <v>10</v>
      </c>
    </row>
    <row r="8358" spans="1:9" x14ac:dyDescent="0.25">
      <c r="A8358" t="str">
        <f t="shared" si="200"/>
        <v>89301000</v>
      </c>
      <c r="B8358" t="str">
        <f>"5909031447"</f>
        <v>5909031447</v>
      </c>
      <c r="C8358" s="1">
        <v>45058</v>
      </c>
      <c r="D8358" s="1">
        <v>45090</v>
      </c>
      <c r="E8358">
        <v>5</v>
      </c>
      <c r="F8358" t="str">
        <f>"05-I14-02"</f>
        <v>05-I14-02</v>
      </c>
      <c r="G8358">
        <v>10.1447</v>
      </c>
      <c r="H8358" t="s">
        <v>12</v>
      </c>
      <c r="I8358" t="s">
        <v>10</v>
      </c>
    </row>
    <row r="8359" spans="1:9" x14ac:dyDescent="0.25">
      <c r="A8359" t="str">
        <f t="shared" si="200"/>
        <v>89301000</v>
      </c>
      <c r="B8359" t="str">
        <f>"5909061972"</f>
        <v>5909061972</v>
      </c>
      <c r="C8359" s="1">
        <v>45077</v>
      </c>
      <c r="D8359" s="1">
        <v>45079</v>
      </c>
      <c r="E8359">
        <v>1</v>
      </c>
      <c r="F8359" t="str">
        <f>"08-I25-02"</f>
        <v>08-I25-02</v>
      </c>
      <c r="G8359">
        <v>0.55279999999999996</v>
      </c>
      <c r="H8359" t="s">
        <v>11</v>
      </c>
      <c r="I8359" t="s">
        <v>10</v>
      </c>
    </row>
    <row r="8360" spans="1:9" x14ac:dyDescent="0.25">
      <c r="A8360" t="str">
        <f t="shared" si="200"/>
        <v>89301000</v>
      </c>
      <c r="B8360" t="str">
        <f>"5909071443"</f>
        <v>5909071443</v>
      </c>
      <c r="C8360" s="1">
        <v>45045</v>
      </c>
      <c r="D8360" s="1">
        <v>45055</v>
      </c>
      <c r="E8360">
        <v>3</v>
      </c>
      <c r="F8360" t="str">
        <f>"01-M02-00"</f>
        <v>01-M02-00</v>
      </c>
      <c r="G8360">
        <v>5.3973000000000004</v>
      </c>
      <c r="H8360" t="s">
        <v>12</v>
      </c>
      <c r="I8360" t="s">
        <v>10</v>
      </c>
    </row>
    <row r="8361" spans="1:9" x14ac:dyDescent="0.25">
      <c r="A8361" t="str">
        <f t="shared" si="200"/>
        <v>89301000</v>
      </c>
      <c r="B8361" t="str">
        <f>"5909071443"</f>
        <v>5909071443</v>
      </c>
      <c r="C8361" s="1">
        <v>45055</v>
      </c>
      <c r="D8361" s="1">
        <v>45076</v>
      </c>
      <c r="E8361">
        <v>4</v>
      </c>
      <c r="F8361" t="str">
        <f>"24-M08-01"</f>
        <v>24-M08-01</v>
      </c>
      <c r="G8361">
        <v>2.0236999999999998</v>
      </c>
      <c r="H8361" t="s">
        <v>11</v>
      </c>
      <c r="I8361" t="s">
        <v>10</v>
      </c>
    </row>
    <row r="8362" spans="1:9" x14ac:dyDescent="0.25">
      <c r="A8362" t="str">
        <f t="shared" si="200"/>
        <v>89301000</v>
      </c>
      <c r="B8362" t="str">
        <f>"5909122230"</f>
        <v>5909122230</v>
      </c>
      <c r="C8362" s="1">
        <v>45153</v>
      </c>
      <c r="D8362" s="1">
        <v>45157</v>
      </c>
      <c r="E8362">
        <v>1</v>
      </c>
      <c r="F8362" t="str">
        <f>"08-I05-04"</f>
        <v>08-I05-04</v>
      </c>
      <c r="G8362">
        <v>2.4445000000000001</v>
      </c>
      <c r="H8362" t="s">
        <v>12</v>
      </c>
      <c r="I8362" t="s">
        <v>10</v>
      </c>
    </row>
    <row r="8363" spans="1:9" x14ac:dyDescent="0.25">
      <c r="A8363" t="str">
        <f t="shared" si="200"/>
        <v>89301000</v>
      </c>
      <c r="B8363" t="str">
        <f>"5909130502"</f>
        <v>5909130502</v>
      </c>
      <c r="C8363" s="1">
        <v>45135</v>
      </c>
      <c r="D8363" s="1">
        <v>45139</v>
      </c>
      <c r="E8363">
        <v>1</v>
      </c>
      <c r="F8363" t="str">
        <f>"07-K02-03"</f>
        <v>07-K02-03</v>
      </c>
      <c r="G8363">
        <v>0.78139999999999998</v>
      </c>
      <c r="H8363" t="s">
        <v>11</v>
      </c>
      <c r="I8363" t="s">
        <v>10</v>
      </c>
    </row>
    <row r="8364" spans="1:9" x14ac:dyDescent="0.25">
      <c r="A8364" t="str">
        <f t="shared" si="200"/>
        <v>89301000</v>
      </c>
      <c r="B8364" t="str">
        <f>"5909170091"</f>
        <v>5909170091</v>
      </c>
      <c r="C8364" s="1">
        <v>44949</v>
      </c>
      <c r="D8364" s="1">
        <v>44953</v>
      </c>
      <c r="E8364">
        <v>1</v>
      </c>
      <c r="F8364" t="str">
        <f>"06-M01-02"</f>
        <v>06-M01-02</v>
      </c>
      <c r="G8364">
        <v>1.2259</v>
      </c>
      <c r="H8364" t="s">
        <v>11</v>
      </c>
      <c r="I8364" t="s">
        <v>10</v>
      </c>
    </row>
    <row r="8365" spans="1:9" x14ac:dyDescent="0.25">
      <c r="A8365" t="str">
        <f t="shared" si="200"/>
        <v>89301000</v>
      </c>
      <c r="B8365" t="str">
        <f>"5909190166"</f>
        <v>5909190166</v>
      </c>
      <c r="C8365" s="1">
        <v>45282</v>
      </c>
      <c r="D8365" s="1">
        <v>45282</v>
      </c>
      <c r="E8365">
        <v>1</v>
      </c>
      <c r="F8365" t="str">
        <f>"05-M06-08"</f>
        <v>05-M06-08</v>
      </c>
      <c r="G8365">
        <v>1.1012</v>
      </c>
      <c r="H8365" t="s">
        <v>12</v>
      </c>
      <c r="I8365" t="s">
        <v>10</v>
      </c>
    </row>
    <row r="8366" spans="1:9" x14ac:dyDescent="0.25">
      <c r="A8366" t="str">
        <f t="shared" si="200"/>
        <v>89301000</v>
      </c>
      <c r="B8366" t="str">
        <f>"5909230206"</f>
        <v>5909230206</v>
      </c>
      <c r="C8366" s="1">
        <v>45154</v>
      </c>
      <c r="D8366" s="1">
        <v>45154</v>
      </c>
      <c r="E8366">
        <v>1</v>
      </c>
      <c r="F8366" t="str">
        <f>"05-D01-08"</f>
        <v>05-D01-08</v>
      </c>
      <c r="G8366">
        <v>0.2303</v>
      </c>
      <c r="H8366" t="s">
        <v>11</v>
      </c>
      <c r="I8366" t="s">
        <v>10</v>
      </c>
    </row>
    <row r="8367" spans="1:9" x14ac:dyDescent="0.25">
      <c r="A8367" t="str">
        <f t="shared" si="200"/>
        <v>89301000</v>
      </c>
      <c r="B8367" t="str">
        <f>"5909291608"</f>
        <v>5909291608</v>
      </c>
      <c r="C8367" s="1">
        <v>44977</v>
      </c>
      <c r="D8367" s="1">
        <v>44985</v>
      </c>
      <c r="E8367">
        <v>5</v>
      </c>
      <c r="F8367" t="str">
        <f>"01-I06-02"</f>
        <v>01-I06-02</v>
      </c>
      <c r="G8367">
        <v>5.1349</v>
      </c>
      <c r="H8367" t="s">
        <v>12</v>
      </c>
      <c r="I8367" t="s">
        <v>10</v>
      </c>
    </row>
    <row r="8368" spans="1:9" x14ac:dyDescent="0.25">
      <c r="A8368" t="str">
        <f t="shared" si="200"/>
        <v>89301000</v>
      </c>
      <c r="B8368" t="str">
        <f>"5910031347"</f>
        <v>5910031347</v>
      </c>
      <c r="C8368" s="1">
        <v>45132</v>
      </c>
      <c r="D8368" s="1">
        <v>45139</v>
      </c>
      <c r="E8368">
        <v>1</v>
      </c>
      <c r="F8368" t="str">
        <f>"05-I24-02"</f>
        <v>05-I24-02</v>
      </c>
      <c r="G8368">
        <v>3.9392</v>
      </c>
      <c r="H8368" t="s">
        <v>12</v>
      </c>
      <c r="I8368" t="s">
        <v>10</v>
      </c>
    </row>
    <row r="8369" spans="1:9" x14ac:dyDescent="0.25">
      <c r="A8369" t="str">
        <f t="shared" si="200"/>
        <v>89301000</v>
      </c>
      <c r="B8369" t="str">
        <f>"5910031457"</f>
        <v>5910031457</v>
      </c>
      <c r="C8369" s="1">
        <v>45155</v>
      </c>
      <c r="D8369" s="1">
        <v>45167</v>
      </c>
      <c r="E8369">
        <v>4</v>
      </c>
      <c r="F8369" t="str">
        <f>"08-I05-04"</f>
        <v>08-I05-04</v>
      </c>
      <c r="G8369">
        <v>2.4445000000000001</v>
      </c>
      <c r="H8369" t="s">
        <v>12</v>
      </c>
      <c r="I8369" t="s">
        <v>10</v>
      </c>
    </row>
    <row r="8370" spans="1:9" x14ac:dyDescent="0.25">
      <c r="A8370" t="str">
        <f t="shared" si="200"/>
        <v>89301000</v>
      </c>
      <c r="B8370" t="str">
        <f>"5910031457"</f>
        <v>5910031457</v>
      </c>
      <c r="C8370" s="1">
        <v>44966</v>
      </c>
      <c r="D8370" s="1">
        <v>44974</v>
      </c>
      <c r="E8370">
        <v>4</v>
      </c>
      <c r="F8370" t="str">
        <f>"04-M01-07"</f>
        <v>04-M01-07</v>
      </c>
      <c r="G8370">
        <v>3.621</v>
      </c>
      <c r="H8370" t="s">
        <v>11</v>
      </c>
      <c r="I8370" t="s">
        <v>10</v>
      </c>
    </row>
    <row r="8371" spans="1:9" x14ac:dyDescent="0.25">
      <c r="A8371" t="str">
        <f t="shared" ref="A8371:A8433" si="201">"89301000"</f>
        <v>89301000</v>
      </c>
      <c r="B8371" t="str">
        <f>"5910121415"</f>
        <v>5910121415</v>
      </c>
      <c r="C8371" s="1">
        <v>44930</v>
      </c>
      <c r="D8371" s="1">
        <v>44932</v>
      </c>
      <c r="E8371">
        <v>1</v>
      </c>
      <c r="F8371" t="str">
        <f>"05-I14-03"</f>
        <v>05-I14-03</v>
      </c>
      <c r="G8371">
        <v>6.0362</v>
      </c>
      <c r="H8371" t="s">
        <v>12</v>
      </c>
      <c r="I8371" t="s">
        <v>10</v>
      </c>
    </row>
    <row r="8372" spans="1:9" x14ac:dyDescent="0.25">
      <c r="A8372" t="str">
        <f t="shared" si="201"/>
        <v>89301000</v>
      </c>
      <c r="B8372" t="str">
        <f>"5910150114"</f>
        <v>5910150114</v>
      </c>
      <c r="C8372" s="1">
        <v>45238</v>
      </c>
      <c r="D8372" s="1">
        <v>45240</v>
      </c>
      <c r="E8372">
        <v>1</v>
      </c>
      <c r="F8372" t="str">
        <f>"08-I23-02"</f>
        <v>08-I23-02</v>
      </c>
      <c r="G8372">
        <v>0.91059999999999997</v>
      </c>
      <c r="H8372" t="s">
        <v>12</v>
      </c>
      <c r="I8372" t="s">
        <v>10</v>
      </c>
    </row>
    <row r="8373" spans="1:9" x14ac:dyDescent="0.25">
      <c r="A8373" t="str">
        <f t="shared" si="201"/>
        <v>89301000</v>
      </c>
      <c r="B8373" t="str">
        <f>"5910151489"</f>
        <v>5910151489</v>
      </c>
      <c r="C8373" s="1">
        <v>45053</v>
      </c>
      <c r="D8373" s="1">
        <v>45058</v>
      </c>
      <c r="E8373">
        <v>1</v>
      </c>
      <c r="F8373" t="str">
        <f>"06-C02-02"</f>
        <v>06-C02-02</v>
      </c>
      <c r="G8373">
        <v>0.374</v>
      </c>
      <c r="H8373" t="s">
        <v>11</v>
      </c>
      <c r="I8373" t="s">
        <v>10</v>
      </c>
    </row>
    <row r="8374" spans="1:9" x14ac:dyDescent="0.25">
      <c r="A8374" t="str">
        <f t="shared" si="201"/>
        <v>89301000</v>
      </c>
      <c r="B8374" t="str">
        <f>"5910161235"</f>
        <v>5910161235</v>
      </c>
      <c r="C8374" s="1">
        <v>45064</v>
      </c>
      <c r="D8374" s="1">
        <v>45072</v>
      </c>
      <c r="E8374">
        <v>1</v>
      </c>
      <c r="F8374" t="str">
        <f>"08-K08-00"</f>
        <v>08-K08-00</v>
      </c>
      <c r="G8374">
        <v>0.5272</v>
      </c>
      <c r="H8374" t="s">
        <v>11</v>
      </c>
      <c r="I8374" t="s">
        <v>10</v>
      </c>
    </row>
    <row r="8375" spans="1:9" x14ac:dyDescent="0.25">
      <c r="A8375" t="str">
        <f t="shared" si="201"/>
        <v>89301000</v>
      </c>
      <c r="B8375" t="str">
        <f>"5910161235"</f>
        <v>5910161235</v>
      </c>
      <c r="C8375" s="1">
        <v>45075</v>
      </c>
      <c r="D8375" s="1">
        <v>45086</v>
      </c>
      <c r="E8375">
        <v>1</v>
      </c>
      <c r="F8375" t="str">
        <f>"24-M06-02"</f>
        <v>24-M06-02</v>
      </c>
      <c r="G8375">
        <v>1.0699000000000001</v>
      </c>
      <c r="H8375" t="s">
        <v>11</v>
      </c>
      <c r="I8375" t="s">
        <v>10</v>
      </c>
    </row>
    <row r="8376" spans="1:9" x14ac:dyDescent="0.25">
      <c r="A8376" t="str">
        <f t="shared" si="201"/>
        <v>89301000</v>
      </c>
      <c r="B8376" t="str">
        <f>"5910210603"</f>
        <v>5910210603</v>
      </c>
      <c r="C8376" s="1">
        <v>45217</v>
      </c>
      <c r="D8376" s="1">
        <v>45222</v>
      </c>
      <c r="E8376">
        <v>1</v>
      </c>
      <c r="F8376" t="str">
        <f>"04-K07-03"</f>
        <v>04-K07-03</v>
      </c>
      <c r="G8376">
        <v>0.62139999999999995</v>
      </c>
      <c r="H8376" t="s">
        <v>11</v>
      </c>
      <c r="I8376" t="s">
        <v>10</v>
      </c>
    </row>
    <row r="8377" spans="1:9" x14ac:dyDescent="0.25">
      <c r="A8377" t="str">
        <f t="shared" si="201"/>
        <v>89301000</v>
      </c>
      <c r="B8377" t="str">
        <f>"5910210603"</f>
        <v>5910210603</v>
      </c>
      <c r="C8377" s="1">
        <v>45035</v>
      </c>
      <c r="D8377" s="1">
        <v>45037</v>
      </c>
      <c r="E8377">
        <v>1</v>
      </c>
      <c r="F8377" t="str">
        <f>"02-I06-04"</f>
        <v>02-I06-04</v>
      </c>
      <c r="G8377">
        <v>0.79630000000000001</v>
      </c>
      <c r="H8377" t="s">
        <v>12</v>
      </c>
      <c r="I8377" t="s">
        <v>10</v>
      </c>
    </row>
    <row r="8378" spans="1:9" x14ac:dyDescent="0.25">
      <c r="A8378" t="str">
        <f t="shared" si="201"/>
        <v>89301000</v>
      </c>
      <c r="B8378" t="str">
        <f>"5910210603"</f>
        <v>5910210603</v>
      </c>
      <c r="C8378" s="1">
        <v>45098</v>
      </c>
      <c r="D8378" s="1">
        <v>45100</v>
      </c>
      <c r="E8378">
        <v>1</v>
      </c>
      <c r="F8378" t="str">
        <f>"02-I06-04"</f>
        <v>02-I06-04</v>
      </c>
      <c r="G8378">
        <v>0.79630000000000001</v>
      </c>
      <c r="H8378" t="s">
        <v>12</v>
      </c>
      <c r="I8378" t="s">
        <v>10</v>
      </c>
    </row>
    <row r="8379" spans="1:9" x14ac:dyDescent="0.25">
      <c r="A8379" t="str">
        <f t="shared" si="201"/>
        <v>89301000</v>
      </c>
      <c r="B8379" t="str">
        <f>"5911011601"</f>
        <v>5911011601</v>
      </c>
      <c r="C8379" s="1">
        <v>45103</v>
      </c>
      <c r="D8379" s="1">
        <v>45104</v>
      </c>
      <c r="E8379">
        <v>5</v>
      </c>
      <c r="F8379" t="str">
        <f>"01-I08-04"</f>
        <v>01-I08-04</v>
      </c>
      <c r="G8379">
        <v>1.0721000000000001</v>
      </c>
      <c r="H8379" t="s">
        <v>14</v>
      </c>
      <c r="I8379" t="s">
        <v>10</v>
      </c>
    </row>
    <row r="8380" spans="1:9" x14ac:dyDescent="0.25">
      <c r="A8380" t="str">
        <f t="shared" si="201"/>
        <v>89301000</v>
      </c>
      <c r="B8380" t="str">
        <f>"5911030455"</f>
        <v>5911030455</v>
      </c>
      <c r="C8380" s="1">
        <v>45117</v>
      </c>
      <c r="D8380" s="1">
        <v>45126</v>
      </c>
      <c r="E8380">
        <v>1</v>
      </c>
      <c r="F8380" t="str">
        <f>"24-M06-02"</f>
        <v>24-M06-02</v>
      </c>
      <c r="G8380">
        <v>1.07</v>
      </c>
      <c r="H8380" t="s">
        <v>11</v>
      </c>
      <c r="I8380" t="s">
        <v>10</v>
      </c>
    </row>
    <row r="8381" spans="1:9" x14ac:dyDescent="0.25">
      <c r="A8381" t="str">
        <f t="shared" si="201"/>
        <v>89301000</v>
      </c>
      <c r="B8381" t="str">
        <f>"5911030455"</f>
        <v>5911030455</v>
      </c>
      <c r="C8381" s="1">
        <v>45077</v>
      </c>
      <c r="D8381" s="1">
        <v>45086</v>
      </c>
      <c r="E8381">
        <v>1</v>
      </c>
      <c r="F8381" t="str">
        <f>"24-M06-02"</f>
        <v>24-M06-02</v>
      </c>
      <c r="G8381">
        <v>1.0699000000000001</v>
      </c>
      <c r="H8381" t="s">
        <v>11</v>
      </c>
      <c r="I8381" t="s">
        <v>10</v>
      </c>
    </row>
    <row r="8382" spans="1:9" x14ac:dyDescent="0.25">
      <c r="A8382" t="str">
        <f t="shared" si="201"/>
        <v>89301000</v>
      </c>
      <c r="B8382" t="str">
        <f>"5911030455"</f>
        <v>5911030455</v>
      </c>
      <c r="C8382" s="1">
        <v>45012</v>
      </c>
      <c r="D8382" s="1">
        <v>45014</v>
      </c>
      <c r="E8382">
        <v>1</v>
      </c>
      <c r="F8382" t="str">
        <f>"09-I10-02"</f>
        <v>09-I10-02</v>
      </c>
      <c r="G8382">
        <v>0.87580000000000002</v>
      </c>
      <c r="H8382" t="s">
        <v>12</v>
      </c>
      <c r="I8382" t="s">
        <v>10</v>
      </c>
    </row>
    <row r="8383" spans="1:9" x14ac:dyDescent="0.25">
      <c r="A8383" t="str">
        <f t="shared" si="201"/>
        <v>89301000</v>
      </c>
      <c r="B8383" t="str">
        <f>"5911061376"</f>
        <v>5911061376</v>
      </c>
      <c r="C8383" s="1">
        <v>45236</v>
      </c>
      <c r="D8383" s="1">
        <v>45251</v>
      </c>
      <c r="E8383">
        <v>4</v>
      </c>
      <c r="F8383" t="str">
        <f>"25-I02-02"</f>
        <v>25-I02-02</v>
      </c>
      <c r="G8383">
        <v>6.6448999999999998</v>
      </c>
      <c r="H8383" t="s">
        <v>14</v>
      </c>
      <c r="I8383" t="s">
        <v>10</v>
      </c>
    </row>
    <row r="8384" spans="1:9" x14ac:dyDescent="0.25">
      <c r="A8384" t="str">
        <f t="shared" si="201"/>
        <v>89301000</v>
      </c>
      <c r="B8384" t="str">
        <f>"5911190549"</f>
        <v>5911190549</v>
      </c>
      <c r="C8384" s="1">
        <v>45245</v>
      </c>
      <c r="D8384" s="1">
        <v>45255</v>
      </c>
      <c r="E8384">
        <v>1</v>
      </c>
      <c r="F8384" t="str">
        <f>"01-K07-02"</f>
        <v>01-K07-02</v>
      </c>
      <c r="G8384">
        <v>0.63870000000000005</v>
      </c>
      <c r="H8384" t="s">
        <v>11</v>
      </c>
      <c r="I8384" t="s">
        <v>10</v>
      </c>
    </row>
    <row r="8385" spans="1:9" x14ac:dyDescent="0.25">
      <c r="A8385" t="str">
        <f t="shared" si="201"/>
        <v>89301000</v>
      </c>
      <c r="B8385" t="str">
        <f>"5911220986"</f>
        <v>5911220986</v>
      </c>
      <c r="C8385" s="1">
        <v>45222</v>
      </c>
      <c r="D8385" s="1">
        <v>45226</v>
      </c>
      <c r="E8385">
        <v>1</v>
      </c>
      <c r="F8385" t="str">
        <f>"08-I06-04"</f>
        <v>08-I06-04</v>
      </c>
      <c r="G8385">
        <v>2.4180000000000001</v>
      </c>
      <c r="H8385" t="s">
        <v>9</v>
      </c>
      <c r="I8385" t="s">
        <v>10</v>
      </c>
    </row>
    <row r="8386" spans="1:9" x14ac:dyDescent="0.25">
      <c r="A8386" t="str">
        <f t="shared" si="201"/>
        <v>89301000</v>
      </c>
      <c r="B8386" t="str">
        <f>"5911220986"</f>
        <v>5911220986</v>
      </c>
      <c r="C8386" s="1">
        <v>45110</v>
      </c>
      <c r="D8386" s="1">
        <v>45113</v>
      </c>
      <c r="E8386">
        <v>1</v>
      </c>
      <c r="F8386" t="str">
        <f>"12-M02-02"</f>
        <v>12-M02-02</v>
      </c>
      <c r="G8386">
        <v>0.95020000000000004</v>
      </c>
      <c r="H8386" t="s">
        <v>9</v>
      </c>
      <c r="I8386" t="s">
        <v>10</v>
      </c>
    </row>
    <row r="8387" spans="1:9" x14ac:dyDescent="0.25">
      <c r="A8387" t="str">
        <f t="shared" si="201"/>
        <v>89301000</v>
      </c>
      <c r="B8387" t="str">
        <f>"5911290110"</f>
        <v>5911290110</v>
      </c>
      <c r="C8387" s="1">
        <v>44958</v>
      </c>
      <c r="D8387" s="1">
        <v>44959</v>
      </c>
      <c r="E8387">
        <v>1</v>
      </c>
      <c r="F8387" t="str">
        <f>"05-M06-08"</f>
        <v>05-M06-08</v>
      </c>
      <c r="G8387">
        <v>1.4228000000000001</v>
      </c>
      <c r="H8387" t="s">
        <v>12</v>
      </c>
      <c r="I8387" t="s">
        <v>10</v>
      </c>
    </row>
    <row r="8388" spans="1:9" x14ac:dyDescent="0.25">
      <c r="A8388" t="str">
        <f t="shared" si="201"/>
        <v>89301000</v>
      </c>
      <c r="B8388" t="str">
        <f>"5911290935"</f>
        <v>5911290935</v>
      </c>
      <c r="C8388" s="1">
        <v>45007</v>
      </c>
      <c r="D8388" s="1">
        <v>45016</v>
      </c>
      <c r="E8388">
        <v>1</v>
      </c>
      <c r="F8388" t="str">
        <f>"05-M07-02"</f>
        <v>05-M07-02</v>
      </c>
      <c r="G8388">
        <v>2.774</v>
      </c>
      <c r="H8388" t="s">
        <v>12</v>
      </c>
      <c r="I8388" t="s">
        <v>10</v>
      </c>
    </row>
    <row r="8389" spans="1:9" x14ac:dyDescent="0.25">
      <c r="A8389" t="str">
        <f t="shared" si="201"/>
        <v>89301000</v>
      </c>
      <c r="B8389" t="str">
        <f>"5911290935"</f>
        <v>5911290935</v>
      </c>
      <c r="C8389" s="1">
        <v>44929</v>
      </c>
      <c r="D8389" s="1">
        <v>44931</v>
      </c>
      <c r="E8389">
        <v>1</v>
      </c>
      <c r="F8389" t="str">
        <f>"05-M07-06"</f>
        <v>05-M07-06</v>
      </c>
      <c r="G8389">
        <v>1.2264999999999999</v>
      </c>
      <c r="H8389" t="s">
        <v>12</v>
      </c>
      <c r="I8389" t="s">
        <v>10</v>
      </c>
    </row>
    <row r="8390" spans="1:9" x14ac:dyDescent="0.25">
      <c r="A8390" t="str">
        <f t="shared" si="201"/>
        <v>89301000</v>
      </c>
      <c r="B8390" t="str">
        <f>"5912020235"</f>
        <v>5912020235</v>
      </c>
      <c r="C8390" s="1">
        <v>45168</v>
      </c>
      <c r="D8390" s="1">
        <v>45173</v>
      </c>
      <c r="E8390">
        <v>1</v>
      </c>
      <c r="F8390" t="str">
        <f>"17-C05-05"</f>
        <v>17-C05-05</v>
      </c>
      <c r="G8390">
        <v>0.66069999999999995</v>
      </c>
      <c r="H8390" t="s">
        <v>11</v>
      </c>
      <c r="I8390" t="s">
        <v>10</v>
      </c>
    </row>
    <row r="8391" spans="1:9" x14ac:dyDescent="0.25">
      <c r="A8391" t="str">
        <f t="shared" si="201"/>
        <v>89301000</v>
      </c>
      <c r="B8391" t="str">
        <f>"5912270474"</f>
        <v>5912270474</v>
      </c>
      <c r="C8391" s="1">
        <v>45147</v>
      </c>
      <c r="D8391" s="1">
        <v>45148</v>
      </c>
      <c r="E8391">
        <v>1</v>
      </c>
      <c r="F8391" t="str">
        <f>"05-D01-08"</f>
        <v>05-D01-08</v>
      </c>
      <c r="G8391">
        <v>0.43159999999999998</v>
      </c>
      <c r="H8391" t="s">
        <v>11</v>
      </c>
      <c r="I8391" t="s">
        <v>10</v>
      </c>
    </row>
    <row r="8392" spans="1:9" x14ac:dyDescent="0.25">
      <c r="A8392" t="str">
        <f t="shared" si="201"/>
        <v>89301000</v>
      </c>
      <c r="B8392" t="str">
        <f>"5912286853"</f>
        <v>5912286853</v>
      </c>
      <c r="C8392" s="1">
        <v>44944</v>
      </c>
      <c r="D8392" s="1">
        <v>44947</v>
      </c>
      <c r="E8392">
        <v>1</v>
      </c>
      <c r="F8392" t="str">
        <f>"07-C01-02"</f>
        <v>07-C01-02</v>
      </c>
      <c r="G8392">
        <v>0.3483</v>
      </c>
      <c r="H8392" t="s">
        <v>11</v>
      </c>
      <c r="I8392" t="s">
        <v>10</v>
      </c>
    </row>
    <row r="8393" spans="1:9" x14ac:dyDescent="0.25">
      <c r="A8393" t="str">
        <f t="shared" si="201"/>
        <v>89301000</v>
      </c>
      <c r="B8393" t="str">
        <f>"5912286853"</f>
        <v>5912286853</v>
      </c>
      <c r="C8393" s="1">
        <v>44952</v>
      </c>
      <c r="D8393" s="1">
        <v>44973</v>
      </c>
      <c r="E8393">
        <v>4</v>
      </c>
      <c r="F8393" t="str">
        <f>"04-I08-01"</f>
        <v>04-I08-01</v>
      </c>
      <c r="G8393">
        <v>3.0463</v>
      </c>
      <c r="H8393" t="s">
        <v>11</v>
      </c>
      <c r="I8393" t="s">
        <v>10</v>
      </c>
    </row>
    <row r="8394" spans="1:9" x14ac:dyDescent="0.25">
      <c r="A8394" t="str">
        <f t="shared" si="201"/>
        <v>89301000</v>
      </c>
      <c r="B8394" t="str">
        <f t="shared" ref="B8394:B8399" si="202">"5951011418"</f>
        <v>5951011418</v>
      </c>
      <c r="C8394" s="1">
        <v>44935</v>
      </c>
      <c r="D8394" s="1">
        <v>44943</v>
      </c>
      <c r="E8394">
        <v>1</v>
      </c>
      <c r="F8394" t="str">
        <f>"01-K04-02"</f>
        <v>01-K04-02</v>
      </c>
      <c r="G8394">
        <v>0.79990000000000006</v>
      </c>
      <c r="H8394" t="s">
        <v>11</v>
      </c>
      <c r="I8394" t="s">
        <v>10</v>
      </c>
    </row>
    <row r="8395" spans="1:9" x14ac:dyDescent="0.25">
      <c r="A8395" t="str">
        <f t="shared" si="201"/>
        <v>89301000</v>
      </c>
      <c r="B8395" t="str">
        <f t="shared" si="202"/>
        <v>5951011418</v>
      </c>
      <c r="C8395" s="1">
        <v>45152</v>
      </c>
      <c r="D8395" s="1">
        <v>45154</v>
      </c>
      <c r="E8395">
        <v>1</v>
      </c>
      <c r="F8395" t="str">
        <f>"01-K04-02"</f>
        <v>01-K04-02</v>
      </c>
      <c r="G8395">
        <v>0.79990000000000006</v>
      </c>
      <c r="H8395" t="s">
        <v>11</v>
      </c>
      <c r="I8395" t="s">
        <v>10</v>
      </c>
    </row>
    <row r="8396" spans="1:9" x14ac:dyDescent="0.25">
      <c r="A8396" t="str">
        <f t="shared" si="201"/>
        <v>89301000</v>
      </c>
      <c r="B8396" t="str">
        <f t="shared" si="202"/>
        <v>5951011418</v>
      </c>
      <c r="C8396" s="1">
        <v>45077</v>
      </c>
      <c r="D8396" s="1">
        <v>45082</v>
      </c>
      <c r="E8396">
        <v>1</v>
      </c>
      <c r="F8396" t="str">
        <f>"01-K04-02"</f>
        <v>01-K04-02</v>
      </c>
      <c r="G8396">
        <v>0.79990000000000006</v>
      </c>
      <c r="H8396" t="s">
        <v>11</v>
      </c>
      <c r="I8396" t="s">
        <v>10</v>
      </c>
    </row>
    <row r="8397" spans="1:9" x14ac:dyDescent="0.25">
      <c r="A8397" t="str">
        <f t="shared" si="201"/>
        <v>89301000</v>
      </c>
      <c r="B8397" t="str">
        <f t="shared" si="202"/>
        <v>5951011418</v>
      </c>
      <c r="C8397" s="1">
        <v>45250</v>
      </c>
      <c r="D8397" s="1">
        <v>45253</v>
      </c>
      <c r="E8397">
        <v>1</v>
      </c>
      <c r="F8397" t="str">
        <f>"01-K04-02"</f>
        <v>01-K04-02</v>
      </c>
      <c r="G8397">
        <v>0.79990000000000006</v>
      </c>
      <c r="H8397" t="s">
        <v>11</v>
      </c>
      <c r="I8397" t="s">
        <v>10</v>
      </c>
    </row>
    <row r="8398" spans="1:9" x14ac:dyDescent="0.25">
      <c r="A8398" t="str">
        <f t="shared" si="201"/>
        <v>89301000</v>
      </c>
      <c r="B8398" t="str">
        <f t="shared" si="202"/>
        <v>5951011418</v>
      </c>
      <c r="C8398" s="1">
        <v>45068</v>
      </c>
      <c r="D8398" s="1">
        <v>45071</v>
      </c>
      <c r="E8398">
        <v>1</v>
      </c>
      <c r="F8398" t="str">
        <f>"01-K04-02"</f>
        <v>01-K04-02</v>
      </c>
      <c r="G8398">
        <v>0.79990000000000006</v>
      </c>
      <c r="H8398" t="s">
        <v>11</v>
      </c>
      <c r="I8398" t="s">
        <v>10</v>
      </c>
    </row>
    <row r="8399" spans="1:9" x14ac:dyDescent="0.25">
      <c r="A8399" t="str">
        <f t="shared" si="201"/>
        <v>89301000</v>
      </c>
      <c r="B8399" t="str">
        <f t="shared" si="202"/>
        <v>5951011418</v>
      </c>
      <c r="C8399" s="1">
        <v>45007</v>
      </c>
      <c r="D8399" s="1">
        <v>45021</v>
      </c>
      <c r="E8399">
        <v>1</v>
      </c>
      <c r="F8399" t="str">
        <f>"01-I01-01"</f>
        <v>01-I01-01</v>
      </c>
      <c r="G8399">
        <v>15.458299999999999</v>
      </c>
      <c r="H8399" t="s">
        <v>14</v>
      </c>
      <c r="I8399" t="s">
        <v>10</v>
      </c>
    </row>
    <row r="8400" spans="1:9" x14ac:dyDescent="0.25">
      <c r="A8400" t="str">
        <f t="shared" si="201"/>
        <v>89301000</v>
      </c>
      <c r="B8400" t="str">
        <f>"5951030789"</f>
        <v>5951030789</v>
      </c>
      <c r="C8400" s="1">
        <v>45042</v>
      </c>
      <c r="D8400" s="1">
        <v>45042</v>
      </c>
      <c r="E8400">
        <v>1</v>
      </c>
      <c r="F8400" t="str">
        <f>"05-D01-06"</f>
        <v>05-D01-06</v>
      </c>
      <c r="G8400">
        <v>0.4037</v>
      </c>
      <c r="H8400" t="s">
        <v>11</v>
      </c>
      <c r="I8400" t="s">
        <v>10</v>
      </c>
    </row>
    <row r="8401" spans="1:9" x14ac:dyDescent="0.25">
      <c r="A8401" t="str">
        <f t="shared" si="201"/>
        <v>89301000</v>
      </c>
      <c r="B8401" t="str">
        <f>"5951140690"</f>
        <v>5951140690</v>
      </c>
      <c r="C8401" s="1">
        <v>45152</v>
      </c>
      <c r="D8401" s="1">
        <v>45163</v>
      </c>
      <c r="E8401">
        <v>1</v>
      </c>
      <c r="F8401" t="str">
        <f>"06-I02-01"</f>
        <v>06-I02-01</v>
      </c>
      <c r="G8401">
        <v>6.2469000000000001</v>
      </c>
      <c r="H8401" t="s">
        <v>12</v>
      </c>
      <c r="I8401" t="s">
        <v>10</v>
      </c>
    </row>
    <row r="8402" spans="1:9" x14ac:dyDescent="0.25">
      <c r="A8402" t="str">
        <f t="shared" si="201"/>
        <v>89301000</v>
      </c>
      <c r="B8402" t="str">
        <f>"5951151866"</f>
        <v>5951151866</v>
      </c>
      <c r="C8402" s="1">
        <v>44929</v>
      </c>
      <c r="D8402" s="1">
        <v>44944</v>
      </c>
      <c r="E8402">
        <v>1</v>
      </c>
      <c r="F8402" t="str">
        <f>"04-I05-02"</f>
        <v>04-I05-02</v>
      </c>
      <c r="G8402">
        <v>4.1867999999999999</v>
      </c>
      <c r="H8402" t="s">
        <v>14</v>
      </c>
      <c r="I8402" t="s">
        <v>10</v>
      </c>
    </row>
    <row r="8403" spans="1:9" x14ac:dyDescent="0.25">
      <c r="A8403" t="str">
        <f t="shared" si="201"/>
        <v>89301000</v>
      </c>
      <c r="B8403" t="str">
        <f>"5951151866"</f>
        <v>5951151866</v>
      </c>
      <c r="C8403" s="1">
        <v>45069</v>
      </c>
      <c r="D8403" s="1">
        <v>45071</v>
      </c>
      <c r="E8403">
        <v>1</v>
      </c>
      <c r="F8403" t="str">
        <f>"04-K10-02"</f>
        <v>04-K10-02</v>
      </c>
      <c r="G8403">
        <v>0.41899999999999998</v>
      </c>
      <c r="H8403" t="s">
        <v>11</v>
      </c>
      <c r="I8403" t="s">
        <v>10</v>
      </c>
    </row>
    <row r="8404" spans="1:9" x14ac:dyDescent="0.25">
      <c r="A8404" t="str">
        <f t="shared" si="201"/>
        <v>89301000</v>
      </c>
      <c r="B8404" t="str">
        <f>"5951191774"</f>
        <v>5951191774</v>
      </c>
      <c r="C8404" s="1">
        <v>45210</v>
      </c>
      <c r="D8404" s="1">
        <v>45211</v>
      </c>
      <c r="E8404">
        <v>1</v>
      </c>
      <c r="F8404" t="str">
        <f>"13-I19-00"</f>
        <v>13-I19-00</v>
      </c>
      <c r="G8404">
        <v>0.28249999999999997</v>
      </c>
      <c r="H8404" t="s">
        <v>11</v>
      </c>
      <c r="I8404" t="s">
        <v>10</v>
      </c>
    </row>
    <row r="8405" spans="1:9" x14ac:dyDescent="0.25">
      <c r="A8405" t="str">
        <f t="shared" si="201"/>
        <v>89301000</v>
      </c>
      <c r="B8405" t="str">
        <f>"5951240933"</f>
        <v>5951240933</v>
      </c>
      <c r="C8405" s="1">
        <v>44934</v>
      </c>
      <c r="D8405" s="1">
        <v>44936</v>
      </c>
      <c r="E8405">
        <v>1</v>
      </c>
      <c r="F8405" t="str">
        <f>"08-I17-02"</f>
        <v>08-I17-02</v>
      </c>
      <c r="G8405">
        <v>0.89680000000000004</v>
      </c>
      <c r="H8405" t="s">
        <v>11</v>
      </c>
      <c r="I8405" t="s">
        <v>10</v>
      </c>
    </row>
    <row r="8406" spans="1:9" x14ac:dyDescent="0.25">
      <c r="A8406" t="str">
        <f t="shared" si="201"/>
        <v>89301000</v>
      </c>
      <c r="B8406" t="str">
        <f>"5951290774"</f>
        <v>5951290774</v>
      </c>
      <c r="C8406" s="1">
        <v>45238</v>
      </c>
      <c r="D8406" s="1">
        <v>45242</v>
      </c>
      <c r="E8406">
        <v>1</v>
      </c>
      <c r="F8406" t="str">
        <f>"13-I08-01"</f>
        <v>13-I08-01</v>
      </c>
      <c r="G8406">
        <v>1.7029000000000001</v>
      </c>
      <c r="H8406" t="s">
        <v>14</v>
      </c>
      <c r="I8406" t="s">
        <v>10</v>
      </c>
    </row>
    <row r="8407" spans="1:9" x14ac:dyDescent="0.25">
      <c r="A8407" t="str">
        <f t="shared" si="201"/>
        <v>89301000</v>
      </c>
      <c r="B8407" t="str">
        <f>"5951290774"</f>
        <v>5951290774</v>
      </c>
      <c r="C8407" s="1">
        <v>45190</v>
      </c>
      <c r="D8407" s="1">
        <v>45191</v>
      </c>
      <c r="E8407">
        <v>1</v>
      </c>
      <c r="F8407" t="str">
        <f>"13-I19-00"</f>
        <v>13-I19-00</v>
      </c>
      <c r="G8407">
        <v>0.28249999999999997</v>
      </c>
      <c r="H8407" t="s">
        <v>11</v>
      </c>
      <c r="I8407" t="s">
        <v>10</v>
      </c>
    </row>
    <row r="8408" spans="1:9" x14ac:dyDescent="0.25">
      <c r="A8408" t="str">
        <f t="shared" si="201"/>
        <v>89301000</v>
      </c>
      <c r="B8408" t="str">
        <f>"5952020393"</f>
        <v>5952020393</v>
      </c>
      <c r="C8408" s="1">
        <v>45223</v>
      </c>
      <c r="D8408" s="1">
        <v>45230</v>
      </c>
      <c r="E8408">
        <v>1</v>
      </c>
      <c r="F8408" t="str">
        <f>"04-I02-03"</f>
        <v>04-I02-03</v>
      </c>
      <c r="G8408">
        <v>3.6791</v>
      </c>
      <c r="H8408" t="s">
        <v>14</v>
      </c>
      <c r="I8408" t="s">
        <v>10</v>
      </c>
    </row>
    <row r="8409" spans="1:9" x14ac:dyDescent="0.25">
      <c r="A8409" t="str">
        <f t="shared" si="201"/>
        <v>89301000</v>
      </c>
      <c r="B8409" t="str">
        <f>"5952020393"</f>
        <v>5952020393</v>
      </c>
      <c r="C8409" s="1">
        <v>45194</v>
      </c>
      <c r="D8409" s="1">
        <v>45200</v>
      </c>
      <c r="E8409">
        <v>1</v>
      </c>
      <c r="F8409" t="str">
        <f>"17-I06-02"</f>
        <v>17-I06-02</v>
      </c>
      <c r="G8409">
        <v>2.1539000000000001</v>
      </c>
      <c r="H8409" t="s">
        <v>12</v>
      </c>
      <c r="I8409" t="s">
        <v>10</v>
      </c>
    </row>
    <row r="8410" spans="1:9" x14ac:dyDescent="0.25">
      <c r="A8410" t="str">
        <f t="shared" si="201"/>
        <v>89301000</v>
      </c>
      <c r="B8410" t="str">
        <f>"5952021218"</f>
        <v>5952021218</v>
      </c>
      <c r="C8410" s="1">
        <v>45111</v>
      </c>
      <c r="D8410" s="1">
        <v>45114</v>
      </c>
      <c r="E8410">
        <v>1</v>
      </c>
      <c r="F8410" t="str">
        <f>"06-K02-04"</f>
        <v>06-K02-04</v>
      </c>
      <c r="G8410">
        <v>0.40250000000000002</v>
      </c>
      <c r="H8410" t="s">
        <v>11</v>
      </c>
      <c r="I8410" t="s">
        <v>10</v>
      </c>
    </row>
    <row r="8411" spans="1:9" x14ac:dyDescent="0.25">
      <c r="A8411" t="str">
        <f t="shared" si="201"/>
        <v>89301000</v>
      </c>
      <c r="B8411" t="str">
        <f>"5952021218"</f>
        <v>5952021218</v>
      </c>
      <c r="C8411" s="1">
        <v>45009</v>
      </c>
      <c r="D8411" s="1">
        <v>45014</v>
      </c>
      <c r="E8411">
        <v>1</v>
      </c>
      <c r="F8411" t="str">
        <f>"08-K04-01"</f>
        <v>08-K04-01</v>
      </c>
      <c r="G8411">
        <v>0.89059999999999995</v>
      </c>
      <c r="H8411" t="s">
        <v>11</v>
      </c>
      <c r="I8411" t="s">
        <v>10</v>
      </c>
    </row>
    <row r="8412" spans="1:9" x14ac:dyDescent="0.25">
      <c r="A8412" t="str">
        <f t="shared" si="201"/>
        <v>89301000</v>
      </c>
      <c r="B8412" t="str">
        <f>"5952080904"</f>
        <v>5952080904</v>
      </c>
      <c r="C8412" s="1">
        <v>45231</v>
      </c>
      <c r="D8412" s="1">
        <v>45233</v>
      </c>
      <c r="E8412">
        <v>1</v>
      </c>
      <c r="F8412" t="str">
        <f>"05-M06-06"</f>
        <v>05-M06-06</v>
      </c>
      <c r="G8412">
        <v>1.8264</v>
      </c>
      <c r="H8412" t="s">
        <v>12</v>
      </c>
      <c r="I8412" t="s">
        <v>10</v>
      </c>
    </row>
    <row r="8413" spans="1:9" x14ac:dyDescent="0.25">
      <c r="A8413" t="str">
        <f t="shared" si="201"/>
        <v>89301000</v>
      </c>
      <c r="B8413" t="str">
        <f>"5952090958"</f>
        <v>5952090958</v>
      </c>
      <c r="C8413" s="1">
        <v>44943</v>
      </c>
      <c r="D8413" s="1">
        <v>44947</v>
      </c>
      <c r="E8413">
        <v>1</v>
      </c>
      <c r="F8413" t="str">
        <f>"13-I11-03"</f>
        <v>13-I11-03</v>
      </c>
      <c r="G8413">
        <v>1.4332</v>
      </c>
      <c r="H8413" t="s">
        <v>9</v>
      </c>
      <c r="I8413" t="s">
        <v>10</v>
      </c>
    </row>
    <row r="8414" spans="1:9" x14ac:dyDescent="0.25">
      <c r="A8414" t="str">
        <f t="shared" si="201"/>
        <v>89301000</v>
      </c>
      <c r="B8414" t="str">
        <f>"5952110989"</f>
        <v>5952110989</v>
      </c>
      <c r="C8414" s="1">
        <v>45165</v>
      </c>
      <c r="D8414" s="1">
        <v>45201</v>
      </c>
      <c r="E8414">
        <v>1</v>
      </c>
      <c r="F8414" t="str">
        <f>"07-I01-01"</f>
        <v>07-I01-01</v>
      </c>
      <c r="G8414">
        <v>8.9221000000000004</v>
      </c>
      <c r="H8414" t="s">
        <v>14</v>
      </c>
      <c r="I8414" t="s">
        <v>10</v>
      </c>
    </row>
    <row r="8415" spans="1:9" x14ac:dyDescent="0.25">
      <c r="A8415" t="str">
        <f t="shared" si="201"/>
        <v>89301000</v>
      </c>
      <c r="B8415" t="str">
        <f>"5952130437"</f>
        <v>5952130437</v>
      </c>
      <c r="C8415" s="1">
        <v>45119</v>
      </c>
      <c r="D8415" s="1">
        <v>45121</v>
      </c>
      <c r="E8415">
        <v>1</v>
      </c>
      <c r="F8415" t="str">
        <f>"10-K01-02"</f>
        <v>10-K01-02</v>
      </c>
      <c r="G8415">
        <v>0.62870000000000004</v>
      </c>
      <c r="H8415" t="s">
        <v>11</v>
      </c>
      <c r="I8415" t="s">
        <v>10</v>
      </c>
    </row>
    <row r="8416" spans="1:9" x14ac:dyDescent="0.25">
      <c r="A8416" t="str">
        <f t="shared" si="201"/>
        <v>89301000</v>
      </c>
      <c r="B8416" t="str">
        <f>"5952130437"</f>
        <v>5952130437</v>
      </c>
      <c r="C8416" s="1">
        <v>45089</v>
      </c>
      <c r="D8416" s="1">
        <v>45091</v>
      </c>
      <c r="E8416">
        <v>1</v>
      </c>
      <c r="F8416" t="str">
        <f>"10-K01-02"</f>
        <v>10-K01-02</v>
      </c>
      <c r="G8416">
        <v>0.62870000000000004</v>
      </c>
      <c r="H8416" t="s">
        <v>11</v>
      </c>
      <c r="I8416" t="s">
        <v>10</v>
      </c>
    </row>
    <row r="8417" spans="1:9" x14ac:dyDescent="0.25">
      <c r="A8417" t="str">
        <f t="shared" si="201"/>
        <v>89301000</v>
      </c>
      <c r="B8417" t="str">
        <f>"5952130437"</f>
        <v>5952130437</v>
      </c>
      <c r="C8417" s="1">
        <v>45055</v>
      </c>
      <c r="D8417" s="1">
        <v>45057</v>
      </c>
      <c r="E8417">
        <v>1</v>
      </c>
      <c r="F8417" t="str">
        <f>"10-K01-02"</f>
        <v>10-K01-02</v>
      </c>
      <c r="G8417">
        <v>0.62870000000000004</v>
      </c>
      <c r="H8417" t="s">
        <v>11</v>
      </c>
      <c r="I8417" t="s">
        <v>10</v>
      </c>
    </row>
    <row r="8418" spans="1:9" x14ac:dyDescent="0.25">
      <c r="A8418" t="str">
        <f t="shared" si="201"/>
        <v>89301000</v>
      </c>
      <c r="B8418" t="str">
        <f>"5952160610"</f>
        <v>5952160610</v>
      </c>
      <c r="C8418" s="1">
        <v>44998</v>
      </c>
      <c r="D8418" s="1">
        <v>45009</v>
      </c>
      <c r="E8418">
        <v>1</v>
      </c>
      <c r="F8418" t="str">
        <f>"04-K09-02"</f>
        <v>04-K09-02</v>
      </c>
      <c r="G8418">
        <v>1.155</v>
      </c>
      <c r="H8418" t="s">
        <v>11</v>
      </c>
      <c r="I8418" t="s">
        <v>10</v>
      </c>
    </row>
    <row r="8419" spans="1:9" x14ac:dyDescent="0.25">
      <c r="A8419" t="str">
        <f t="shared" si="201"/>
        <v>89301000</v>
      </c>
      <c r="B8419" t="str">
        <f>"5952160610"</f>
        <v>5952160610</v>
      </c>
      <c r="C8419" s="1">
        <v>44965</v>
      </c>
      <c r="D8419" s="1">
        <v>44967</v>
      </c>
      <c r="E8419">
        <v>1</v>
      </c>
      <c r="F8419" t="str">
        <f>"04-C02-02"</f>
        <v>04-C02-02</v>
      </c>
      <c r="G8419">
        <v>0.36070000000000002</v>
      </c>
      <c r="H8419" t="s">
        <v>11</v>
      </c>
      <c r="I8419" t="s">
        <v>10</v>
      </c>
    </row>
    <row r="8420" spans="1:9" x14ac:dyDescent="0.25">
      <c r="A8420" t="str">
        <f t="shared" si="201"/>
        <v>89301000</v>
      </c>
      <c r="B8420" t="str">
        <f>"5952211727"</f>
        <v>5952211727</v>
      </c>
      <c r="C8420" s="1">
        <v>45251</v>
      </c>
      <c r="D8420" s="1">
        <v>45259</v>
      </c>
      <c r="E8420">
        <v>1</v>
      </c>
      <c r="F8420" t="str">
        <f>"05-I18-04"</f>
        <v>05-I18-04</v>
      </c>
      <c r="G8420">
        <v>3.3858000000000001</v>
      </c>
      <c r="H8420" t="s">
        <v>12</v>
      </c>
      <c r="I8420" t="s">
        <v>10</v>
      </c>
    </row>
    <row r="8421" spans="1:9" x14ac:dyDescent="0.25">
      <c r="A8421" t="str">
        <f t="shared" si="201"/>
        <v>89301000</v>
      </c>
      <c r="B8421" t="str">
        <f>"5952240756"</f>
        <v>5952240756</v>
      </c>
      <c r="C8421" s="1">
        <v>45193</v>
      </c>
      <c r="D8421" s="1">
        <v>45196</v>
      </c>
      <c r="E8421">
        <v>1</v>
      </c>
      <c r="F8421" t="str">
        <f>"07-I10-06"</f>
        <v>07-I10-06</v>
      </c>
      <c r="G8421">
        <v>0.98419999999999996</v>
      </c>
      <c r="H8421" t="s">
        <v>12</v>
      </c>
      <c r="I8421" t="s">
        <v>10</v>
      </c>
    </row>
    <row r="8422" spans="1:9" x14ac:dyDescent="0.25">
      <c r="A8422" t="str">
        <f t="shared" si="201"/>
        <v>89301000</v>
      </c>
      <c r="B8422" t="str">
        <f>"5952241658"</f>
        <v>5952241658</v>
      </c>
      <c r="C8422" s="1">
        <v>45085</v>
      </c>
      <c r="D8422" s="1">
        <v>45087</v>
      </c>
      <c r="E8422">
        <v>1</v>
      </c>
      <c r="F8422" t="str">
        <f>"08-I16-03"</f>
        <v>08-I16-03</v>
      </c>
      <c r="G8422">
        <v>1.3762000000000001</v>
      </c>
      <c r="H8422" t="s">
        <v>12</v>
      </c>
      <c r="I8422" t="s">
        <v>10</v>
      </c>
    </row>
    <row r="8423" spans="1:9" x14ac:dyDescent="0.25">
      <c r="A8423" t="str">
        <f t="shared" si="201"/>
        <v>89301000</v>
      </c>
      <c r="B8423" t="str">
        <f>"5952241977"</f>
        <v>5952241977</v>
      </c>
      <c r="C8423" s="1">
        <v>44977</v>
      </c>
      <c r="D8423" s="1">
        <v>44986</v>
      </c>
      <c r="E8423">
        <v>1</v>
      </c>
      <c r="F8423" t="str">
        <f>"24-M06-02"</f>
        <v>24-M06-02</v>
      </c>
      <c r="G8423">
        <v>1.0699000000000001</v>
      </c>
      <c r="H8423" t="s">
        <v>11</v>
      </c>
      <c r="I8423" t="s">
        <v>10</v>
      </c>
    </row>
    <row r="8424" spans="1:9" x14ac:dyDescent="0.25">
      <c r="A8424" t="str">
        <f t="shared" si="201"/>
        <v>89301000</v>
      </c>
      <c r="B8424" t="str">
        <f>"5952241977"</f>
        <v>5952241977</v>
      </c>
      <c r="C8424" s="1">
        <v>44945</v>
      </c>
      <c r="D8424" s="1">
        <v>44949</v>
      </c>
      <c r="E8424">
        <v>1</v>
      </c>
      <c r="F8424" t="str">
        <f>"08-I08-02"</f>
        <v>08-I08-02</v>
      </c>
      <c r="G8424">
        <v>3.4279999999999999</v>
      </c>
      <c r="H8424" t="s">
        <v>12</v>
      </c>
      <c r="I8424" t="s">
        <v>10</v>
      </c>
    </row>
    <row r="8425" spans="1:9" x14ac:dyDescent="0.25">
      <c r="A8425" t="str">
        <f t="shared" si="201"/>
        <v>89301000</v>
      </c>
      <c r="B8425" t="str">
        <f>"5953030523"</f>
        <v>5953030523</v>
      </c>
      <c r="C8425" s="1">
        <v>45161</v>
      </c>
      <c r="D8425" s="1">
        <v>45167</v>
      </c>
      <c r="E8425">
        <v>4</v>
      </c>
      <c r="F8425" t="str">
        <f>"08-I06-04"</f>
        <v>08-I06-04</v>
      </c>
      <c r="G8425">
        <v>2.4180000000000001</v>
      </c>
      <c r="H8425" t="s">
        <v>9</v>
      </c>
      <c r="I8425" t="s">
        <v>10</v>
      </c>
    </row>
    <row r="8426" spans="1:9" x14ac:dyDescent="0.25">
      <c r="A8426" t="str">
        <f t="shared" si="201"/>
        <v>89301000</v>
      </c>
      <c r="B8426" t="str">
        <f>"5953040170"</f>
        <v>5953040170</v>
      </c>
      <c r="C8426" s="1">
        <v>45265</v>
      </c>
      <c r="D8426" s="1">
        <v>45273</v>
      </c>
      <c r="E8426">
        <v>1</v>
      </c>
      <c r="F8426" t="str">
        <f>"05-I16-06"</f>
        <v>05-I16-06</v>
      </c>
      <c r="G8426">
        <v>5.6303000000000001</v>
      </c>
      <c r="H8426" t="s">
        <v>14</v>
      </c>
      <c r="I8426" t="s">
        <v>10</v>
      </c>
    </row>
    <row r="8427" spans="1:9" x14ac:dyDescent="0.25">
      <c r="A8427" t="str">
        <f t="shared" si="201"/>
        <v>89301000</v>
      </c>
      <c r="B8427" t="str">
        <f>"5953040170"</f>
        <v>5953040170</v>
      </c>
      <c r="C8427" s="1">
        <v>45202</v>
      </c>
      <c r="D8427" s="1">
        <v>45202</v>
      </c>
      <c r="E8427">
        <v>1</v>
      </c>
      <c r="F8427" t="str">
        <f>"05-D01-08"</f>
        <v>05-D01-08</v>
      </c>
      <c r="G8427">
        <v>0.2303</v>
      </c>
      <c r="H8427" t="s">
        <v>11</v>
      </c>
      <c r="I8427" t="s">
        <v>10</v>
      </c>
    </row>
    <row r="8428" spans="1:9" x14ac:dyDescent="0.25">
      <c r="A8428" t="str">
        <f t="shared" si="201"/>
        <v>89301000</v>
      </c>
      <c r="B8428" t="str">
        <f>"5953040401"</f>
        <v>5953040401</v>
      </c>
      <c r="C8428" s="1">
        <v>45203</v>
      </c>
      <c r="D8428" s="1">
        <v>45204</v>
      </c>
      <c r="E8428">
        <v>1</v>
      </c>
      <c r="F8428" t="str">
        <f>"01-D01-03"</f>
        <v>01-D01-03</v>
      </c>
      <c r="G8428">
        <v>0.16200000000000001</v>
      </c>
      <c r="H8428" t="s">
        <v>11</v>
      </c>
      <c r="I8428" t="s">
        <v>10</v>
      </c>
    </row>
    <row r="8429" spans="1:9" x14ac:dyDescent="0.25">
      <c r="A8429" t="str">
        <f t="shared" si="201"/>
        <v>89301000</v>
      </c>
      <c r="B8429" t="str">
        <f>"5953096017"</f>
        <v>5953096017</v>
      </c>
      <c r="C8429" s="1">
        <v>45145</v>
      </c>
      <c r="D8429" s="1">
        <v>45147</v>
      </c>
      <c r="E8429">
        <v>1</v>
      </c>
      <c r="F8429" t="str">
        <f>"05-M05-02"</f>
        <v>05-M05-02</v>
      </c>
      <c r="G8429">
        <v>3.4817999999999998</v>
      </c>
      <c r="H8429" t="s">
        <v>14</v>
      </c>
      <c r="I8429" t="s">
        <v>10</v>
      </c>
    </row>
    <row r="8430" spans="1:9" x14ac:dyDescent="0.25">
      <c r="A8430" t="str">
        <f t="shared" si="201"/>
        <v>89301000</v>
      </c>
      <c r="B8430" t="str">
        <f>"5953170795"</f>
        <v>5953170795</v>
      </c>
      <c r="C8430" s="1">
        <v>44988</v>
      </c>
      <c r="D8430" s="1">
        <v>45002</v>
      </c>
      <c r="E8430">
        <v>4</v>
      </c>
      <c r="F8430" t="str">
        <f>"01-K03-08"</f>
        <v>01-K03-08</v>
      </c>
      <c r="G8430">
        <v>0.84419999999999995</v>
      </c>
      <c r="H8430" t="s">
        <v>11</v>
      </c>
      <c r="I8430" t="s">
        <v>10</v>
      </c>
    </row>
    <row r="8431" spans="1:9" x14ac:dyDescent="0.25">
      <c r="A8431" t="str">
        <f t="shared" si="201"/>
        <v>89301000</v>
      </c>
      <c r="B8431" t="str">
        <f>"5953282104"</f>
        <v>5953282104</v>
      </c>
      <c r="C8431" s="1">
        <v>45238</v>
      </c>
      <c r="D8431" s="1">
        <v>45240</v>
      </c>
      <c r="E8431">
        <v>1</v>
      </c>
      <c r="F8431" t="str">
        <f>"01-K07-03"</f>
        <v>01-K07-03</v>
      </c>
      <c r="G8431">
        <v>0.48680000000000001</v>
      </c>
      <c r="H8431" t="s">
        <v>11</v>
      </c>
      <c r="I8431" t="s">
        <v>10</v>
      </c>
    </row>
    <row r="8432" spans="1:9" x14ac:dyDescent="0.25">
      <c r="A8432" t="str">
        <f t="shared" si="201"/>
        <v>89301000</v>
      </c>
      <c r="B8432" t="str">
        <f>"5953282104"</f>
        <v>5953282104</v>
      </c>
      <c r="C8432" s="1">
        <v>44972</v>
      </c>
      <c r="D8432" s="1">
        <v>44974</v>
      </c>
      <c r="E8432">
        <v>1</v>
      </c>
      <c r="F8432" t="str">
        <f>"01-K07-03"</f>
        <v>01-K07-03</v>
      </c>
      <c r="G8432">
        <v>0.48680000000000001</v>
      </c>
      <c r="H8432" t="s">
        <v>11</v>
      </c>
      <c r="I8432" t="s">
        <v>10</v>
      </c>
    </row>
    <row r="8433" spans="1:9" x14ac:dyDescent="0.25">
      <c r="A8433" t="str">
        <f t="shared" si="201"/>
        <v>89301000</v>
      </c>
      <c r="B8433" t="str">
        <f>"5953282104"</f>
        <v>5953282104</v>
      </c>
      <c r="C8433" s="1">
        <v>45063</v>
      </c>
      <c r="D8433" s="1">
        <v>45065</v>
      </c>
      <c r="E8433">
        <v>1</v>
      </c>
      <c r="F8433" t="str">
        <f>"01-K07-03"</f>
        <v>01-K07-03</v>
      </c>
      <c r="G8433">
        <v>0.48680000000000001</v>
      </c>
      <c r="H8433" t="s">
        <v>11</v>
      </c>
      <c r="I8433" t="s">
        <v>10</v>
      </c>
    </row>
    <row r="8434" spans="1:9" x14ac:dyDescent="0.25">
      <c r="A8434" t="str">
        <f t="shared" ref="A8434:A8497" si="203">"89301000"</f>
        <v>89301000</v>
      </c>
      <c r="B8434" t="str">
        <f>"5953282104"</f>
        <v>5953282104</v>
      </c>
      <c r="C8434" s="1">
        <v>45146</v>
      </c>
      <c r="D8434" s="1">
        <v>45148</v>
      </c>
      <c r="E8434">
        <v>1</v>
      </c>
      <c r="F8434" t="str">
        <f>"01-K01-02"</f>
        <v>01-K01-02</v>
      </c>
      <c r="G8434">
        <v>0.442</v>
      </c>
      <c r="H8434" t="s">
        <v>11</v>
      </c>
      <c r="I8434" t="s">
        <v>10</v>
      </c>
    </row>
    <row r="8435" spans="1:9" x14ac:dyDescent="0.25">
      <c r="A8435" t="str">
        <f t="shared" si="203"/>
        <v>89301000</v>
      </c>
      <c r="B8435" t="str">
        <f>"5953300782"</f>
        <v>5953300782</v>
      </c>
      <c r="C8435" s="1">
        <v>45138</v>
      </c>
      <c r="D8435" s="1">
        <v>45140</v>
      </c>
      <c r="E8435">
        <v>1</v>
      </c>
      <c r="F8435" t="str">
        <f>"03-K04-01"</f>
        <v>03-K04-01</v>
      </c>
      <c r="G8435">
        <v>0.46479999999999999</v>
      </c>
      <c r="H8435" t="s">
        <v>11</v>
      </c>
      <c r="I8435" t="s">
        <v>10</v>
      </c>
    </row>
    <row r="8436" spans="1:9" x14ac:dyDescent="0.25">
      <c r="A8436" t="str">
        <f t="shared" si="203"/>
        <v>89301000</v>
      </c>
      <c r="B8436" t="str">
        <f>"5954040961"</f>
        <v>5954040961</v>
      </c>
      <c r="C8436" s="1">
        <v>45067</v>
      </c>
      <c r="D8436" s="1">
        <v>45071</v>
      </c>
      <c r="E8436">
        <v>1</v>
      </c>
      <c r="F8436" t="str">
        <f>"10-I13-02"</f>
        <v>10-I13-02</v>
      </c>
      <c r="G8436">
        <v>1.1124000000000001</v>
      </c>
      <c r="H8436" t="s">
        <v>9</v>
      </c>
      <c r="I8436" t="s">
        <v>10</v>
      </c>
    </row>
    <row r="8437" spans="1:9" x14ac:dyDescent="0.25">
      <c r="A8437" t="str">
        <f t="shared" si="203"/>
        <v>89301000</v>
      </c>
      <c r="B8437" t="str">
        <f>"5954081859"</f>
        <v>5954081859</v>
      </c>
      <c r="C8437" s="1">
        <v>45021</v>
      </c>
      <c r="D8437" s="1">
        <v>45028</v>
      </c>
      <c r="E8437">
        <v>1</v>
      </c>
      <c r="F8437" t="str">
        <f>"01-K10-03"</f>
        <v>01-K10-03</v>
      </c>
      <c r="G8437">
        <v>1.0348999999999999</v>
      </c>
      <c r="H8437" t="s">
        <v>11</v>
      </c>
      <c r="I8437" t="s">
        <v>10</v>
      </c>
    </row>
    <row r="8438" spans="1:9" x14ac:dyDescent="0.25">
      <c r="A8438" t="str">
        <f t="shared" si="203"/>
        <v>89301000</v>
      </c>
      <c r="B8438" t="str">
        <f>"5954141974"</f>
        <v>5954141974</v>
      </c>
      <c r="C8438" s="1">
        <v>44955</v>
      </c>
      <c r="D8438" s="1">
        <v>44963</v>
      </c>
      <c r="E8438">
        <v>4</v>
      </c>
      <c r="F8438" t="str">
        <f>"08-I05-04"</f>
        <v>08-I05-04</v>
      </c>
      <c r="G8438">
        <v>2.4445000000000001</v>
      </c>
      <c r="H8438" t="s">
        <v>12</v>
      </c>
      <c r="I8438" t="s">
        <v>10</v>
      </c>
    </row>
    <row r="8439" spans="1:9" x14ac:dyDescent="0.25">
      <c r="A8439" t="str">
        <f t="shared" si="203"/>
        <v>89301000</v>
      </c>
      <c r="B8439" t="str">
        <f>"5954170706"</f>
        <v>5954170706</v>
      </c>
      <c r="C8439" s="1">
        <v>44986</v>
      </c>
      <c r="D8439" s="1">
        <v>44996</v>
      </c>
      <c r="E8439">
        <v>1</v>
      </c>
      <c r="F8439" t="str">
        <f>"02-K11-02"</f>
        <v>02-K11-02</v>
      </c>
      <c r="G8439">
        <v>0.82010000000000005</v>
      </c>
      <c r="H8439" t="s">
        <v>11</v>
      </c>
      <c r="I8439" t="s">
        <v>10</v>
      </c>
    </row>
    <row r="8440" spans="1:9" x14ac:dyDescent="0.25">
      <c r="A8440" t="str">
        <f t="shared" si="203"/>
        <v>89301000</v>
      </c>
      <c r="B8440" t="str">
        <f>"5954221504"</f>
        <v>5954221504</v>
      </c>
      <c r="C8440" s="1">
        <v>45260</v>
      </c>
      <c r="D8440" s="1">
        <v>45262</v>
      </c>
      <c r="E8440">
        <v>1</v>
      </c>
      <c r="F8440" t="str">
        <f>"05-I25-03"</f>
        <v>05-I25-03</v>
      </c>
      <c r="G8440">
        <v>1.633</v>
      </c>
      <c r="H8440" t="s">
        <v>12</v>
      </c>
      <c r="I8440" t="s">
        <v>10</v>
      </c>
    </row>
    <row r="8441" spans="1:9" x14ac:dyDescent="0.25">
      <c r="A8441" t="str">
        <f t="shared" si="203"/>
        <v>89301000</v>
      </c>
      <c r="B8441" t="str">
        <f>"5954226894"</f>
        <v>5954226894</v>
      </c>
      <c r="C8441" s="1">
        <v>45183</v>
      </c>
      <c r="D8441" s="1">
        <v>45211</v>
      </c>
      <c r="E8441">
        <v>4</v>
      </c>
      <c r="F8441" t="str">
        <f>"01-K10-02"</f>
        <v>01-K10-02</v>
      </c>
      <c r="G8441">
        <v>2.3893</v>
      </c>
      <c r="H8441" t="s">
        <v>11</v>
      </c>
      <c r="I8441" t="s">
        <v>10</v>
      </c>
    </row>
    <row r="8442" spans="1:9" x14ac:dyDescent="0.25">
      <c r="A8442" t="str">
        <f t="shared" si="203"/>
        <v>89301000</v>
      </c>
      <c r="B8442" t="str">
        <f>"5954280178"</f>
        <v>5954280178</v>
      </c>
      <c r="C8442" s="1">
        <v>45202</v>
      </c>
      <c r="D8442" s="1">
        <v>45202</v>
      </c>
      <c r="E8442">
        <v>1</v>
      </c>
      <c r="F8442" t="str">
        <f>"05-I14-04"</f>
        <v>05-I14-04</v>
      </c>
      <c r="G8442">
        <v>4.9752000000000001</v>
      </c>
      <c r="H8442" t="s">
        <v>12</v>
      </c>
      <c r="I8442" t="s">
        <v>10</v>
      </c>
    </row>
    <row r="8443" spans="1:9" x14ac:dyDescent="0.25">
      <c r="A8443" t="str">
        <f t="shared" si="203"/>
        <v>89301000</v>
      </c>
      <c r="B8443" t="str">
        <f>"5955031797"</f>
        <v>5955031797</v>
      </c>
      <c r="C8443" s="1">
        <v>45217</v>
      </c>
      <c r="D8443" s="1">
        <v>45223</v>
      </c>
      <c r="E8443">
        <v>1</v>
      </c>
      <c r="F8443" t="str">
        <f>"07-M02-04"</f>
        <v>07-M02-04</v>
      </c>
      <c r="G8443">
        <v>1.3922000000000001</v>
      </c>
      <c r="H8443" t="s">
        <v>12</v>
      </c>
      <c r="I8443" t="s">
        <v>10</v>
      </c>
    </row>
    <row r="8444" spans="1:9" x14ac:dyDescent="0.25">
      <c r="A8444" t="str">
        <f t="shared" si="203"/>
        <v>89301000</v>
      </c>
      <c r="B8444" t="str">
        <f>"5955100679"</f>
        <v>5955100679</v>
      </c>
      <c r="C8444" s="1">
        <v>45165</v>
      </c>
      <c r="D8444" s="1">
        <v>45181</v>
      </c>
      <c r="E8444">
        <v>1</v>
      </c>
      <c r="F8444" t="str">
        <f>"07-K01-02"</f>
        <v>07-K01-02</v>
      </c>
      <c r="G8444">
        <v>1.0002</v>
      </c>
      <c r="H8444" t="s">
        <v>11</v>
      </c>
      <c r="I8444" t="s">
        <v>10</v>
      </c>
    </row>
    <row r="8445" spans="1:9" x14ac:dyDescent="0.25">
      <c r="A8445" t="str">
        <f t="shared" si="203"/>
        <v>89301000</v>
      </c>
      <c r="B8445" t="str">
        <f>"5955110546"</f>
        <v>5955110546</v>
      </c>
      <c r="C8445" s="1">
        <v>45041</v>
      </c>
      <c r="D8445" s="1">
        <v>45043</v>
      </c>
      <c r="E8445">
        <v>1</v>
      </c>
      <c r="F8445" t="str">
        <f>"13-I19-00"</f>
        <v>13-I19-00</v>
      </c>
      <c r="G8445">
        <v>0.28249999999999997</v>
      </c>
      <c r="H8445" t="s">
        <v>11</v>
      </c>
      <c r="I8445" t="s">
        <v>10</v>
      </c>
    </row>
    <row r="8446" spans="1:9" x14ac:dyDescent="0.25">
      <c r="A8446" t="str">
        <f t="shared" si="203"/>
        <v>89301000</v>
      </c>
      <c r="B8446" t="str">
        <f>"5955110546"</f>
        <v>5955110546</v>
      </c>
      <c r="C8446" s="1">
        <v>45147</v>
      </c>
      <c r="D8446" s="1">
        <v>45151</v>
      </c>
      <c r="E8446">
        <v>1</v>
      </c>
      <c r="F8446" t="str">
        <f>"13-I11-03"</f>
        <v>13-I11-03</v>
      </c>
      <c r="G8446">
        <v>1.4332</v>
      </c>
      <c r="H8446" t="s">
        <v>9</v>
      </c>
      <c r="I8446" t="s">
        <v>10</v>
      </c>
    </row>
    <row r="8447" spans="1:9" x14ac:dyDescent="0.25">
      <c r="A8447" t="str">
        <f t="shared" si="203"/>
        <v>89301000</v>
      </c>
      <c r="B8447" t="str">
        <f>"5955231392"</f>
        <v>5955231392</v>
      </c>
      <c r="C8447" s="1">
        <v>45225</v>
      </c>
      <c r="D8447" s="1">
        <v>45226</v>
      </c>
      <c r="E8447">
        <v>1</v>
      </c>
      <c r="F8447" t="str">
        <f>"08-K13-02"</f>
        <v>08-K13-02</v>
      </c>
      <c r="G8447">
        <v>0.43059999999999998</v>
      </c>
      <c r="H8447" t="s">
        <v>11</v>
      </c>
      <c r="I8447" t="s">
        <v>10</v>
      </c>
    </row>
    <row r="8448" spans="1:9" x14ac:dyDescent="0.25">
      <c r="A8448" t="str">
        <f t="shared" si="203"/>
        <v>89301000</v>
      </c>
      <c r="B8448" t="str">
        <f>"5955241292"</f>
        <v>5955241292</v>
      </c>
      <c r="C8448" s="1">
        <v>45159</v>
      </c>
      <c r="D8448" s="1">
        <v>45162</v>
      </c>
      <c r="E8448">
        <v>1</v>
      </c>
      <c r="F8448" t="str">
        <f>"05-M07-04"</f>
        <v>05-M07-04</v>
      </c>
      <c r="G8448">
        <v>1.7763</v>
      </c>
      <c r="H8448" t="s">
        <v>12</v>
      </c>
      <c r="I8448" t="s">
        <v>10</v>
      </c>
    </row>
    <row r="8449" spans="1:9" x14ac:dyDescent="0.25">
      <c r="A8449" t="str">
        <f t="shared" si="203"/>
        <v>89301000</v>
      </c>
      <c r="B8449" t="str">
        <f>"5956040849"</f>
        <v>5956040849</v>
      </c>
      <c r="C8449" s="1">
        <v>44948</v>
      </c>
      <c r="D8449" s="1">
        <v>44951</v>
      </c>
      <c r="E8449">
        <v>1</v>
      </c>
      <c r="F8449" t="str">
        <f>"13-I14-03"</f>
        <v>13-I14-03</v>
      </c>
      <c r="G8449">
        <v>0.87760000000000005</v>
      </c>
      <c r="H8449" t="s">
        <v>9</v>
      </c>
      <c r="I8449" t="s">
        <v>10</v>
      </c>
    </row>
    <row r="8450" spans="1:9" x14ac:dyDescent="0.25">
      <c r="A8450" t="str">
        <f t="shared" si="203"/>
        <v>89301000</v>
      </c>
      <c r="B8450" t="str">
        <f>"5956050287"</f>
        <v>5956050287</v>
      </c>
      <c r="C8450" s="1">
        <v>44973</v>
      </c>
      <c r="D8450" s="1">
        <v>44987</v>
      </c>
      <c r="E8450">
        <v>4</v>
      </c>
      <c r="F8450" t="str">
        <f>"24-M07-02"</f>
        <v>24-M07-02</v>
      </c>
      <c r="G8450">
        <v>1.5729</v>
      </c>
      <c r="H8450" t="s">
        <v>11</v>
      </c>
      <c r="I8450" t="s">
        <v>10</v>
      </c>
    </row>
    <row r="8451" spans="1:9" x14ac:dyDescent="0.25">
      <c r="A8451" t="str">
        <f t="shared" si="203"/>
        <v>89301000</v>
      </c>
      <c r="B8451" t="str">
        <f>"5956121655"</f>
        <v>5956121655</v>
      </c>
      <c r="C8451" s="1">
        <v>45236</v>
      </c>
      <c r="D8451" s="1">
        <v>45238</v>
      </c>
      <c r="E8451">
        <v>1</v>
      </c>
      <c r="F8451" t="str">
        <f>"05-D01-06"</f>
        <v>05-D01-06</v>
      </c>
      <c r="G8451">
        <v>0.7571</v>
      </c>
      <c r="H8451" t="s">
        <v>11</v>
      </c>
      <c r="I8451" t="s">
        <v>10</v>
      </c>
    </row>
    <row r="8452" spans="1:9" x14ac:dyDescent="0.25">
      <c r="A8452" t="str">
        <f t="shared" si="203"/>
        <v>89301000</v>
      </c>
      <c r="B8452" t="str">
        <f>"5956232249"</f>
        <v>5956232249</v>
      </c>
      <c r="C8452" s="1">
        <v>45271</v>
      </c>
      <c r="D8452" s="1">
        <v>45285</v>
      </c>
      <c r="E8452">
        <v>1</v>
      </c>
      <c r="F8452" t="str">
        <f>"01-K02-03"</f>
        <v>01-K02-03</v>
      </c>
      <c r="G8452">
        <v>2.1114999999999999</v>
      </c>
      <c r="H8452" t="s">
        <v>11</v>
      </c>
      <c r="I8452" t="s">
        <v>10</v>
      </c>
    </row>
    <row r="8453" spans="1:9" x14ac:dyDescent="0.25">
      <c r="A8453" t="str">
        <f t="shared" si="203"/>
        <v>89301000</v>
      </c>
      <c r="B8453" t="str">
        <f>"5956241995"</f>
        <v>5956241995</v>
      </c>
      <c r="C8453" s="1">
        <v>45141</v>
      </c>
      <c r="D8453" s="1">
        <v>45142</v>
      </c>
      <c r="E8453">
        <v>1</v>
      </c>
      <c r="F8453" t="str">
        <f>"05-I25-03"</f>
        <v>05-I25-03</v>
      </c>
      <c r="G8453">
        <v>1.633</v>
      </c>
      <c r="H8453" t="s">
        <v>12</v>
      </c>
      <c r="I8453" t="s">
        <v>10</v>
      </c>
    </row>
    <row r="8454" spans="1:9" x14ac:dyDescent="0.25">
      <c r="A8454" t="str">
        <f t="shared" si="203"/>
        <v>89301000</v>
      </c>
      <c r="B8454" t="str">
        <f>"5956251928"</f>
        <v>5956251928</v>
      </c>
      <c r="C8454" s="1">
        <v>45030</v>
      </c>
      <c r="D8454" s="1">
        <v>45033</v>
      </c>
      <c r="E8454">
        <v>1</v>
      </c>
      <c r="F8454" t="str">
        <f>"02-I06-03"</f>
        <v>02-I06-03</v>
      </c>
      <c r="G8454">
        <v>0.99260000000000004</v>
      </c>
      <c r="H8454" t="s">
        <v>12</v>
      </c>
      <c r="I8454" t="s">
        <v>10</v>
      </c>
    </row>
    <row r="8455" spans="1:9" x14ac:dyDescent="0.25">
      <c r="A8455" t="str">
        <f t="shared" si="203"/>
        <v>89301000</v>
      </c>
      <c r="B8455" t="str">
        <f>"5956261685"</f>
        <v>5956261685</v>
      </c>
      <c r="C8455" s="1">
        <v>45215</v>
      </c>
      <c r="D8455" s="1">
        <v>45224</v>
      </c>
      <c r="E8455">
        <v>8</v>
      </c>
      <c r="F8455" t="str">
        <f>"04-K09-02"</f>
        <v>04-K09-02</v>
      </c>
      <c r="G8455">
        <v>1.155</v>
      </c>
      <c r="H8455" t="s">
        <v>11</v>
      </c>
      <c r="I8455" t="s">
        <v>10</v>
      </c>
    </row>
    <row r="8456" spans="1:9" x14ac:dyDescent="0.25">
      <c r="A8456" t="str">
        <f t="shared" si="203"/>
        <v>89301000</v>
      </c>
      <c r="B8456" t="str">
        <f>"5956261685"</f>
        <v>5956261685</v>
      </c>
      <c r="C8456" s="1">
        <v>45176</v>
      </c>
      <c r="D8456" s="1">
        <v>45184</v>
      </c>
      <c r="E8456">
        <v>1</v>
      </c>
      <c r="F8456" t="str">
        <f>"04-K09-02"</f>
        <v>04-K09-02</v>
      </c>
      <c r="G8456">
        <v>1.155</v>
      </c>
      <c r="H8456" t="s">
        <v>11</v>
      </c>
      <c r="I8456" t="s">
        <v>10</v>
      </c>
    </row>
    <row r="8457" spans="1:9" x14ac:dyDescent="0.25">
      <c r="A8457" t="str">
        <f t="shared" si="203"/>
        <v>89301000</v>
      </c>
      <c r="B8457" t="str">
        <f>"5956261685"</f>
        <v>5956261685</v>
      </c>
      <c r="C8457" s="1">
        <v>45156</v>
      </c>
      <c r="D8457" s="1">
        <v>45161</v>
      </c>
      <c r="E8457">
        <v>1</v>
      </c>
      <c r="F8457" t="str">
        <f>"04-K09-02"</f>
        <v>04-K09-02</v>
      </c>
      <c r="G8457">
        <v>1.1033999999999999</v>
      </c>
      <c r="H8457" t="s">
        <v>11</v>
      </c>
      <c r="I8457" t="s">
        <v>10</v>
      </c>
    </row>
    <row r="8458" spans="1:9" x14ac:dyDescent="0.25">
      <c r="A8458" t="str">
        <f t="shared" si="203"/>
        <v>89301000</v>
      </c>
      <c r="B8458" t="str">
        <f>"5957040397"</f>
        <v>5957040397</v>
      </c>
      <c r="C8458" s="1">
        <v>45103</v>
      </c>
      <c r="D8458" s="1">
        <v>45111</v>
      </c>
      <c r="E8458">
        <v>1</v>
      </c>
      <c r="F8458" t="str">
        <f>"04-R02-06"</f>
        <v>04-R02-06</v>
      </c>
      <c r="G8458">
        <v>1.5264</v>
      </c>
      <c r="H8458" t="s">
        <v>11</v>
      </c>
      <c r="I8458" t="s">
        <v>10</v>
      </c>
    </row>
    <row r="8459" spans="1:9" x14ac:dyDescent="0.25">
      <c r="A8459" t="str">
        <f t="shared" si="203"/>
        <v>89301000</v>
      </c>
      <c r="B8459" t="str">
        <f>"5957040397"</f>
        <v>5957040397</v>
      </c>
      <c r="C8459" s="1">
        <v>45117</v>
      </c>
      <c r="D8459" s="1">
        <v>45119</v>
      </c>
      <c r="E8459">
        <v>1</v>
      </c>
      <c r="F8459" t="str">
        <f>"01-R02-08"</f>
        <v>01-R02-08</v>
      </c>
      <c r="G8459">
        <v>1.4057999999999999</v>
      </c>
      <c r="H8459" t="s">
        <v>11</v>
      </c>
      <c r="I8459" t="s">
        <v>10</v>
      </c>
    </row>
    <row r="8460" spans="1:9" x14ac:dyDescent="0.25">
      <c r="A8460" t="str">
        <f t="shared" si="203"/>
        <v>89301000</v>
      </c>
      <c r="B8460" t="str">
        <f>"5957040397"</f>
        <v>5957040397</v>
      </c>
      <c r="C8460" s="1">
        <v>45124</v>
      </c>
      <c r="D8460" s="1">
        <v>45127</v>
      </c>
      <c r="E8460">
        <v>1</v>
      </c>
      <c r="F8460" t="str">
        <f>"04-C02-01"</f>
        <v>04-C02-01</v>
      </c>
      <c r="G8460">
        <v>0.4743</v>
      </c>
      <c r="H8460" t="s">
        <v>11</v>
      </c>
      <c r="I8460" t="s">
        <v>10</v>
      </c>
    </row>
    <row r="8461" spans="1:9" x14ac:dyDescent="0.25">
      <c r="A8461" t="str">
        <f t="shared" si="203"/>
        <v>89301000</v>
      </c>
      <c r="B8461" t="str">
        <f>"5957040397"</f>
        <v>5957040397</v>
      </c>
      <c r="C8461" s="1">
        <v>45135</v>
      </c>
      <c r="D8461" s="1">
        <v>45142</v>
      </c>
      <c r="E8461">
        <v>1</v>
      </c>
      <c r="F8461" t="str">
        <f>"04-K09-02"</f>
        <v>04-K09-02</v>
      </c>
      <c r="G8461">
        <v>1.3323</v>
      </c>
      <c r="H8461" t="s">
        <v>11</v>
      </c>
      <c r="I8461" t="s">
        <v>10</v>
      </c>
    </row>
    <row r="8462" spans="1:9" x14ac:dyDescent="0.25">
      <c r="A8462" t="str">
        <f t="shared" si="203"/>
        <v>89301000</v>
      </c>
      <c r="B8462" t="str">
        <f>"5957070350"</f>
        <v>5957070350</v>
      </c>
      <c r="C8462" s="1">
        <v>44976</v>
      </c>
      <c r="D8462" s="1">
        <v>44982</v>
      </c>
      <c r="E8462">
        <v>1</v>
      </c>
      <c r="F8462" t="str">
        <f>"08-I03-06"</f>
        <v>08-I03-06</v>
      </c>
      <c r="G8462">
        <v>3.2523</v>
      </c>
      <c r="H8462" t="s">
        <v>9</v>
      </c>
      <c r="I8462" t="s">
        <v>10</v>
      </c>
    </row>
    <row r="8463" spans="1:9" x14ac:dyDescent="0.25">
      <c r="A8463" t="str">
        <f t="shared" si="203"/>
        <v>89301000</v>
      </c>
      <c r="B8463" t="str">
        <f>"5957070581"</f>
        <v>5957070581</v>
      </c>
      <c r="C8463" s="1">
        <v>45105</v>
      </c>
      <c r="D8463" s="1">
        <v>45107</v>
      </c>
      <c r="E8463">
        <v>1</v>
      </c>
      <c r="F8463" t="str">
        <f>"10-K04-04"</f>
        <v>10-K04-04</v>
      </c>
      <c r="G8463">
        <v>0.53949999999999998</v>
      </c>
      <c r="H8463" t="s">
        <v>11</v>
      </c>
      <c r="I8463" t="s">
        <v>10</v>
      </c>
    </row>
    <row r="8464" spans="1:9" x14ac:dyDescent="0.25">
      <c r="A8464" t="str">
        <f t="shared" si="203"/>
        <v>89301000</v>
      </c>
      <c r="B8464" t="str">
        <f>"5957101711"</f>
        <v>5957101711</v>
      </c>
      <c r="C8464" s="1">
        <v>45041</v>
      </c>
      <c r="D8464" s="1">
        <v>45049</v>
      </c>
      <c r="E8464">
        <v>1</v>
      </c>
      <c r="F8464" t="str">
        <f>"06-I12-03"</f>
        <v>06-I12-03</v>
      </c>
      <c r="G8464">
        <v>1.9595</v>
      </c>
      <c r="H8464" t="s">
        <v>11</v>
      </c>
      <c r="I8464" t="s">
        <v>10</v>
      </c>
    </row>
    <row r="8465" spans="1:9" x14ac:dyDescent="0.25">
      <c r="A8465" t="str">
        <f t="shared" si="203"/>
        <v>89301000</v>
      </c>
      <c r="B8465" t="str">
        <f>"5957150320"</f>
        <v>5957150320</v>
      </c>
      <c r="C8465" s="1">
        <v>45014</v>
      </c>
      <c r="D8465" s="1">
        <v>45016</v>
      </c>
      <c r="E8465">
        <v>1</v>
      </c>
      <c r="F8465" t="str">
        <f>"03-I19-03"</f>
        <v>03-I19-03</v>
      </c>
      <c r="G8465">
        <v>0.53249999999999997</v>
      </c>
      <c r="H8465" t="s">
        <v>11</v>
      </c>
      <c r="I8465" t="s">
        <v>10</v>
      </c>
    </row>
    <row r="8466" spans="1:9" x14ac:dyDescent="0.25">
      <c r="A8466" t="str">
        <f t="shared" si="203"/>
        <v>89301000</v>
      </c>
      <c r="B8466" t="str">
        <f>"5957151277"</f>
        <v>5957151277</v>
      </c>
      <c r="C8466" s="1">
        <v>45188</v>
      </c>
      <c r="D8466" s="1">
        <v>45194</v>
      </c>
      <c r="E8466">
        <v>1</v>
      </c>
      <c r="F8466" t="str">
        <f>"08-K08-00"</f>
        <v>08-K08-00</v>
      </c>
      <c r="G8466">
        <v>0.5272</v>
      </c>
      <c r="H8466" t="s">
        <v>11</v>
      </c>
      <c r="I8466" t="s">
        <v>10</v>
      </c>
    </row>
    <row r="8467" spans="1:9" x14ac:dyDescent="0.25">
      <c r="A8467" t="str">
        <f t="shared" si="203"/>
        <v>89301000</v>
      </c>
      <c r="B8467" t="str">
        <f>"5958051473"</f>
        <v>5958051473</v>
      </c>
      <c r="C8467" s="1">
        <v>45195</v>
      </c>
      <c r="D8467" s="1">
        <v>45198</v>
      </c>
      <c r="E8467">
        <v>1</v>
      </c>
      <c r="F8467" t="str">
        <f>"09-I09-05"</f>
        <v>09-I09-05</v>
      </c>
      <c r="G8467">
        <v>0.49230000000000002</v>
      </c>
      <c r="H8467" t="s">
        <v>12</v>
      </c>
      <c r="I8467" t="s">
        <v>10</v>
      </c>
    </row>
    <row r="8468" spans="1:9" x14ac:dyDescent="0.25">
      <c r="A8468" t="str">
        <f t="shared" si="203"/>
        <v>89301000</v>
      </c>
      <c r="B8468" t="str">
        <f>"5958080326"</f>
        <v>5958080326</v>
      </c>
      <c r="C8468" s="1">
        <v>45069</v>
      </c>
      <c r="D8468" s="1">
        <v>45072</v>
      </c>
      <c r="E8468">
        <v>1</v>
      </c>
      <c r="F8468" t="str">
        <f>"13-I14-03"</f>
        <v>13-I14-03</v>
      </c>
      <c r="G8468">
        <v>0.87760000000000005</v>
      </c>
      <c r="H8468" t="s">
        <v>9</v>
      </c>
      <c r="I8468" t="s">
        <v>10</v>
      </c>
    </row>
    <row r="8469" spans="1:9" x14ac:dyDescent="0.25">
      <c r="A8469" t="str">
        <f t="shared" si="203"/>
        <v>89301000</v>
      </c>
      <c r="B8469" t="str">
        <f>"5958091777"</f>
        <v>5958091777</v>
      </c>
      <c r="C8469" s="1">
        <v>45110</v>
      </c>
      <c r="D8469" s="1">
        <v>45117</v>
      </c>
      <c r="E8469">
        <v>1</v>
      </c>
      <c r="F8469" t="str">
        <f>"11-M05-02"</f>
        <v>11-M05-02</v>
      </c>
      <c r="G8469">
        <v>0.75749999999999995</v>
      </c>
      <c r="H8469" t="s">
        <v>12</v>
      </c>
      <c r="I8469" t="s">
        <v>10</v>
      </c>
    </row>
    <row r="8470" spans="1:9" x14ac:dyDescent="0.25">
      <c r="A8470" t="str">
        <f t="shared" si="203"/>
        <v>89301000</v>
      </c>
      <c r="B8470" t="str">
        <f>"5958141189"</f>
        <v>5958141189</v>
      </c>
      <c r="C8470" s="1">
        <v>45089</v>
      </c>
      <c r="D8470" s="1">
        <v>45095</v>
      </c>
      <c r="E8470">
        <v>1</v>
      </c>
      <c r="F8470" t="str">
        <f>"08-I05-04"</f>
        <v>08-I05-04</v>
      </c>
      <c r="G8470">
        <v>2.4445000000000001</v>
      </c>
      <c r="H8470" t="s">
        <v>12</v>
      </c>
      <c r="I8470" t="s">
        <v>10</v>
      </c>
    </row>
    <row r="8471" spans="1:9" x14ac:dyDescent="0.25">
      <c r="A8471" t="str">
        <f t="shared" si="203"/>
        <v>89301000</v>
      </c>
      <c r="B8471" t="str">
        <f>"5958141189"</f>
        <v>5958141189</v>
      </c>
      <c r="C8471" s="1">
        <v>45110</v>
      </c>
      <c r="D8471" s="1">
        <v>45121</v>
      </c>
      <c r="E8471">
        <v>1</v>
      </c>
      <c r="F8471" t="str">
        <f>"24-M06-02"</f>
        <v>24-M06-02</v>
      </c>
      <c r="G8471">
        <v>1.0699000000000001</v>
      </c>
      <c r="H8471" t="s">
        <v>11</v>
      </c>
      <c r="I8471" t="s">
        <v>10</v>
      </c>
    </row>
    <row r="8472" spans="1:9" x14ac:dyDescent="0.25">
      <c r="A8472" t="str">
        <f t="shared" si="203"/>
        <v>89301000</v>
      </c>
      <c r="B8472" t="str">
        <f>"5958150539"</f>
        <v>5958150539</v>
      </c>
      <c r="C8472" s="1">
        <v>45167</v>
      </c>
      <c r="D8472" s="1">
        <v>45172</v>
      </c>
      <c r="E8472">
        <v>1</v>
      </c>
      <c r="F8472" t="str">
        <f>"10-K04-04"</f>
        <v>10-K04-04</v>
      </c>
      <c r="G8472">
        <v>0.53949999999999998</v>
      </c>
      <c r="H8472" t="s">
        <v>11</v>
      </c>
      <c r="I8472" t="s">
        <v>10</v>
      </c>
    </row>
    <row r="8473" spans="1:9" x14ac:dyDescent="0.25">
      <c r="A8473" t="str">
        <f t="shared" si="203"/>
        <v>89301000</v>
      </c>
      <c r="B8473" t="str">
        <f>"5958171681"</f>
        <v>5958171681</v>
      </c>
      <c r="C8473" s="1">
        <v>45176</v>
      </c>
      <c r="D8473" s="1">
        <v>45180</v>
      </c>
      <c r="E8473">
        <v>1</v>
      </c>
      <c r="F8473" t="str">
        <f>"06-K07-02"</f>
        <v>06-K07-02</v>
      </c>
      <c r="G8473">
        <v>0.4385</v>
      </c>
      <c r="H8473" t="s">
        <v>11</v>
      </c>
      <c r="I8473" t="s">
        <v>10</v>
      </c>
    </row>
    <row r="8474" spans="1:9" x14ac:dyDescent="0.25">
      <c r="A8474" t="str">
        <f t="shared" si="203"/>
        <v>89301000</v>
      </c>
      <c r="B8474" t="str">
        <f>"5958171681"</f>
        <v>5958171681</v>
      </c>
      <c r="C8474" s="1">
        <v>45218</v>
      </c>
      <c r="D8474" s="1">
        <v>45220</v>
      </c>
      <c r="E8474">
        <v>1</v>
      </c>
      <c r="F8474" t="str">
        <f>"13-I19-00"</f>
        <v>13-I19-00</v>
      </c>
      <c r="G8474">
        <v>0.28249999999999997</v>
      </c>
      <c r="H8474" t="s">
        <v>11</v>
      </c>
      <c r="I8474" t="s">
        <v>10</v>
      </c>
    </row>
    <row r="8475" spans="1:9" x14ac:dyDescent="0.25">
      <c r="A8475" t="str">
        <f t="shared" si="203"/>
        <v>89301000</v>
      </c>
      <c r="B8475" t="str">
        <f>"5959020749"</f>
        <v>5959020749</v>
      </c>
      <c r="C8475" s="1">
        <v>45189</v>
      </c>
      <c r="D8475" s="1">
        <v>45193</v>
      </c>
      <c r="E8475">
        <v>1</v>
      </c>
      <c r="F8475" t="str">
        <f>"13-I11-03"</f>
        <v>13-I11-03</v>
      </c>
      <c r="G8475">
        <v>1.4332</v>
      </c>
      <c r="H8475" t="s">
        <v>9</v>
      </c>
      <c r="I8475" t="s">
        <v>10</v>
      </c>
    </row>
    <row r="8476" spans="1:9" x14ac:dyDescent="0.25">
      <c r="A8476" t="str">
        <f t="shared" si="203"/>
        <v>89301000</v>
      </c>
      <c r="B8476" t="str">
        <f>"5959061339"</f>
        <v>5959061339</v>
      </c>
      <c r="C8476" s="1">
        <v>45171</v>
      </c>
      <c r="D8476" s="1">
        <v>45174</v>
      </c>
      <c r="E8476">
        <v>1</v>
      </c>
      <c r="F8476" t="str">
        <f>"04-K02-04"</f>
        <v>04-K02-04</v>
      </c>
      <c r="G8476">
        <v>0.82099999999999995</v>
      </c>
      <c r="H8476" t="s">
        <v>11</v>
      </c>
      <c r="I8476" t="s">
        <v>10</v>
      </c>
    </row>
    <row r="8477" spans="1:9" x14ac:dyDescent="0.25">
      <c r="A8477" t="str">
        <f t="shared" si="203"/>
        <v>89301000</v>
      </c>
      <c r="B8477" t="str">
        <f>"5959080105"</f>
        <v>5959080105</v>
      </c>
      <c r="C8477" s="1">
        <v>45216</v>
      </c>
      <c r="D8477" s="1">
        <v>45224</v>
      </c>
      <c r="E8477">
        <v>1</v>
      </c>
      <c r="F8477" t="str">
        <f>"04-I02-03"</f>
        <v>04-I02-03</v>
      </c>
      <c r="G8477">
        <v>3.6791</v>
      </c>
      <c r="H8477" t="s">
        <v>14</v>
      </c>
      <c r="I8477" t="s">
        <v>10</v>
      </c>
    </row>
    <row r="8478" spans="1:9" x14ac:dyDescent="0.25">
      <c r="A8478" t="str">
        <f t="shared" si="203"/>
        <v>89301000</v>
      </c>
      <c r="B8478" t="str">
        <f>"5959091468"</f>
        <v>5959091468</v>
      </c>
      <c r="C8478" s="1">
        <v>45051</v>
      </c>
      <c r="D8478" s="1">
        <v>45054</v>
      </c>
      <c r="E8478">
        <v>1</v>
      </c>
      <c r="F8478" t="str">
        <f>"08-K01-01"</f>
        <v>08-K01-01</v>
      </c>
      <c r="G8478">
        <v>1.4881</v>
      </c>
      <c r="H8478" t="s">
        <v>11</v>
      </c>
      <c r="I8478" t="s">
        <v>10</v>
      </c>
    </row>
    <row r="8479" spans="1:9" x14ac:dyDescent="0.25">
      <c r="A8479" t="str">
        <f t="shared" si="203"/>
        <v>89301000</v>
      </c>
      <c r="B8479" t="str">
        <f>"5959101445"</f>
        <v>5959101445</v>
      </c>
      <c r="C8479" s="1">
        <v>44980</v>
      </c>
      <c r="D8479" s="1">
        <v>44983</v>
      </c>
      <c r="E8479">
        <v>1</v>
      </c>
      <c r="F8479" t="str">
        <f>"05-I30-01"</f>
        <v>05-I30-01</v>
      </c>
      <c r="G8479">
        <v>0.60350000000000004</v>
      </c>
      <c r="H8479" t="s">
        <v>12</v>
      </c>
      <c r="I8479" t="s">
        <v>10</v>
      </c>
    </row>
    <row r="8480" spans="1:9" x14ac:dyDescent="0.25">
      <c r="A8480" t="str">
        <f t="shared" si="203"/>
        <v>89301000</v>
      </c>
      <c r="B8480" t="str">
        <f>"5959110938"</f>
        <v>5959110938</v>
      </c>
      <c r="C8480" s="1">
        <v>45241</v>
      </c>
      <c r="D8480" s="1">
        <v>45246</v>
      </c>
      <c r="E8480">
        <v>8</v>
      </c>
      <c r="F8480" t="str">
        <f>"04-K02-02"</f>
        <v>04-K02-02</v>
      </c>
      <c r="G8480">
        <v>2.8616999999999999</v>
      </c>
      <c r="H8480" t="s">
        <v>11</v>
      </c>
      <c r="I8480" t="s">
        <v>10</v>
      </c>
    </row>
    <row r="8481" spans="1:9" x14ac:dyDescent="0.25">
      <c r="A8481" t="str">
        <f t="shared" si="203"/>
        <v>89301000</v>
      </c>
      <c r="B8481" t="str">
        <f>"5959141397"</f>
        <v>5959141397</v>
      </c>
      <c r="C8481" s="1">
        <v>45039</v>
      </c>
      <c r="D8481" s="1">
        <v>45176</v>
      </c>
      <c r="E8481">
        <v>4</v>
      </c>
      <c r="F8481" t="str">
        <f>"11-M02-04"</f>
        <v>11-M02-04</v>
      </c>
      <c r="G8481">
        <v>16.899999999999999</v>
      </c>
      <c r="H8481" t="s">
        <v>11</v>
      </c>
      <c r="I8481" t="s">
        <v>10</v>
      </c>
    </row>
    <row r="8482" spans="1:9" x14ac:dyDescent="0.25">
      <c r="A8482" t="str">
        <f t="shared" si="203"/>
        <v>89301000</v>
      </c>
      <c r="B8482" t="str">
        <f>"5959141397"</f>
        <v>5959141397</v>
      </c>
      <c r="C8482" s="1">
        <v>44981</v>
      </c>
      <c r="D8482" s="1">
        <v>45035</v>
      </c>
      <c r="E8482">
        <v>1</v>
      </c>
      <c r="F8482" t="str">
        <f>"06-I07-01"</f>
        <v>06-I07-01</v>
      </c>
      <c r="G8482">
        <v>12.6424</v>
      </c>
      <c r="H8482" t="s">
        <v>12</v>
      </c>
      <c r="I8482" t="s">
        <v>10</v>
      </c>
    </row>
    <row r="8483" spans="1:9" x14ac:dyDescent="0.25">
      <c r="A8483" t="str">
        <f t="shared" si="203"/>
        <v>89301000</v>
      </c>
      <c r="B8483" t="str">
        <f>"5959141397"</f>
        <v>5959141397</v>
      </c>
      <c r="C8483" s="1">
        <v>44923</v>
      </c>
      <c r="D8483" s="1">
        <v>44974</v>
      </c>
      <c r="E8483">
        <v>1</v>
      </c>
      <c r="F8483" t="str">
        <f>"00-I05-02"</f>
        <v>00-I05-02</v>
      </c>
      <c r="G8483">
        <v>14.7774</v>
      </c>
      <c r="H8483" t="s">
        <v>14</v>
      </c>
      <c r="I8483" t="s">
        <v>10</v>
      </c>
    </row>
    <row r="8484" spans="1:9" x14ac:dyDescent="0.25">
      <c r="A8484" t="str">
        <f t="shared" si="203"/>
        <v>89301000</v>
      </c>
      <c r="B8484" t="str">
        <f>"5959210906"</f>
        <v>5959210906</v>
      </c>
      <c r="C8484" s="1">
        <v>45083</v>
      </c>
      <c r="D8484" s="1">
        <v>45088</v>
      </c>
      <c r="E8484">
        <v>1</v>
      </c>
      <c r="F8484" t="str">
        <f>"07-I03-01"</f>
        <v>07-I03-01</v>
      </c>
      <c r="G8484">
        <v>5.1353</v>
      </c>
      <c r="H8484" t="s">
        <v>14</v>
      </c>
      <c r="I8484" t="s">
        <v>10</v>
      </c>
    </row>
    <row r="8485" spans="1:9" x14ac:dyDescent="0.25">
      <c r="A8485" t="str">
        <f t="shared" si="203"/>
        <v>89301000</v>
      </c>
      <c r="B8485" t="str">
        <f>"5959211819"</f>
        <v>5959211819</v>
      </c>
      <c r="C8485" s="1">
        <v>45154</v>
      </c>
      <c r="D8485" s="1">
        <v>45175</v>
      </c>
      <c r="E8485">
        <v>1</v>
      </c>
      <c r="F8485" t="str">
        <f>"00-M08-00"</f>
        <v>00-M08-00</v>
      </c>
      <c r="G8485">
        <v>4.2076000000000002</v>
      </c>
      <c r="H8485" t="s">
        <v>14</v>
      </c>
      <c r="I8485" t="s">
        <v>10</v>
      </c>
    </row>
    <row r="8486" spans="1:9" x14ac:dyDescent="0.25">
      <c r="A8486" t="str">
        <f t="shared" si="203"/>
        <v>89301000</v>
      </c>
      <c r="B8486" t="str">
        <f>"5960041835"</f>
        <v>5960041835</v>
      </c>
      <c r="C8486" s="1">
        <v>45005</v>
      </c>
      <c r="D8486" s="1">
        <v>45007</v>
      </c>
      <c r="E8486">
        <v>1</v>
      </c>
      <c r="F8486" t="str">
        <f>"09-I09-02"</f>
        <v>09-I09-02</v>
      </c>
      <c r="G8486">
        <v>0.76900000000000002</v>
      </c>
      <c r="H8486" t="s">
        <v>12</v>
      </c>
      <c r="I8486" t="s">
        <v>10</v>
      </c>
    </row>
    <row r="8487" spans="1:9" x14ac:dyDescent="0.25">
      <c r="A8487" t="str">
        <f t="shared" si="203"/>
        <v>89301000</v>
      </c>
      <c r="B8487" t="str">
        <f>"5960061932"</f>
        <v>5960061932</v>
      </c>
      <c r="C8487" s="1">
        <v>45040</v>
      </c>
      <c r="D8487" s="1">
        <v>45042</v>
      </c>
      <c r="E8487">
        <v>1</v>
      </c>
      <c r="F8487" t="str">
        <f>"05-I30-02"</f>
        <v>05-I30-02</v>
      </c>
      <c r="G8487">
        <v>0.41699999999999998</v>
      </c>
      <c r="H8487" t="s">
        <v>12</v>
      </c>
      <c r="I8487" t="s">
        <v>10</v>
      </c>
    </row>
    <row r="8488" spans="1:9" x14ac:dyDescent="0.25">
      <c r="A8488" t="str">
        <f t="shared" si="203"/>
        <v>89301000</v>
      </c>
      <c r="B8488" t="str">
        <f>"5960091027"</f>
        <v>5960091027</v>
      </c>
      <c r="C8488" s="1">
        <v>45147</v>
      </c>
      <c r="D8488" s="1">
        <v>45149</v>
      </c>
      <c r="E8488">
        <v>1</v>
      </c>
      <c r="F8488" t="str">
        <f>"11-I17-03"</f>
        <v>11-I17-03</v>
      </c>
      <c r="G8488">
        <v>0.45600000000000002</v>
      </c>
      <c r="H8488" t="s">
        <v>11</v>
      </c>
      <c r="I8488" t="s">
        <v>10</v>
      </c>
    </row>
    <row r="8489" spans="1:9" x14ac:dyDescent="0.25">
      <c r="A8489" t="str">
        <f t="shared" si="203"/>
        <v>89301000</v>
      </c>
      <c r="B8489" t="str">
        <f>"5960111795"</f>
        <v>5960111795</v>
      </c>
      <c r="C8489" s="1">
        <v>45173</v>
      </c>
      <c r="D8489" s="1">
        <v>45184</v>
      </c>
      <c r="E8489">
        <v>1</v>
      </c>
      <c r="F8489" t="str">
        <f>"01-D01-02"</f>
        <v>01-D01-02</v>
      </c>
      <c r="G8489">
        <v>0.71379999999999999</v>
      </c>
      <c r="H8489" t="s">
        <v>11</v>
      </c>
      <c r="I8489" t="s">
        <v>10</v>
      </c>
    </row>
    <row r="8490" spans="1:9" x14ac:dyDescent="0.25">
      <c r="A8490" t="str">
        <f t="shared" si="203"/>
        <v>89301000</v>
      </c>
      <c r="B8490" t="str">
        <f>"5960121398"</f>
        <v>5960121398</v>
      </c>
      <c r="C8490" s="1">
        <v>45155</v>
      </c>
      <c r="D8490" s="1">
        <v>45168</v>
      </c>
      <c r="E8490">
        <v>1</v>
      </c>
      <c r="F8490" t="str">
        <f>"11-K07-02"</f>
        <v>11-K07-02</v>
      </c>
      <c r="G8490">
        <v>0.71199999999999997</v>
      </c>
      <c r="H8490" t="s">
        <v>11</v>
      </c>
      <c r="I8490" t="s">
        <v>10</v>
      </c>
    </row>
    <row r="8491" spans="1:9" x14ac:dyDescent="0.25">
      <c r="A8491" t="str">
        <f t="shared" si="203"/>
        <v>89301000</v>
      </c>
      <c r="B8491" t="str">
        <f>"5960121398"</f>
        <v>5960121398</v>
      </c>
      <c r="C8491" s="1">
        <v>45075</v>
      </c>
      <c r="D8491" s="1">
        <v>45098</v>
      </c>
      <c r="E8491">
        <v>1</v>
      </c>
      <c r="F8491" t="str">
        <f>"11-K07-02"</f>
        <v>11-K07-02</v>
      </c>
      <c r="G8491">
        <v>1.3721000000000001</v>
      </c>
      <c r="H8491" t="s">
        <v>11</v>
      </c>
      <c r="I8491" t="s">
        <v>10</v>
      </c>
    </row>
    <row r="8492" spans="1:9" x14ac:dyDescent="0.25">
      <c r="A8492" t="str">
        <f t="shared" si="203"/>
        <v>89301000</v>
      </c>
      <c r="B8492" t="str">
        <f>"5960171030"</f>
        <v>5960171030</v>
      </c>
      <c r="C8492" s="1">
        <v>44979</v>
      </c>
      <c r="D8492" s="1">
        <v>44982</v>
      </c>
      <c r="E8492">
        <v>1</v>
      </c>
      <c r="F8492" t="str">
        <f>"08-M03-05"</f>
        <v>08-M03-05</v>
      </c>
      <c r="G8492">
        <v>0.46810000000000002</v>
      </c>
      <c r="H8492" t="s">
        <v>11</v>
      </c>
      <c r="I8492" t="s">
        <v>10</v>
      </c>
    </row>
    <row r="8493" spans="1:9" x14ac:dyDescent="0.25">
      <c r="A8493" t="str">
        <f t="shared" si="203"/>
        <v>89301000</v>
      </c>
      <c r="B8493" t="str">
        <f>"5960300258"</f>
        <v>5960300258</v>
      </c>
      <c r="C8493" s="1">
        <v>44930</v>
      </c>
      <c r="D8493" s="1">
        <v>44938</v>
      </c>
      <c r="E8493">
        <v>1</v>
      </c>
      <c r="F8493" t="str">
        <f>"08-K01-03"</f>
        <v>08-K01-03</v>
      </c>
      <c r="G8493">
        <v>0.64490000000000003</v>
      </c>
      <c r="H8493" t="s">
        <v>11</v>
      </c>
      <c r="I8493" t="s">
        <v>10</v>
      </c>
    </row>
    <row r="8494" spans="1:9" x14ac:dyDescent="0.25">
      <c r="A8494" t="str">
        <f t="shared" si="203"/>
        <v>89301000</v>
      </c>
      <c r="B8494" t="str">
        <f>"5960317176"</f>
        <v>5960317176</v>
      </c>
      <c r="C8494" s="1">
        <v>45171</v>
      </c>
      <c r="D8494" s="1">
        <v>45177</v>
      </c>
      <c r="E8494">
        <v>1</v>
      </c>
      <c r="F8494" t="str">
        <f>"08-K08-00"</f>
        <v>08-K08-00</v>
      </c>
      <c r="G8494">
        <v>0.5272</v>
      </c>
      <c r="H8494" t="s">
        <v>11</v>
      </c>
      <c r="I8494" t="s">
        <v>10</v>
      </c>
    </row>
    <row r="8495" spans="1:9" x14ac:dyDescent="0.25">
      <c r="A8495" t="str">
        <f t="shared" si="203"/>
        <v>89301000</v>
      </c>
      <c r="B8495" t="str">
        <f>"5961030999"</f>
        <v>5961030999</v>
      </c>
      <c r="C8495" s="1">
        <v>44998</v>
      </c>
      <c r="D8495" s="1">
        <v>45002</v>
      </c>
      <c r="E8495">
        <v>1</v>
      </c>
      <c r="F8495" t="str">
        <f>"09-I06-04"</f>
        <v>09-I06-04</v>
      </c>
      <c r="G8495">
        <v>0.95069999999999999</v>
      </c>
      <c r="H8495" t="s">
        <v>12</v>
      </c>
      <c r="I8495" t="s">
        <v>10</v>
      </c>
    </row>
    <row r="8496" spans="1:9" x14ac:dyDescent="0.25">
      <c r="A8496" t="str">
        <f t="shared" si="203"/>
        <v>89301000</v>
      </c>
      <c r="B8496" t="str">
        <f>"5961091631"</f>
        <v>5961091631</v>
      </c>
      <c r="C8496" s="1">
        <v>45110</v>
      </c>
      <c r="D8496" s="1">
        <v>45111</v>
      </c>
      <c r="E8496">
        <v>1</v>
      </c>
      <c r="F8496" t="str">
        <f>"06-M01-02"</f>
        <v>06-M01-02</v>
      </c>
      <c r="G8496">
        <v>1.4636</v>
      </c>
      <c r="H8496" t="s">
        <v>11</v>
      </c>
      <c r="I8496" t="s">
        <v>10</v>
      </c>
    </row>
    <row r="8497" spans="1:9" x14ac:dyDescent="0.25">
      <c r="A8497" t="str">
        <f t="shared" si="203"/>
        <v>89301000</v>
      </c>
      <c r="B8497" t="str">
        <f>"5961091631"</f>
        <v>5961091631</v>
      </c>
      <c r="C8497" s="1">
        <v>44998</v>
      </c>
      <c r="D8497" s="1">
        <v>44999</v>
      </c>
      <c r="E8497">
        <v>1</v>
      </c>
      <c r="F8497" t="str">
        <f>"06-M01-03"</f>
        <v>06-M01-03</v>
      </c>
      <c r="G8497">
        <v>0.82350000000000001</v>
      </c>
      <c r="H8497" t="s">
        <v>11</v>
      </c>
      <c r="I8497" t="s">
        <v>10</v>
      </c>
    </row>
    <row r="8498" spans="1:9" x14ac:dyDescent="0.25">
      <c r="A8498" t="str">
        <f t="shared" ref="A8498:A8560" si="204">"89301000"</f>
        <v>89301000</v>
      </c>
      <c r="B8498" t="str">
        <f>"5961101553"</f>
        <v>5961101553</v>
      </c>
      <c r="C8498" s="1">
        <v>45240</v>
      </c>
      <c r="D8498" s="1">
        <v>45240</v>
      </c>
      <c r="E8498">
        <v>1</v>
      </c>
      <c r="F8498" t="str">
        <f>"05-M10-00"</f>
        <v>05-M10-00</v>
      </c>
      <c r="G8498">
        <v>0.1019</v>
      </c>
      <c r="H8498" t="s">
        <v>11</v>
      </c>
      <c r="I8498" t="s">
        <v>10</v>
      </c>
    </row>
    <row r="8499" spans="1:9" x14ac:dyDescent="0.25">
      <c r="A8499" t="str">
        <f t="shared" si="204"/>
        <v>89301000</v>
      </c>
      <c r="B8499" t="str">
        <f>"5961171051"</f>
        <v>5961171051</v>
      </c>
      <c r="C8499" s="1">
        <v>45237</v>
      </c>
      <c r="D8499" s="1">
        <v>45239</v>
      </c>
      <c r="E8499">
        <v>1</v>
      </c>
      <c r="F8499" t="str">
        <f>"05-M05-02"</f>
        <v>05-M05-02</v>
      </c>
      <c r="G8499">
        <v>3.5562999999999998</v>
      </c>
      <c r="H8499" t="s">
        <v>14</v>
      </c>
      <c r="I8499" t="s">
        <v>10</v>
      </c>
    </row>
    <row r="8500" spans="1:9" x14ac:dyDescent="0.25">
      <c r="A8500" t="str">
        <f t="shared" si="204"/>
        <v>89301000</v>
      </c>
      <c r="B8500" t="str">
        <f>"5961190279"</f>
        <v>5961190279</v>
      </c>
      <c r="C8500" s="1">
        <v>45001</v>
      </c>
      <c r="D8500" s="1">
        <v>45014</v>
      </c>
      <c r="E8500">
        <v>1</v>
      </c>
      <c r="F8500" t="str">
        <f>"01-K02-04"</f>
        <v>01-K02-04</v>
      </c>
      <c r="G8500">
        <v>1.2504</v>
      </c>
      <c r="H8500" t="s">
        <v>11</v>
      </c>
      <c r="I8500" t="s">
        <v>10</v>
      </c>
    </row>
    <row r="8501" spans="1:9" x14ac:dyDescent="0.25">
      <c r="A8501" t="str">
        <f t="shared" si="204"/>
        <v>89301000</v>
      </c>
      <c r="B8501" t="str">
        <f>"5961220892"</f>
        <v>5961220892</v>
      </c>
      <c r="C8501" s="1">
        <v>44971</v>
      </c>
      <c r="D8501" s="1">
        <v>44975</v>
      </c>
      <c r="E8501">
        <v>1</v>
      </c>
      <c r="F8501" t="str">
        <f>"03-I17-00"</f>
        <v>03-I17-00</v>
      </c>
      <c r="G8501">
        <v>0.83489999999999998</v>
      </c>
      <c r="H8501" t="s">
        <v>9</v>
      </c>
      <c r="I8501" t="s">
        <v>10</v>
      </c>
    </row>
    <row r="8502" spans="1:9" x14ac:dyDescent="0.25">
      <c r="A8502" t="str">
        <f t="shared" si="204"/>
        <v>89301000</v>
      </c>
      <c r="B8502" t="str">
        <f>"5961231452"</f>
        <v>5961231452</v>
      </c>
      <c r="C8502" s="1">
        <v>44983</v>
      </c>
      <c r="D8502" s="1">
        <v>44992</v>
      </c>
      <c r="E8502">
        <v>4</v>
      </c>
      <c r="F8502" t="str">
        <f>"08-I06-04"</f>
        <v>08-I06-04</v>
      </c>
      <c r="G8502">
        <v>2.4180000000000001</v>
      </c>
      <c r="H8502" t="s">
        <v>9</v>
      </c>
      <c r="I8502" t="s">
        <v>10</v>
      </c>
    </row>
    <row r="8503" spans="1:9" x14ac:dyDescent="0.25">
      <c r="A8503" t="str">
        <f t="shared" si="204"/>
        <v>89301000</v>
      </c>
      <c r="B8503" t="str">
        <f>"5961251296"</f>
        <v>5961251296</v>
      </c>
      <c r="C8503" s="1">
        <v>45047</v>
      </c>
      <c r="D8503" s="1">
        <v>45049</v>
      </c>
      <c r="E8503">
        <v>1</v>
      </c>
      <c r="F8503" t="str">
        <f>"08-M03-05"</f>
        <v>08-M03-05</v>
      </c>
      <c r="G8503">
        <v>0.46810000000000002</v>
      </c>
      <c r="H8503" t="s">
        <v>11</v>
      </c>
      <c r="I8503" t="s">
        <v>10</v>
      </c>
    </row>
    <row r="8504" spans="1:9" x14ac:dyDescent="0.25">
      <c r="A8504" t="str">
        <f t="shared" si="204"/>
        <v>89301000</v>
      </c>
      <c r="B8504" t="str">
        <f>"5962071192"</f>
        <v>5962071192</v>
      </c>
      <c r="C8504" s="1">
        <v>45097</v>
      </c>
      <c r="D8504" s="1">
        <v>45100</v>
      </c>
      <c r="E8504">
        <v>1</v>
      </c>
      <c r="F8504" t="str">
        <f>"06-M01-02"</f>
        <v>06-M01-02</v>
      </c>
      <c r="G8504">
        <v>1.2206999999999999</v>
      </c>
      <c r="H8504" t="s">
        <v>11</v>
      </c>
      <c r="I8504" t="s">
        <v>10</v>
      </c>
    </row>
    <row r="8505" spans="1:9" x14ac:dyDescent="0.25">
      <c r="A8505" t="str">
        <f t="shared" si="204"/>
        <v>89301000</v>
      </c>
      <c r="B8505" t="str">
        <f>"5962081477"</f>
        <v>5962081477</v>
      </c>
      <c r="C8505" s="1">
        <v>45264</v>
      </c>
      <c r="D8505" s="1">
        <v>45266</v>
      </c>
      <c r="E8505">
        <v>1</v>
      </c>
      <c r="F8505" t="str">
        <f>"08-I17-02"</f>
        <v>08-I17-02</v>
      </c>
      <c r="G8505">
        <v>0.89680000000000004</v>
      </c>
      <c r="H8505" t="s">
        <v>11</v>
      </c>
      <c r="I8505" t="s">
        <v>10</v>
      </c>
    </row>
    <row r="8506" spans="1:9" x14ac:dyDescent="0.25">
      <c r="A8506" t="str">
        <f t="shared" si="204"/>
        <v>89301000</v>
      </c>
      <c r="B8506" t="str">
        <f>"5962111419"</f>
        <v>5962111419</v>
      </c>
      <c r="C8506" s="1">
        <v>45001</v>
      </c>
      <c r="D8506" s="1">
        <v>45005</v>
      </c>
      <c r="E8506">
        <v>1</v>
      </c>
      <c r="F8506" t="str">
        <f>"07-I10-06"</f>
        <v>07-I10-06</v>
      </c>
      <c r="G8506">
        <v>0.98419999999999996</v>
      </c>
      <c r="H8506" t="s">
        <v>12</v>
      </c>
      <c r="I8506" t="s">
        <v>10</v>
      </c>
    </row>
    <row r="8507" spans="1:9" x14ac:dyDescent="0.25">
      <c r="A8507" t="str">
        <f t="shared" si="204"/>
        <v>89301000</v>
      </c>
      <c r="B8507" t="str">
        <f>"5962191543"</f>
        <v>5962191543</v>
      </c>
      <c r="C8507" s="1">
        <v>44929</v>
      </c>
      <c r="D8507" s="1">
        <v>44935</v>
      </c>
      <c r="E8507">
        <v>1</v>
      </c>
      <c r="F8507" t="str">
        <f>"06-I07-05"</f>
        <v>06-I07-05</v>
      </c>
      <c r="G8507">
        <v>2.7919999999999998</v>
      </c>
      <c r="H8507" t="s">
        <v>12</v>
      </c>
      <c r="I8507" t="s">
        <v>10</v>
      </c>
    </row>
    <row r="8508" spans="1:9" x14ac:dyDescent="0.25">
      <c r="A8508" t="str">
        <f t="shared" si="204"/>
        <v>89301000</v>
      </c>
      <c r="B8508" t="str">
        <f>"5962191576"</f>
        <v>5962191576</v>
      </c>
      <c r="C8508" s="1">
        <v>44938</v>
      </c>
      <c r="D8508" s="1">
        <v>44940</v>
      </c>
      <c r="E8508">
        <v>1</v>
      </c>
      <c r="F8508" t="str">
        <f>"09-I09-02"</f>
        <v>09-I09-02</v>
      </c>
      <c r="G8508">
        <v>0.81530000000000002</v>
      </c>
      <c r="H8508" t="s">
        <v>12</v>
      </c>
      <c r="I8508" t="s">
        <v>10</v>
      </c>
    </row>
    <row r="8509" spans="1:9" x14ac:dyDescent="0.25">
      <c r="A8509" t="str">
        <f t="shared" si="204"/>
        <v>89301000</v>
      </c>
      <c r="B8509" t="str">
        <f>"5962270523"</f>
        <v>5962270523</v>
      </c>
      <c r="C8509" s="1">
        <v>45246</v>
      </c>
      <c r="D8509" s="1">
        <v>45253</v>
      </c>
      <c r="E8509">
        <v>1</v>
      </c>
      <c r="F8509" t="str">
        <f>"08-K08-00"</f>
        <v>08-K08-00</v>
      </c>
      <c r="G8509">
        <v>0.5272</v>
      </c>
      <c r="H8509" t="s">
        <v>11</v>
      </c>
      <c r="I8509" t="s">
        <v>10</v>
      </c>
    </row>
    <row r="8510" spans="1:9" x14ac:dyDescent="0.25">
      <c r="A8510" t="str">
        <f t="shared" si="204"/>
        <v>89301000</v>
      </c>
      <c r="B8510" t="str">
        <f>"5962291049"</f>
        <v>5962291049</v>
      </c>
      <c r="C8510" s="1">
        <v>45187</v>
      </c>
      <c r="D8510" s="1">
        <v>45190</v>
      </c>
      <c r="E8510">
        <v>1</v>
      </c>
      <c r="F8510" t="str">
        <f>"13-I14-03"</f>
        <v>13-I14-03</v>
      </c>
      <c r="G8510">
        <v>0.87760000000000005</v>
      </c>
      <c r="H8510" t="s">
        <v>9</v>
      </c>
      <c r="I8510" t="s">
        <v>10</v>
      </c>
    </row>
    <row r="8511" spans="1:9" x14ac:dyDescent="0.25">
      <c r="A8511" t="str">
        <f t="shared" si="204"/>
        <v>89301000</v>
      </c>
      <c r="B8511" t="str">
        <f>"5962291456"</f>
        <v>5962291456</v>
      </c>
      <c r="C8511" s="1">
        <v>45236</v>
      </c>
      <c r="D8511" s="1">
        <v>45239</v>
      </c>
      <c r="E8511">
        <v>1</v>
      </c>
      <c r="F8511" t="str">
        <f>"07-I10-06"</f>
        <v>07-I10-06</v>
      </c>
      <c r="G8511">
        <v>0.98419999999999996</v>
      </c>
      <c r="H8511" t="s">
        <v>12</v>
      </c>
      <c r="I8511" t="s">
        <v>10</v>
      </c>
    </row>
    <row r="8512" spans="1:9" x14ac:dyDescent="0.25">
      <c r="A8512" t="str">
        <f t="shared" si="204"/>
        <v>89301000</v>
      </c>
      <c r="B8512" t="str">
        <f>"5962301400"</f>
        <v>5962301400</v>
      </c>
      <c r="C8512" s="1">
        <v>45175</v>
      </c>
      <c r="D8512" s="1">
        <v>45176</v>
      </c>
      <c r="E8512">
        <v>1</v>
      </c>
      <c r="F8512" t="str">
        <f>"05-M06-08"</f>
        <v>05-M06-08</v>
      </c>
      <c r="G8512">
        <v>1.4228000000000001</v>
      </c>
      <c r="H8512" t="s">
        <v>12</v>
      </c>
      <c r="I8512" t="s">
        <v>10</v>
      </c>
    </row>
    <row r="8513" spans="1:9" x14ac:dyDescent="0.25">
      <c r="A8513" t="str">
        <f t="shared" si="204"/>
        <v>89301000</v>
      </c>
      <c r="B8513" t="str">
        <f>"6001031564"</f>
        <v>6001031564</v>
      </c>
      <c r="C8513" s="1">
        <v>45237</v>
      </c>
      <c r="D8513" s="1">
        <v>45239</v>
      </c>
      <c r="E8513">
        <v>1</v>
      </c>
      <c r="F8513" t="str">
        <f>"05-M05-02"</f>
        <v>05-M05-02</v>
      </c>
      <c r="G8513">
        <v>3.5562999999999998</v>
      </c>
      <c r="H8513" t="s">
        <v>14</v>
      </c>
      <c r="I8513" t="s">
        <v>10</v>
      </c>
    </row>
    <row r="8514" spans="1:9" x14ac:dyDescent="0.25">
      <c r="A8514" t="str">
        <f t="shared" si="204"/>
        <v>89301000</v>
      </c>
      <c r="B8514" t="str">
        <f>"6001070229"</f>
        <v>6001070229</v>
      </c>
      <c r="C8514" s="1">
        <v>45083</v>
      </c>
      <c r="D8514" s="1">
        <v>45085</v>
      </c>
      <c r="E8514">
        <v>1</v>
      </c>
      <c r="F8514" t="str">
        <f>"06-M01-05"</f>
        <v>06-M01-05</v>
      </c>
      <c r="G8514">
        <v>0.4178</v>
      </c>
      <c r="H8514" t="s">
        <v>11</v>
      </c>
      <c r="I8514" t="s">
        <v>10</v>
      </c>
    </row>
    <row r="8515" spans="1:9" x14ac:dyDescent="0.25">
      <c r="A8515" t="str">
        <f t="shared" si="204"/>
        <v>89301000</v>
      </c>
      <c r="B8515" t="str">
        <f>"6001121885"</f>
        <v>6001121885</v>
      </c>
      <c r="C8515" s="1">
        <v>45173</v>
      </c>
      <c r="D8515" s="1">
        <v>45180</v>
      </c>
      <c r="E8515">
        <v>1</v>
      </c>
      <c r="F8515" t="str">
        <f>"04-I02-04"</f>
        <v>04-I02-04</v>
      </c>
      <c r="G8515">
        <v>3.0272999999999999</v>
      </c>
      <c r="H8515" t="s">
        <v>14</v>
      </c>
      <c r="I8515" t="s">
        <v>10</v>
      </c>
    </row>
    <row r="8516" spans="1:9" x14ac:dyDescent="0.25">
      <c r="A8516" t="str">
        <f t="shared" si="204"/>
        <v>89301000</v>
      </c>
      <c r="B8516" t="str">
        <f>"6001121885"</f>
        <v>6001121885</v>
      </c>
      <c r="C8516" s="1">
        <v>45041</v>
      </c>
      <c r="D8516" s="1">
        <v>45048</v>
      </c>
      <c r="E8516">
        <v>1</v>
      </c>
      <c r="F8516" t="str">
        <f>"11-I04-02"</f>
        <v>11-I04-02</v>
      </c>
      <c r="G8516">
        <v>2.6577999999999999</v>
      </c>
      <c r="H8516" t="s">
        <v>9</v>
      </c>
      <c r="I8516" t="s">
        <v>10</v>
      </c>
    </row>
    <row r="8517" spans="1:9" x14ac:dyDescent="0.25">
      <c r="A8517" t="str">
        <f t="shared" si="204"/>
        <v>89301000</v>
      </c>
      <c r="B8517" t="str">
        <f>"6001211084"</f>
        <v>6001211084</v>
      </c>
      <c r="C8517" s="1">
        <v>45225</v>
      </c>
      <c r="D8517" s="1">
        <v>45232</v>
      </c>
      <c r="E8517">
        <v>1</v>
      </c>
      <c r="F8517" t="str">
        <f>"05-I16-04"</f>
        <v>05-I16-04</v>
      </c>
      <c r="G8517">
        <v>6.2375999999999996</v>
      </c>
      <c r="H8517" t="s">
        <v>14</v>
      </c>
      <c r="I8517" t="s">
        <v>10</v>
      </c>
    </row>
    <row r="8518" spans="1:9" x14ac:dyDescent="0.25">
      <c r="A8518" t="str">
        <f t="shared" si="204"/>
        <v>89301000</v>
      </c>
      <c r="B8518" t="str">
        <f>"6001230488"</f>
        <v>6001230488</v>
      </c>
      <c r="C8518" s="1">
        <v>44966</v>
      </c>
      <c r="D8518" s="1">
        <v>44971</v>
      </c>
      <c r="E8518">
        <v>1</v>
      </c>
      <c r="F8518" t="str">
        <f>"07-K07-01"</f>
        <v>07-K07-01</v>
      </c>
      <c r="G8518">
        <v>0.95240000000000002</v>
      </c>
      <c r="H8518" t="s">
        <v>11</v>
      </c>
      <c r="I8518" t="s">
        <v>10</v>
      </c>
    </row>
    <row r="8519" spans="1:9" x14ac:dyDescent="0.25">
      <c r="A8519" t="str">
        <f t="shared" si="204"/>
        <v>89301000</v>
      </c>
      <c r="B8519" t="str">
        <f>"6001230488"</f>
        <v>6001230488</v>
      </c>
      <c r="C8519" s="1">
        <v>44942</v>
      </c>
      <c r="D8519" s="1">
        <v>44943</v>
      </c>
      <c r="E8519">
        <v>1</v>
      </c>
      <c r="F8519" t="str">
        <f>"07-K07-02"</f>
        <v>07-K07-02</v>
      </c>
      <c r="G8519">
        <v>0.4839</v>
      </c>
      <c r="H8519" t="s">
        <v>11</v>
      </c>
      <c r="I8519" t="s">
        <v>10</v>
      </c>
    </row>
    <row r="8520" spans="1:9" x14ac:dyDescent="0.25">
      <c r="A8520" t="str">
        <f t="shared" si="204"/>
        <v>89301000</v>
      </c>
      <c r="B8520" t="str">
        <f>"6001230488"</f>
        <v>6001230488</v>
      </c>
      <c r="C8520" s="1">
        <v>44928</v>
      </c>
      <c r="D8520" s="1">
        <v>44930</v>
      </c>
      <c r="E8520">
        <v>1</v>
      </c>
      <c r="F8520" t="str">
        <f>"07-K08-02"</f>
        <v>07-K08-02</v>
      </c>
      <c r="G8520">
        <v>0.3165</v>
      </c>
      <c r="H8520" t="s">
        <v>11</v>
      </c>
      <c r="I8520" t="s">
        <v>10</v>
      </c>
    </row>
    <row r="8521" spans="1:9" x14ac:dyDescent="0.25">
      <c r="A8521" t="str">
        <f t="shared" si="204"/>
        <v>89301000</v>
      </c>
      <c r="B8521" t="str">
        <f>"6001251399"</f>
        <v>6001251399</v>
      </c>
      <c r="C8521" s="1">
        <v>45203</v>
      </c>
      <c r="D8521" s="1">
        <v>45204</v>
      </c>
      <c r="E8521">
        <v>1</v>
      </c>
      <c r="F8521" t="str">
        <f>"08-I19-03"</f>
        <v>08-I19-03</v>
      </c>
      <c r="G8521">
        <v>0.59130000000000005</v>
      </c>
      <c r="H8521" t="s">
        <v>12</v>
      </c>
      <c r="I8521" t="s">
        <v>10</v>
      </c>
    </row>
    <row r="8522" spans="1:9" x14ac:dyDescent="0.25">
      <c r="A8522" t="str">
        <f t="shared" si="204"/>
        <v>89301000</v>
      </c>
      <c r="B8522" t="str">
        <f>"6001261442"</f>
        <v>6001261442</v>
      </c>
      <c r="C8522" s="1">
        <v>45062</v>
      </c>
      <c r="D8522" s="1">
        <v>45077</v>
      </c>
      <c r="E8522">
        <v>3</v>
      </c>
      <c r="F8522" t="str">
        <f>"01-K10-02"</f>
        <v>01-K10-02</v>
      </c>
      <c r="G8522">
        <v>1.6027</v>
      </c>
      <c r="H8522" t="s">
        <v>11</v>
      </c>
      <c r="I8522" t="s">
        <v>10</v>
      </c>
    </row>
    <row r="8523" spans="1:9" x14ac:dyDescent="0.25">
      <c r="A8523" t="str">
        <f t="shared" si="204"/>
        <v>89301000</v>
      </c>
      <c r="B8523" t="str">
        <f>"6001261442"</f>
        <v>6001261442</v>
      </c>
      <c r="C8523" s="1">
        <v>45077</v>
      </c>
      <c r="D8523" s="1">
        <v>45111</v>
      </c>
      <c r="E8523">
        <v>1</v>
      </c>
      <c r="F8523" t="str">
        <f>"24-M10-01"</f>
        <v>24-M10-01</v>
      </c>
      <c r="G8523">
        <v>4.1966999999999999</v>
      </c>
      <c r="H8523" t="s">
        <v>11</v>
      </c>
      <c r="I8523" t="s">
        <v>10</v>
      </c>
    </row>
    <row r="8524" spans="1:9" x14ac:dyDescent="0.25">
      <c r="A8524" t="str">
        <f t="shared" si="204"/>
        <v>89301000</v>
      </c>
      <c r="B8524" t="str">
        <f>"6001281693"</f>
        <v>6001281693</v>
      </c>
      <c r="C8524" s="1">
        <v>45182</v>
      </c>
      <c r="D8524" s="1">
        <v>45184</v>
      </c>
      <c r="E8524">
        <v>1</v>
      </c>
      <c r="F8524" t="str">
        <f>"01-K08-02"</f>
        <v>01-K08-02</v>
      </c>
      <c r="G8524">
        <v>0.60619999999999996</v>
      </c>
      <c r="H8524" t="s">
        <v>11</v>
      </c>
      <c r="I8524" t="s">
        <v>10</v>
      </c>
    </row>
    <row r="8525" spans="1:9" x14ac:dyDescent="0.25">
      <c r="A8525" t="str">
        <f t="shared" si="204"/>
        <v>89301000</v>
      </c>
      <c r="B8525" t="str">
        <f>"6002031024"</f>
        <v>6002031024</v>
      </c>
      <c r="C8525" s="1">
        <v>45144</v>
      </c>
      <c r="D8525" s="1">
        <v>45147</v>
      </c>
      <c r="E8525">
        <v>1</v>
      </c>
      <c r="F8525" t="str">
        <f>"05-M07-06"</f>
        <v>05-M07-06</v>
      </c>
      <c r="G8525">
        <v>1.2264999999999999</v>
      </c>
      <c r="H8525" t="s">
        <v>12</v>
      </c>
      <c r="I8525" t="s">
        <v>10</v>
      </c>
    </row>
    <row r="8526" spans="1:9" x14ac:dyDescent="0.25">
      <c r="A8526" t="str">
        <f t="shared" si="204"/>
        <v>89301000</v>
      </c>
      <c r="B8526" t="str">
        <f>"6002070569"</f>
        <v>6002070569</v>
      </c>
      <c r="C8526" s="1">
        <v>44937</v>
      </c>
      <c r="D8526" s="1">
        <v>44944</v>
      </c>
      <c r="E8526">
        <v>1</v>
      </c>
      <c r="F8526" t="str">
        <f>"01-K08-02"</f>
        <v>01-K08-02</v>
      </c>
      <c r="G8526">
        <v>0.60619999999999996</v>
      </c>
      <c r="H8526" t="s">
        <v>11</v>
      </c>
      <c r="I8526" t="s">
        <v>10</v>
      </c>
    </row>
    <row r="8527" spans="1:9" x14ac:dyDescent="0.25">
      <c r="A8527" t="str">
        <f t="shared" si="204"/>
        <v>89301000</v>
      </c>
      <c r="B8527" t="str">
        <f>"6002070569"</f>
        <v>6002070569</v>
      </c>
      <c r="C8527" s="1">
        <v>44986</v>
      </c>
      <c r="D8527" s="1">
        <v>44989</v>
      </c>
      <c r="E8527">
        <v>1</v>
      </c>
      <c r="F8527" t="str">
        <f>"08-I03-08"</f>
        <v>08-I03-08</v>
      </c>
      <c r="G8527">
        <v>1.9455</v>
      </c>
      <c r="H8527" t="s">
        <v>9</v>
      </c>
      <c r="I8527" t="s">
        <v>10</v>
      </c>
    </row>
    <row r="8528" spans="1:9" x14ac:dyDescent="0.25">
      <c r="A8528" t="str">
        <f t="shared" si="204"/>
        <v>89301000</v>
      </c>
      <c r="B8528" t="str">
        <f>"6002100401"</f>
        <v>6002100401</v>
      </c>
      <c r="C8528" s="1">
        <v>44973</v>
      </c>
      <c r="D8528" s="1">
        <v>44975</v>
      </c>
      <c r="E8528">
        <v>1</v>
      </c>
      <c r="F8528" t="str">
        <f>"05-M06-06"</f>
        <v>05-M06-06</v>
      </c>
      <c r="G8528">
        <v>1.8264</v>
      </c>
      <c r="H8528" t="s">
        <v>12</v>
      </c>
      <c r="I8528" t="s">
        <v>10</v>
      </c>
    </row>
    <row r="8529" spans="1:9" x14ac:dyDescent="0.25">
      <c r="A8529" t="str">
        <f t="shared" si="204"/>
        <v>89301000</v>
      </c>
      <c r="B8529" t="str">
        <f>"6002130255"</f>
        <v>6002130255</v>
      </c>
      <c r="C8529" s="1">
        <v>45208</v>
      </c>
      <c r="D8529" s="1">
        <v>45210</v>
      </c>
      <c r="E8529">
        <v>4</v>
      </c>
      <c r="F8529" t="str">
        <f>"05-K14-02"</f>
        <v>05-K14-02</v>
      </c>
      <c r="G8529">
        <v>0.9103</v>
      </c>
      <c r="H8529" t="s">
        <v>11</v>
      </c>
      <c r="I8529" t="s">
        <v>10</v>
      </c>
    </row>
    <row r="8530" spans="1:9" x14ac:dyDescent="0.25">
      <c r="A8530" t="str">
        <f t="shared" si="204"/>
        <v>89301000</v>
      </c>
      <c r="B8530" t="str">
        <f>"6002130255"</f>
        <v>6002130255</v>
      </c>
      <c r="C8530" s="1">
        <v>45110</v>
      </c>
      <c r="D8530" s="1">
        <v>45114</v>
      </c>
      <c r="E8530">
        <v>5</v>
      </c>
      <c r="F8530" t="str">
        <f>"07-K11-01"</f>
        <v>07-K11-01</v>
      </c>
      <c r="G8530">
        <v>1.2588999999999999</v>
      </c>
      <c r="H8530" t="s">
        <v>11</v>
      </c>
      <c r="I8530" t="s">
        <v>10</v>
      </c>
    </row>
    <row r="8531" spans="1:9" x14ac:dyDescent="0.25">
      <c r="A8531" t="str">
        <f t="shared" si="204"/>
        <v>89301000</v>
      </c>
      <c r="B8531" t="str">
        <f>"6002130255"</f>
        <v>6002130255</v>
      </c>
      <c r="C8531" s="1">
        <v>45273</v>
      </c>
      <c r="D8531" s="1">
        <v>45275</v>
      </c>
      <c r="E8531">
        <v>1</v>
      </c>
      <c r="F8531" t="str">
        <f>"22-K04-00"</f>
        <v>22-K04-00</v>
      </c>
      <c r="G8531">
        <v>0.70130000000000003</v>
      </c>
      <c r="H8531" t="s">
        <v>11</v>
      </c>
      <c r="I8531" t="s">
        <v>10</v>
      </c>
    </row>
    <row r="8532" spans="1:9" x14ac:dyDescent="0.25">
      <c r="A8532" t="str">
        <f t="shared" si="204"/>
        <v>89301000</v>
      </c>
      <c r="B8532" t="str">
        <f>"6002150363"</f>
        <v>6002150363</v>
      </c>
      <c r="C8532" s="1">
        <v>45184</v>
      </c>
      <c r="D8532" s="1">
        <v>45205</v>
      </c>
      <c r="E8532">
        <v>1</v>
      </c>
      <c r="F8532" t="str">
        <f>"05-I08-02"</f>
        <v>05-I08-02</v>
      </c>
      <c r="G8532">
        <v>11.1877</v>
      </c>
      <c r="H8532" t="s">
        <v>14</v>
      </c>
      <c r="I8532" t="s">
        <v>10</v>
      </c>
    </row>
    <row r="8533" spans="1:9" x14ac:dyDescent="0.25">
      <c r="A8533" t="str">
        <f t="shared" si="204"/>
        <v>89301000</v>
      </c>
      <c r="B8533" t="str">
        <f>"6002261133"</f>
        <v>6002261133</v>
      </c>
      <c r="C8533" s="1">
        <v>45264</v>
      </c>
      <c r="D8533" s="1">
        <v>45269</v>
      </c>
      <c r="E8533">
        <v>1</v>
      </c>
      <c r="F8533" t="str">
        <f>"03-I07-01"</f>
        <v>03-I07-01</v>
      </c>
      <c r="G8533">
        <v>4.0044000000000004</v>
      </c>
      <c r="H8533" t="s">
        <v>12</v>
      </c>
      <c r="I8533" t="s">
        <v>10</v>
      </c>
    </row>
    <row r="8534" spans="1:9" x14ac:dyDescent="0.25">
      <c r="A8534" t="str">
        <f t="shared" si="204"/>
        <v>89301000</v>
      </c>
      <c r="B8534" t="str">
        <f>"6002272144"</f>
        <v>6002272144</v>
      </c>
      <c r="C8534" s="1">
        <v>45160</v>
      </c>
      <c r="D8534" s="1">
        <v>45167</v>
      </c>
      <c r="E8534">
        <v>1</v>
      </c>
      <c r="F8534" t="str">
        <f>"05-I24-02"</f>
        <v>05-I24-02</v>
      </c>
      <c r="G8534">
        <v>3.9392</v>
      </c>
      <c r="H8534" t="s">
        <v>12</v>
      </c>
      <c r="I8534" t="s">
        <v>10</v>
      </c>
    </row>
    <row r="8535" spans="1:9" x14ac:dyDescent="0.25">
      <c r="A8535" t="str">
        <f t="shared" si="204"/>
        <v>89301000</v>
      </c>
      <c r="B8535" t="str">
        <f>"6003056697"</f>
        <v>6003056697</v>
      </c>
      <c r="C8535" s="1">
        <v>45056</v>
      </c>
      <c r="D8535" s="1">
        <v>45063</v>
      </c>
      <c r="E8535">
        <v>1</v>
      </c>
      <c r="F8535" t="str">
        <f>"04-K02-03"</f>
        <v>04-K02-03</v>
      </c>
      <c r="G8535">
        <v>1.298</v>
      </c>
      <c r="H8535" t="s">
        <v>11</v>
      </c>
      <c r="I8535" t="s">
        <v>10</v>
      </c>
    </row>
    <row r="8536" spans="1:9" x14ac:dyDescent="0.25">
      <c r="A8536" t="str">
        <f t="shared" si="204"/>
        <v>89301000</v>
      </c>
      <c r="B8536" t="str">
        <f>"6003062175"</f>
        <v>6003062175</v>
      </c>
      <c r="C8536" s="1">
        <v>45149</v>
      </c>
      <c r="D8536" s="1">
        <v>45149</v>
      </c>
      <c r="E8536">
        <v>8</v>
      </c>
      <c r="F8536" t="str">
        <f>"05-K06-03"</f>
        <v>05-K06-03</v>
      </c>
      <c r="G8536">
        <v>0.40910000000000002</v>
      </c>
      <c r="H8536" t="s">
        <v>11</v>
      </c>
      <c r="I8536" t="s">
        <v>10</v>
      </c>
    </row>
    <row r="8537" spans="1:9" x14ac:dyDescent="0.25">
      <c r="A8537" t="str">
        <f t="shared" si="204"/>
        <v>89301000</v>
      </c>
      <c r="B8537" t="str">
        <f>"6003062175"</f>
        <v>6003062175</v>
      </c>
      <c r="C8537" s="1">
        <v>44928</v>
      </c>
      <c r="D8537" s="1">
        <v>44930</v>
      </c>
      <c r="E8537">
        <v>1</v>
      </c>
      <c r="F8537" t="str">
        <f>"03-C01-02"</f>
        <v>03-C01-02</v>
      </c>
      <c r="G8537">
        <v>0.45800000000000002</v>
      </c>
      <c r="H8537" t="s">
        <v>11</v>
      </c>
      <c r="I8537" t="s">
        <v>10</v>
      </c>
    </row>
    <row r="8538" spans="1:9" x14ac:dyDescent="0.25">
      <c r="A8538" t="str">
        <f t="shared" si="204"/>
        <v>89301000</v>
      </c>
      <c r="B8538" t="str">
        <f>"6003191513"</f>
        <v>6003191513</v>
      </c>
      <c r="C8538" s="1">
        <v>45162</v>
      </c>
      <c r="D8538" s="1">
        <v>45182</v>
      </c>
      <c r="E8538">
        <v>1</v>
      </c>
      <c r="F8538" t="str">
        <f>"11-M02-04"</f>
        <v>11-M02-04</v>
      </c>
      <c r="G8538">
        <v>4.0118999999999998</v>
      </c>
      <c r="H8538" t="s">
        <v>11</v>
      </c>
      <c r="I8538" t="s">
        <v>10</v>
      </c>
    </row>
    <row r="8539" spans="1:9" x14ac:dyDescent="0.25">
      <c r="A8539" t="str">
        <f t="shared" si="204"/>
        <v>89301000</v>
      </c>
      <c r="B8539" t="str">
        <f>"6003191513"</f>
        <v>6003191513</v>
      </c>
      <c r="C8539" s="1">
        <v>45196</v>
      </c>
      <c r="D8539" s="1">
        <v>45197</v>
      </c>
      <c r="E8539">
        <v>1</v>
      </c>
      <c r="F8539" t="str">
        <f>"11-I16-02"</f>
        <v>11-I16-02</v>
      </c>
      <c r="G8539">
        <v>0.45679999999999998</v>
      </c>
      <c r="H8539" t="s">
        <v>11</v>
      </c>
      <c r="I8539" t="s">
        <v>10</v>
      </c>
    </row>
    <row r="8540" spans="1:9" x14ac:dyDescent="0.25">
      <c r="A8540" t="str">
        <f t="shared" si="204"/>
        <v>89301000</v>
      </c>
      <c r="B8540" t="str">
        <f>"6003191513"</f>
        <v>6003191513</v>
      </c>
      <c r="C8540" s="1">
        <v>45144</v>
      </c>
      <c r="D8540" s="1">
        <v>45149</v>
      </c>
      <c r="E8540">
        <v>1</v>
      </c>
      <c r="F8540" t="str">
        <f>"11-K03-02"</f>
        <v>11-K03-02</v>
      </c>
      <c r="G8540">
        <v>0.622</v>
      </c>
      <c r="H8540" t="s">
        <v>11</v>
      </c>
      <c r="I8540" t="s">
        <v>10</v>
      </c>
    </row>
    <row r="8541" spans="1:9" x14ac:dyDescent="0.25">
      <c r="A8541" t="str">
        <f t="shared" si="204"/>
        <v>89301000</v>
      </c>
      <c r="B8541" t="str">
        <f>"6003191513"</f>
        <v>6003191513</v>
      </c>
      <c r="C8541" s="1">
        <v>45258</v>
      </c>
      <c r="D8541" s="1">
        <v>45265</v>
      </c>
      <c r="E8541">
        <v>1</v>
      </c>
      <c r="F8541" t="str">
        <f>"09-K01-02"</f>
        <v>09-K01-02</v>
      </c>
      <c r="G8541">
        <v>1.0348999999999999</v>
      </c>
      <c r="H8541" t="s">
        <v>11</v>
      </c>
      <c r="I8541" t="s">
        <v>10</v>
      </c>
    </row>
    <row r="8542" spans="1:9" x14ac:dyDescent="0.25">
      <c r="A8542" t="str">
        <f t="shared" si="204"/>
        <v>89301000</v>
      </c>
      <c r="B8542" t="str">
        <f>"6003191513"</f>
        <v>6003191513</v>
      </c>
      <c r="C8542" s="1">
        <v>45120</v>
      </c>
      <c r="D8542" s="1">
        <v>45132</v>
      </c>
      <c r="E8542">
        <v>1</v>
      </c>
      <c r="F8542" t="str">
        <f>"11-K03-02"</f>
        <v>11-K03-02</v>
      </c>
      <c r="G8542">
        <v>0.622</v>
      </c>
      <c r="H8542" t="s">
        <v>11</v>
      </c>
      <c r="I8542" t="s">
        <v>10</v>
      </c>
    </row>
    <row r="8543" spans="1:9" x14ac:dyDescent="0.25">
      <c r="A8543" t="str">
        <f t="shared" si="204"/>
        <v>89301000</v>
      </c>
      <c r="B8543" t="str">
        <f>"6003271428"</f>
        <v>6003271428</v>
      </c>
      <c r="C8543" s="1">
        <v>45218</v>
      </c>
      <c r="D8543" s="1">
        <v>45221</v>
      </c>
      <c r="E8543">
        <v>1</v>
      </c>
      <c r="F8543" t="str">
        <f>"08-I22-02"</f>
        <v>08-I22-02</v>
      </c>
      <c r="G8543">
        <v>1.131</v>
      </c>
      <c r="H8543" t="s">
        <v>12</v>
      </c>
      <c r="I8543" t="s">
        <v>10</v>
      </c>
    </row>
    <row r="8544" spans="1:9" x14ac:dyDescent="0.25">
      <c r="A8544" t="str">
        <f t="shared" si="204"/>
        <v>89301000</v>
      </c>
      <c r="B8544" t="str">
        <f>"6004031055"</f>
        <v>6004031055</v>
      </c>
      <c r="C8544" s="1">
        <v>45091</v>
      </c>
      <c r="D8544" s="1">
        <v>45092</v>
      </c>
      <c r="E8544">
        <v>1</v>
      </c>
      <c r="F8544" t="str">
        <f>"05-I25-03"</f>
        <v>05-I25-03</v>
      </c>
      <c r="G8544">
        <v>1.633</v>
      </c>
      <c r="H8544" t="s">
        <v>12</v>
      </c>
      <c r="I8544" t="s">
        <v>10</v>
      </c>
    </row>
    <row r="8545" spans="1:9" x14ac:dyDescent="0.25">
      <c r="A8545" t="str">
        <f t="shared" si="204"/>
        <v>89301000</v>
      </c>
      <c r="B8545" t="str">
        <f>"6004100663"</f>
        <v>6004100663</v>
      </c>
      <c r="C8545" s="1">
        <v>45162</v>
      </c>
      <c r="D8545" s="1">
        <v>45163</v>
      </c>
      <c r="E8545">
        <v>1</v>
      </c>
      <c r="F8545" t="str">
        <f>"05-M06-08"</f>
        <v>05-M06-08</v>
      </c>
      <c r="G8545">
        <v>1.4228000000000001</v>
      </c>
      <c r="H8545" t="s">
        <v>12</v>
      </c>
      <c r="I8545" t="s">
        <v>10</v>
      </c>
    </row>
    <row r="8546" spans="1:9" x14ac:dyDescent="0.25">
      <c r="A8546" t="str">
        <f t="shared" si="204"/>
        <v>89301000</v>
      </c>
      <c r="B8546" t="str">
        <f>"6004100674"</f>
        <v>6004100674</v>
      </c>
      <c r="C8546" s="1">
        <v>45138</v>
      </c>
      <c r="D8546" s="1">
        <v>45142</v>
      </c>
      <c r="E8546">
        <v>5</v>
      </c>
      <c r="F8546" t="str">
        <f>"08-I03-08"</f>
        <v>08-I03-08</v>
      </c>
      <c r="G8546">
        <v>1.9455</v>
      </c>
      <c r="H8546" t="s">
        <v>9</v>
      </c>
      <c r="I8546" t="s">
        <v>10</v>
      </c>
    </row>
    <row r="8547" spans="1:9" x14ac:dyDescent="0.25">
      <c r="A8547" t="str">
        <f t="shared" si="204"/>
        <v>89301000</v>
      </c>
      <c r="B8547" t="str">
        <f>"6004101675"</f>
        <v>6004101675</v>
      </c>
      <c r="C8547" s="1">
        <v>45050</v>
      </c>
      <c r="D8547" s="1">
        <v>45051</v>
      </c>
      <c r="E8547">
        <v>1</v>
      </c>
      <c r="F8547" t="str">
        <f>"11-M05-01"</f>
        <v>11-M05-01</v>
      </c>
      <c r="G8547">
        <v>0.83750000000000002</v>
      </c>
      <c r="H8547" t="s">
        <v>12</v>
      </c>
      <c r="I8547" t="s">
        <v>10</v>
      </c>
    </row>
    <row r="8548" spans="1:9" x14ac:dyDescent="0.25">
      <c r="A8548" t="str">
        <f t="shared" si="204"/>
        <v>89301000</v>
      </c>
      <c r="B8548" t="str">
        <f>"6004130341"</f>
        <v>6004130341</v>
      </c>
      <c r="C8548" s="1">
        <v>45033</v>
      </c>
      <c r="D8548" s="1">
        <v>45040</v>
      </c>
      <c r="E8548">
        <v>4</v>
      </c>
      <c r="F8548" t="str">
        <f>"08-I06-04"</f>
        <v>08-I06-04</v>
      </c>
      <c r="G8548">
        <v>2.4180000000000001</v>
      </c>
      <c r="H8548" t="s">
        <v>9</v>
      </c>
      <c r="I8548" t="s">
        <v>10</v>
      </c>
    </row>
    <row r="8549" spans="1:9" x14ac:dyDescent="0.25">
      <c r="A8549" t="str">
        <f t="shared" si="204"/>
        <v>89301000</v>
      </c>
      <c r="B8549" t="str">
        <f>"6004230452"</f>
        <v>6004230452</v>
      </c>
      <c r="C8549" s="1">
        <v>45078</v>
      </c>
      <c r="D8549" s="1">
        <v>45079</v>
      </c>
      <c r="E8549">
        <v>1</v>
      </c>
      <c r="F8549" t="str">
        <f>"05-I21-02"</f>
        <v>05-I21-02</v>
      </c>
      <c r="G8549">
        <v>1.0296000000000001</v>
      </c>
      <c r="H8549" t="s">
        <v>12</v>
      </c>
      <c r="I8549" t="s">
        <v>10</v>
      </c>
    </row>
    <row r="8550" spans="1:9" x14ac:dyDescent="0.25">
      <c r="A8550" t="str">
        <f t="shared" si="204"/>
        <v>89301000</v>
      </c>
      <c r="B8550" t="str">
        <f>"6004260097"</f>
        <v>6004260097</v>
      </c>
      <c r="C8550" s="1">
        <v>45061</v>
      </c>
      <c r="D8550" s="1">
        <v>45065</v>
      </c>
      <c r="E8550">
        <v>1</v>
      </c>
      <c r="F8550" t="str">
        <f>"08-I06-04"</f>
        <v>08-I06-04</v>
      </c>
      <c r="G8550">
        <v>2.4180000000000001</v>
      </c>
      <c r="H8550" t="s">
        <v>9</v>
      </c>
      <c r="I8550" t="s">
        <v>10</v>
      </c>
    </row>
    <row r="8551" spans="1:9" x14ac:dyDescent="0.25">
      <c r="A8551" t="str">
        <f t="shared" si="204"/>
        <v>89301000</v>
      </c>
      <c r="B8551" t="str">
        <f>"6004260097"</f>
        <v>6004260097</v>
      </c>
      <c r="C8551" s="1">
        <v>45078</v>
      </c>
      <c r="D8551" s="1">
        <v>45098</v>
      </c>
      <c r="E8551">
        <v>1</v>
      </c>
      <c r="F8551" t="str">
        <f>"07-M02-01"</f>
        <v>07-M02-01</v>
      </c>
      <c r="G8551">
        <v>2.5592000000000001</v>
      </c>
      <c r="H8551" t="s">
        <v>12</v>
      </c>
      <c r="I8551" t="s">
        <v>10</v>
      </c>
    </row>
    <row r="8552" spans="1:9" x14ac:dyDescent="0.25">
      <c r="A8552" t="str">
        <f t="shared" si="204"/>
        <v>89301000</v>
      </c>
      <c r="B8552" t="str">
        <f>"6004260097"</f>
        <v>6004260097</v>
      </c>
      <c r="C8552" s="1">
        <v>45068</v>
      </c>
      <c r="D8552" s="1">
        <v>45077</v>
      </c>
      <c r="E8552">
        <v>1</v>
      </c>
      <c r="F8552" t="str">
        <f>"24-M06-02"</f>
        <v>24-M06-02</v>
      </c>
      <c r="G8552">
        <v>1.0699000000000001</v>
      </c>
      <c r="H8552" t="s">
        <v>11</v>
      </c>
      <c r="I8552" t="s">
        <v>10</v>
      </c>
    </row>
    <row r="8553" spans="1:9" x14ac:dyDescent="0.25">
      <c r="A8553" t="str">
        <f t="shared" si="204"/>
        <v>89301000</v>
      </c>
      <c r="B8553" t="str">
        <f>"6005010880"</f>
        <v>6005010880</v>
      </c>
      <c r="C8553" s="1">
        <v>44993</v>
      </c>
      <c r="D8553" s="1">
        <v>44996</v>
      </c>
      <c r="E8553">
        <v>1</v>
      </c>
      <c r="F8553" t="str">
        <f>"08-I22-02"</f>
        <v>08-I22-02</v>
      </c>
      <c r="G8553">
        <v>1.131</v>
      </c>
      <c r="H8553" t="s">
        <v>12</v>
      </c>
      <c r="I8553" t="s">
        <v>10</v>
      </c>
    </row>
    <row r="8554" spans="1:9" x14ac:dyDescent="0.25">
      <c r="A8554" t="str">
        <f t="shared" si="204"/>
        <v>89301000</v>
      </c>
      <c r="B8554" t="str">
        <f>"6005011166"</f>
        <v>6005011166</v>
      </c>
      <c r="C8554" s="1">
        <v>44985</v>
      </c>
      <c r="D8554" s="1">
        <v>44986</v>
      </c>
      <c r="E8554">
        <v>1</v>
      </c>
      <c r="F8554" t="str">
        <f>"01-D01-03"</f>
        <v>01-D01-03</v>
      </c>
      <c r="G8554">
        <v>0.16200000000000001</v>
      </c>
      <c r="H8554" t="s">
        <v>11</v>
      </c>
      <c r="I8554" t="s">
        <v>10</v>
      </c>
    </row>
    <row r="8555" spans="1:9" x14ac:dyDescent="0.25">
      <c r="A8555" t="str">
        <f t="shared" si="204"/>
        <v>89301000</v>
      </c>
      <c r="B8555" t="str">
        <f>"6005070874"</f>
        <v>6005070874</v>
      </c>
      <c r="C8555" s="1">
        <v>45089</v>
      </c>
      <c r="D8555" s="1">
        <v>45090</v>
      </c>
      <c r="E8555">
        <v>1</v>
      </c>
      <c r="F8555" t="str">
        <f>"12-I07-03"</f>
        <v>12-I07-03</v>
      </c>
      <c r="G8555">
        <v>0.9738</v>
      </c>
      <c r="H8555" t="s">
        <v>12</v>
      </c>
      <c r="I8555" t="s">
        <v>10</v>
      </c>
    </row>
    <row r="8556" spans="1:9" x14ac:dyDescent="0.25">
      <c r="A8556" t="str">
        <f t="shared" si="204"/>
        <v>89301000</v>
      </c>
      <c r="B8556" t="str">
        <f>"6005140922"</f>
        <v>6005140922</v>
      </c>
      <c r="C8556" s="1">
        <v>45117</v>
      </c>
      <c r="D8556" s="1">
        <v>45125</v>
      </c>
      <c r="E8556">
        <v>4</v>
      </c>
      <c r="F8556" t="str">
        <f>"10-K12-03"</f>
        <v>10-K12-03</v>
      </c>
      <c r="G8556">
        <v>0.51359999999999995</v>
      </c>
      <c r="H8556" t="s">
        <v>11</v>
      </c>
      <c r="I8556" t="s">
        <v>10</v>
      </c>
    </row>
    <row r="8557" spans="1:9" x14ac:dyDescent="0.25">
      <c r="A8557" t="str">
        <f t="shared" si="204"/>
        <v>89301000</v>
      </c>
      <c r="B8557" t="str">
        <f>"6005220441"</f>
        <v>6005220441</v>
      </c>
      <c r="C8557" s="1">
        <v>44944</v>
      </c>
      <c r="D8557" s="1">
        <v>44945</v>
      </c>
      <c r="E8557">
        <v>1</v>
      </c>
      <c r="F8557" t="str">
        <f>"05-D01-08"</f>
        <v>05-D01-08</v>
      </c>
      <c r="G8557">
        <v>0.43159999999999998</v>
      </c>
      <c r="H8557" t="s">
        <v>11</v>
      </c>
      <c r="I8557" t="s">
        <v>10</v>
      </c>
    </row>
    <row r="8558" spans="1:9" x14ac:dyDescent="0.25">
      <c r="A8558" t="str">
        <f t="shared" si="204"/>
        <v>89301000</v>
      </c>
      <c r="B8558" t="str">
        <f>"6005301907"</f>
        <v>6005301907</v>
      </c>
      <c r="C8558" s="1">
        <v>44938</v>
      </c>
      <c r="D8558" s="1">
        <v>44942</v>
      </c>
      <c r="E8558">
        <v>1</v>
      </c>
      <c r="F8558" t="str">
        <f>"08-K08-00"</f>
        <v>08-K08-00</v>
      </c>
      <c r="G8558">
        <v>0.5272</v>
      </c>
      <c r="H8558" t="s">
        <v>11</v>
      </c>
      <c r="I8558" t="s">
        <v>10</v>
      </c>
    </row>
    <row r="8559" spans="1:9" x14ac:dyDescent="0.25">
      <c r="A8559" t="str">
        <f t="shared" si="204"/>
        <v>89301000</v>
      </c>
      <c r="B8559" t="str">
        <f>"6006060522"</f>
        <v>6006060522</v>
      </c>
      <c r="C8559" s="1">
        <v>44943</v>
      </c>
      <c r="D8559" s="1">
        <v>44945</v>
      </c>
      <c r="E8559">
        <v>1</v>
      </c>
      <c r="F8559" t="str">
        <f>"06-M01-02"</f>
        <v>06-M01-02</v>
      </c>
      <c r="G8559">
        <v>1.2206999999999999</v>
      </c>
      <c r="H8559" t="s">
        <v>11</v>
      </c>
      <c r="I8559" t="s">
        <v>10</v>
      </c>
    </row>
    <row r="8560" spans="1:9" x14ac:dyDescent="0.25">
      <c r="A8560" t="str">
        <f t="shared" si="204"/>
        <v>89301000</v>
      </c>
      <c r="B8560" t="str">
        <f>"6006102201"</f>
        <v>6006102201</v>
      </c>
      <c r="C8560" s="1">
        <v>45007</v>
      </c>
      <c r="D8560" s="1">
        <v>45011</v>
      </c>
      <c r="E8560">
        <v>1</v>
      </c>
      <c r="F8560" t="str">
        <f>"03-I18-03"</f>
        <v>03-I18-03</v>
      </c>
      <c r="G8560">
        <v>0.83940000000000003</v>
      </c>
      <c r="H8560" t="s">
        <v>9</v>
      </c>
      <c r="I8560" t="s">
        <v>10</v>
      </c>
    </row>
    <row r="8561" spans="1:9" x14ac:dyDescent="0.25">
      <c r="A8561" t="str">
        <f t="shared" ref="A8561:A8624" si="205">"89301000"</f>
        <v>89301000</v>
      </c>
      <c r="B8561" t="str">
        <f>"6006140074"</f>
        <v>6006140074</v>
      </c>
      <c r="C8561" s="1">
        <v>44939</v>
      </c>
      <c r="D8561" s="1">
        <v>44942</v>
      </c>
      <c r="E8561">
        <v>1</v>
      </c>
      <c r="F8561" t="str">
        <f>"01-D01-03"</f>
        <v>01-D01-03</v>
      </c>
      <c r="G8561">
        <v>0.21060000000000001</v>
      </c>
      <c r="H8561" t="s">
        <v>11</v>
      </c>
      <c r="I8561" t="s">
        <v>10</v>
      </c>
    </row>
    <row r="8562" spans="1:9" x14ac:dyDescent="0.25">
      <c r="A8562" t="str">
        <f t="shared" si="205"/>
        <v>89301000</v>
      </c>
      <c r="B8562" t="str">
        <f>"6006160710"</f>
        <v>6006160710</v>
      </c>
      <c r="C8562" s="1">
        <v>44971</v>
      </c>
      <c r="D8562" s="1">
        <v>44973</v>
      </c>
      <c r="E8562">
        <v>1</v>
      </c>
      <c r="F8562" t="str">
        <f>"01-K08-02"</f>
        <v>01-K08-02</v>
      </c>
      <c r="G8562">
        <v>0.60619999999999996</v>
      </c>
      <c r="H8562" t="s">
        <v>11</v>
      </c>
      <c r="I8562" t="s">
        <v>10</v>
      </c>
    </row>
    <row r="8563" spans="1:9" x14ac:dyDescent="0.25">
      <c r="A8563" t="str">
        <f t="shared" si="205"/>
        <v>89301000</v>
      </c>
      <c r="B8563" t="str">
        <f>"6006160710"</f>
        <v>6006160710</v>
      </c>
      <c r="C8563" s="1">
        <v>45252</v>
      </c>
      <c r="D8563" s="1">
        <v>45258</v>
      </c>
      <c r="E8563">
        <v>7</v>
      </c>
      <c r="F8563" t="str">
        <f>"04-K08-03"</f>
        <v>04-K08-03</v>
      </c>
      <c r="G8563">
        <v>1.8479000000000001</v>
      </c>
      <c r="H8563" t="s">
        <v>11</v>
      </c>
      <c r="I8563" t="s">
        <v>10</v>
      </c>
    </row>
    <row r="8564" spans="1:9" x14ac:dyDescent="0.25">
      <c r="A8564" t="str">
        <f t="shared" si="205"/>
        <v>89301000</v>
      </c>
      <c r="B8564" t="str">
        <f>"6006160710"</f>
        <v>6006160710</v>
      </c>
      <c r="C8564" s="1">
        <v>45175</v>
      </c>
      <c r="D8564" s="1">
        <v>45177</v>
      </c>
      <c r="E8564">
        <v>1</v>
      </c>
      <c r="F8564" t="str">
        <f>"01-K08-01"</f>
        <v>01-K08-01</v>
      </c>
      <c r="G8564">
        <v>1.2258</v>
      </c>
      <c r="H8564" t="s">
        <v>11</v>
      </c>
      <c r="I8564" t="s">
        <v>10</v>
      </c>
    </row>
    <row r="8565" spans="1:9" x14ac:dyDescent="0.25">
      <c r="A8565" t="str">
        <f t="shared" si="205"/>
        <v>89301000</v>
      </c>
      <c r="B8565" t="str">
        <f>"6006160710"</f>
        <v>6006160710</v>
      </c>
      <c r="C8565" s="1">
        <v>45154</v>
      </c>
      <c r="D8565" s="1">
        <v>45156</v>
      </c>
      <c r="E8565">
        <v>1</v>
      </c>
      <c r="F8565" t="str">
        <f>"01-K08-01"</f>
        <v>01-K08-01</v>
      </c>
      <c r="G8565">
        <v>1.2258</v>
      </c>
      <c r="H8565" t="s">
        <v>11</v>
      </c>
      <c r="I8565" t="s">
        <v>10</v>
      </c>
    </row>
    <row r="8566" spans="1:9" x14ac:dyDescent="0.25">
      <c r="A8566" t="str">
        <f t="shared" si="205"/>
        <v>89301000</v>
      </c>
      <c r="B8566" t="str">
        <f>"6006160710"</f>
        <v>6006160710</v>
      </c>
      <c r="C8566" s="1">
        <v>45105</v>
      </c>
      <c r="D8566" s="1">
        <v>45107</v>
      </c>
      <c r="E8566">
        <v>1</v>
      </c>
      <c r="F8566" t="str">
        <f>"06-M01-04"</f>
        <v>06-M01-04</v>
      </c>
      <c r="G8566">
        <v>0.63270000000000004</v>
      </c>
      <c r="H8566" t="s">
        <v>11</v>
      </c>
      <c r="I8566" t="s">
        <v>10</v>
      </c>
    </row>
    <row r="8567" spans="1:9" x14ac:dyDescent="0.25">
      <c r="A8567" t="str">
        <f t="shared" si="205"/>
        <v>89301000</v>
      </c>
      <c r="B8567" t="str">
        <f>"6006181071"</f>
        <v>6006181071</v>
      </c>
      <c r="C8567" s="1">
        <v>44951</v>
      </c>
      <c r="D8567" s="1">
        <v>44958</v>
      </c>
      <c r="E8567">
        <v>1</v>
      </c>
      <c r="F8567" t="str">
        <f>"01-M02-00"</f>
        <v>01-M02-00</v>
      </c>
      <c r="G8567">
        <v>5.3973000000000004</v>
      </c>
      <c r="H8567" t="s">
        <v>12</v>
      </c>
      <c r="I8567" t="s">
        <v>10</v>
      </c>
    </row>
    <row r="8568" spans="1:9" x14ac:dyDescent="0.25">
      <c r="A8568" t="str">
        <f t="shared" si="205"/>
        <v>89301000</v>
      </c>
      <c r="B8568" t="str">
        <f>"6006221386"</f>
        <v>6006221386</v>
      </c>
      <c r="C8568" s="1">
        <v>44915</v>
      </c>
      <c r="D8568" s="1">
        <v>44953</v>
      </c>
      <c r="E8568">
        <v>7</v>
      </c>
      <c r="F8568" t="str">
        <f>"08-K01-02"</f>
        <v>08-K01-02</v>
      </c>
      <c r="G8568">
        <v>2.6147999999999998</v>
      </c>
      <c r="H8568" t="s">
        <v>11</v>
      </c>
      <c r="I8568" t="s">
        <v>10</v>
      </c>
    </row>
    <row r="8569" spans="1:9" x14ac:dyDescent="0.25">
      <c r="A8569" t="str">
        <f t="shared" si="205"/>
        <v>89301000</v>
      </c>
      <c r="B8569" t="str">
        <f>"6006240900"</f>
        <v>6006240900</v>
      </c>
      <c r="C8569" s="1">
        <v>44959</v>
      </c>
      <c r="D8569" s="1">
        <v>44960</v>
      </c>
      <c r="E8569">
        <v>1</v>
      </c>
      <c r="F8569" t="str">
        <f>"05-D01-08"</f>
        <v>05-D01-08</v>
      </c>
      <c r="G8569">
        <v>0.43159999999999998</v>
      </c>
      <c r="H8569" t="s">
        <v>11</v>
      </c>
      <c r="I8569" t="s">
        <v>10</v>
      </c>
    </row>
    <row r="8570" spans="1:9" x14ac:dyDescent="0.25">
      <c r="A8570" t="str">
        <f t="shared" si="205"/>
        <v>89301000</v>
      </c>
      <c r="B8570" t="str">
        <f>"6006280830"</f>
        <v>6006280830</v>
      </c>
      <c r="C8570" s="1">
        <v>45102</v>
      </c>
      <c r="D8570" s="1">
        <v>45118</v>
      </c>
      <c r="E8570">
        <v>4</v>
      </c>
      <c r="F8570" t="str">
        <f>"08-I13-05"</f>
        <v>08-I13-05</v>
      </c>
      <c r="G8570">
        <v>2.343</v>
      </c>
      <c r="H8570" t="s">
        <v>12</v>
      </c>
      <c r="I8570" t="s">
        <v>10</v>
      </c>
    </row>
    <row r="8571" spans="1:9" x14ac:dyDescent="0.25">
      <c r="A8571" t="str">
        <f t="shared" si="205"/>
        <v>89301000</v>
      </c>
      <c r="B8571" t="str">
        <f>"6007081509"</f>
        <v>6007081509</v>
      </c>
      <c r="C8571" s="1">
        <v>44961</v>
      </c>
      <c r="D8571" s="1">
        <v>44965</v>
      </c>
      <c r="E8571">
        <v>1</v>
      </c>
      <c r="F8571" t="str">
        <f>"04-K05-03"</f>
        <v>04-K05-03</v>
      </c>
      <c r="G8571">
        <v>0.74039999999999995</v>
      </c>
      <c r="H8571" t="s">
        <v>11</v>
      </c>
      <c r="I8571" t="s">
        <v>10</v>
      </c>
    </row>
    <row r="8572" spans="1:9" x14ac:dyDescent="0.25">
      <c r="A8572" t="str">
        <f t="shared" si="205"/>
        <v>89301000</v>
      </c>
      <c r="B8572" t="str">
        <f>"6007150853"</f>
        <v>6007150853</v>
      </c>
      <c r="C8572" s="1">
        <v>45004</v>
      </c>
      <c r="D8572" s="1">
        <v>45009</v>
      </c>
      <c r="E8572">
        <v>1</v>
      </c>
      <c r="F8572" t="str">
        <f>"06-I17-02"</f>
        <v>06-I17-02</v>
      </c>
      <c r="G8572">
        <v>1.0106999999999999</v>
      </c>
      <c r="H8572" t="s">
        <v>12</v>
      </c>
      <c r="I8572" t="s">
        <v>10</v>
      </c>
    </row>
    <row r="8573" spans="1:9" x14ac:dyDescent="0.25">
      <c r="A8573" t="str">
        <f t="shared" si="205"/>
        <v>89301000</v>
      </c>
      <c r="B8573" t="str">
        <f>"6007151953"</f>
        <v>6007151953</v>
      </c>
      <c r="C8573" s="1">
        <v>45151</v>
      </c>
      <c r="D8573" s="1">
        <v>45153</v>
      </c>
      <c r="E8573">
        <v>1</v>
      </c>
      <c r="F8573" t="str">
        <f>"08-M03-05"</f>
        <v>08-M03-05</v>
      </c>
      <c r="G8573">
        <v>0.46810000000000002</v>
      </c>
      <c r="H8573" t="s">
        <v>11</v>
      </c>
      <c r="I8573" t="s">
        <v>10</v>
      </c>
    </row>
    <row r="8574" spans="1:9" x14ac:dyDescent="0.25">
      <c r="A8574" t="str">
        <f t="shared" si="205"/>
        <v>89301000</v>
      </c>
      <c r="B8574" t="str">
        <f>"6007171698"</f>
        <v>6007171698</v>
      </c>
      <c r="C8574" s="1">
        <v>44951</v>
      </c>
      <c r="D8574" s="1">
        <v>44951</v>
      </c>
      <c r="E8574">
        <v>1</v>
      </c>
      <c r="F8574" t="str">
        <f>"05-D01-02"</f>
        <v>05-D01-02</v>
      </c>
      <c r="G8574">
        <v>0.1414</v>
      </c>
      <c r="H8574" t="s">
        <v>11</v>
      </c>
      <c r="I8574" t="s">
        <v>10</v>
      </c>
    </row>
    <row r="8575" spans="1:9" x14ac:dyDescent="0.25">
      <c r="A8575" t="str">
        <f t="shared" si="205"/>
        <v>89301000</v>
      </c>
      <c r="B8575" t="str">
        <f>"6007211782"</f>
        <v>6007211782</v>
      </c>
      <c r="C8575" s="1">
        <v>44936</v>
      </c>
      <c r="D8575" s="1">
        <v>44938</v>
      </c>
      <c r="E8575">
        <v>1</v>
      </c>
      <c r="F8575" t="str">
        <f>"06-M01-02"</f>
        <v>06-M01-02</v>
      </c>
      <c r="G8575">
        <v>1.2206999999999999</v>
      </c>
      <c r="H8575" t="s">
        <v>11</v>
      </c>
      <c r="I8575" t="s">
        <v>10</v>
      </c>
    </row>
    <row r="8576" spans="1:9" x14ac:dyDescent="0.25">
      <c r="A8576" t="str">
        <f t="shared" si="205"/>
        <v>89301000</v>
      </c>
      <c r="B8576" t="str">
        <f>"6007230900"</f>
        <v>6007230900</v>
      </c>
      <c r="C8576" s="1">
        <v>45278</v>
      </c>
      <c r="D8576" s="1">
        <v>45280</v>
      </c>
      <c r="E8576">
        <v>1</v>
      </c>
      <c r="F8576" t="str">
        <f>"08-I17-02"</f>
        <v>08-I17-02</v>
      </c>
      <c r="G8576">
        <v>0.89680000000000004</v>
      </c>
      <c r="H8576" t="s">
        <v>11</v>
      </c>
      <c r="I8576" t="s">
        <v>10</v>
      </c>
    </row>
    <row r="8577" spans="1:9" x14ac:dyDescent="0.25">
      <c r="A8577" t="str">
        <f t="shared" si="205"/>
        <v>89301000</v>
      </c>
      <c r="B8577" t="str">
        <f>"6008021008"</f>
        <v>6008021008</v>
      </c>
      <c r="C8577" s="1">
        <v>44964</v>
      </c>
      <c r="D8577" s="1">
        <v>44973</v>
      </c>
      <c r="E8577">
        <v>1</v>
      </c>
      <c r="F8577" t="str">
        <f>"10-K04-04"</f>
        <v>10-K04-04</v>
      </c>
      <c r="G8577">
        <v>0.74939999999999996</v>
      </c>
      <c r="H8577" t="s">
        <v>11</v>
      </c>
      <c r="I8577" t="s">
        <v>10</v>
      </c>
    </row>
    <row r="8578" spans="1:9" x14ac:dyDescent="0.25">
      <c r="A8578" t="str">
        <f t="shared" si="205"/>
        <v>89301000</v>
      </c>
      <c r="B8578" t="str">
        <f>"6008030325"</f>
        <v>6008030325</v>
      </c>
      <c r="C8578" s="1">
        <v>45086</v>
      </c>
      <c r="D8578" s="1">
        <v>45090</v>
      </c>
      <c r="E8578">
        <v>6</v>
      </c>
      <c r="F8578" t="str">
        <f>"01-K10-03"</f>
        <v>01-K10-03</v>
      </c>
      <c r="G8578">
        <v>1.0443</v>
      </c>
      <c r="H8578" t="s">
        <v>11</v>
      </c>
      <c r="I8578" t="s">
        <v>10</v>
      </c>
    </row>
    <row r="8579" spans="1:9" x14ac:dyDescent="0.25">
      <c r="A8579" t="str">
        <f t="shared" si="205"/>
        <v>89301000</v>
      </c>
      <c r="B8579" t="str">
        <f>"6008111373"</f>
        <v>6008111373</v>
      </c>
      <c r="C8579" s="1">
        <v>45155</v>
      </c>
      <c r="D8579" s="1">
        <v>45161</v>
      </c>
      <c r="E8579">
        <v>1</v>
      </c>
      <c r="F8579" t="str">
        <f>"12-I03-01"</f>
        <v>12-I03-01</v>
      </c>
      <c r="G8579">
        <v>2.6934999999999998</v>
      </c>
      <c r="H8579" t="s">
        <v>9</v>
      </c>
      <c r="I8579" t="s">
        <v>10</v>
      </c>
    </row>
    <row r="8580" spans="1:9" x14ac:dyDescent="0.25">
      <c r="A8580" t="str">
        <f t="shared" si="205"/>
        <v>89301000</v>
      </c>
      <c r="B8580" t="str">
        <f>"6008136299"</f>
        <v>6008136299</v>
      </c>
      <c r="C8580" s="1">
        <v>45120</v>
      </c>
      <c r="D8580" s="1">
        <v>45122</v>
      </c>
      <c r="E8580">
        <v>1</v>
      </c>
      <c r="F8580" t="str">
        <f>"05-M06-06"</f>
        <v>05-M06-06</v>
      </c>
      <c r="G8580">
        <v>1.8264</v>
      </c>
      <c r="H8580" t="s">
        <v>12</v>
      </c>
      <c r="I8580" t="s">
        <v>10</v>
      </c>
    </row>
    <row r="8581" spans="1:9" x14ac:dyDescent="0.25">
      <c r="A8581" t="str">
        <f t="shared" si="205"/>
        <v>89301000</v>
      </c>
      <c r="B8581" t="str">
        <f>"6008136299"</f>
        <v>6008136299</v>
      </c>
      <c r="C8581" s="1">
        <v>45154</v>
      </c>
      <c r="D8581" s="1">
        <v>45154</v>
      </c>
      <c r="E8581">
        <v>1</v>
      </c>
      <c r="F8581" t="str">
        <f>"05-M06-08"</f>
        <v>05-M06-08</v>
      </c>
      <c r="G8581">
        <v>1.1012</v>
      </c>
      <c r="H8581" t="s">
        <v>12</v>
      </c>
      <c r="I8581" t="s">
        <v>10</v>
      </c>
    </row>
    <row r="8582" spans="1:9" x14ac:dyDescent="0.25">
      <c r="A8582" t="str">
        <f t="shared" si="205"/>
        <v>89301000</v>
      </c>
      <c r="B8582" t="str">
        <f>"6008191123"</f>
        <v>6008191123</v>
      </c>
      <c r="C8582" s="1">
        <v>44937</v>
      </c>
      <c r="D8582" s="1">
        <v>44940</v>
      </c>
      <c r="E8582">
        <v>1</v>
      </c>
      <c r="F8582" t="str">
        <f>"06-C02-03"</f>
        <v>06-C02-03</v>
      </c>
      <c r="G8582">
        <v>0.32650000000000001</v>
      </c>
      <c r="H8582" t="s">
        <v>11</v>
      </c>
      <c r="I8582" t="s">
        <v>10</v>
      </c>
    </row>
    <row r="8583" spans="1:9" x14ac:dyDescent="0.25">
      <c r="A8583" t="str">
        <f t="shared" si="205"/>
        <v>89301000</v>
      </c>
      <c r="B8583" t="str">
        <f>"6008191123"</f>
        <v>6008191123</v>
      </c>
      <c r="C8583" s="1">
        <v>44952</v>
      </c>
      <c r="D8583" s="1">
        <v>44954</v>
      </c>
      <c r="E8583">
        <v>1</v>
      </c>
      <c r="F8583" t="str">
        <f>"06-C02-03"</f>
        <v>06-C02-03</v>
      </c>
      <c r="G8583">
        <v>0.32650000000000001</v>
      </c>
      <c r="H8583" t="s">
        <v>11</v>
      </c>
      <c r="I8583" t="s">
        <v>10</v>
      </c>
    </row>
    <row r="8584" spans="1:9" x14ac:dyDescent="0.25">
      <c r="A8584" t="str">
        <f t="shared" si="205"/>
        <v>89301000</v>
      </c>
      <c r="B8584" t="str">
        <f>"6008240777"</f>
        <v>6008240777</v>
      </c>
      <c r="C8584" s="1">
        <v>45265</v>
      </c>
      <c r="D8584" s="1">
        <v>45267</v>
      </c>
      <c r="E8584">
        <v>1</v>
      </c>
      <c r="F8584" t="str">
        <f>"08-I16-04"</f>
        <v>08-I16-04</v>
      </c>
      <c r="G8584">
        <v>0.83040000000000003</v>
      </c>
      <c r="H8584" t="s">
        <v>12</v>
      </c>
      <c r="I8584" t="s">
        <v>10</v>
      </c>
    </row>
    <row r="8585" spans="1:9" x14ac:dyDescent="0.25">
      <c r="A8585" t="str">
        <f t="shared" si="205"/>
        <v>89301000</v>
      </c>
      <c r="B8585" t="str">
        <f>"6008252008"</f>
        <v>6008252008</v>
      </c>
      <c r="C8585" s="1">
        <v>45020</v>
      </c>
      <c r="D8585" s="1">
        <v>45024</v>
      </c>
      <c r="E8585">
        <v>1</v>
      </c>
      <c r="F8585" t="str">
        <f>"04-I03-04"</f>
        <v>04-I03-04</v>
      </c>
      <c r="G8585">
        <v>1.9829000000000001</v>
      </c>
      <c r="H8585" t="s">
        <v>14</v>
      </c>
      <c r="I8585" t="s">
        <v>10</v>
      </c>
    </row>
    <row r="8586" spans="1:9" x14ac:dyDescent="0.25">
      <c r="A8586" t="str">
        <f t="shared" si="205"/>
        <v>89301000</v>
      </c>
      <c r="B8586" t="str">
        <f>"6008252008"</f>
        <v>6008252008</v>
      </c>
      <c r="C8586" s="1">
        <v>45187</v>
      </c>
      <c r="D8586" s="1">
        <v>45189</v>
      </c>
      <c r="E8586">
        <v>1</v>
      </c>
      <c r="F8586" t="str">
        <f>"01-K07-02"</f>
        <v>01-K07-02</v>
      </c>
      <c r="G8586">
        <v>0.6341</v>
      </c>
      <c r="H8586" t="s">
        <v>11</v>
      </c>
      <c r="I8586" t="s">
        <v>10</v>
      </c>
    </row>
    <row r="8587" spans="1:9" x14ac:dyDescent="0.25">
      <c r="A8587" t="str">
        <f t="shared" si="205"/>
        <v>89301000</v>
      </c>
      <c r="B8587" t="str">
        <f>"6008311518"</f>
        <v>6008311518</v>
      </c>
      <c r="C8587" s="1">
        <v>45148</v>
      </c>
      <c r="D8587" s="1">
        <v>45151</v>
      </c>
      <c r="E8587">
        <v>1</v>
      </c>
      <c r="F8587" t="str">
        <f>"11-M06-03"</f>
        <v>11-M06-03</v>
      </c>
      <c r="G8587">
        <v>0.62009999999999998</v>
      </c>
      <c r="H8587" t="s">
        <v>12</v>
      </c>
      <c r="I8587" t="s">
        <v>10</v>
      </c>
    </row>
    <row r="8588" spans="1:9" x14ac:dyDescent="0.25">
      <c r="A8588" t="str">
        <f t="shared" si="205"/>
        <v>89301000</v>
      </c>
      <c r="B8588" t="str">
        <f>"6009060266"</f>
        <v>6009060266</v>
      </c>
      <c r="C8588" s="1">
        <v>44946</v>
      </c>
      <c r="D8588" s="1">
        <v>44970</v>
      </c>
      <c r="E8588">
        <v>1</v>
      </c>
      <c r="F8588" t="str">
        <f>"09-K01-02"</f>
        <v>09-K01-02</v>
      </c>
      <c r="G8588">
        <v>1.6293</v>
      </c>
      <c r="H8588" t="s">
        <v>11</v>
      </c>
      <c r="I8588" t="s">
        <v>10</v>
      </c>
    </row>
    <row r="8589" spans="1:9" x14ac:dyDescent="0.25">
      <c r="A8589" t="str">
        <f t="shared" si="205"/>
        <v>89301000</v>
      </c>
      <c r="B8589" t="str">
        <f>"6009070837"</f>
        <v>6009070837</v>
      </c>
      <c r="C8589" s="1">
        <v>45012</v>
      </c>
      <c r="D8589" s="1">
        <v>45015</v>
      </c>
      <c r="E8589">
        <v>1</v>
      </c>
      <c r="F8589" t="str">
        <f>"01-K08-02"</f>
        <v>01-K08-02</v>
      </c>
      <c r="G8589">
        <v>0.60619999999999996</v>
      </c>
      <c r="H8589" t="s">
        <v>11</v>
      </c>
      <c r="I8589" t="s">
        <v>10</v>
      </c>
    </row>
    <row r="8590" spans="1:9" x14ac:dyDescent="0.25">
      <c r="A8590" t="str">
        <f t="shared" si="205"/>
        <v>89301000</v>
      </c>
      <c r="B8590" t="str">
        <f>"6009070837"</f>
        <v>6009070837</v>
      </c>
      <c r="C8590" s="1">
        <v>44963</v>
      </c>
      <c r="D8590" s="1">
        <v>44966</v>
      </c>
      <c r="E8590">
        <v>1</v>
      </c>
      <c r="F8590" t="str">
        <f>"08-I26-02"</f>
        <v>08-I26-02</v>
      </c>
      <c r="G8590">
        <v>0.80410000000000004</v>
      </c>
      <c r="H8590" t="s">
        <v>11</v>
      </c>
      <c r="I8590" t="s">
        <v>10</v>
      </c>
    </row>
    <row r="8591" spans="1:9" x14ac:dyDescent="0.25">
      <c r="A8591" t="str">
        <f t="shared" si="205"/>
        <v>89301000</v>
      </c>
      <c r="B8591" t="str">
        <f>"6009121888"</f>
        <v>6009121888</v>
      </c>
      <c r="C8591" s="1">
        <v>45266</v>
      </c>
      <c r="D8591" s="1">
        <v>45267</v>
      </c>
      <c r="E8591">
        <v>1</v>
      </c>
      <c r="F8591" t="str">
        <f>"10-K02-01"</f>
        <v>10-K02-01</v>
      </c>
      <c r="G8591">
        <v>0.63100000000000001</v>
      </c>
      <c r="H8591" t="s">
        <v>11</v>
      </c>
      <c r="I8591" t="s">
        <v>10</v>
      </c>
    </row>
    <row r="8592" spans="1:9" x14ac:dyDescent="0.25">
      <c r="A8592" t="str">
        <f t="shared" si="205"/>
        <v>89301000</v>
      </c>
      <c r="B8592" t="str">
        <f>"6009121888"</f>
        <v>6009121888</v>
      </c>
      <c r="C8592" s="1">
        <v>45277</v>
      </c>
      <c r="D8592" s="1">
        <v>45280</v>
      </c>
      <c r="E8592">
        <v>1</v>
      </c>
      <c r="F8592" t="str">
        <f>"10-I03-01"</f>
        <v>10-I03-01</v>
      </c>
      <c r="G8592">
        <v>2.5499000000000001</v>
      </c>
      <c r="H8592" t="s">
        <v>12</v>
      </c>
      <c r="I8592" t="s">
        <v>10</v>
      </c>
    </row>
    <row r="8593" spans="1:9" x14ac:dyDescent="0.25">
      <c r="A8593" t="str">
        <f t="shared" si="205"/>
        <v>89301000</v>
      </c>
      <c r="B8593" t="str">
        <f>"6009121888"</f>
        <v>6009121888</v>
      </c>
      <c r="C8593" s="1">
        <v>44979</v>
      </c>
      <c r="D8593" s="1">
        <v>44982</v>
      </c>
      <c r="E8593">
        <v>1</v>
      </c>
      <c r="F8593" t="str">
        <f>"10-I03-01"</f>
        <v>10-I03-01</v>
      </c>
      <c r="G8593">
        <v>2.2862</v>
      </c>
      <c r="H8593" t="s">
        <v>12</v>
      </c>
      <c r="I8593" t="s">
        <v>10</v>
      </c>
    </row>
    <row r="8594" spans="1:9" x14ac:dyDescent="0.25">
      <c r="A8594" t="str">
        <f t="shared" si="205"/>
        <v>89301000</v>
      </c>
      <c r="B8594" t="str">
        <f>"6009161532"</f>
        <v>6009161532</v>
      </c>
      <c r="C8594" s="1">
        <v>44962</v>
      </c>
      <c r="D8594" s="1">
        <v>44969</v>
      </c>
      <c r="E8594">
        <v>1</v>
      </c>
      <c r="F8594" t="str">
        <f>"08-I03-04"</f>
        <v>08-I03-04</v>
      </c>
      <c r="G8594">
        <v>4.7615999999999996</v>
      </c>
      <c r="H8594" t="s">
        <v>9</v>
      </c>
      <c r="I8594" t="s">
        <v>10</v>
      </c>
    </row>
    <row r="8595" spans="1:9" x14ac:dyDescent="0.25">
      <c r="A8595" t="str">
        <f t="shared" si="205"/>
        <v>89301000</v>
      </c>
      <c r="B8595" t="str">
        <f>"6009182322"</f>
        <v>6009182322</v>
      </c>
      <c r="C8595" s="1">
        <v>45061</v>
      </c>
      <c r="D8595" s="1">
        <v>45064</v>
      </c>
      <c r="E8595">
        <v>1</v>
      </c>
      <c r="F8595" t="str">
        <f>"05-M06-06"</f>
        <v>05-M06-06</v>
      </c>
      <c r="G8595">
        <v>1.8264</v>
      </c>
      <c r="H8595" t="s">
        <v>12</v>
      </c>
      <c r="I8595" t="s">
        <v>10</v>
      </c>
    </row>
    <row r="8596" spans="1:9" x14ac:dyDescent="0.25">
      <c r="A8596" t="str">
        <f t="shared" si="205"/>
        <v>89301000</v>
      </c>
      <c r="B8596" t="str">
        <f>"6009182322"</f>
        <v>6009182322</v>
      </c>
      <c r="C8596" s="1">
        <v>45172</v>
      </c>
      <c r="D8596" s="1">
        <v>45174</v>
      </c>
      <c r="E8596">
        <v>1</v>
      </c>
      <c r="F8596" t="str">
        <f>"05-I14-04"</f>
        <v>05-I14-04</v>
      </c>
      <c r="G8596">
        <v>5.2220000000000004</v>
      </c>
      <c r="H8596" t="s">
        <v>12</v>
      </c>
      <c r="I8596" t="s">
        <v>10</v>
      </c>
    </row>
    <row r="8597" spans="1:9" x14ac:dyDescent="0.25">
      <c r="A8597" t="str">
        <f t="shared" si="205"/>
        <v>89301000</v>
      </c>
      <c r="B8597" t="str">
        <f>"6009182322"</f>
        <v>6009182322</v>
      </c>
      <c r="C8597" s="1">
        <v>45107</v>
      </c>
      <c r="D8597" s="1">
        <v>45108</v>
      </c>
      <c r="E8597">
        <v>1</v>
      </c>
      <c r="F8597" t="str">
        <f>"05-M06-08"</f>
        <v>05-M06-08</v>
      </c>
      <c r="G8597">
        <v>1.4228000000000001</v>
      </c>
      <c r="H8597" t="s">
        <v>12</v>
      </c>
      <c r="I8597" t="s">
        <v>10</v>
      </c>
    </row>
    <row r="8598" spans="1:9" x14ac:dyDescent="0.25">
      <c r="A8598" t="str">
        <f t="shared" si="205"/>
        <v>89301000</v>
      </c>
      <c r="B8598" t="str">
        <f>"6009210834"</f>
        <v>6009210834</v>
      </c>
      <c r="C8598" s="1">
        <v>45221</v>
      </c>
      <c r="D8598" s="1">
        <v>45237</v>
      </c>
      <c r="E8598">
        <v>1</v>
      </c>
      <c r="F8598" t="str">
        <f>"12-K05-01"</f>
        <v>12-K05-01</v>
      </c>
      <c r="G8598">
        <v>1.5271999999999999</v>
      </c>
      <c r="H8598" t="s">
        <v>11</v>
      </c>
      <c r="I8598" t="s">
        <v>10</v>
      </c>
    </row>
    <row r="8599" spans="1:9" x14ac:dyDescent="0.25">
      <c r="A8599" t="str">
        <f t="shared" si="205"/>
        <v>89301000</v>
      </c>
      <c r="B8599" t="str">
        <f>"6009260279"</f>
        <v>6009260279</v>
      </c>
      <c r="C8599" s="1">
        <v>45093</v>
      </c>
      <c r="D8599" s="1">
        <v>45095</v>
      </c>
      <c r="E8599">
        <v>1</v>
      </c>
      <c r="F8599" t="str">
        <f>"03-I24-00"</f>
        <v>03-I24-00</v>
      </c>
      <c r="G8599">
        <v>0.40670000000000001</v>
      </c>
      <c r="H8599" t="s">
        <v>11</v>
      </c>
      <c r="I8599" t="s">
        <v>10</v>
      </c>
    </row>
    <row r="8600" spans="1:9" x14ac:dyDescent="0.25">
      <c r="A8600" t="str">
        <f t="shared" si="205"/>
        <v>89301000</v>
      </c>
      <c r="B8600" t="str">
        <f>"6009260279"</f>
        <v>6009260279</v>
      </c>
      <c r="C8600" s="1">
        <v>45202</v>
      </c>
      <c r="D8600" s="1">
        <v>45205</v>
      </c>
      <c r="E8600">
        <v>1</v>
      </c>
      <c r="F8600" t="str">
        <f>"23-K04-02"</f>
        <v>23-K04-02</v>
      </c>
      <c r="G8600">
        <v>0.81920000000000004</v>
      </c>
      <c r="H8600" t="s">
        <v>11</v>
      </c>
      <c r="I8600" t="s">
        <v>10</v>
      </c>
    </row>
    <row r="8601" spans="1:9" x14ac:dyDescent="0.25">
      <c r="A8601" t="str">
        <f t="shared" si="205"/>
        <v>89301000</v>
      </c>
      <c r="B8601" t="str">
        <f>"6009260279"</f>
        <v>6009260279</v>
      </c>
      <c r="C8601" s="1">
        <v>45161</v>
      </c>
      <c r="D8601" s="1">
        <v>45177</v>
      </c>
      <c r="E8601">
        <v>1</v>
      </c>
      <c r="F8601" t="str">
        <f>"03-K09-01"</f>
        <v>03-K09-01</v>
      </c>
      <c r="G8601">
        <v>0.90710000000000002</v>
      </c>
      <c r="H8601" t="s">
        <v>11</v>
      </c>
      <c r="I8601" t="s">
        <v>10</v>
      </c>
    </row>
    <row r="8602" spans="1:9" x14ac:dyDescent="0.25">
      <c r="A8602" t="str">
        <f t="shared" si="205"/>
        <v>89301000</v>
      </c>
      <c r="B8602" t="str">
        <f>"6009260279"</f>
        <v>6009260279</v>
      </c>
      <c r="C8602" s="1">
        <v>45138</v>
      </c>
      <c r="D8602" s="1">
        <v>45139</v>
      </c>
      <c r="E8602">
        <v>1</v>
      </c>
      <c r="F8602" t="str">
        <f>"03-C01-02"</f>
        <v>03-C01-02</v>
      </c>
      <c r="G8602">
        <v>0.45800000000000002</v>
      </c>
      <c r="H8602" t="s">
        <v>11</v>
      </c>
      <c r="I8602" t="s">
        <v>10</v>
      </c>
    </row>
    <row r="8603" spans="1:9" x14ac:dyDescent="0.25">
      <c r="A8603" t="str">
        <f t="shared" si="205"/>
        <v>89301000</v>
      </c>
      <c r="B8603" t="str">
        <f>"6009260279"</f>
        <v>6009260279</v>
      </c>
      <c r="C8603" s="1">
        <v>45117</v>
      </c>
      <c r="D8603" s="1">
        <v>45118</v>
      </c>
      <c r="E8603">
        <v>1</v>
      </c>
      <c r="F8603" t="str">
        <f>"03-R01-08"</f>
        <v>03-R01-08</v>
      </c>
      <c r="G8603">
        <v>1.0805</v>
      </c>
      <c r="H8603" t="s">
        <v>11</v>
      </c>
      <c r="I8603" t="s">
        <v>10</v>
      </c>
    </row>
    <row r="8604" spans="1:9" x14ac:dyDescent="0.25">
      <c r="A8604" t="str">
        <f t="shared" si="205"/>
        <v>89301000</v>
      </c>
      <c r="B8604" t="str">
        <f>"6010120347"</f>
        <v>6010120347</v>
      </c>
      <c r="C8604" s="1">
        <v>45082</v>
      </c>
      <c r="D8604" s="1">
        <v>45085</v>
      </c>
      <c r="E8604">
        <v>1</v>
      </c>
      <c r="F8604" t="str">
        <f>"05-M07-06"</f>
        <v>05-M07-06</v>
      </c>
      <c r="G8604">
        <v>1.2264999999999999</v>
      </c>
      <c r="H8604" t="s">
        <v>12</v>
      </c>
      <c r="I8604" t="s">
        <v>10</v>
      </c>
    </row>
    <row r="8605" spans="1:9" x14ac:dyDescent="0.25">
      <c r="A8605" t="str">
        <f t="shared" si="205"/>
        <v>89301000</v>
      </c>
      <c r="B8605" t="str">
        <f>"6010120347"</f>
        <v>6010120347</v>
      </c>
      <c r="C8605" s="1">
        <v>45055</v>
      </c>
      <c r="D8605" s="1">
        <v>45069</v>
      </c>
      <c r="E8605">
        <v>1</v>
      </c>
      <c r="F8605" t="str">
        <f>"05-K12-02"</f>
        <v>05-K12-02</v>
      </c>
      <c r="G8605">
        <v>0.73719999999999997</v>
      </c>
      <c r="H8605" t="s">
        <v>11</v>
      </c>
      <c r="I8605" t="s">
        <v>10</v>
      </c>
    </row>
    <row r="8606" spans="1:9" x14ac:dyDescent="0.25">
      <c r="A8606" t="str">
        <f t="shared" si="205"/>
        <v>89301000</v>
      </c>
      <c r="B8606" t="str">
        <f>"6010156548"</f>
        <v>6010156548</v>
      </c>
      <c r="C8606" s="1">
        <v>45229</v>
      </c>
      <c r="D8606" s="1">
        <v>45230</v>
      </c>
      <c r="E8606">
        <v>1</v>
      </c>
      <c r="F8606" t="str">
        <f>"01-D01-03"</f>
        <v>01-D01-03</v>
      </c>
      <c r="G8606">
        <v>0.16200000000000001</v>
      </c>
      <c r="H8606" t="s">
        <v>11</v>
      </c>
      <c r="I8606" t="s">
        <v>10</v>
      </c>
    </row>
    <row r="8607" spans="1:9" x14ac:dyDescent="0.25">
      <c r="A8607" t="str">
        <f t="shared" si="205"/>
        <v>89301000</v>
      </c>
      <c r="B8607" t="str">
        <f>"6010250697"</f>
        <v>6010250697</v>
      </c>
      <c r="C8607" s="1">
        <v>44930</v>
      </c>
      <c r="D8607" s="1">
        <v>44932</v>
      </c>
      <c r="E8607">
        <v>1</v>
      </c>
      <c r="F8607" t="str">
        <f>"04-M02-04"</f>
        <v>04-M02-04</v>
      </c>
      <c r="G8607">
        <v>0.82489999999999997</v>
      </c>
      <c r="H8607" t="s">
        <v>11</v>
      </c>
      <c r="I8607" t="s">
        <v>10</v>
      </c>
    </row>
    <row r="8608" spans="1:9" x14ac:dyDescent="0.25">
      <c r="A8608" t="str">
        <f t="shared" si="205"/>
        <v>89301000</v>
      </c>
      <c r="B8608" t="str">
        <f>"6010281453"</f>
        <v>6010281453</v>
      </c>
      <c r="C8608" s="1">
        <v>45093</v>
      </c>
      <c r="D8608" s="1">
        <v>45105</v>
      </c>
      <c r="E8608">
        <v>4</v>
      </c>
      <c r="F8608" t="str">
        <f>"25-I02-02"</f>
        <v>25-I02-02</v>
      </c>
      <c r="G8608">
        <v>6.6448999999999998</v>
      </c>
      <c r="H8608" t="s">
        <v>14</v>
      </c>
      <c r="I8608" t="s">
        <v>10</v>
      </c>
    </row>
    <row r="8609" spans="1:9" x14ac:dyDescent="0.25">
      <c r="A8609" t="str">
        <f t="shared" si="205"/>
        <v>89301000</v>
      </c>
      <c r="B8609" t="str">
        <f>"6010290946"</f>
        <v>6010290946</v>
      </c>
      <c r="C8609" s="1">
        <v>45125</v>
      </c>
      <c r="D8609" s="1">
        <v>45128</v>
      </c>
      <c r="E8609">
        <v>1</v>
      </c>
      <c r="F8609" t="str">
        <f>"08-M03-06"</f>
        <v>08-M03-06</v>
      </c>
      <c r="G8609">
        <v>0.39129999999999998</v>
      </c>
      <c r="H8609" t="s">
        <v>11</v>
      </c>
      <c r="I8609" t="s">
        <v>10</v>
      </c>
    </row>
    <row r="8610" spans="1:9" x14ac:dyDescent="0.25">
      <c r="A8610" t="str">
        <f t="shared" si="205"/>
        <v>89301000</v>
      </c>
      <c r="B8610" t="str">
        <f>"6010301572"</f>
        <v>6010301572</v>
      </c>
      <c r="C8610" s="1">
        <v>45032</v>
      </c>
      <c r="D8610" s="1">
        <v>45040</v>
      </c>
      <c r="E8610">
        <v>8</v>
      </c>
      <c r="F8610" t="str">
        <f>"05-K07-04"</f>
        <v>05-K07-04</v>
      </c>
      <c r="G8610">
        <v>1.2770999999999999</v>
      </c>
      <c r="H8610" t="s">
        <v>11</v>
      </c>
      <c r="I8610" t="s">
        <v>10</v>
      </c>
    </row>
    <row r="8611" spans="1:9" x14ac:dyDescent="0.25">
      <c r="A8611" t="str">
        <f t="shared" si="205"/>
        <v>89301000</v>
      </c>
      <c r="B8611" t="str">
        <f>"6010311065"</f>
        <v>6010311065</v>
      </c>
      <c r="C8611" s="1">
        <v>45259</v>
      </c>
      <c r="D8611" s="1">
        <v>45268</v>
      </c>
      <c r="E8611">
        <v>5</v>
      </c>
      <c r="F8611" t="str">
        <f>"06-I13-02"</f>
        <v>06-I13-02</v>
      </c>
      <c r="G8611">
        <v>2.1128999999999998</v>
      </c>
      <c r="H8611" t="s">
        <v>11</v>
      </c>
      <c r="I8611" t="s">
        <v>10</v>
      </c>
    </row>
    <row r="8612" spans="1:9" x14ac:dyDescent="0.25">
      <c r="A8612" t="str">
        <f t="shared" si="205"/>
        <v>89301000</v>
      </c>
      <c r="B8612" t="str">
        <f>"6011011325"</f>
        <v>6011011325</v>
      </c>
      <c r="C8612" s="1">
        <v>45074</v>
      </c>
      <c r="D8612" s="1">
        <v>45083</v>
      </c>
      <c r="E8612">
        <v>1</v>
      </c>
      <c r="F8612" t="str">
        <f>"05-I18-04"</f>
        <v>05-I18-04</v>
      </c>
      <c r="G8612">
        <v>3.3858000000000001</v>
      </c>
      <c r="H8612" t="s">
        <v>12</v>
      </c>
      <c r="I8612" t="s">
        <v>10</v>
      </c>
    </row>
    <row r="8613" spans="1:9" x14ac:dyDescent="0.25">
      <c r="A8613" t="str">
        <f t="shared" si="205"/>
        <v>89301000</v>
      </c>
      <c r="B8613" t="str">
        <f>"6011081120"</f>
        <v>6011081120</v>
      </c>
      <c r="C8613" s="1">
        <v>45154</v>
      </c>
      <c r="D8613" s="1">
        <v>45155</v>
      </c>
      <c r="E8613">
        <v>1</v>
      </c>
      <c r="F8613" t="str">
        <f>"05-M06-08"</f>
        <v>05-M06-08</v>
      </c>
      <c r="G8613">
        <v>1.4228000000000001</v>
      </c>
      <c r="H8613" t="s">
        <v>12</v>
      </c>
      <c r="I8613" t="s">
        <v>10</v>
      </c>
    </row>
    <row r="8614" spans="1:9" x14ac:dyDescent="0.25">
      <c r="A8614" t="str">
        <f t="shared" si="205"/>
        <v>89301000</v>
      </c>
      <c r="B8614" t="str">
        <f>"6011191318"</f>
        <v>6011191318</v>
      </c>
      <c r="C8614" s="1">
        <v>45160</v>
      </c>
      <c r="D8614" s="1">
        <v>45166</v>
      </c>
      <c r="E8614">
        <v>4</v>
      </c>
      <c r="F8614" t="str">
        <f>"08-I06-04"</f>
        <v>08-I06-04</v>
      </c>
      <c r="G8614">
        <v>2.4180000000000001</v>
      </c>
      <c r="H8614" t="s">
        <v>9</v>
      </c>
      <c r="I8614" t="s">
        <v>10</v>
      </c>
    </row>
    <row r="8615" spans="1:9" x14ac:dyDescent="0.25">
      <c r="A8615" t="str">
        <f t="shared" si="205"/>
        <v>89301000</v>
      </c>
      <c r="B8615" t="str">
        <f>"6011221436"</f>
        <v>6011221436</v>
      </c>
      <c r="C8615" s="1">
        <v>44970</v>
      </c>
      <c r="D8615" s="1">
        <v>44973</v>
      </c>
      <c r="E8615">
        <v>1</v>
      </c>
      <c r="F8615" t="str">
        <f>"08-I32-00"</f>
        <v>08-I32-00</v>
      </c>
      <c r="G8615">
        <v>0.4093</v>
      </c>
      <c r="H8615" t="s">
        <v>11</v>
      </c>
      <c r="I8615" t="s">
        <v>10</v>
      </c>
    </row>
    <row r="8616" spans="1:9" x14ac:dyDescent="0.25">
      <c r="A8616" t="str">
        <f t="shared" si="205"/>
        <v>89301000</v>
      </c>
      <c r="B8616" t="str">
        <f>"6011221436"</f>
        <v>6011221436</v>
      </c>
      <c r="C8616" s="1">
        <v>45257</v>
      </c>
      <c r="D8616" s="1">
        <v>45264</v>
      </c>
      <c r="E8616">
        <v>1</v>
      </c>
      <c r="F8616" t="str">
        <f>"08-I23-01"</f>
        <v>08-I23-01</v>
      </c>
      <c r="G8616">
        <v>1.6314</v>
      </c>
      <c r="H8616" t="s">
        <v>12</v>
      </c>
      <c r="I8616" t="s">
        <v>10</v>
      </c>
    </row>
    <row r="8617" spans="1:9" x14ac:dyDescent="0.25">
      <c r="A8617" t="str">
        <f t="shared" si="205"/>
        <v>89301000</v>
      </c>
      <c r="B8617" t="str">
        <f>"6011231226"</f>
        <v>6011231226</v>
      </c>
      <c r="C8617" s="1">
        <v>45175</v>
      </c>
      <c r="D8617" s="1">
        <v>45181</v>
      </c>
      <c r="E8617">
        <v>4</v>
      </c>
      <c r="F8617" t="str">
        <f>"08-I05-04"</f>
        <v>08-I05-04</v>
      </c>
      <c r="G8617">
        <v>2.4445000000000001</v>
      </c>
      <c r="H8617" t="s">
        <v>12</v>
      </c>
      <c r="I8617" t="s">
        <v>10</v>
      </c>
    </row>
    <row r="8618" spans="1:9" x14ac:dyDescent="0.25">
      <c r="A8618" t="str">
        <f t="shared" si="205"/>
        <v>89301000</v>
      </c>
      <c r="B8618" t="str">
        <f>"6011241500"</f>
        <v>6011241500</v>
      </c>
      <c r="C8618" s="1">
        <v>45217</v>
      </c>
      <c r="D8618" s="1">
        <v>45222</v>
      </c>
      <c r="E8618">
        <v>2</v>
      </c>
      <c r="F8618" t="str">
        <f>"07-I10-06"</f>
        <v>07-I10-06</v>
      </c>
      <c r="G8618">
        <v>0.98419999999999996</v>
      </c>
      <c r="H8618" t="s">
        <v>12</v>
      </c>
      <c r="I8618" t="s">
        <v>10</v>
      </c>
    </row>
    <row r="8619" spans="1:9" x14ac:dyDescent="0.25">
      <c r="A8619" t="str">
        <f t="shared" si="205"/>
        <v>89301000</v>
      </c>
      <c r="B8619" t="str">
        <f>"6011241500"</f>
        <v>6011241500</v>
      </c>
      <c r="C8619" s="1">
        <v>45128</v>
      </c>
      <c r="D8619" s="1">
        <v>45135</v>
      </c>
      <c r="E8619">
        <v>2</v>
      </c>
      <c r="F8619" t="str">
        <f>"07-K05-02"</f>
        <v>07-K05-02</v>
      </c>
      <c r="G8619">
        <v>0.64410000000000001</v>
      </c>
      <c r="H8619" t="s">
        <v>11</v>
      </c>
      <c r="I8619" t="s">
        <v>10</v>
      </c>
    </row>
    <row r="8620" spans="1:9" x14ac:dyDescent="0.25">
      <c r="A8620" t="str">
        <f t="shared" si="205"/>
        <v>89301000</v>
      </c>
      <c r="B8620" t="str">
        <f>"6011271464"</f>
        <v>6011271464</v>
      </c>
      <c r="C8620" s="1">
        <v>45018</v>
      </c>
      <c r="D8620" s="1">
        <v>45021</v>
      </c>
      <c r="E8620">
        <v>1</v>
      </c>
      <c r="F8620" t="str">
        <f>"11-I16-02"</f>
        <v>11-I16-02</v>
      </c>
      <c r="G8620">
        <v>0.4546</v>
      </c>
      <c r="H8620" t="s">
        <v>11</v>
      </c>
      <c r="I8620" t="s">
        <v>10</v>
      </c>
    </row>
    <row r="8621" spans="1:9" x14ac:dyDescent="0.25">
      <c r="A8621" t="str">
        <f t="shared" si="205"/>
        <v>89301000</v>
      </c>
      <c r="B8621" t="str">
        <f>"6011300900"</f>
        <v>6011300900</v>
      </c>
      <c r="C8621" s="1">
        <v>45187</v>
      </c>
      <c r="D8621" s="1">
        <v>45194</v>
      </c>
      <c r="E8621">
        <v>1</v>
      </c>
      <c r="F8621" t="str">
        <f>"01-K04-02"</f>
        <v>01-K04-02</v>
      </c>
      <c r="G8621">
        <v>0.79990000000000006</v>
      </c>
      <c r="H8621" t="s">
        <v>11</v>
      </c>
      <c r="I8621" t="s">
        <v>10</v>
      </c>
    </row>
    <row r="8622" spans="1:9" x14ac:dyDescent="0.25">
      <c r="A8622" t="str">
        <f t="shared" si="205"/>
        <v>89301000</v>
      </c>
      <c r="B8622" t="str">
        <f>"6012051111"</f>
        <v>6012051111</v>
      </c>
      <c r="C8622" s="1">
        <v>45234</v>
      </c>
      <c r="D8622" s="1">
        <v>45240</v>
      </c>
      <c r="E8622">
        <v>1</v>
      </c>
      <c r="F8622" t="str">
        <f>"01-K10-03"</f>
        <v>01-K10-03</v>
      </c>
      <c r="G8622">
        <v>1.0443</v>
      </c>
      <c r="H8622" t="s">
        <v>11</v>
      </c>
      <c r="I8622" t="s">
        <v>10</v>
      </c>
    </row>
    <row r="8623" spans="1:9" x14ac:dyDescent="0.25">
      <c r="A8623" t="str">
        <f t="shared" si="205"/>
        <v>89301000</v>
      </c>
      <c r="B8623" t="str">
        <f>"6012060142"</f>
        <v>6012060142</v>
      </c>
      <c r="C8623" s="1">
        <v>45082</v>
      </c>
      <c r="D8623" s="1">
        <v>45084</v>
      </c>
      <c r="E8623">
        <v>1</v>
      </c>
      <c r="F8623" t="str">
        <f>"09-I13-04"</f>
        <v>09-I13-04</v>
      </c>
      <c r="G8623">
        <v>0.74080000000000001</v>
      </c>
      <c r="H8623" t="s">
        <v>11</v>
      </c>
      <c r="I8623" t="s">
        <v>10</v>
      </c>
    </row>
    <row r="8624" spans="1:9" x14ac:dyDescent="0.25">
      <c r="A8624" t="str">
        <f t="shared" si="205"/>
        <v>89301000</v>
      </c>
      <c r="B8624" t="str">
        <f>"6012060142"</f>
        <v>6012060142</v>
      </c>
      <c r="C8624" s="1">
        <v>45093</v>
      </c>
      <c r="D8624" s="1">
        <v>45098</v>
      </c>
      <c r="E8624">
        <v>1</v>
      </c>
      <c r="F8624" t="str">
        <f>"21-K06-02"</f>
        <v>21-K06-02</v>
      </c>
      <c r="G8624">
        <v>0.55720000000000003</v>
      </c>
      <c r="H8624" t="s">
        <v>11</v>
      </c>
      <c r="I8624" t="s">
        <v>10</v>
      </c>
    </row>
    <row r="8625" spans="1:9" x14ac:dyDescent="0.25">
      <c r="A8625" t="str">
        <f t="shared" ref="A8625:A8688" si="206">"89301000"</f>
        <v>89301000</v>
      </c>
      <c r="B8625" t="str">
        <f>"6012160781"</f>
        <v>6012160781</v>
      </c>
      <c r="C8625" s="1">
        <v>44931</v>
      </c>
      <c r="D8625" s="1">
        <v>44950</v>
      </c>
      <c r="E8625">
        <v>1</v>
      </c>
      <c r="F8625" t="str">
        <f>"17-C05-02"</f>
        <v>17-C05-02</v>
      </c>
      <c r="G8625">
        <v>2.3085</v>
      </c>
      <c r="H8625" t="s">
        <v>11</v>
      </c>
      <c r="I8625" t="s">
        <v>10</v>
      </c>
    </row>
    <row r="8626" spans="1:9" x14ac:dyDescent="0.25">
      <c r="A8626" t="str">
        <f t="shared" si="206"/>
        <v>89301000</v>
      </c>
      <c r="B8626" t="str">
        <f>"6012160781"</f>
        <v>6012160781</v>
      </c>
      <c r="C8626" s="1">
        <v>44999</v>
      </c>
      <c r="D8626" s="1">
        <v>45030</v>
      </c>
      <c r="E8626">
        <v>1</v>
      </c>
      <c r="F8626" t="str">
        <f>"00-M07-00"</f>
        <v>00-M07-00</v>
      </c>
      <c r="G8626">
        <v>9.4077999999999999</v>
      </c>
      <c r="H8626" t="s">
        <v>14</v>
      </c>
      <c r="I8626" t="s">
        <v>10</v>
      </c>
    </row>
    <row r="8627" spans="1:9" x14ac:dyDescent="0.25">
      <c r="A8627" t="str">
        <f t="shared" si="206"/>
        <v>89301000</v>
      </c>
      <c r="B8627" t="str">
        <f>"6012171055"</f>
        <v>6012171055</v>
      </c>
      <c r="C8627" s="1">
        <v>45090</v>
      </c>
      <c r="D8627" s="1">
        <v>45092</v>
      </c>
      <c r="E8627">
        <v>1</v>
      </c>
      <c r="F8627" t="str">
        <f>"05-M05-02"</f>
        <v>05-M05-02</v>
      </c>
      <c r="G8627">
        <v>3.4817999999999998</v>
      </c>
      <c r="H8627" t="s">
        <v>14</v>
      </c>
      <c r="I8627" t="s">
        <v>10</v>
      </c>
    </row>
    <row r="8628" spans="1:9" x14ac:dyDescent="0.25">
      <c r="A8628" t="str">
        <f t="shared" si="206"/>
        <v>89301000</v>
      </c>
      <c r="B8628" t="str">
        <f>"6012190547"</f>
        <v>6012190547</v>
      </c>
      <c r="C8628" s="1">
        <v>45257</v>
      </c>
      <c r="D8628" s="1">
        <v>45260</v>
      </c>
      <c r="E8628">
        <v>1</v>
      </c>
      <c r="F8628" t="str">
        <f>"11-K08-02"</f>
        <v>11-K08-02</v>
      </c>
      <c r="G8628">
        <v>0.51959999999999995</v>
      </c>
      <c r="H8628" t="s">
        <v>11</v>
      </c>
      <c r="I8628" t="s">
        <v>10</v>
      </c>
    </row>
    <row r="8629" spans="1:9" x14ac:dyDescent="0.25">
      <c r="A8629" t="str">
        <f t="shared" si="206"/>
        <v>89301000</v>
      </c>
      <c r="B8629" t="str">
        <f>"6012220995"</f>
        <v>6012220995</v>
      </c>
      <c r="C8629" s="1">
        <v>45000</v>
      </c>
      <c r="D8629" s="1">
        <v>45002</v>
      </c>
      <c r="E8629">
        <v>1</v>
      </c>
      <c r="F8629" t="str">
        <f>"05-D01-06"</f>
        <v>05-D01-06</v>
      </c>
      <c r="G8629">
        <v>0.7571</v>
      </c>
      <c r="H8629" t="s">
        <v>11</v>
      </c>
      <c r="I8629" t="s">
        <v>10</v>
      </c>
    </row>
    <row r="8630" spans="1:9" x14ac:dyDescent="0.25">
      <c r="A8630" t="str">
        <f t="shared" si="206"/>
        <v>89301000</v>
      </c>
      <c r="B8630" t="str">
        <f>"6012231115"</f>
        <v>6012231115</v>
      </c>
      <c r="C8630" s="1">
        <v>44930</v>
      </c>
      <c r="D8630" s="1">
        <v>44944</v>
      </c>
      <c r="E8630">
        <v>1</v>
      </c>
      <c r="F8630" t="str">
        <f>"01-I01-01"</f>
        <v>01-I01-01</v>
      </c>
      <c r="G8630">
        <v>15.458299999999999</v>
      </c>
      <c r="H8630" t="s">
        <v>14</v>
      </c>
      <c r="I8630" t="s">
        <v>10</v>
      </c>
    </row>
    <row r="8631" spans="1:9" x14ac:dyDescent="0.25">
      <c r="A8631" t="str">
        <f t="shared" si="206"/>
        <v>89301000</v>
      </c>
      <c r="B8631" t="str">
        <f>"6012231115"</f>
        <v>6012231115</v>
      </c>
      <c r="C8631" s="1">
        <v>45068</v>
      </c>
      <c r="D8631" s="1">
        <v>45070</v>
      </c>
      <c r="E8631">
        <v>1</v>
      </c>
      <c r="F8631" t="str">
        <f>"01-K04-02"</f>
        <v>01-K04-02</v>
      </c>
      <c r="G8631">
        <v>0.79990000000000006</v>
      </c>
      <c r="H8631" t="s">
        <v>11</v>
      </c>
      <c r="I8631" t="s">
        <v>10</v>
      </c>
    </row>
    <row r="8632" spans="1:9" x14ac:dyDescent="0.25">
      <c r="A8632" t="str">
        <f t="shared" si="206"/>
        <v>89301000</v>
      </c>
      <c r="B8632" t="str">
        <f>"6012231115"</f>
        <v>6012231115</v>
      </c>
      <c r="C8632" s="1">
        <v>45152</v>
      </c>
      <c r="D8632" s="1">
        <v>45154</v>
      </c>
      <c r="E8632">
        <v>1</v>
      </c>
      <c r="F8632" t="str">
        <f>"01-K04-02"</f>
        <v>01-K04-02</v>
      </c>
      <c r="G8632">
        <v>0.79990000000000006</v>
      </c>
      <c r="H8632" t="s">
        <v>11</v>
      </c>
      <c r="I8632" t="s">
        <v>10</v>
      </c>
    </row>
    <row r="8633" spans="1:9" x14ac:dyDescent="0.25">
      <c r="A8633" t="str">
        <f t="shared" si="206"/>
        <v>89301000</v>
      </c>
      <c r="B8633" t="str">
        <f>"6012231115"</f>
        <v>6012231115</v>
      </c>
      <c r="C8633" s="1">
        <v>44970</v>
      </c>
      <c r="D8633" s="1">
        <v>44973</v>
      </c>
      <c r="E8633">
        <v>1</v>
      </c>
      <c r="F8633" t="str">
        <f>"01-K04-02"</f>
        <v>01-K04-02</v>
      </c>
      <c r="G8633">
        <v>0.79990000000000006</v>
      </c>
      <c r="H8633" t="s">
        <v>11</v>
      </c>
      <c r="I8633" t="s">
        <v>10</v>
      </c>
    </row>
    <row r="8634" spans="1:9" x14ac:dyDescent="0.25">
      <c r="A8634" t="str">
        <f t="shared" si="206"/>
        <v>89301000</v>
      </c>
      <c r="B8634" t="str">
        <f>"6012280164"</f>
        <v>6012280164</v>
      </c>
      <c r="C8634" s="1">
        <v>44973</v>
      </c>
      <c r="D8634" s="1">
        <v>44979</v>
      </c>
      <c r="E8634">
        <v>1</v>
      </c>
      <c r="F8634" t="str">
        <f>"04-K10-01"</f>
        <v>04-K10-01</v>
      </c>
      <c r="G8634">
        <v>0.78469999999999995</v>
      </c>
      <c r="H8634" t="s">
        <v>11</v>
      </c>
      <c r="I8634" t="s">
        <v>10</v>
      </c>
    </row>
    <row r="8635" spans="1:9" x14ac:dyDescent="0.25">
      <c r="A8635" t="str">
        <f t="shared" si="206"/>
        <v>89301000</v>
      </c>
      <c r="B8635" t="str">
        <f>"6051171236"</f>
        <v>6051171236</v>
      </c>
      <c r="C8635" s="1">
        <v>45201</v>
      </c>
      <c r="D8635" s="1">
        <v>45204</v>
      </c>
      <c r="E8635">
        <v>1</v>
      </c>
      <c r="F8635" t="str">
        <f>"01-D01-02"</f>
        <v>01-D01-02</v>
      </c>
      <c r="G8635">
        <v>0.4461</v>
      </c>
      <c r="H8635" t="s">
        <v>11</v>
      </c>
      <c r="I8635" t="s">
        <v>10</v>
      </c>
    </row>
    <row r="8636" spans="1:9" x14ac:dyDescent="0.25">
      <c r="A8636" t="str">
        <f t="shared" si="206"/>
        <v>89301000</v>
      </c>
      <c r="B8636" t="str">
        <f>"6051171236"</f>
        <v>6051171236</v>
      </c>
      <c r="C8636" s="1">
        <v>45229</v>
      </c>
      <c r="D8636" s="1">
        <v>45231</v>
      </c>
      <c r="E8636">
        <v>1</v>
      </c>
      <c r="F8636" t="str">
        <f>"01-D01-02"</f>
        <v>01-D01-02</v>
      </c>
      <c r="G8636">
        <v>0.4461</v>
      </c>
      <c r="H8636" t="s">
        <v>11</v>
      </c>
      <c r="I8636" t="s">
        <v>10</v>
      </c>
    </row>
    <row r="8637" spans="1:9" x14ac:dyDescent="0.25">
      <c r="A8637" t="str">
        <f t="shared" si="206"/>
        <v>89301000</v>
      </c>
      <c r="B8637" t="str">
        <f>"6051210836"</f>
        <v>6051210836</v>
      </c>
      <c r="C8637" s="1">
        <v>45097</v>
      </c>
      <c r="D8637" s="1">
        <v>45103</v>
      </c>
      <c r="E8637">
        <v>1</v>
      </c>
      <c r="F8637" t="str">
        <f>"06-I05-01"</f>
        <v>06-I05-01</v>
      </c>
      <c r="G8637">
        <v>3.8811</v>
      </c>
      <c r="H8637" t="s">
        <v>12</v>
      </c>
      <c r="I8637" t="s">
        <v>10</v>
      </c>
    </row>
    <row r="8638" spans="1:9" x14ac:dyDescent="0.25">
      <c r="A8638" t="str">
        <f t="shared" si="206"/>
        <v>89301000</v>
      </c>
      <c r="B8638" t="str">
        <f>"6051281214"</f>
        <v>6051281214</v>
      </c>
      <c r="C8638" s="1">
        <v>45252</v>
      </c>
      <c r="D8638" s="1">
        <v>45258</v>
      </c>
      <c r="E8638">
        <v>1</v>
      </c>
      <c r="F8638" t="str">
        <f>"04-K02-04"</f>
        <v>04-K02-04</v>
      </c>
      <c r="G8638">
        <v>0.82099999999999995</v>
      </c>
      <c r="H8638" t="s">
        <v>11</v>
      </c>
      <c r="I8638" t="s">
        <v>10</v>
      </c>
    </row>
    <row r="8639" spans="1:9" x14ac:dyDescent="0.25">
      <c r="A8639" t="str">
        <f t="shared" si="206"/>
        <v>89301000</v>
      </c>
      <c r="B8639" t="str">
        <f>"6051301157"</f>
        <v>6051301157</v>
      </c>
      <c r="C8639" s="1">
        <v>45231</v>
      </c>
      <c r="D8639" s="1">
        <v>45236</v>
      </c>
      <c r="E8639">
        <v>4</v>
      </c>
      <c r="F8639" t="str">
        <f>"08-I06-04"</f>
        <v>08-I06-04</v>
      </c>
      <c r="G8639">
        <v>2.4180000000000001</v>
      </c>
      <c r="H8639" t="s">
        <v>9</v>
      </c>
      <c r="I8639" t="s">
        <v>10</v>
      </c>
    </row>
    <row r="8640" spans="1:9" x14ac:dyDescent="0.25">
      <c r="A8640" t="str">
        <f t="shared" si="206"/>
        <v>89301000</v>
      </c>
      <c r="B8640" t="str">
        <f>"6052071256"</f>
        <v>6052071256</v>
      </c>
      <c r="C8640" s="1">
        <v>45280</v>
      </c>
      <c r="D8640" s="1">
        <v>45282</v>
      </c>
      <c r="E8640">
        <v>1</v>
      </c>
      <c r="F8640" t="str">
        <f>"04-K05-03"</f>
        <v>04-K05-03</v>
      </c>
      <c r="G8640">
        <v>0.74039999999999995</v>
      </c>
      <c r="H8640" t="s">
        <v>11</v>
      </c>
      <c r="I8640" t="s">
        <v>10</v>
      </c>
    </row>
    <row r="8641" spans="1:9" x14ac:dyDescent="0.25">
      <c r="A8641" t="str">
        <f t="shared" si="206"/>
        <v>89301000</v>
      </c>
      <c r="B8641" t="str">
        <f>"6052160367"</f>
        <v>6052160367</v>
      </c>
      <c r="C8641" s="1">
        <v>44999</v>
      </c>
      <c r="D8641" s="1">
        <v>45009</v>
      </c>
      <c r="E8641">
        <v>1</v>
      </c>
      <c r="F8641" t="str">
        <f>"08-K02-01"</f>
        <v>08-K02-01</v>
      </c>
      <c r="G8641">
        <v>1.2954000000000001</v>
      </c>
      <c r="H8641" t="s">
        <v>11</v>
      </c>
      <c r="I8641" t="s">
        <v>10</v>
      </c>
    </row>
    <row r="8642" spans="1:9" x14ac:dyDescent="0.25">
      <c r="A8642" t="str">
        <f t="shared" si="206"/>
        <v>89301000</v>
      </c>
      <c r="B8642" t="str">
        <f>"6052160367"</f>
        <v>6052160367</v>
      </c>
      <c r="C8642" s="1">
        <v>45138</v>
      </c>
      <c r="D8642" s="1">
        <v>45141</v>
      </c>
      <c r="E8642">
        <v>1</v>
      </c>
      <c r="F8642" t="str">
        <f>"08-K02-02"</f>
        <v>08-K02-02</v>
      </c>
      <c r="G8642">
        <v>0.81369999999999998</v>
      </c>
      <c r="H8642" t="s">
        <v>11</v>
      </c>
      <c r="I8642" t="s">
        <v>10</v>
      </c>
    </row>
    <row r="8643" spans="1:9" x14ac:dyDescent="0.25">
      <c r="A8643" t="str">
        <f t="shared" si="206"/>
        <v>89301000</v>
      </c>
      <c r="B8643" t="str">
        <f>"6052160367"</f>
        <v>6052160367</v>
      </c>
      <c r="C8643" s="1">
        <v>45254</v>
      </c>
      <c r="D8643" s="1">
        <v>45266</v>
      </c>
      <c r="E8643">
        <v>1</v>
      </c>
      <c r="F8643" t="str">
        <f>"08-K02-02"</f>
        <v>08-K02-02</v>
      </c>
      <c r="G8643">
        <v>1.0097</v>
      </c>
      <c r="H8643" t="s">
        <v>11</v>
      </c>
      <c r="I8643" t="s">
        <v>10</v>
      </c>
    </row>
    <row r="8644" spans="1:9" x14ac:dyDescent="0.25">
      <c r="A8644" t="str">
        <f t="shared" si="206"/>
        <v>89301000</v>
      </c>
      <c r="B8644" t="str">
        <f>"6052160576"</f>
        <v>6052160576</v>
      </c>
      <c r="C8644" s="1">
        <v>44981</v>
      </c>
      <c r="D8644" s="1">
        <v>44987</v>
      </c>
      <c r="E8644">
        <v>1</v>
      </c>
      <c r="F8644" t="str">
        <f>"09-K02-00"</f>
        <v>09-K02-00</v>
      </c>
      <c r="G8644">
        <v>0.99539999999999995</v>
      </c>
      <c r="H8644" t="s">
        <v>11</v>
      </c>
      <c r="I8644" t="s">
        <v>10</v>
      </c>
    </row>
    <row r="8645" spans="1:9" x14ac:dyDescent="0.25">
      <c r="A8645" t="str">
        <f t="shared" si="206"/>
        <v>89301000</v>
      </c>
      <c r="B8645" t="str">
        <f>"6052171796"</f>
        <v>6052171796</v>
      </c>
      <c r="C8645" s="1">
        <v>45106</v>
      </c>
      <c r="D8645" s="1">
        <v>45108</v>
      </c>
      <c r="E8645">
        <v>1</v>
      </c>
      <c r="F8645" t="str">
        <f>"09-I09-02"</f>
        <v>09-I09-02</v>
      </c>
      <c r="G8645">
        <v>0.76900000000000002</v>
      </c>
      <c r="H8645" t="s">
        <v>12</v>
      </c>
      <c r="I8645" t="s">
        <v>10</v>
      </c>
    </row>
    <row r="8646" spans="1:9" x14ac:dyDescent="0.25">
      <c r="A8646" t="str">
        <f t="shared" si="206"/>
        <v>89301000</v>
      </c>
      <c r="B8646" t="str">
        <f>"6052191310"</f>
        <v>6052191310</v>
      </c>
      <c r="C8646" s="1">
        <v>45250</v>
      </c>
      <c r="D8646" s="1">
        <v>45252</v>
      </c>
      <c r="E8646">
        <v>1</v>
      </c>
      <c r="F8646" t="str">
        <f>"09-I09-02"</f>
        <v>09-I09-02</v>
      </c>
      <c r="G8646">
        <v>0.76900000000000002</v>
      </c>
      <c r="H8646" t="s">
        <v>12</v>
      </c>
      <c r="I8646" t="s">
        <v>10</v>
      </c>
    </row>
    <row r="8647" spans="1:9" x14ac:dyDescent="0.25">
      <c r="A8647" t="str">
        <f t="shared" si="206"/>
        <v>89301000</v>
      </c>
      <c r="B8647" t="str">
        <f>"6052191310"</f>
        <v>6052191310</v>
      </c>
      <c r="C8647" s="1">
        <v>45098</v>
      </c>
      <c r="D8647" s="1">
        <v>45100</v>
      </c>
      <c r="E8647">
        <v>1</v>
      </c>
      <c r="F8647" t="str">
        <f>"08-K09-02"</f>
        <v>08-K09-02</v>
      </c>
      <c r="G8647">
        <v>0.79969999999999997</v>
      </c>
      <c r="H8647" t="s">
        <v>11</v>
      </c>
      <c r="I8647" t="s">
        <v>10</v>
      </c>
    </row>
    <row r="8648" spans="1:9" x14ac:dyDescent="0.25">
      <c r="A8648" t="str">
        <f t="shared" si="206"/>
        <v>89301000</v>
      </c>
      <c r="B8648" t="str">
        <f>"6053021062"</f>
        <v>6053021062</v>
      </c>
      <c r="C8648" s="1">
        <v>45232</v>
      </c>
      <c r="D8648" s="1">
        <v>45233</v>
      </c>
      <c r="E8648">
        <v>1</v>
      </c>
      <c r="F8648" t="str">
        <f>"05-D01-06"</f>
        <v>05-D01-06</v>
      </c>
      <c r="G8648">
        <v>0.7571</v>
      </c>
      <c r="H8648" t="s">
        <v>11</v>
      </c>
      <c r="I8648" t="s">
        <v>10</v>
      </c>
    </row>
    <row r="8649" spans="1:9" x14ac:dyDescent="0.25">
      <c r="A8649" t="str">
        <f t="shared" si="206"/>
        <v>89301000</v>
      </c>
      <c r="B8649" t="str">
        <f>"6053041500"</f>
        <v>6053041500</v>
      </c>
      <c r="C8649" s="1">
        <v>45217</v>
      </c>
      <c r="D8649" s="1">
        <v>45225</v>
      </c>
      <c r="E8649">
        <v>4</v>
      </c>
      <c r="F8649" t="str">
        <f>"08-I05-04"</f>
        <v>08-I05-04</v>
      </c>
      <c r="G8649">
        <v>2.4445000000000001</v>
      </c>
      <c r="H8649" t="s">
        <v>12</v>
      </c>
      <c r="I8649" t="s">
        <v>10</v>
      </c>
    </row>
    <row r="8650" spans="1:9" x14ac:dyDescent="0.25">
      <c r="A8650" t="str">
        <f t="shared" si="206"/>
        <v>89301000</v>
      </c>
      <c r="B8650" t="str">
        <f>"6053060739"</f>
        <v>6053060739</v>
      </c>
      <c r="C8650" s="1">
        <v>44987</v>
      </c>
      <c r="D8650" s="1">
        <v>44993</v>
      </c>
      <c r="E8650">
        <v>1</v>
      </c>
      <c r="F8650" t="str">
        <f>"09-K01-04"</f>
        <v>09-K01-04</v>
      </c>
      <c r="G8650">
        <v>0.59330000000000005</v>
      </c>
      <c r="H8650" t="s">
        <v>11</v>
      </c>
      <c r="I8650" t="s">
        <v>10</v>
      </c>
    </row>
    <row r="8651" spans="1:9" x14ac:dyDescent="0.25">
      <c r="A8651" t="str">
        <f t="shared" si="206"/>
        <v>89301000</v>
      </c>
      <c r="B8651" t="str">
        <f>"6053161191"</f>
        <v>6053161191</v>
      </c>
      <c r="C8651" s="1">
        <v>45097</v>
      </c>
      <c r="D8651" s="1">
        <v>45102</v>
      </c>
      <c r="E8651">
        <v>1</v>
      </c>
      <c r="F8651" t="str">
        <f>"01-K01-02"</f>
        <v>01-K01-02</v>
      </c>
      <c r="G8651">
        <v>0.442</v>
      </c>
      <c r="H8651" t="s">
        <v>11</v>
      </c>
      <c r="I8651" t="s">
        <v>10</v>
      </c>
    </row>
    <row r="8652" spans="1:9" x14ac:dyDescent="0.25">
      <c r="A8652" t="str">
        <f t="shared" si="206"/>
        <v>89301000</v>
      </c>
      <c r="B8652" t="str">
        <f>"6053161191"</f>
        <v>6053161191</v>
      </c>
      <c r="C8652" s="1">
        <v>45189</v>
      </c>
      <c r="D8652" s="1">
        <v>45195</v>
      </c>
      <c r="E8652">
        <v>1</v>
      </c>
      <c r="F8652" t="str">
        <f>"01-K01-02"</f>
        <v>01-K01-02</v>
      </c>
      <c r="G8652">
        <v>0.442</v>
      </c>
      <c r="H8652" t="s">
        <v>11</v>
      </c>
      <c r="I8652" t="s">
        <v>10</v>
      </c>
    </row>
    <row r="8653" spans="1:9" x14ac:dyDescent="0.25">
      <c r="A8653" t="str">
        <f t="shared" si="206"/>
        <v>89301000</v>
      </c>
      <c r="B8653" t="str">
        <f>"6053161191"</f>
        <v>6053161191</v>
      </c>
      <c r="C8653" s="1">
        <v>45271</v>
      </c>
      <c r="D8653" s="1">
        <v>45276</v>
      </c>
      <c r="E8653">
        <v>1</v>
      </c>
      <c r="F8653" t="str">
        <f>"01-K01-01"</f>
        <v>01-K01-01</v>
      </c>
      <c r="G8653">
        <v>0.91659999999999997</v>
      </c>
      <c r="H8653" t="s">
        <v>11</v>
      </c>
      <c r="I8653" t="s">
        <v>10</v>
      </c>
    </row>
    <row r="8654" spans="1:9" x14ac:dyDescent="0.25">
      <c r="A8654" t="str">
        <f t="shared" si="206"/>
        <v>89301000</v>
      </c>
      <c r="B8654" t="str">
        <f>"6053161191"</f>
        <v>6053161191</v>
      </c>
      <c r="C8654" s="1">
        <v>45000</v>
      </c>
      <c r="D8654" s="1">
        <v>45005</v>
      </c>
      <c r="E8654">
        <v>1</v>
      </c>
      <c r="F8654" t="str">
        <f>"01-K01-02"</f>
        <v>01-K01-02</v>
      </c>
      <c r="G8654">
        <v>0.442</v>
      </c>
      <c r="H8654" t="s">
        <v>11</v>
      </c>
      <c r="I8654" t="s">
        <v>10</v>
      </c>
    </row>
    <row r="8655" spans="1:9" x14ac:dyDescent="0.25">
      <c r="A8655" t="str">
        <f t="shared" si="206"/>
        <v>89301000</v>
      </c>
      <c r="B8655" t="str">
        <f>"6053170717"</f>
        <v>6053170717</v>
      </c>
      <c r="C8655" s="1">
        <v>45239</v>
      </c>
      <c r="D8655" s="1">
        <v>45241</v>
      </c>
      <c r="E8655">
        <v>1</v>
      </c>
      <c r="F8655" t="str">
        <f>"08-M03-05"</f>
        <v>08-M03-05</v>
      </c>
      <c r="G8655">
        <v>0.46810000000000002</v>
      </c>
      <c r="H8655" t="s">
        <v>11</v>
      </c>
      <c r="I8655" t="s">
        <v>10</v>
      </c>
    </row>
    <row r="8656" spans="1:9" x14ac:dyDescent="0.25">
      <c r="A8656" t="str">
        <f t="shared" si="206"/>
        <v>89301000</v>
      </c>
      <c r="B8656" t="str">
        <f>"6053170926"</f>
        <v>6053170926</v>
      </c>
      <c r="C8656" s="1">
        <v>45105</v>
      </c>
      <c r="D8656" s="1">
        <v>45106</v>
      </c>
      <c r="E8656">
        <v>1</v>
      </c>
      <c r="F8656" t="str">
        <f>"01-D01-03"</f>
        <v>01-D01-03</v>
      </c>
      <c r="G8656">
        <v>0.16200000000000001</v>
      </c>
      <c r="H8656" t="s">
        <v>11</v>
      </c>
      <c r="I8656" t="s">
        <v>10</v>
      </c>
    </row>
    <row r="8657" spans="1:9" x14ac:dyDescent="0.25">
      <c r="A8657" t="str">
        <f t="shared" si="206"/>
        <v>89301000</v>
      </c>
      <c r="B8657" t="str">
        <f>"6053170926"</f>
        <v>6053170926</v>
      </c>
      <c r="C8657" s="1">
        <v>45184</v>
      </c>
      <c r="D8657" s="1">
        <v>45187</v>
      </c>
      <c r="E8657">
        <v>1</v>
      </c>
      <c r="F8657" t="str">
        <f>"01-D01-03"</f>
        <v>01-D01-03</v>
      </c>
      <c r="G8657">
        <v>0.21060000000000001</v>
      </c>
      <c r="H8657" t="s">
        <v>11</v>
      </c>
      <c r="I8657" t="s">
        <v>10</v>
      </c>
    </row>
    <row r="8658" spans="1:9" x14ac:dyDescent="0.25">
      <c r="A8658" t="str">
        <f t="shared" si="206"/>
        <v>89301000</v>
      </c>
      <c r="B8658" t="str">
        <f>"6053200890"</f>
        <v>6053200890</v>
      </c>
      <c r="C8658" s="1">
        <v>45238</v>
      </c>
      <c r="D8658" s="1">
        <v>45240</v>
      </c>
      <c r="E8658">
        <v>1</v>
      </c>
      <c r="F8658" t="str">
        <f>"11-K09-00"</f>
        <v>11-K09-00</v>
      </c>
      <c r="G8658">
        <v>0.46700000000000003</v>
      </c>
      <c r="H8658" t="s">
        <v>11</v>
      </c>
      <c r="I8658" t="s">
        <v>10</v>
      </c>
    </row>
    <row r="8659" spans="1:9" x14ac:dyDescent="0.25">
      <c r="A8659" t="str">
        <f t="shared" si="206"/>
        <v>89301000</v>
      </c>
      <c r="B8659" t="str">
        <f>"6053271334"</f>
        <v>6053271334</v>
      </c>
      <c r="C8659" s="1">
        <v>45268</v>
      </c>
      <c r="D8659" s="1">
        <v>45275</v>
      </c>
      <c r="E8659">
        <v>1</v>
      </c>
      <c r="F8659" t="str">
        <f>"11-K01-02"</f>
        <v>11-K01-02</v>
      </c>
      <c r="G8659">
        <v>0.86480000000000001</v>
      </c>
      <c r="H8659" t="s">
        <v>11</v>
      </c>
      <c r="I8659" t="s">
        <v>10</v>
      </c>
    </row>
    <row r="8660" spans="1:9" x14ac:dyDescent="0.25">
      <c r="A8660" t="str">
        <f t="shared" si="206"/>
        <v>89301000</v>
      </c>
      <c r="B8660" t="str">
        <f>"6053281157"</f>
        <v>6053281157</v>
      </c>
      <c r="C8660" s="1">
        <v>45028</v>
      </c>
      <c r="D8660" s="1">
        <v>45029</v>
      </c>
      <c r="E8660">
        <v>1</v>
      </c>
      <c r="F8660" t="str">
        <f>"04-K10-02"</f>
        <v>04-K10-02</v>
      </c>
      <c r="G8660">
        <v>0.41899999999999998</v>
      </c>
      <c r="H8660" t="s">
        <v>11</v>
      </c>
      <c r="I8660" t="s">
        <v>10</v>
      </c>
    </row>
    <row r="8661" spans="1:9" x14ac:dyDescent="0.25">
      <c r="A8661" t="str">
        <f t="shared" si="206"/>
        <v>89301000</v>
      </c>
      <c r="B8661" t="str">
        <f>"6053281542"</f>
        <v>6053281542</v>
      </c>
      <c r="C8661" s="1">
        <v>44991</v>
      </c>
      <c r="D8661" s="1">
        <v>44998</v>
      </c>
      <c r="E8661">
        <v>3</v>
      </c>
      <c r="F8661" t="str">
        <f>"08-I06-04"</f>
        <v>08-I06-04</v>
      </c>
      <c r="G8661">
        <v>2.4180000000000001</v>
      </c>
      <c r="H8661" t="s">
        <v>9</v>
      </c>
      <c r="I8661" t="s">
        <v>10</v>
      </c>
    </row>
    <row r="8662" spans="1:9" x14ac:dyDescent="0.25">
      <c r="A8662" t="str">
        <f t="shared" si="206"/>
        <v>89301000</v>
      </c>
      <c r="B8662" t="str">
        <f>"6053281542"</f>
        <v>6053281542</v>
      </c>
      <c r="C8662" s="1">
        <v>44998</v>
      </c>
      <c r="D8662" s="1">
        <v>45009</v>
      </c>
      <c r="E8662">
        <v>1</v>
      </c>
      <c r="F8662" t="str">
        <f>"24-M06-02"</f>
        <v>24-M06-02</v>
      </c>
      <c r="G8662">
        <v>1.0699000000000001</v>
      </c>
      <c r="H8662" t="s">
        <v>11</v>
      </c>
      <c r="I8662" t="s">
        <v>10</v>
      </c>
    </row>
    <row r="8663" spans="1:9" x14ac:dyDescent="0.25">
      <c r="A8663" t="str">
        <f t="shared" si="206"/>
        <v>89301000</v>
      </c>
      <c r="B8663" t="str">
        <f>"6053312067"</f>
        <v>6053312067</v>
      </c>
      <c r="C8663" s="1">
        <v>44938</v>
      </c>
      <c r="D8663" s="1">
        <v>44940</v>
      </c>
      <c r="E8663">
        <v>1</v>
      </c>
      <c r="F8663" t="str">
        <f>"08-M03-05"</f>
        <v>08-M03-05</v>
      </c>
      <c r="G8663">
        <v>0.46810000000000002</v>
      </c>
      <c r="H8663" t="s">
        <v>11</v>
      </c>
      <c r="I8663" t="s">
        <v>10</v>
      </c>
    </row>
    <row r="8664" spans="1:9" x14ac:dyDescent="0.25">
      <c r="A8664" t="str">
        <f t="shared" si="206"/>
        <v>89301000</v>
      </c>
      <c r="B8664" t="str">
        <f>"6054091384"</f>
        <v>6054091384</v>
      </c>
      <c r="C8664" s="1">
        <v>45237</v>
      </c>
      <c r="D8664" s="1">
        <v>45241</v>
      </c>
      <c r="E8664">
        <v>1</v>
      </c>
      <c r="F8664" t="str">
        <f>"08-I06-05"</f>
        <v>08-I06-05</v>
      </c>
      <c r="G8664">
        <v>2.1507000000000001</v>
      </c>
      <c r="H8664" t="s">
        <v>9</v>
      </c>
      <c r="I8664" t="s">
        <v>10</v>
      </c>
    </row>
    <row r="8665" spans="1:9" x14ac:dyDescent="0.25">
      <c r="A8665" t="str">
        <f t="shared" si="206"/>
        <v>89301000</v>
      </c>
      <c r="B8665" t="str">
        <f>"6054140884"</f>
        <v>6054140884</v>
      </c>
      <c r="C8665" s="1">
        <v>44968</v>
      </c>
      <c r="D8665" s="1">
        <v>44974</v>
      </c>
      <c r="E8665">
        <v>1</v>
      </c>
      <c r="F8665" t="str">
        <f>"03-I14-02"</f>
        <v>03-I14-02</v>
      </c>
      <c r="G8665">
        <v>1.0793999999999999</v>
      </c>
      <c r="H8665" t="s">
        <v>11</v>
      </c>
      <c r="I8665" t="s">
        <v>10</v>
      </c>
    </row>
    <row r="8666" spans="1:9" x14ac:dyDescent="0.25">
      <c r="A8666" t="str">
        <f t="shared" si="206"/>
        <v>89301000</v>
      </c>
      <c r="B8666" t="str">
        <f>"6054181309"</f>
        <v>6054181309</v>
      </c>
      <c r="C8666" s="1">
        <v>45012</v>
      </c>
      <c r="D8666" s="1">
        <v>45013</v>
      </c>
      <c r="E8666">
        <v>1</v>
      </c>
      <c r="F8666" t="str">
        <f>"02-I06-04"</f>
        <v>02-I06-04</v>
      </c>
      <c r="G8666">
        <v>0.79630000000000001</v>
      </c>
      <c r="H8666" t="s">
        <v>12</v>
      </c>
      <c r="I8666" t="s">
        <v>10</v>
      </c>
    </row>
    <row r="8667" spans="1:9" x14ac:dyDescent="0.25">
      <c r="A8667" t="str">
        <f t="shared" si="206"/>
        <v>89301000</v>
      </c>
      <c r="B8667" t="str">
        <f>"6054272070"</f>
        <v>6054272070</v>
      </c>
      <c r="C8667" s="1">
        <v>45090</v>
      </c>
      <c r="D8667" s="1">
        <v>45092</v>
      </c>
      <c r="E8667">
        <v>1</v>
      </c>
      <c r="F8667" t="str">
        <f>"02-K11-02"</f>
        <v>02-K11-02</v>
      </c>
      <c r="G8667">
        <v>0.56559999999999999</v>
      </c>
      <c r="H8667" t="s">
        <v>11</v>
      </c>
      <c r="I8667" t="s">
        <v>10</v>
      </c>
    </row>
    <row r="8668" spans="1:9" x14ac:dyDescent="0.25">
      <c r="A8668" t="str">
        <f t="shared" si="206"/>
        <v>89301000</v>
      </c>
      <c r="B8668" t="str">
        <f>"6055080196"</f>
        <v>6055080196</v>
      </c>
      <c r="C8668" s="1">
        <v>44967</v>
      </c>
      <c r="D8668" s="1">
        <v>44998</v>
      </c>
      <c r="E8668">
        <v>1</v>
      </c>
      <c r="F8668" t="str">
        <f>"04-K09-02"</f>
        <v>04-K09-02</v>
      </c>
      <c r="G8668">
        <v>2.1909000000000001</v>
      </c>
      <c r="H8668" t="s">
        <v>11</v>
      </c>
      <c r="I8668" t="s">
        <v>10</v>
      </c>
    </row>
    <row r="8669" spans="1:9" x14ac:dyDescent="0.25">
      <c r="A8669" t="str">
        <f t="shared" si="206"/>
        <v>89301000</v>
      </c>
      <c r="B8669" t="str">
        <f>"6055080196"</f>
        <v>6055080196</v>
      </c>
      <c r="C8669" s="1">
        <v>45020</v>
      </c>
      <c r="D8669" s="1">
        <v>45034</v>
      </c>
      <c r="E8669">
        <v>1</v>
      </c>
      <c r="F8669" t="str">
        <f>"04-C02-02"</f>
        <v>04-C02-02</v>
      </c>
      <c r="G8669">
        <v>0.64939999999999998</v>
      </c>
      <c r="H8669" t="s">
        <v>11</v>
      </c>
      <c r="I8669" t="s">
        <v>10</v>
      </c>
    </row>
    <row r="8670" spans="1:9" x14ac:dyDescent="0.25">
      <c r="A8670" t="str">
        <f t="shared" si="206"/>
        <v>89301000</v>
      </c>
      <c r="B8670" t="str">
        <f>"6055080196"</f>
        <v>6055080196</v>
      </c>
      <c r="C8670" s="1">
        <v>45058</v>
      </c>
      <c r="D8670" s="1">
        <v>45060</v>
      </c>
      <c r="E8670">
        <v>7</v>
      </c>
      <c r="F8670" t="str">
        <f>"04-K08-03"</f>
        <v>04-K08-03</v>
      </c>
      <c r="G8670">
        <v>1.3985000000000001</v>
      </c>
      <c r="H8670" t="s">
        <v>11</v>
      </c>
      <c r="I8670" t="s">
        <v>10</v>
      </c>
    </row>
    <row r="8671" spans="1:9" x14ac:dyDescent="0.25">
      <c r="A8671" t="str">
        <f t="shared" si="206"/>
        <v>89301000</v>
      </c>
      <c r="B8671" t="str">
        <f>"6055121391"</f>
        <v>6055121391</v>
      </c>
      <c r="C8671" s="1">
        <v>44938</v>
      </c>
      <c r="D8671" s="1">
        <v>44938</v>
      </c>
      <c r="E8671">
        <v>1</v>
      </c>
      <c r="F8671" t="str">
        <f>"05-D01-08"</f>
        <v>05-D01-08</v>
      </c>
      <c r="G8671">
        <v>0.61929999999999996</v>
      </c>
      <c r="H8671" t="s">
        <v>11</v>
      </c>
      <c r="I8671" t="s">
        <v>10</v>
      </c>
    </row>
    <row r="8672" spans="1:9" x14ac:dyDescent="0.25">
      <c r="A8672" t="str">
        <f t="shared" si="206"/>
        <v>89301000</v>
      </c>
      <c r="B8672" t="str">
        <f>"6055161134"</f>
        <v>6055161134</v>
      </c>
      <c r="C8672" s="1">
        <v>45055</v>
      </c>
      <c r="D8672" s="1">
        <v>45057</v>
      </c>
      <c r="E8672">
        <v>1</v>
      </c>
      <c r="F8672" t="str">
        <f>"13-I19-00"</f>
        <v>13-I19-00</v>
      </c>
      <c r="G8672">
        <v>0.28249999999999997</v>
      </c>
      <c r="H8672" t="s">
        <v>11</v>
      </c>
      <c r="I8672" t="s">
        <v>10</v>
      </c>
    </row>
    <row r="8673" spans="1:9" x14ac:dyDescent="0.25">
      <c r="A8673" t="str">
        <f t="shared" si="206"/>
        <v>89301000</v>
      </c>
      <c r="B8673" t="str">
        <f>"6055161805"</f>
        <v>6055161805</v>
      </c>
      <c r="C8673" s="1">
        <v>44934</v>
      </c>
      <c r="D8673" s="1">
        <v>44943</v>
      </c>
      <c r="E8673">
        <v>1</v>
      </c>
      <c r="F8673" t="str">
        <f>"09-I13-03"</f>
        <v>09-I13-03</v>
      </c>
      <c r="G8673">
        <v>0.79510000000000003</v>
      </c>
      <c r="H8673" t="s">
        <v>11</v>
      </c>
      <c r="I8673" t="s">
        <v>10</v>
      </c>
    </row>
    <row r="8674" spans="1:9" x14ac:dyDescent="0.25">
      <c r="A8674" t="str">
        <f t="shared" si="206"/>
        <v>89301000</v>
      </c>
      <c r="B8674" t="str">
        <f>"6055181374"</f>
        <v>6055181374</v>
      </c>
      <c r="C8674" s="1">
        <v>44967</v>
      </c>
      <c r="D8674" s="1">
        <v>44971</v>
      </c>
      <c r="E8674">
        <v>1</v>
      </c>
      <c r="F8674" t="str">
        <f>"08-K02-03"</f>
        <v>08-K02-03</v>
      </c>
      <c r="G8674">
        <v>0.6361</v>
      </c>
      <c r="H8674" t="s">
        <v>11</v>
      </c>
      <c r="I8674" t="s">
        <v>10</v>
      </c>
    </row>
    <row r="8675" spans="1:9" x14ac:dyDescent="0.25">
      <c r="A8675" t="str">
        <f t="shared" si="206"/>
        <v>89301000</v>
      </c>
      <c r="B8675" t="str">
        <f>"6055182309"</f>
        <v>6055182309</v>
      </c>
      <c r="C8675" s="1">
        <v>45243</v>
      </c>
      <c r="D8675" s="1">
        <v>45243</v>
      </c>
      <c r="E8675">
        <v>1</v>
      </c>
      <c r="F8675" t="str">
        <f>"05-D01-08"</f>
        <v>05-D01-08</v>
      </c>
      <c r="G8675">
        <v>0.2303</v>
      </c>
      <c r="H8675" t="s">
        <v>11</v>
      </c>
      <c r="I8675" t="s">
        <v>10</v>
      </c>
    </row>
    <row r="8676" spans="1:9" x14ac:dyDescent="0.25">
      <c r="A8676" t="str">
        <f t="shared" si="206"/>
        <v>89301000</v>
      </c>
      <c r="B8676" t="str">
        <f>"6055251620"</f>
        <v>6055251620</v>
      </c>
      <c r="C8676" s="1">
        <v>45155</v>
      </c>
      <c r="D8676" s="1">
        <v>45160</v>
      </c>
      <c r="E8676">
        <v>1</v>
      </c>
      <c r="F8676" t="str">
        <f>"18-K02-03"</f>
        <v>18-K02-03</v>
      </c>
      <c r="G8676">
        <v>0.9234</v>
      </c>
      <c r="H8676" t="s">
        <v>11</v>
      </c>
      <c r="I8676" t="s">
        <v>10</v>
      </c>
    </row>
    <row r="8677" spans="1:9" x14ac:dyDescent="0.25">
      <c r="A8677" t="str">
        <f t="shared" si="206"/>
        <v>89301000</v>
      </c>
      <c r="B8677" t="str">
        <f>"6056051705"</f>
        <v>6056051705</v>
      </c>
      <c r="C8677" s="1">
        <v>45208</v>
      </c>
      <c r="D8677" s="1">
        <v>45210</v>
      </c>
      <c r="E8677">
        <v>1</v>
      </c>
      <c r="F8677" t="str">
        <f>"04-C02-02"</f>
        <v>04-C02-02</v>
      </c>
      <c r="G8677">
        <v>0.36070000000000002</v>
      </c>
      <c r="H8677" t="s">
        <v>11</v>
      </c>
      <c r="I8677" t="s">
        <v>10</v>
      </c>
    </row>
    <row r="8678" spans="1:9" x14ac:dyDescent="0.25">
      <c r="A8678" t="str">
        <f t="shared" si="206"/>
        <v>89301000</v>
      </c>
      <c r="B8678" t="str">
        <f>"6056051705"</f>
        <v>6056051705</v>
      </c>
      <c r="C8678" s="1">
        <v>45166</v>
      </c>
      <c r="D8678" s="1">
        <v>45168</v>
      </c>
      <c r="E8678">
        <v>1</v>
      </c>
      <c r="F8678" t="str">
        <f>"04-C02-02"</f>
        <v>04-C02-02</v>
      </c>
      <c r="G8678">
        <v>0.36070000000000002</v>
      </c>
      <c r="H8678" t="s">
        <v>11</v>
      </c>
      <c r="I8678" t="s">
        <v>10</v>
      </c>
    </row>
    <row r="8679" spans="1:9" x14ac:dyDescent="0.25">
      <c r="A8679" t="str">
        <f t="shared" si="206"/>
        <v>89301000</v>
      </c>
      <c r="B8679" t="str">
        <f>"6056051705"</f>
        <v>6056051705</v>
      </c>
      <c r="C8679" s="1">
        <v>45145</v>
      </c>
      <c r="D8679" s="1">
        <v>45148</v>
      </c>
      <c r="E8679">
        <v>1</v>
      </c>
      <c r="F8679" t="str">
        <f>"04-C02-02"</f>
        <v>04-C02-02</v>
      </c>
      <c r="G8679">
        <v>0.36070000000000002</v>
      </c>
      <c r="H8679" t="s">
        <v>11</v>
      </c>
      <c r="I8679" t="s">
        <v>10</v>
      </c>
    </row>
    <row r="8680" spans="1:9" x14ac:dyDescent="0.25">
      <c r="A8680" t="str">
        <f t="shared" si="206"/>
        <v>89301000</v>
      </c>
      <c r="B8680" t="str">
        <f>"6056051705"</f>
        <v>6056051705</v>
      </c>
      <c r="C8680" s="1">
        <v>45187</v>
      </c>
      <c r="D8680" s="1">
        <v>45189</v>
      </c>
      <c r="E8680">
        <v>1</v>
      </c>
      <c r="F8680" t="str">
        <f>"04-C02-02"</f>
        <v>04-C02-02</v>
      </c>
      <c r="G8680">
        <v>0.36070000000000002</v>
      </c>
      <c r="H8680" t="s">
        <v>11</v>
      </c>
      <c r="I8680" t="s">
        <v>10</v>
      </c>
    </row>
    <row r="8681" spans="1:9" x14ac:dyDescent="0.25">
      <c r="A8681" t="str">
        <f t="shared" si="206"/>
        <v>89301000</v>
      </c>
      <c r="B8681" t="str">
        <f>"6056091184"</f>
        <v>6056091184</v>
      </c>
      <c r="C8681" s="1">
        <v>45193</v>
      </c>
      <c r="D8681" s="1">
        <v>45203</v>
      </c>
      <c r="E8681">
        <v>1</v>
      </c>
      <c r="F8681" t="str">
        <f>"05-I18-03"</f>
        <v>05-I18-03</v>
      </c>
      <c r="G8681">
        <v>4.7869999999999999</v>
      </c>
      <c r="H8681" t="s">
        <v>12</v>
      </c>
      <c r="I8681" t="s">
        <v>10</v>
      </c>
    </row>
    <row r="8682" spans="1:9" x14ac:dyDescent="0.25">
      <c r="A8682" t="str">
        <f t="shared" si="206"/>
        <v>89301000</v>
      </c>
      <c r="B8682" t="str">
        <f>"6056131037"</f>
        <v>6056131037</v>
      </c>
      <c r="C8682" s="1">
        <v>45043</v>
      </c>
      <c r="D8682" s="1">
        <v>45049</v>
      </c>
      <c r="E8682">
        <v>4</v>
      </c>
      <c r="F8682" t="str">
        <f>"08-I06-04"</f>
        <v>08-I06-04</v>
      </c>
      <c r="G8682">
        <v>2.4180000000000001</v>
      </c>
      <c r="H8682" t="s">
        <v>9</v>
      </c>
      <c r="I8682" t="s">
        <v>10</v>
      </c>
    </row>
    <row r="8683" spans="1:9" x14ac:dyDescent="0.25">
      <c r="A8683" t="str">
        <f t="shared" si="206"/>
        <v>89301000</v>
      </c>
      <c r="B8683" t="str">
        <f>"6056171066"</f>
        <v>6056171066</v>
      </c>
      <c r="C8683" s="1">
        <v>44971</v>
      </c>
      <c r="D8683" s="1">
        <v>44974</v>
      </c>
      <c r="E8683">
        <v>1</v>
      </c>
      <c r="F8683" t="str">
        <f>"07-M02-03"</f>
        <v>07-M02-03</v>
      </c>
      <c r="G8683">
        <v>1.2942</v>
      </c>
      <c r="H8683" t="s">
        <v>12</v>
      </c>
      <c r="I8683" t="s">
        <v>10</v>
      </c>
    </row>
    <row r="8684" spans="1:9" x14ac:dyDescent="0.25">
      <c r="A8684" t="str">
        <f t="shared" si="206"/>
        <v>89301000</v>
      </c>
      <c r="B8684" t="str">
        <f>"6056171066"</f>
        <v>6056171066</v>
      </c>
      <c r="C8684" s="1">
        <v>45005</v>
      </c>
      <c r="D8684" s="1">
        <v>45010</v>
      </c>
      <c r="E8684">
        <v>1</v>
      </c>
      <c r="F8684" t="str">
        <f>"07-I04-02"</f>
        <v>07-I04-02</v>
      </c>
      <c r="G8684">
        <v>2.2502</v>
      </c>
      <c r="H8684" t="s">
        <v>14</v>
      </c>
      <c r="I8684" t="s">
        <v>10</v>
      </c>
    </row>
    <row r="8685" spans="1:9" x14ac:dyDescent="0.25">
      <c r="A8685" t="str">
        <f t="shared" si="206"/>
        <v>89301000</v>
      </c>
      <c r="B8685" t="str">
        <f>"6056171066"</f>
        <v>6056171066</v>
      </c>
      <c r="C8685" s="1">
        <v>45033</v>
      </c>
      <c r="D8685" s="1">
        <v>45050</v>
      </c>
      <c r="E8685">
        <v>1</v>
      </c>
      <c r="F8685" t="str">
        <f>"07-K07-01"</f>
        <v>07-K07-01</v>
      </c>
      <c r="G8685">
        <v>1.0079</v>
      </c>
      <c r="H8685" t="s">
        <v>11</v>
      </c>
      <c r="I8685" t="s">
        <v>10</v>
      </c>
    </row>
    <row r="8686" spans="1:9" x14ac:dyDescent="0.25">
      <c r="A8686" t="str">
        <f t="shared" si="206"/>
        <v>89301000</v>
      </c>
      <c r="B8686" t="str">
        <f>"6056171154"</f>
        <v>6056171154</v>
      </c>
      <c r="C8686" s="1">
        <v>45091</v>
      </c>
      <c r="D8686" s="1">
        <v>45093</v>
      </c>
      <c r="E8686">
        <v>1</v>
      </c>
      <c r="F8686" t="str">
        <f>"04-K09-03"</f>
        <v>04-K09-03</v>
      </c>
      <c r="G8686">
        <v>0.65600000000000003</v>
      </c>
      <c r="H8686" t="s">
        <v>11</v>
      </c>
      <c r="I8686" t="s">
        <v>10</v>
      </c>
    </row>
    <row r="8687" spans="1:9" x14ac:dyDescent="0.25">
      <c r="A8687" t="str">
        <f t="shared" si="206"/>
        <v>89301000</v>
      </c>
      <c r="B8687" t="str">
        <f>"6056171154"</f>
        <v>6056171154</v>
      </c>
      <c r="C8687" s="1">
        <v>45258</v>
      </c>
      <c r="D8687" s="1">
        <v>45265</v>
      </c>
      <c r="E8687">
        <v>1</v>
      </c>
      <c r="F8687" t="str">
        <f>"04-K09-02"</f>
        <v>04-K09-02</v>
      </c>
      <c r="G8687">
        <v>1.155</v>
      </c>
      <c r="H8687" t="s">
        <v>11</v>
      </c>
      <c r="I8687" t="s">
        <v>10</v>
      </c>
    </row>
    <row r="8688" spans="1:9" x14ac:dyDescent="0.25">
      <c r="A8688" t="str">
        <f t="shared" si="206"/>
        <v>89301000</v>
      </c>
      <c r="B8688" t="str">
        <f>"6056171154"</f>
        <v>6056171154</v>
      </c>
      <c r="C8688" s="1">
        <v>45040</v>
      </c>
      <c r="D8688" s="1">
        <v>45041</v>
      </c>
      <c r="E8688">
        <v>1</v>
      </c>
      <c r="F8688" t="str">
        <f>"04-K09-03"</f>
        <v>04-K09-03</v>
      </c>
      <c r="G8688">
        <v>0.65600000000000003</v>
      </c>
      <c r="H8688" t="s">
        <v>11</v>
      </c>
      <c r="I8688" t="s">
        <v>10</v>
      </c>
    </row>
    <row r="8689" spans="1:9" x14ac:dyDescent="0.25">
      <c r="A8689" t="str">
        <f t="shared" ref="A8689:A8752" si="207">"89301000"</f>
        <v>89301000</v>
      </c>
      <c r="B8689" t="str">
        <f>"6056191207"</f>
        <v>6056191207</v>
      </c>
      <c r="C8689" s="1">
        <v>45150</v>
      </c>
      <c r="D8689" s="1">
        <v>45166</v>
      </c>
      <c r="E8689">
        <v>4</v>
      </c>
      <c r="F8689" t="str">
        <f>"01-M01-03"</f>
        <v>01-M01-03</v>
      </c>
      <c r="G8689">
        <v>5.2384000000000004</v>
      </c>
      <c r="H8689" t="s">
        <v>14</v>
      </c>
      <c r="I8689" t="s">
        <v>10</v>
      </c>
    </row>
    <row r="8690" spans="1:9" x14ac:dyDescent="0.25">
      <c r="A8690" t="str">
        <f t="shared" si="207"/>
        <v>89301000</v>
      </c>
      <c r="B8690" t="str">
        <f>"6056200414"</f>
        <v>6056200414</v>
      </c>
      <c r="C8690" s="1">
        <v>44929</v>
      </c>
      <c r="D8690" s="1">
        <v>44930</v>
      </c>
      <c r="E8690">
        <v>1</v>
      </c>
      <c r="F8690" t="str">
        <f>"08-C04-02"</f>
        <v>08-C04-02</v>
      </c>
      <c r="G8690">
        <v>0.28699999999999998</v>
      </c>
      <c r="H8690" t="s">
        <v>11</v>
      </c>
      <c r="I8690" t="s">
        <v>10</v>
      </c>
    </row>
    <row r="8691" spans="1:9" x14ac:dyDescent="0.25">
      <c r="A8691" t="str">
        <f t="shared" si="207"/>
        <v>89301000</v>
      </c>
      <c r="B8691" t="str">
        <f>"6056200414"</f>
        <v>6056200414</v>
      </c>
      <c r="C8691" s="1">
        <v>44966</v>
      </c>
      <c r="D8691" s="1">
        <v>44967</v>
      </c>
      <c r="E8691">
        <v>1</v>
      </c>
      <c r="F8691" t="str">
        <f>"08-C04-02"</f>
        <v>08-C04-02</v>
      </c>
      <c r="G8691">
        <v>0.28699999999999998</v>
      </c>
      <c r="H8691" t="s">
        <v>11</v>
      </c>
      <c r="I8691" t="s">
        <v>10</v>
      </c>
    </row>
    <row r="8692" spans="1:9" x14ac:dyDescent="0.25">
      <c r="A8692" t="str">
        <f t="shared" si="207"/>
        <v>89301000</v>
      </c>
      <c r="B8692" t="str">
        <f>"6056200414"</f>
        <v>6056200414</v>
      </c>
      <c r="C8692" s="1">
        <v>44994</v>
      </c>
      <c r="D8692" s="1">
        <v>44995</v>
      </c>
      <c r="E8692">
        <v>1</v>
      </c>
      <c r="F8692" t="str">
        <f>"08-C04-02"</f>
        <v>08-C04-02</v>
      </c>
      <c r="G8692">
        <v>0.28699999999999998</v>
      </c>
      <c r="H8692" t="s">
        <v>11</v>
      </c>
      <c r="I8692" t="s">
        <v>10</v>
      </c>
    </row>
    <row r="8693" spans="1:9" x14ac:dyDescent="0.25">
      <c r="A8693" t="str">
        <f t="shared" si="207"/>
        <v>89301000</v>
      </c>
      <c r="B8693" t="str">
        <f>"6056200414"</f>
        <v>6056200414</v>
      </c>
      <c r="C8693" s="1">
        <v>45027</v>
      </c>
      <c r="D8693" s="1">
        <v>45028</v>
      </c>
      <c r="E8693">
        <v>1</v>
      </c>
      <c r="F8693" t="str">
        <f>"08-C04-02"</f>
        <v>08-C04-02</v>
      </c>
      <c r="G8693">
        <v>0.28699999999999998</v>
      </c>
      <c r="H8693" t="s">
        <v>11</v>
      </c>
      <c r="I8693" t="s">
        <v>10</v>
      </c>
    </row>
    <row r="8694" spans="1:9" x14ac:dyDescent="0.25">
      <c r="A8694" t="str">
        <f t="shared" si="207"/>
        <v>89301000</v>
      </c>
      <c r="B8694" t="str">
        <f>"6056240993"</f>
        <v>6056240993</v>
      </c>
      <c r="C8694" s="1">
        <v>45239</v>
      </c>
      <c r="D8694" s="1">
        <v>45243</v>
      </c>
      <c r="E8694">
        <v>1</v>
      </c>
      <c r="F8694" t="str">
        <f>"10-K04-04"</f>
        <v>10-K04-04</v>
      </c>
      <c r="G8694">
        <v>0.53949999999999998</v>
      </c>
      <c r="H8694" t="s">
        <v>11</v>
      </c>
      <c r="I8694" t="s">
        <v>10</v>
      </c>
    </row>
    <row r="8695" spans="1:9" x14ac:dyDescent="0.25">
      <c r="A8695" t="str">
        <f t="shared" si="207"/>
        <v>89301000</v>
      </c>
      <c r="B8695" t="str">
        <f>"6057040847"</f>
        <v>6057040847</v>
      </c>
      <c r="C8695" s="1">
        <v>45154</v>
      </c>
      <c r="D8695" s="1">
        <v>45156</v>
      </c>
      <c r="E8695">
        <v>5</v>
      </c>
      <c r="F8695" t="str">
        <f>"11-M04-03"</f>
        <v>11-M04-03</v>
      </c>
      <c r="G8695">
        <v>0.95069999999999999</v>
      </c>
      <c r="H8695" t="s">
        <v>11</v>
      </c>
      <c r="I8695" t="s">
        <v>10</v>
      </c>
    </row>
    <row r="8696" spans="1:9" x14ac:dyDescent="0.25">
      <c r="A8696" t="str">
        <f t="shared" si="207"/>
        <v>89301000</v>
      </c>
      <c r="B8696" t="str">
        <f>"6057041826"</f>
        <v>6057041826</v>
      </c>
      <c r="C8696" s="1">
        <v>45007</v>
      </c>
      <c r="D8696" s="1">
        <v>45010</v>
      </c>
      <c r="E8696">
        <v>1</v>
      </c>
      <c r="F8696" t="str">
        <f>"06-I17-04"</f>
        <v>06-I17-04</v>
      </c>
      <c r="G8696">
        <v>0.49869999999999998</v>
      </c>
      <c r="H8696" t="s">
        <v>12</v>
      </c>
      <c r="I8696" t="s">
        <v>10</v>
      </c>
    </row>
    <row r="8697" spans="1:9" x14ac:dyDescent="0.25">
      <c r="A8697" t="str">
        <f t="shared" si="207"/>
        <v>89301000</v>
      </c>
      <c r="B8697" t="str">
        <f>"6057061483"</f>
        <v>6057061483</v>
      </c>
      <c r="C8697" s="1">
        <v>45238</v>
      </c>
      <c r="D8697" s="1">
        <v>45246</v>
      </c>
      <c r="E8697">
        <v>1</v>
      </c>
      <c r="F8697" t="str">
        <f>"08-C04-02"</f>
        <v>08-C04-02</v>
      </c>
      <c r="G8697">
        <v>0.30109999999999998</v>
      </c>
      <c r="H8697" t="s">
        <v>11</v>
      </c>
      <c r="I8697" t="s">
        <v>10</v>
      </c>
    </row>
    <row r="8698" spans="1:9" x14ac:dyDescent="0.25">
      <c r="A8698" t="str">
        <f t="shared" si="207"/>
        <v>89301000</v>
      </c>
      <c r="B8698" t="str">
        <f>"6057061483"</f>
        <v>6057061483</v>
      </c>
      <c r="C8698" s="1">
        <v>45259</v>
      </c>
      <c r="D8698" s="1">
        <v>45264</v>
      </c>
      <c r="E8698">
        <v>1</v>
      </c>
      <c r="F8698" t="str">
        <f>"08-K01-01"</f>
        <v>08-K01-01</v>
      </c>
      <c r="G8698">
        <v>1.5348999999999999</v>
      </c>
      <c r="H8698" t="s">
        <v>11</v>
      </c>
      <c r="I8698" t="s">
        <v>10</v>
      </c>
    </row>
    <row r="8699" spans="1:9" x14ac:dyDescent="0.25">
      <c r="A8699" t="str">
        <f t="shared" si="207"/>
        <v>89301000</v>
      </c>
      <c r="B8699" t="str">
        <f>"6057062451"</f>
        <v>6057062451</v>
      </c>
      <c r="C8699" s="1">
        <v>45250</v>
      </c>
      <c r="D8699" s="1">
        <v>45251</v>
      </c>
      <c r="E8699">
        <v>1</v>
      </c>
      <c r="F8699" t="str">
        <f>"02-I06-04"</f>
        <v>02-I06-04</v>
      </c>
      <c r="G8699">
        <v>0.76139999999999997</v>
      </c>
      <c r="H8699" t="s">
        <v>12</v>
      </c>
      <c r="I8699" t="s">
        <v>10</v>
      </c>
    </row>
    <row r="8700" spans="1:9" x14ac:dyDescent="0.25">
      <c r="A8700" t="str">
        <f t="shared" si="207"/>
        <v>89301000</v>
      </c>
      <c r="B8700" t="str">
        <f>"6057091832"</f>
        <v>6057091832</v>
      </c>
      <c r="C8700" s="1">
        <v>45000</v>
      </c>
      <c r="D8700" s="1">
        <v>45002</v>
      </c>
      <c r="E8700">
        <v>1</v>
      </c>
      <c r="F8700" t="str">
        <f>"05-M05-03"</f>
        <v>05-M05-03</v>
      </c>
      <c r="G8700">
        <v>2.0312999999999999</v>
      </c>
      <c r="H8700" t="s">
        <v>14</v>
      </c>
      <c r="I8700" t="s">
        <v>10</v>
      </c>
    </row>
    <row r="8701" spans="1:9" x14ac:dyDescent="0.25">
      <c r="A8701" t="str">
        <f t="shared" si="207"/>
        <v>89301000</v>
      </c>
      <c r="B8701" t="str">
        <f>"6057101600"</f>
        <v>6057101600</v>
      </c>
      <c r="C8701" s="1">
        <v>44935</v>
      </c>
      <c r="D8701" s="1">
        <v>44953</v>
      </c>
      <c r="E8701">
        <v>1</v>
      </c>
      <c r="F8701" t="str">
        <f>"24-M08-02"</f>
        <v>24-M08-02</v>
      </c>
      <c r="G8701">
        <v>2.0236999999999998</v>
      </c>
      <c r="H8701" t="s">
        <v>11</v>
      </c>
      <c r="I8701" t="s">
        <v>10</v>
      </c>
    </row>
    <row r="8702" spans="1:9" x14ac:dyDescent="0.25">
      <c r="A8702" t="str">
        <f t="shared" si="207"/>
        <v>89301000</v>
      </c>
      <c r="B8702" t="str">
        <f>"6057111302"</f>
        <v>6057111302</v>
      </c>
      <c r="C8702" s="1">
        <v>45202</v>
      </c>
      <c r="D8702" s="1">
        <v>45202</v>
      </c>
      <c r="E8702">
        <v>1</v>
      </c>
      <c r="F8702" t="str">
        <f>"05-D01-08"</f>
        <v>05-D01-08</v>
      </c>
      <c r="G8702">
        <v>0.2303</v>
      </c>
      <c r="H8702" t="s">
        <v>11</v>
      </c>
      <c r="I8702" t="s">
        <v>10</v>
      </c>
    </row>
    <row r="8703" spans="1:9" x14ac:dyDescent="0.25">
      <c r="A8703" t="str">
        <f t="shared" si="207"/>
        <v>89301000</v>
      </c>
      <c r="B8703" t="str">
        <f>"6057121939"</f>
        <v>6057121939</v>
      </c>
      <c r="C8703" s="1">
        <v>45252</v>
      </c>
      <c r="D8703" s="1">
        <v>45253</v>
      </c>
      <c r="E8703">
        <v>1</v>
      </c>
      <c r="F8703" t="str">
        <f>"13-I19-00"</f>
        <v>13-I19-00</v>
      </c>
      <c r="G8703">
        <v>0.28249999999999997</v>
      </c>
      <c r="H8703" t="s">
        <v>11</v>
      </c>
      <c r="I8703" t="s">
        <v>10</v>
      </c>
    </row>
    <row r="8704" spans="1:9" x14ac:dyDescent="0.25">
      <c r="A8704" t="str">
        <f t="shared" si="207"/>
        <v>89301000</v>
      </c>
      <c r="B8704" t="str">
        <f>"6057186036"</f>
        <v>6057186036</v>
      </c>
      <c r="C8704" s="1">
        <v>44935</v>
      </c>
      <c r="D8704" s="1">
        <v>44937</v>
      </c>
      <c r="E8704">
        <v>1</v>
      </c>
      <c r="F8704" t="str">
        <f>"16-K02-02"</f>
        <v>16-K02-02</v>
      </c>
      <c r="G8704">
        <v>0.76349999999999996</v>
      </c>
      <c r="H8704" t="s">
        <v>11</v>
      </c>
      <c r="I8704" t="s">
        <v>10</v>
      </c>
    </row>
    <row r="8705" spans="1:9" x14ac:dyDescent="0.25">
      <c r="A8705" t="str">
        <f t="shared" si="207"/>
        <v>89301000</v>
      </c>
      <c r="B8705" t="str">
        <f>"6057186036"</f>
        <v>6057186036</v>
      </c>
      <c r="C8705" s="1">
        <v>45135</v>
      </c>
      <c r="D8705" s="1">
        <v>45141</v>
      </c>
      <c r="E8705">
        <v>1</v>
      </c>
      <c r="F8705" t="str">
        <f>"08-K03-03"</f>
        <v>08-K03-03</v>
      </c>
      <c r="G8705">
        <v>0.7903</v>
      </c>
      <c r="H8705" t="s">
        <v>11</v>
      </c>
      <c r="I8705" t="s">
        <v>10</v>
      </c>
    </row>
    <row r="8706" spans="1:9" x14ac:dyDescent="0.25">
      <c r="A8706" t="str">
        <f t="shared" si="207"/>
        <v>89301000</v>
      </c>
      <c r="B8706" t="str">
        <f>"6057186036"</f>
        <v>6057186036</v>
      </c>
      <c r="C8706" s="1">
        <v>45225</v>
      </c>
      <c r="D8706" s="1">
        <v>45226</v>
      </c>
      <c r="E8706">
        <v>1</v>
      </c>
      <c r="F8706" t="str">
        <f>"05-K12-02"</f>
        <v>05-K12-02</v>
      </c>
      <c r="G8706">
        <v>0.48820000000000002</v>
      </c>
      <c r="H8706" t="s">
        <v>11</v>
      </c>
      <c r="I8706" t="s">
        <v>10</v>
      </c>
    </row>
    <row r="8707" spans="1:9" x14ac:dyDescent="0.25">
      <c r="A8707" t="str">
        <f t="shared" si="207"/>
        <v>89301000</v>
      </c>
      <c r="B8707" t="str">
        <f>"6057221720"</f>
        <v>6057221720</v>
      </c>
      <c r="C8707" s="1">
        <v>45187</v>
      </c>
      <c r="D8707" s="1">
        <v>45190</v>
      </c>
      <c r="E8707">
        <v>1</v>
      </c>
      <c r="F8707" t="str">
        <f>"13-I13-02"</f>
        <v>13-I13-02</v>
      </c>
      <c r="G8707">
        <v>0.94840000000000002</v>
      </c>
      <c r="H8707" t="s">
        <v>12</v>
      </c>
      <c r="I8707" t="s">
        <v>10</v>
      </c>
    </row>
    <row r="8708" spans="1:9" x14ac:dyDescent="0.25">
      <c r="A8708" t="str">
        <f t="shared" si="207"/>
        <v>89301000</v>
      </c>
      <c r="B8708" t="str">
        <f>"6057300898"</f>
        <v>6057300898</v>
      </c>
      <c r="C8708" s="1">
        <v>45169</v>
      </c>
      <c r="D8708" s="1">
        <v>45173</v>
      </c>
      <c r="E8708">
        <v>1</v>
      </c>
      <c r="F8708" t="str">
        <f>"06-M01-05"</f>
        <v>06-M01-05</v>
      </c>
      <c r="G8708">
        <v>0.4178</v>
      </c>
      <c r="H8708" t="s">
        <v>11</v>
      </c>
      <c r="I8708" t="s">
        <v>10</v>
      </c>
    </row>
    <row r="8709" spans="1:9" x14ac:dyDescent="0.25">
      <c r="A8709" t="str">
        <f t="shared" si="207"/>
        <v>89301000</v>
      </c>
      <c r="B8709" t="str">
        <f>"6057311854"</f>
        <v>6057311854</v>
      </c>
      <c r="C8709" s="1">
        <v>45108</v>
      </c>
      <c r="D8709" s="1">
        <v>45117</v>
      </c>
      <c r="E8709">
        <v>1</v>
      </c>
      <c r="F8709" t="str">
        <f>"20-K03-03"</f>
        <v>20-K03-03</v>
      </c>
      <c r="G8709">
        <v>0.94020000000000004</v>
      </c>
      <c r="H8709" t="s">
        <v>11</v>
      </c>
      <c r="I8709" t="s">
        <v>10</v>
      </c>
    </row>
    <row r="8710" spans="1:9" x14ac:dyDescent="0.25">
      <c r="A8710" t="str">
        <f t="shared" si="207"/>
        <v>89301000</v>
      </c>
      <c r="B8710" t="str">
        <f>"6058121674"</f>
        <v>6058121674</v>
      </c>
      <c r="C8710" s="1">
        <v>44971</v>
      </c>
      <c r="D8710" s="1">
        <v>44980</v>
      </c>
      <c r="E8710">
        <v>1</v>
      </c>
      <c r="F8710" t="str">
        <f>"08-K08-00"</f>
        <v>08-K08-00</v>
      </c>
      <c r="G8710">
        <v>0.5272</v>
      </c>
      <c r="H8710" t="s">
        <v>11</v>
      </c>
      <c r="I8710" t="s">
        <v>10</v>
      </c>
    </row>
    <row r="8711" spans="1:9" x14ac:dyDescent="0.25">
      <c r="A8711" t="str">
        <f t="shared" si="207"/>
        <v>89301000</v>
      </c>
      <c r="B8711" t="str">
        <f>"6058161571"</f>
        <v>6058161571</v>
      </c>
      <c r="C8711" s="1">
        <v>45034</v>
      </c>
      <c r="D8711" s="1">
        <v>45036</v>
      </c>
      <c r="E8711">
        <v>1</v>
      </c>
      <c r="F8711" t="str">
        <f>"03-I24-00"</f>
        <v>03-I24-00</v>
      </c>
      <c r="G8711">
        <v>0.40670000000000001</v>
      </c>
      <c r="H8711" t="s">
        <v>11</v>
      </c>
      <c r="I8711" t="s">
        <v>10</v>
      </c>
    </row>
    <row r="8712" spans="1:9" x14ac:dyDescent="0.25">
      <c r="A8712" t="str">
        <f t="shared" si="207"/>
        <v>89301000</v>
      </c>
      <c r="B8712" t="str">
        <f>"6059070985"</f>
        <v>6059070985</v>
      </c>
      <c r="C8712" s="1">
        <v>45159</v>
      </c>
      <c r="D8712" s="1">
        <v>45169</v>
      </c>
      <c r="E8712">
        <v>3</v>
      </c>
      <c r="F8712" t="str">
        <f>"01-M02-00"</f>
        <v>01-M02-00</v>
      </c>
      <c r="G8712">
        <v>4.8255999999999997</v>
      </c>
      <c r="H8712" t="s">
        <v>12</v>
      </c>
      <c r="I8712" t="s">
        <v>10</v>
      </c>
    </row>
    <row r="8713" spans="1:9" x14ac:dyDescent="0.25">
      <c r="A8713" t="str">
        <f t="shared" si="207"/>
        <v>89301000</v>
      </c>
      <c r="B8713" t="str">
        <f>"6059070985"</f>
        <v>6059070985</v>
      </c>
      <c r="C8713" s="1">
        <v>45169</v>
      </c>
      <c r="D8713" s="1">
        <v>45194</v>
      </c>
      <c r="E8713">
        <v>4</v>
      </c>
      <c r="F8713" t="str">
        <f>"24-M09-01"</f>
        <v>24-M09-01</v>
      </c>
      <c r="G8713">
        <v>3.2313999999999998</v>
      </c>
      <c r="H8713" t="s">
        <v>11</v>
      </c>
      <c r="I8713" t="s">
        <v>10</v>
      </c>
    </row>
    <row r="8714" spans="1:9" x14ac:dyDescent="0.25">
      <c r="A8714" t="str">
        <f t="shared" si="207"/>
        <v>89301000</v>
      </c>
      <c r="B8714" t="str">
        <f>"6059120760"</f>
        <v>6059120760</v>
      </c>
      <c r="C8714" s="1">
        <v>45007</v>
      </c>
      <c r="D8714" s="1">
        <v>45012</v>
      </c>
      <c r="E8714">
        <v>1</v>
      </c>
      <c r="F8714" t="str">
        <f>"13-I04-01"</f>
        <v>13-I04-01</v>
      </c>
      <c r="G8714">
        <v>2.8856000000000002</v>
      </c>
      <c r="H8714" t="s">
        <v>14</v>
      </c>
      <c r="I8714" t="s">
        <v>10</v>
      </c>
    </row>
    <row r="8715" spans="1:9" x14ac:dyDescent="0.25">
      <c r="A8715" t="str">
        <f t="shared" si="207"/>
        <v>89301000</v>
      </c>
      <c r="B8715" t="str">
        <f>"6059221542"</f>
        <v>6059221542</v>
      </c>
      <c r="C8715" s="1">
        <v>45242</v>
      </c>
      <c r="D8715" s="1">
        <v>45246</v>
      </c>
      <c r="E8715">
        <v>1</v>
      </c>
      <c r="F8715" t="str">
        <f>"03-I19-01"</f>
        <v>03-I19-01</v>
      </c>
      <c r="G8715">
        <v>2.5438999999999998</v>
      </c>
      <c r="H8715" t="s">
        <v>11</v>
      </c>
      <c r="I8715" t="s">
        <v>10</v>
      </c>
    </row>
    <row r="8716" spans="1:9" x14ac:dyDescent="0.25">
      <c r="A8716" t="str">
        <f t="shared" si="207"/>
        <v>89301000</v>
      </c>
      <c r="B8716" t="str">
        <f>"6059291898"</f>
        <v>6059291898</v>
      </c>
      <c r="C8716" s="1">
        <v>45070</v>
      </c>
      <c r="D8716" s="1">
        <v>45085</v>
      </c>
      <c r="E8716">
        <v>1</v>
      </c>
      <c r="F8716" t="str">
        <f>"06-I12-02"</f>
        <v>06-I12-02</v>
      </c>
      <c r="G8716">
        <v>2.3982999999999999</v>
      </c>
      <c r="H8716" t="s">
        <v>11</v>
      </c>
      <c r="I8716" t="s">
        <v>10</v>
      </c>
    </row>
    <row r="8717" spans="1:9" x14ac:dyDescent="0.25">
      <c r="A8717" t="str">
        <f t="shared" si="207"/>
        <v>89301000</v>
      </c>
      <c r="B8717" t="str">
        <f>"6059300456"</f>
        <v>6059300456</v>
      </c>
      <c r="C8717" s="1">
        <v>45253</v>
      </c>
      <c r="D8717" s="1">
        <v>45259</v>
      </c>
      <c r="E8717">
        <v>1</v>
      </c>
      <c r="F8717" t="str">
        <f>"11-I10-01"</f>
        <v>11-I10-01</v>
      </c>
      <c r="G8717">
        <v>3.0842000000000001</v>
      </c>
      <c r="H8717" t="s">
        <v>12</v>
      </c>
      <c r="I8717" t="s">
        <v>10</v>
      </c>
    </row>
    <row r="8718" spans="1:9" x14ac:dyDescent="0.25">
      <c r="A8718" t="str">
        <f t="shared" si="207"/>
        <v>89301000</v>
      </c>
      <c r="B8718" t="str">
        <f>"6060080796"</f>
        <v>6060080796</v>
      </c>
      <c r="C8718" s="1">
        <v>45272</v>
      </c>
      <c r="D8718" s="1">
        <v>45279</v>
      </c>
      <c r="E8718">
        <v>1</v>
      </c>
      <c r="F8718" t="str">
        <f>"01-K18-04"</f>
        <v>01-K18-04</v>
      </c>
      <c r="G8718">
        <v>0.54610000000000003</v>
      </c>
      <c r="H8718" t="s">
        <v>11</v>
      </c>
      <c r="I8718" t="s">
        <v>10</v>
      </c>
    </row>
    <row r="8719" spans="1:9" x14ac:dyDescent="0.25">
      <c r="A8719" t="str">
        <f t="shared" si="207"/>
        <v>89301000</v>
      </c>
      <c r="B8719" t="str">
        <f>"6060101036"</f>
        <v>6060101036</v>
      </c>
      <c r="C8719" s="1">
        <v>45055</v>
      </c>
      <c r="D8719" s="1">
        <v>45061</v>
      </c>
      <c r="E8719">
        <v>3</v>
      </c>
      <c r="F8719" t="str">
        <f>"08-I06-04"</f>
        <v>08-I06-04</v>
      </c>
      <c r="G8719">
        <v>2.4180000000000001</v>
      </c>
      <c r="H8719" t="s">
        <v>9</v>
      </c>
      <c r="I8719" t="s">
        <v>10</v>
      </c>
    </row>
    <row r="8720" spans="1:9" x14ac:dyDescent="0.25">
      <c r="A8720" t="str">
        <f t="shared" si="207"/>
        <v>89301000</v>
      </c>
      <c r="B8720" t="str">
        <f>"6060101036"</f>
        <v>6060101036</v>
      </c>
      <c r="C8720" s="1">
        <v>45061</v>
      </c>
      <c r="D8720" s="1">
        <v>45077</v>
      </c>
      <c r="E8720">
        <v>1</v>
      </c>
      <c r="F8720" t="str">
        <f>"24-M07-02"</f>
        <v>24-M07-02</v>
      </c>
      <c r="G8720">
        <v>1.5729</v>
      </c>
      <c r="H8720" t="s">
        <v>11</v>
      </c>
      <c r="I8720" t="s">
        <v>10</v>
      </c>
    </row>
    <row r="8721" spans="1:9" x14ac:dyDescent="0.25">
      <c r="A8721" t="str">
        <f t="shared" si="207"/>
        <v>89301000</v>
      </c>
      <c r="B8721" t="str">
        <f>"6060150965"</f>
        <v>6060150965</v>
      </c>
      <c r="C8721" s="1">
        <v>45018</v>
      </c>
      <c r="D8721" s="1">
        <v>45027</v>
      </c>
      <c r="E8721">
        <v>5</v>
      </c>
      <c r="F8721" t="str">
        <f>"04-M01-06"</f>
        <v>04-M01-06</v>
      </c>
      <c r="G8721">
        <v>3.6739000000000002</v>
      </c>
      <c r="H8721" t="s">
        <v>11</v>
      </c>
      <c r="I8721" t="s">
        <v>10</v>
      </c>
    </row>
    <row r="8722" spans="1:9" x14ac:dyDescent="0.25">
      <c r="A8722" t="str">
        <f t="shared" si="207"/>
        <v>89301000</v>
      </c>
      <c r="B8722" t="str">
        <f>"6060291666"</f>
        <v>6060291666</v>
      </c>
      <c r="C8722" s="1">
        <v>45203</v>
      </c>
      <c r="D8722" s="1">
        <v>45208</v>
      </c>
      <c r="E8722">
        <v>1</v>
      </c>
      <c r="F8722" t="str">
        <f>"05-I24-04"</f>
        <v>05-I24-04</v>
      </c>
      <c r="G8722">
        <v>2.1032000000000002</v>
      </c>
      <c r="H8722" t="s">
        <v>12</v>
      </c>
      <c r="I8722" t="s">
        <v>10</v>
      </c>
    </row>
    <row r="8723" spans="1:9" x14ac:dyDescent="0.25">
      <c r="A8723" t="str">
        <f t="shared" si="207"/>
        <v>89301000</v>
      </c>
      <c r="B8723" t="str">
        <f>"6061050688"</f>
        <v>6061050688</v>
      </c>
      <c r="C8723" s="1">
        <v>44998</v>
      </c>
      <c r="D8723" s="1">
        <v>45005</v>
      </c>
      <c r="E8723">
        <v>1</v>
      </c>
      <c r="F8723" t="str">
        <f>"04-K02-04"</f>
        <v>04-K02-04</v>
      </c>
      <c r="G8723">
        <v>0.82099999999999995</v>
      </c>
      <c r="H8723" t="s">
        <v>11</v>
      </c>
      <c r="I8723" t="s">
        <v>10</v>
      </c>
    </row>
    <row r="8724" spans="1:9" x14ac:dyDescent="0.25">
      <c r="A8724" t="str">
        <f t="shared" si="207"/>
        <v>89301000</v>
      </c>
      <c r="B8724" t="str">
        <f>"6061080982"</f>
        <v>6061080982</v>
      </c>
      <c r="C8724" s="1">
        <v>45101</v>
      </c>
      <c r="D8724" s="1">
        <v>45106</v>
      </c>
      <c r="E8724">
        <v>4</v>
      </c>
      <c r="F8724" t="str">
        <f>"08-K13-02"</f>
        <v>08-K13-02</v>
      </c>
      <c r="G8724">
        <v>0.43059999999999998</v>
      </c>
      <c r="H8724" t="s">
        <v>11</v>
      </c>
      <c r="I8724" t="s">
        <v>10</v>
      </c>
    </row>
    <row r="8725" spans="1:9" x14ac:dyDescent="0.25">
      <c r="A8725" t="str">
        <f t="shared" si="207"/>
        <v>89301000</v>
      </c>
      <c r="B8725" t="str">
        <f>"6061080982"</f>
        <v>6061080982</v>
      </c>
      <c r="C8725" s="1">
        <v>45271</v>
      </c>
      <c r="D8725" s="1">
        <v>45273</v>
      </c>
      <c r="E8725">
        <v>8</v>
      </c>
      <c r="F8725" t="str">
        <f>"18-K01-02"</f>
        <v>18-K01-02</v>
      </c>
      <c r="G8725">
        <v>2.1812999999999998</v>
      </c>
      <c r="H8725" t="s">
        <v>11</v>
      </c>
      <c r="I8725" t="s">
        <v>10</v>
      </c>
    </row>
    <row r="8726" spans="1:9" x14ac:dyDescent="0.25">
      <c r="A8726" t="str">
        <f t="shared" si="207"/>
        <v>89301000</v>
      </c>
      <c r="B8726" t="str">
        <f>"6061130581"</f>
        <v>6061130581</v>
      </c>
      <c r="C8726" s="1">
        <v>45110</v>
      </c>
      <c r="D8726" s="1">
        <v>45112</v>
      </c>
      <c r="E8726">
        <v>1</v>
      </c>
      <c r="F8726" t="str">
        <f>"03-I24-00"</f>
        <v>03-I24-00</v>
      </c>
      <c r="G8726">
        <v>0.40670000000000001</v>
      </c>
      <c r="H8726" t="s">
        <v>11</v>
      </c>
      <c r="I8726" t="s">
        <v>10</v>
      </c>
    </row>
    <row r="8727" spans="1:9" x14ac:dyDescent="0.25">
      <c r="A8727" t="str">
        <f t="shared" si="207"/>
        <v>89301000</v>
      </c>
      <c r="B8727" t="str">
        <f>"6061181687"</f>
        <v>6061181687</v>
      </c>
      <c r="C8727" s="1">
        <v>45176</v>
      </c>
      <c r="D8727" s="1">
        <v>45178</v>
      </c>
      <c r="E8727">
        <v>1</v>
      </c>
      <c r="F8727" t="str">
        <f>"05-M05-02"</f>
        <v>05-M05-02</v>
      </c>
      <c r="G8727">
        <v>3.5567000000000002</v>
      </c>
      <c r="H8727" t="s">
        <v>14</v>
      </c>
      <c r="I8727" t="s">
        <v>10</v>
      </c>
    </row>
    <row r="8728" spans="1:9" x14ac:dyDescent="0.25">
      <c r="A8728" t="str">
        <f t="shared" si="207"/>
        <v>89301000</v>
      </c>
      <c r="B8728" t="str">
        <f>"6061220660"</f>
        <v>6061220660</v>
      </c>
      <c r="C8728" s="1">
        <v>45236</v>
      </c>
      <c r="D8728" s="1">
        <v>45239</v>
      </c>
      <c r="E8728">
        <v>1</v>
      </c>
      <c r="F8728" t="str">
        <f>"03-I19-02"</f>
        <v>03-I19-02</v>
      </c>
      <c r="G8728">
        <v>0.71340000000000003</v>
      </c>
      <c r="H8728" t="s">
        <v>11</v>
      </c>
      <c r="I8728" t="s">
        <v>10</v>
      </c>
    </row>
    <row r="8729" spans="1:9" x14ac:dyDescent="0.25">
      <c r="A8729" t="str">
        <f t="shared" si="207"/>
        <v>89301000</v>
      </c>
      <c r="B8729" t="str">
        <f>"6061301268"</f>
        <v>6061301268</v>
      </c>
      <c r="C8729" s="1">
        <v>44973</v>
      </c>
      <c r="D8729" s="1">
        <v>44975</v>
      </c>
      <c r="E8729">
        <v>1</v>
      </c>
      <c r="F8729" t="str">
        <f>"11-K07-02"</f>
        <v>11-K07-02</v>
      </c>
      <c r="G8729">
        <v>0.57999999999999996</v>
      </c>
      <c r="H8729" t="s">
        <v>11</v>
      </c>
      <c r="I8729" t="s">
        <v>10</v>
      </c>
    </row>
    <row r="8730" spans="1:9" x14ac:dyDescent="0.25">
      <c r="A8730" t="str">
        <f t="shared" si="207"/>
        <v>89301000</v>
      </c>
      <c r="B8730" t="str">
        <f>"6061301268"</f>
        <v>6061301268</v>
      </c>
      <c r="C8730" s="1">
        <v>45058</v>
      </c>
      <c r="D8730" s="1">
        <v>45064</v>
      </c>
      <c r="E8730">
        <v>1</v>
      </c>
      <c r="F8730" t="str">
        <f>"23-K06-00"</f>
        <v>23-K06-00</v>
      </c>
      <c r="G8730">
        <v>0.63160000000000005</v>
      </c>
      <c r="H8730" t="s">
        <v>11</v>
      </c>
      <c r="I8730" t="s">
        <v>10</v>
      </c>
    </row>
    <row r="8731" spans="1:9" x14ac:dyDescent="0.25">
      <c r="A8731" t="str">
        <f t="shared" si="207"/>
        <v>89301000</v>
      </c>
      <c r="B8731" t="str">
        <f>"6061301268"</f>
        <v>6061301268</v>
      </c>
      <c r="C8731" s="1">
        <v>45044</v>
      </c>
      <c r="D8731" s="1">
        <v>45046</v>
      </c>
      <c r="E8731">
        <v>1</v>
      </c>
      <c r="F8731" t="str">
        <f>"16-K02-03"</f>
        <v>16-K02-03</v>
      </c>
      <c r="G8731">
        <v>0.58299999999999996</v>
      </c>
      <c r="H8731" t="s">
        <v>11</v>
      </c>
      <c r="I8731" t="s">
        <v>10</v>
      </c>
    </row>
    <row r="8732" spans="1:9" x14ac:dyDescent="0.25">
      <c r="A8732" t="str">
        <f t="shared" si="207"/>
        <v>89301000</v>
      </c>
      <c r="B8732" t="str">
        <f>"6062050291"</f>
        <v>6062050291</v>
      </c>
      <c r="C8732" s="1">
        <v>44929</v>
      </c>
      <c r="D8732" s="1">
        <v>44932</v>
      </c>
      <c r="E8732">
        <v>1</v>
      </c>
      <c r="F8732" t="str">
        <f>"08-M03-05"</f>
        <v>08-M03-05</v>
      </c>
      <c r="G8732">
        <v>0.46810000000000002</v>
      </c>
      <c r="H8732" t="s">
        <v>11</v>
      </c>
      <c r="I8732" t="s">
        <v>10</v>
      </c>
    </row>
    <row r="8733" spans="1:9" x14ac:dyDescent="0.25">
      <c r="A8733" t="str">
        <f t="shared" si="207"/>
        <v>89301000</v>
      </c>
      <c r="B8733" t="str">
        <f>"6062051446"</f>
        <v>6062051446</v>
      </c>
      <c r="C8733" s="1">
        <v>45195</v>
      </c>
      <c r="D8733" s="1">
        <v>45196</v>
      </c>
      <c r="E8733">
        <v>1</v>
      </c>
      <c r="F8733" t="str">
        <f>"02-I13-02"</f>
        <v>02-I13-02</v>
      </c>
      <c r="G8733">
        <v>0.4259</v>
      </c>
      <c r="H8733" t="s">
        <v>11</v>
      </c>
      <c r="I8733" t="s">
        <v>10</v>
      </c>
    </row>
    <row r="8734" spans="1:9" x14ac:dyDescent="0.25">
      <c r="A8734" t="str">
        <f t="shared" si="207"/>
        <v>89301000</v>
      </c>
      <c r="B8734" t="str">
        <f>"6062100759"</f>
        <v>6062100759</v>
      </c>
      <c r="C8734" s="1">
        <v>45077</v>
      </c>
      <c r="D8734" s="1">
        <v>45089</v>
      </c>
      <c r="E8734">
        <v>1</v>
      </c>
      <c r="F8734" t="str">
        <f>"04-K02-03"</f>
        <v>04-K02-03</v>
      </c>
      <c r="G8734">
        <v>1.298</v>
      </c>
      <c r="H8734" t="s">
        <v>11</v>
      </c>
      <c r="I8734" t="s">
        <v>10</v>
      </c>
    </row>
    <row r="8735" spans="1:9" x14ac:dyDescent="0.25">
      <c r="A8735" t="str">
        <f t="shared" si="207"/>
        <v>89301000</v>
      </c>
      <c r="B8735" t="str">
        <f>"6062101166"</f>
        <v>6062101166</v>
      </c>
      <c r="C8735" s="1">
        <v>45109</v>
      </c>
      <c r="D8735" s="1">
        <v>45121</v>
      </c>
      <c r="E8735">
        <v>4</v>
      </c>
      <c r="F8735" t="str">
        <f>"00-M02-03"</f>
        <v>00-M02-03</v>
      </c>
      <c r="G8735">
        <v>15.694599999999999</v>
      </c>
      <c r="H8735" t="s">
        <v>11</v>
      </c>
      <c r="I8735" t="s">
        <v>10</v>
      </c>
    </row>
    <row r="8736" spans="1:9" x14ac:dyDescent="0.25">
      <c r="A8736" t="str">
        <f t="shared" si="207"/>
        <v>89301000</v>
      </c>
      <c r="B8736" t="str">
        <f>"6062101166"</f>
        <v>6062101166</v>
      </c>
      <c r="C8736" s="1">
        <v>45148</v>
      </c>
      <c r="D8736" s="1">
        <v>45170</v>
      </c>
      <c r="E8736">
        <v>1</v>
      </c>
      <c r="F8736" t="str">
        <f>"24-M08-01"</f>
        <v>24-M08-01</v>
      </c>
      <c r="G8736">
        <v>2.0236999999999998</v>
      </c>
      <c r="H8736" t="s">
        <v>11</v>
      </c>
      <c r="I8736" t="s">
        <v>10</v>
      </c>
    </row>
    <row r="8737" spans="1:9" x14ac:dyDescent="0.25">
      <c r="A8737" t="str">
        <f t="shared" si="207"/>
        <v>89301000</v>
      </c>
      <c r="B8737" t="str">
        <f>"6062121373"</f>
        <v>6062121373</v>
      </c>
      <c r="C8737" s="1">
        <v>44991</v>
      </c>
      <c r="D8737" s="1">
        <v>44999</v>
      </c>
      <c r="E8737">
        <v>4</v>
      </c>
      <c r="F8737" t="str">
        <f>"08-I06-04"</f>
        <v>08-I06-04</v>
      </c>
      <c r="G8737">
        <v>2.4180000000000001</v>
      </c>
      <c r="H8737" t="s">
        <v>9</v>
      </c>
      <c r="I8737" t="s">
        <v>10</v>
      </c>
    </row>
    <row r="8738" spans="1:9" x14ac:dyDescent="0.25">
      <c r="A8738" t="str">
        <f t="shared" si="207"/>
        <v>89301000</v>
      </c>
      <c r="B8738" t="str">
        <f>"6101051066"</f>
        <v>6101051066</v>
      </c>
      <c r="C8738" s="1">
        <v>45117</v>
      </c>
      <c r="D8738" s="1">
        <v>45119</v>
      </c>
      <c r="E8738">
        <v>1</v>
      </c>
      <c r="F8738" t="str">
        <f>"01-K04-02"</f>
        <v>01-K04-02</v>
      </c>
      <c r="G8738">
        <v>8.0915999999999997</v>
      </c>
      <c r="H8738" t="s">
        <v>11</v>
      </c>
      <c r="I8738" t="s">
        <v>10</v>
      </c>
    </row>
    <row r="8739" spans="1:9" x14ac:dyDescent="0.25">
      <c r="A8739" t="str">
        <f t="shared" si="207"/>
        <v>89301000</v>
      </c>
      <c r="B8739" t="str">
        <f>"6101091150"</f>
        <v>6101091150</v>
      </c>
      <c r="C8739" s="1">
        <v>44955</v>
      </c>
      <c r="D8739" s="1">
        <v>44958</v>
      </c>
      <c r="E8739">
        <v>1</v>
      </c>
      <c r="F8739" t="str">
        <f>"05-M06-06"</f>
        <v>05-M06-06</v>
      </c>
      <c r="G8739">
        <v>1.8264</v>
      </c>
      <c r="H8739" t="s">
        <v>12</v>
      </c>
      <c r="I8739" t="s">
        <v>10</v>
      </c>
    </row>
    <row r="8740" spans="1:9" x14ac:dyDescent="0.25">
      <c r="A8740" t="str">
        <f t="shared" si="207"/>
        <v>89301000</v>
      </c>
      <c r="B8740" t="str">
        <f>"6101181801"</f>
        <v>6101181801</v>
      </c>
      <c r="C8740" s="1">
        <v>44974</v>
      </c>
      <c r="D8740" s="1">
        <v>44977</v>
      </c>
      <c r="E8740">
        <v>1</v>
      </c>
      <c r="F8740" t="str">
        <f>"01-D01-03"</f>
        <v>01-D01-03</v>
      </c>
      <c r="G8740">
        <v>0.21060000000000001</v>
      </c>
      <c r="H8740" t="s">
        <v>11</v>
      </c>
      <c r="I8740" t="s">
        <v>10</v>
      </c>
    </row>
    <row r="8741" spans="1:9" x14ac:dyDescent="0.25">
      <c r="A8741" t="str">
        <f t="shared" si="207"/>
        <v>89301000</v>
      </c>
      <c r="B8741" t="str">
        <f>"6101231301"</f>
        <v>6101231301</v>
      </c>
      <c r="C8741" s="1">
        <v>45222</v>
      </c>
      <c r="D8741" s="1">
        <v>45223</v>
      </c>
      <c r="E8741">
        <v>1</v>
      </c>
      <c r="F8741" t="str">
        <f>"05-M05-03"</f>
        <v>05-M05-03</v>
      </c>
      <c r="G8741">
        <v>2.0312999999999999</v>
      </c>
      <c r="H8741" t="s">
        <v>14</v>
      </c>
      <c r="I8741" t="s">
        <v>10</v>
      </c>
    </row>
    <row r="8742" spans="1:9" x14ac:dyDescent="0.25">
      <c r="A8742" t="str">
        <f t="shared" si="207"/>
        <v>89301000</v>
      </c>
      <c r="B8742" t="str">
        <f>"6102022080"</f>
        <v>6102022080</v>
      </c>
      <c r="C8742" s="1">
        <v>45071</v>
      </c>
      <c r="D8742" s="1">
        <v>45072</v>
      </c>
      <c r="E8742">
        <v>1</v>
      </c>
      <c r="F8742" t="str">
        <f>"23-I10-00"</f>
        <v>23-I10-00</v>
      </c>
      <c r="G8742">
        <v>0.57330000000000003</v>
      </c>
      <c r="H8742" t="s">
        <v>11</v>
      </c>
      <c r="I8742" t="s">
        <v>10</v>
      </c>
    </row>
    <row r="8743" spans="1:9" x14ac:dyDescent="0.25">
      <c r="A8743" t="str">
        <f t="shared" si="207"/>
        <v>89301000</v>
      </c>
      <c r="B8743" t="str">
        <f>"6102022080"</f>
        <v>6102022080</v>
      </c>
      <c r="C8743" s="1">
        <v>45232</v>
      </c>
      <c r="D8743" s="1">
        <v>45236</v>
      </c>
      <c r="E8743">
        <v>4</v>
      </c>
      <c r="F8743" t="str">
        <f>"08-I06-04"</f>
        <v>08-I06-04</v>
      </c>
      <c r="G8743">
        <v>2.4180000000000001</v>
      </c>
      <c r="H8743" t="s">
        <v>9</v>
      </c>
      <c r="I8743" t="s">
        <v>10</v>
      </c>
    </row>
    <row r="8744" spans="1:9" x14ac:dyDescent="0.25">
      <c r="A8744" t="str">
        <f t="shared" si="207"/>
        <v>89301000</v>
      </c>
      <c r="B8744" t="str">
        <f>"6102050152"</f>
        <v>6102050152</v>
      </c>
      <c r="C8744" s="1">
        <v>44995</v>
      </c>
      <c r="D8744" s="1">
        <v>45008</v>
      </c>
      <c r="E8744">
        <v>2</v>
      </c>
      <c r="F8744" t="str">
        <f>"01-M02-00"</f>
        <v>01-M02-00</v>
      </c>
      <c r="G8744">
        <v>5.3973000000000004</v>
      </c>
      <c r="H8744" t="s">
        <v>12</v>
      </c>
      <c r="I8744" t="s">
        <v>10</v>
      </c>
    </row>
    <row r="8745" spans="1:9" x14ac:dyDescent="0.25">
      <c r="A8745" t="str">
        <f t="shared" si="207"/>
        <v>89301000</v>
      </c>
      <c r="B8745" t="str">
        <f>"6102170624"</f>
        <v>6102170624</v>
      </c>
      <c r="C8745" s="1">
        <v>45061</v>
      </c>
      <c r="D8745" s="1">
        <v>45068</v>
      </c>
      <c r="E8745">
        <v>1</v>
      </c>
      <c r="F8745" t="str">
        <f>"08-I05-04"</f>
        <v>08-I05-04</v>
      </c>
      <c r="G8745">
        <v>2.4445000000000001</v>
      </c>
      <c r="H8745" t="s">
        <v>12</v>
      </c>
      <c r="I8745" t="s">
        <v>10</v>
      </c>
    </row>
    <row r="8746" spans="1:9" x14ac:dyDescent="0.25">
      <c r="A8746" t="str">
        <f t="shared" si="207"/>
        <v>89301000</v>
      </c>
      <c r="B8746" t="str">
        <f>"6103030560"</f>
        <v>6103030560</v>
      </c>
      <c r="C8746" s="1">
        <v>45097</v>
      </c>
      <c r="D8746" s="1">
        <v>45103</v>
      </c>
      <c r="E8746">
        <v>1</v>
      </c>
      <c r="F8746" t="str">
        <f>"25-K01-02"</f>
        <v>25-K01-02</v>
      </c>
      <c r="G8746">
        <v>2.3247</v>
      </c>
      <c r="H8746" t="s">
        <v>14</v>
      </c>
      <c r="I8746" t="s">
        <v>10</v>
      </c>
    </row>
    <row r="8747" spans="1:9" x14ac:dyDescent="0.25">
      <c r="A8747" t="str">
        <f t="shared" si="207"/>
        <v>89301000</v>
      </c>
      <c r="B8747" t="str">
        <f>"6103081952"</f>
        <v>6103081952</v>
      </c>
      <c r="C8747" s="1">
        <v>45005</v>
      </c>
      <c r="D8747" s="1">
        <v>45007</v>
      </c>
      <c r="E8747">
        <v>1</v>
      </c>
      <c r="F8747" t="str">
        <f>"05-M04-03"</f>
        <v>05-M04-03</v>
      </c>
      <c r="G8747">
        <v>2.9883000000000002</v>
      </c>
      <c r="H8747" t="s">
        <v>12</v>
      </c>
      <c r="I8747" t="s">
        <v>10</v>
      </c>
    </row>
    <row r="8748" spans="1:9" x14ac:dyDescent="0.25">
      <c r="A8748" t="str">
        <f t="shared" si="207"/>
        <v>89301000</v>
      </c>
      <c r="B8748" t="str">
        <f>"6103091324"</f>
        <v>6103091324</v>
      </c>
      <c r="C8748" s="1">
        <v>45092</v>
      </c>
      <c r="D8748" s="1">
        <v>45092</v>
      </c>
      <c r="E8748">
        <v>1</v>
      </c>
      <c r="F8748" t="str">
        <f>"05-M06-08"</f>
        <v>05-M06-08</v>
      </c>
      <c r="G8748">
        <v>1.1012</v>
      </c>
      <c r="H8748" t="s">
        <v>12</v>
      </c>
      <c r="I8748" t="s">
        <v>10</v>
      </c>
    </row>
    <row r="8749" spans="1:9" x14ac:dyDescent="0.25">
      <c r="A8749" t="str">
        <f t="shared" si="207"/>
        <v>89301000</v>
      </c>
      <c r="B8749" t="str">
        <f>"6103150757"</f>
        <v>6103150757</v>
      </c>
      <c r="C8749" s="1">
        <v>45283</v>
      </c>
      <c r="D8749" s="1">
        <v>45287</v>
      </c>
      <c r="E8749">
        <v>1</v>
      </c>
      <c r="F8749" t="str">
        <f>"05-K01-03"</f>
        <v>05-K01-03</v>
      </c>
      <c r="G8749">
        <v>0.73540000000000005</v>
      </c>
      <c r="H8749" t="s">
        <v>11</v>
      </c>
      <c r="I8749" t="s">
        <v>10</v>
      </c>
    </row>
    <row r="8750" spans="1:9" x14ac:dyDescent="0.25">
      <c r="A8750" t="str">
        <f t="shared" si="207"/>
        <v>89301000</v>
      </c>
      <c r="B8750" t="str">
        <f>"6103250791"</f>
        <v>6103250791</v>
      </c>
      <c r="C8750" s="1">
        <v>44972</v>
      </c>
      <c r="D8750" s="1">
        <v>44975</v>
      </c>
      <c r="E8750">
        <v>1</v>
      </c>
      <c r="F8750" t="str">
        <f>"09-I13-04"</f>
        <v>09-I13-04</v>
      </c>
      <c r="G8750">
        <v>0.54139999999999999</v>
      </c>
      <c r="H8750" t="s">
        <v>11</v>
      </c>
      <c r="I8750" t="s">
        <v>10</v>
      </c>
    </row>
    <row r="8751" spans="1:9" x14ac:dyDescent="0.25">
      <c r="A8751" t="str">
        <f t="shared" si="207"/>
        <v>89301000</v>
      </c>
      <c r="B8751" t="str">
        <f>"6103250791"</f>
        <v>6103250791</v>
      </c>
      <c r="C8751" s="1">
        <v>45035</v>
      </c>
      <c r="D8751" s="1">
        <v>45038</v>
      </c>
      <c r="E8751">
        <v>1</v>
      </c>
      <c r="F8751" t="str">
        <f>"03-I19-02"</f>
        <v>03-I19-02</v>
      </c>
      <c r="G8751">
        <v>0.71340000000000003</v>
      </c>
      <c r="H8751" t="s">
        <v>11</v>
      </c>
      <c r="I8751" t="s">
        <v>10</v>
      </c>
    </row>
    <row r="8752" spans="1:9" x14ac:dyDescent="0.25">
      <c r="A8752" t="str">
        <f t="shared" si="207"/>
        <v>89301000</v>
      </c>
      <c r="B8752" t="str">
        <f>"6103250791"</f>
        <v>6103250791</v>
      </c>
      <c r="C8752" s="1">
        <v>45119</v>
      </c>
      <c r="D8752" s="1">
        <v>45120</v>
      </c>
      <c r="E8752">
        <v>1</v>
      </c>
      <c r="F8752" t="str">
        <f>"09-K16-00"</f>
        <v>09-K16-00</v>
      </c>
      <c r="G8752">
        <v>0.61609999999999998</v>
      </c>
      <c r="H8752" t="s">
        <v>11</v>
      </c>
      <c r="I8752" t="s">
        <v>10</v>
      </c>
    </row>
    <row r="8753" spans="1:9" x14ac:dyDescent="0.25">
      <c r="A8753" t="str">
        <f t="shared" ref="A8753:A8816" si="208">"89301000"</f>
        <v>89301000</v>
      </c>
      <c r="B8753" t="str">
        <f>"6103250791"</f>
        <v>6103250791</v>
      </c>
      <c r="C8753" s="1">
        <v>45231</v>
      </c>
      <c r="D8753" s="1">
        <v>45235</v>
      </c>
      <c r="E8753">
        <v>1</v>
      </c>
      <c r="F8753" t="str">
        <f>"09-I13-04"</f>
        <v>09-I13-04</v>
      </c>
      <c r="G8753">
        <v>0.54139999999999999</v>
      </c>
      <c r="H8753" t="s">
        <v>11</v>
      </c>
      <c r="I8753" t="s">
        <v>10</v>
      </c>
    </row>
    <row r="8754" spans="1:9" x14ac:dyDescent="0.25">
      <c r="A8754" t="str">
        <f t="shared" si="208"/>
        <v>89301000</v>
      </c>
      <c r="B8754" t="str">
        <f>"6103270239"</f>
        <v>6103270239</v>
      </c>
      <c r="C8754" s="1">
        <v>44957</v>
      </c>
      <c r="D8754" s="1">
        <v>44959</v>
      </c>
      <c r="E8754">
        <v>1</v>
      </c>
      <c r="F8754" t="str">
        <f>"02-K07-01"</f>
        <v>02-K07-01</v>
      </c>
      <c r="G8754">
        <v>0.77580000000000005</v>
      </c>
      <c r="H8754" t="s">
        <v>11</v>
      </c>
      <c r="I8754" t="s">
        <v>10</v>
      </c>
    </row>
    <row r="8755" spans="1:9" x14ac:dyDescent="0.25">
      <c r="A8755" t="str">
        <f t="shared" si="208"/>
        <v>89301000</v>
      </c>
      <c r="B8755" t="str">
        <f>"6104020791"</f>
        <v>6104020791</v>
      </c>
      <c r="C8755" s="1">
        <v>44963</v>
      </c>
      <c r="D8755" s="1">
        <v>44981</v>
      </c>
      <c r="E8755">
        <v>5</v>
      </c>
      <c r="F8755" t="str">
        <f>"11-C01-02"</f>
        <v>11-C01-02</v>
      </c>
      <c r="G8755">
        <v>0.95130000000000003</v>
      </c>
      <c r="H8755" t="s">
        <v>11</v>
      </c>
      <c r="I8755" t="s">
        <v>10</v>
      </c>
    </row>
    <row r="8756" spans="1:9" x14ac:dyDescent="0.25">
      <c r="A8756" t="str">
        <f t="shared" si="208"/>
        <v>89301000</v>
      </c>
      <c r="B8756" t="str">
        <f>"6104141978"</f>
        <v>6104141978</v>
      </c>
      <c r="C8756" s="1">
        <v>45257</v>
      </c>
      <c r="D8756" s="1">
        <v>45259</v>
      </c>
      <c r="E8756">
        <v>1</v>
      </c>
      <c r="F8756" t="str">
        <f>"01-K18-04"</f>
        <v>01-K18-04</v>
      </c>
      <c r="G8756">
        <v>0.54610000000000003</v>
      </c>
      <c r="H8756" t="s">
        <v>11</v>
      </c>
      <c r="I8756" t="s">
        <v>10</v>
      </c>
    </row>
    <row r="8757" spans="1:9" x14ac:dyDescent="0.25">
      <c r="A8757" t="str">
        <f t="shared" si="208"/>
        <v>89301000</v>
      </c>
      <c r="B8757" t="str">
        <f>"6104151845"</f>
        <v>6104151845</v>
      </c>
      <c r="C8757" s="1">
        <v>45169</v>
      </c>
      <c r="D8757" s="1">
        <v>45171</v>
      </c>
      <c r="E8757">
        <v>1</v>
      </c>
      <c r="F8757" t="str">
        <f>"06-K11-00"</f>
        <v>06-K11-00</v>
      </c>
      <c r="G8757">
        <v>0.34639999999999999</v>
      </c>
      <c r="H8757" t="s">
        <v>11</v>
      </c>
      <c r="I8757" t="s">
        <v>10</v>
      </c>
    </row>
    <row r="8758" spans="1:9" x14ac:dyDescent="0.25">
      <c r="A8758" t="str">
        <f t="shared" si="208"/>
        <v>89301000</v>
      </c>
      <c r="B8758" t="str">
        <f>"6104151845"</f>
        <v>6104151845</v>
      </c>
      <c r="C8758" s="1">
        <v>45174</v>
      </c>
      <c r="D8758" s="1">
        <v>45183</v>
      </c>
      <c r="E8758">
        <v>1</v>
      </c>
      <c r="F8758" t="str">
        <f>"06-I21-03"</f>
        <v>06-I21-03</v>
      </c>
      <c r="G8758">
        <v>0.67149999999999999</v>
      </c>
      <c r="H8758" t="s">
        <v>12</v>
      </c>
      <c r="I8758" t="s">
        <v>10</v>
      </c>
    </row>
    <row r="8759" spans="1:9" x14ac:dyDescent="0.25">
      <c r="A8759" t="str">
        <f t="shared" si="208"/>
        <v>89301000</v>
      </c>
      <c r="B8759" t="str">
        <f>"6104162317"</f>
        <v>6104162317</v>
      </c>
      <c r="C8759" s="1">
        <v>44936</v>
      </c>
      <c r="D8759" s="1">
        <v>44939</v>
      </c>
      <c r="E8759">
        <v>1</v>
      </c>
      <c r="F8759" t="str">
        <f>"05-M06-02"</f>
        <v>05-M06-02</v>
      </c>
      <c r="G8759">
        <v>3.8536000000000001</v>
      </c>
      <c r="H8759" t="s">
        <v>12</v>
      </c>
      <c r="I8759" t="s">
        <v>10</v>
      </c>
    </row>
    <row r="8760" spans="1:9" x14ac:dyDescent="0.25">
      <c r="A8760" t="str">
        <f t="shared" si="208"/>
        <v>89301000</v>
      </c>
      <c r="B8760" t="str">
        <f>"6104180786"</f>
        <v>6104180786</v>
      </c>
      <c r="C8760" s="1">
        <v>44993</v>
      </c>
      <c r="D8760" s="1">
        <v>44993</v>
      </c>
      <c r="E8760">
        <v>1</v>
      </c>
      <c r="F8760" t="str">
        <f>"05-D01-06"</f>
        <v>05-D01-06</v>
      </c>
      <c r="G8760">
        <v>0.4037</v>
      </c>
      <c r="H8760" t="s">
        <v>11</v>
      </c>
      <c r="I8760" t="s">
        <v>10</v>
      </c>
    </row>
    <row r="8761" spans="1:9" x14ac:dyDescent="0.25">
      <c r="A8761" t="str">
        <f t="shared" si="208"/>
        <v>89301000</v>
      </c>
      <c r="B8761" t="str">
        <f>"6104180786"</f>
        <v>6104180786</v>
      </c>
      <c r="C8761" s="1">
        <v>45049</v>
      </c>
      <c r="D8761" s="1">
        <v>45061</v>
      </c>
      <c r="E8761">
        <v>1</v>
      </c>
      <c r="F8761" t="str">
        <f>"05-I12-03"</f>
        <v>05-I12-03</v>
      </c>
      <c r="G8761">
        <v>6.7502000000000004</v>
      </c>
      <c r="H8761" t="s">
        <v>14</v>
      </c>
      <c r="I8761" t="s">
        <v>10</v>
      </c>
    </row>
    <row r="8762" spans="1:9" x14ac:dyDescent="0.25">
      <c r="A8762" t="str">
        <f t="shared" si="208"/>
        <v>89301000</v>
      </c>
      <c r="B8762" t="str">
        <f>"6104261108"</f>
        <v>6104261108</v>
      </c>
      <c r="C8762" s="1">
        <v>45174</v>
      </c>
      <c r="D8762" s="1">
        <v>45177</v>
      </c>
      <c r="E8762">
        <v>7</v>
      </c>
      <c r="F8762" t="str">
        <f>"25-I02-01"</f>
        <v>25-I02-01</v>
      </c>
      <c r="G8762">
        <v>4.8986999999999998</v>
      </c>
      <c r="H8762" t="s">
        <v>14</v>
      </c>
      <c r="I8762" t="s">
        <v>10</v>
      </c>
    </row>
    <row r="8763" spans="1:9" x14ac:dyDescent="0.25">
      <c r="A8763" t="str">
        <f t="shared" si="208"/>
        <v>89301000</v>
      </c>
      <c r="B8763" t="str">
        <f>"6104261559"</f>
        <v>6104261559</v>
      </c>
      <c r="C8763" s="1">
        <v>45084</v>
      </c>
      <c r="D8763" s="1">
        <v>45089</v>
      </c>
      <c r="E8763">
        <v>1</v>
      </c>
      <c r="F8763" t="str">
        <f>"03-K03-02"</f>
        <v>03-K03-02</v>
      </c>
      <c r="G8763">
        <v>0.51949999999999996</v>
      </c>
      <c r="H8763" t="s">
        <v>11</v>
      </c>
      <c r="I8763" t="s">
        <v>10</v>
      </c>
    </row>
    <row r="8764" spans="1:9" x14ac:dyDescent="0.25">
      <c r="A8764" t="str">
        <f t="shared" si="208"/>
        <v>89301000</v>
      </c>
      <c r="B8764" t="str">
        <f>"6105042042"</f>
        <v>6105042042</v>
      </c>
      <c r="C8764" s="1">
        <v>44999</v>
      </c>
      <c r="D8764" s="1">
        <v>45002</v>
      </c>
      <c r="E8764">
        <v>1</v>
      </c>
      <c r="F8764" t="str">
        <f>"10-R02-02"</f>
        <v>10-R02-02</v>
      </c>
      <c r="G8764">
        <v>0.66300000000000003</v>
      </c>
      <c r="H8764" t="s">
        <v>9</v>
      </c>
      <c r="I8764" t="s">
        <v>10</v>
      </c>
    </row>
    <row r="8765" spans="1:9" x14ac:dyDescent="0.25">
      <c r="A8765" t="str">
        <f t="shared" si="208"/>
        <v>89301000</v>
      </c>
      <c r="B8765" t="str">
        <f>"6105140195"</f>
        <v>6105140195</v>
      </c>
      <c r="C8765" s="1">
        <v>45035</v>
      </c>
      <c r="D8765" s="1">
        <v>45040</v>
      </c>
      <c r="E8765">
        <v>3</v>
      </c>
      <c r="F8765" t="str">
        <f>"08-I05-04"</f>
        <v>08-I05-04</v>
      </c>
      <c r="G8765">
        <v>2.4445000000000001</v>
      </c>
      <c r="H8765" t="s">
        <v>12</v>
      </c>
      <c r="I8765" t="s">
        <v>10</v>
      </c>
    </row>
    <row r="8766" spans="1:9" x14ac:dyDescent="0.25">
      <c r="A8766" t="str">
        <f t="shared" si="208"/>
        <v>89301000</v>
      </c>
      <c r="B8766" t="str">
        <f>"6105140195"</f>
        <v>6105140195</v>
      </c>
      <c r="C8766" s="1">
        <v>45040</v>
      </c>
      <c r="D8766" s="1">
        <v>45051</v>
      </c>
      <c r="E8766">
        <v>1</v>
      </c>
      <c r="F8766" t="str">
        <f>"24-M06-02"</f>
        <v>24-M06-02</v>
      </c>
      <c r="G8766">
        <v>1.0699000000000001</v>
      </c>
      <c r="H8766" t="s">
        <v>11</v>
      </c>
      <c r="I8766" t="s">
        <v>10</v>
      </c>
    </row>
    <row r="8767" spans="1:9" x14ac:dyDescent="0.25">
      <c r="A8767" t="str">
        <f t="shared" si="208"/>
        <v>89301000</v>
      </c>
      <c r="B8767" t="str">
        <f>"6105150205"</f>
        <v>6105150205</v>
      </c>
      <c r="C8767" s="1">
        <v>45028</v>
      </c>
      <c r="D8767" s="1">
        <v>45031</v>
      </c>
      <c r="E8767">
        <v>1</v>
      </c>
      <c r="F8767" t="str">
        <f>"11-M06-03"</f>
        <v>11-M06-03</v>
      </c>
      <c r="G8767">
        <v>0.62009999999999998</v>
      </c>
      <c r="H8767" t="s">
        <v>12</v>
      </c>
      <c r="I8767" t="s">
        <v>10</v>
      </c>
    </row>
    <row r="8768" spans="1:9" x14ac:dyDescent="0.25">
      <c r="A8768" t="str">
        <f t="shared" si="208"/>
        <v>89301000</v>
      </c>
      <c r="B8768" t="str">
        <f>"6105160193"</f>
        <v>6105160193</v>
      </c>
      <c r="C8768" s="1">
        <v>44980</v>
      </c>
      <c r="D8768" s="1">
        <v>44984</v>
      </c>
      <c r="E8768">
        <v>1</v>
      </c>
      <c r="F8768" t="str">
        <f>"10-K04-04"</f>
        <v>10-K04-04</v>
      </c>
      <c r="G8768">
        <v>0.53949999999999998</v>
      </c>
      <c r="H8768" t="s">
        <v>11</v>
      </c>
      <c r="I8768" t="s">
        <v>10</v>
      </c>
    </row>
    <row r="8769" spans="1:9" x14ac:dyDescent="0.25">
      <c r="A8769" t="str">
        <f t="shared" si="208"/>
        <v>89301000</v>
      </c>
      <c r="B8769" t="str">
        <f>"6105161095"</f>
        <v>6105161095</v>
      </c>
      <c r="C8769" s="1">
        <v>45239</v>
      </c>
      <c r="D8769" s="1">
        <v>45243</v>
      </c>
      <c r="E8769">
        <v>1</v>
      </c>
      <c r="F8769" t="str">
        <f>"01-I07-03"</f>
        <v>01-I07-03</v>
      </c>
      <c r="G8769">
        <v>3.0371000000000001</v>
      </c>
      <c r="H8769" t="s">
        <v>12</v>
      </c>
      <c r="I8769" t="s">
        <v>10</v>
      </c>
    </row>
    <row r="8770" spans="1:9" x14ac:dyDescent="0.25">
      <c r="A8770" t="str">
        <f t="shared" si="208"/>
        <v>89301000</v>
      </c>
      <c r="B8770" t="str">
        <f>"6105161095"</f>
        <v>6105161095</v>
      </c>
      <c r="C8770" s="1">
        <v>45166</v>
      </c>
      <c r="D8770" s="1">
        <v>45168</v>
      </c>
      <c r="E8770">
        <v>1</v>
      </c>
      <c r="F8770" t="str">
        <f>"01-K05-02"</f>
        <v>01-K05-02</v>
      </c>
      <c r="G8770">
        <v>0.57299999999999995</v>
      </c>
      <c r="H8770" t="s">
        <v>11</v>
      </c>
      <c r="I8770" t="s">
        <v>10</v>
      </c>
    </row>
    <row r="8771" spans="1:9" x14ac:dyDescent="0.25">
      <c r="A8771" t="str">
        <f t="shared" si="208"/>
        <v>89301000</v>
      </c>
      <c r="B8771" t="str">
        <f>"6105161095"</f>
        <v>6105161095</v>
      </c>
      <c r="C8771" s="1">
        <v>45072</v>
      </c>
      <c r="D8771" s="1">
        <v>45074</v>
      </c>
      <c r="E8771">
        <v>1</v>
      </c>
      <c r="F8771" t="str">
        <f>"01-I07-03"</f>
        <v>01-I07-03</v>
      </c>
      <c r="G8771">
        <v>1.9477</v>
      </c>
      <c r="H8771" t="s">
        <v>12</v>
      </c>
      <c r="I8771" t="s">
        <v>10</v>
      </c>
    </row>
    <row r="8772" spans="1:9" x14ac:dyDescent="0.25">
      <c r="A8772" t="str">
        <f t="shared" si="208"/>
        <v>89301000</v>
      </c>
      <c r="B8772" t="str">
        <f>"6105190916"</f>
        <v>6105190916</v>
      </c>
      <c r="C8772" s="1">
        <v>44994</v>
      </c>
      <c r="D8772" s="1">
        <v>44998</v>
      </c>
      <c r="E8772">
        <v>1</v>
      </c>
      <c r="F8772" t="str">
        <f>"10-K04-04"</f>
        <v>10-K04-04</v>
      </c>
      <c r="G8772">
        <v>0.53949999999999998</v>
      </c>
      <c r="H8772" t="s">
        <v>11</v>
      </c>
      <c r="I8772" t="s">
        <v>10</v>
      </c>
    </row>
    <row r="8773" spans="1:9" x14ac:dyDescent="0.25">
      <c r="A8773" t="str">
        <f t="shared" si="208"/>
        <v>89301000</v>
      </c>
      <c r="B8773" t="str">
        <f>"6105190916"</f>
        <v>6105190916</v>
      </c>
      <c r="C8773" s="1">
        <v>45187</v>
      </c>
      <c r="D8773" s="1">
        <v>45191</v>
      </c>
      <c r="E8773">
        <v>1</v>
      </c>
      <c r="F8773" t="str">
        <f>"10-K04-04"</f>
        <v>10-K04-04</v>
      </c>
      <c r="G8773">
        <v>0.53949999999999998</v>
      </c>
      <c r="H8773" t="s">
        <v>11</v>
      </c>
      <c r="I8773" t="s">
        <v>10</v>
      </c>
    </row>
    <row r="8774" spans="1:9" x14ac:dyDescent="0.25">
      <c r="A8774" t="str">
        <f t="shared" si="208"/>
        <v>89301000</v>
      </c>
      <c r="B8774" t="str">
        <f>"6105192291"</f>
        <v>6105192291</v>
      </c>
      <c r="C8774" s="1">
        <v>45162</v>
      </c>
      <c r="D8774" s="1">
        <v>45167</v>
      </c>
      <c r="E8774">
        <v>1</v>
      </c>
      <c r="F8774" t="str">
        <f>"04-I02-03"</f>
        <v>04-I02-03</v>
      </c>
      <c r="G8774">
        <v>3.4599000000000002</v>
      </c>
      <c r="H8774" t="s">
        <v>14</v>
      </c>
      <c r="I8774" t="s">
        <v>10</v>
      </c>
    </row>
    <row r="8775" spans="1:9" x14ac:dyDescent="0.25">
      <c r="A8775" t="str">
        <f t="shared" si="208"/>
        <v>89301000</v>
      </c>
      <c r="B8775" t="str">
        <f>"6105201344"</f>
        <v>6105201344</v>
      </c>
      <c r="C8775" s="1">
        <v>45148</v>
      </c>
      <c r="D8775" s="1">
        <v>45154</v>
      </c>
      <c r="E8775">
        <v>1</v>
      </c>
      <c r="F8775" t="str">
        <f>"10-K11-02"</f>
        <v>10-K11-02</v>
      </c>
      <c r="G8775">
        <v>1.0562</v>
      </c>
      <c r="H8775" t="s">
        <v>11</v>
      </c>
      <c r="I8775" t="s">
        <v>10</v>
      </c>
    </row>
    <row r="8776" spans="1:9" x14ac:dyDescent="0.25">
      <c r="A8776" t="str">
        <f t="shared" si="208"/>
        <v>89301000</v>
      </c>
      <c r="B8776" t="str">
        <f>"6105210188"</f>
        <v>6105210188</v>
      </c>
      <c r="C8776" s="1">
        <v>44950</v>
      </c>
      <c r="D8776" s="1">
        <v>44956</v>
      </c>
      <c r="E8776">
        <v>1</v>
      </c>
      <c r="F8776" t="str">
        <f>"06-I16-04"</f>
        <v>06-I16-04</v>
      </c>
      <c r="G8776">
        <v>0.68920000000000003</v>
      </c>
      <c r="H8776" t="s">
        <v>9</v>
      </c>
      <c r="I8776" t="s">
        <v>10</v>
      </c>
    </row>
    <row r="8777" spans="1:9" x14ac:dyDescent="0.25">
      <c r="A8777" t="str">
        <f t="shared" si="208"/>
        <v>89301000</v>
      </c>
      <c r="B8777" t="str">
        <f>"6105210210"</f>
        <v>6105210210</v>
      </c>
      <c r="C8777" s="1">
        <v>45089</v>
      </c>
      <c r="D8777" s="1">
        <v>45093</v>
      </c>
      <c r="E8777">
        <v>1</v>
      </c>
      <c r="F8777" t="str">
        <f>"08-I06-04"</f>
        <v>08-I06-04</v>
      </c>
      <c r="G8777">
        <v>2.4180000000000001</v>
      </c>
      <c r="H8777" t="s">
        <v>9</v>
      </c>
      <c r="I8777" t="s">
        <v>10</v>
      </c>
    </row>
    <row r="8778" spans="1:9" x14ac:dyDescent="0.25">
      <c r="A8778" t="str">
        <f t="shared" si="208"/>
        <v>89301000</v>
      </c>
      <c r="B8778" t="str">
        <f>"6105300212"</f>
        <v>6105300212</v>
      </c>
      <c r="C8778" s="1">
        <v>45237</v>
      </c>
      <c r="D8778" s="1">
        <v>45237</v>
      </c>
      <c r="E8778">
        <v>1</v>
      </c>
      <c r="F8778" t="str">
        <f>"05-K05-05"</f>
        <v>05-K05-05</v>
      </c>
      <c r="G8778">
        <v>0.17829999999999999</v>
      </c>
      <c r="H8778" t="s">
        <v>11</v>
      </c>
      <c r="I8778" t="s">
        <v>10</v>
      </c>
    </row>
    <row r="8779" spans="1:9" x14ac:dyDescent="0.25">
      <c r="A8779" t="str">
        <f t="shared" si="208"/>
        <v>89301000</v>
      </c>
      <c r="B8779" t="str">
        <f>"6105300212"</f>
        <v>6105300212</v>
      </c>
      <c r="C8779" s="1">
        <v>45224</v>
      </c>
      <c r="D8779" s="1">
        <v>45227</v>
      </c>
      <c r="E8779">
        <v>1</v>
      </c>
      <c r="F8779" t="str">
        <f>"05-I14-04"</f>
        <v>05-I14-04</v>
      </c>
      <c r="G8779">
        <v>5.2220000000000004</v>
      </c>
      <c r="H8779" t="s">
        <v>12</v>
      </c>
      <c r="I8779" t="s">
        <v>10</v>
      </c>
    </row>
    <row r="8780" spans="1:9" x14ac:dyDescent="0.25">
      <c r="A8780" t="str">
        <f t="shared" si="208"/>
        <v>89301000</v>
      </c>
      <c r="B8780" t="str">
        <f>"6106110219"</f>
        <v>6106110219</v>
      </c>
      <c r="C8780" s="1">
        <v>45260</v>
      </c>
      <c r="D8780" s="1">
        <v>45263</v>
      </c>
      <c r="E8780">
        <v>1</v>
      </c>
      <c r="F8780" t="str">
        <f>"08-M03-05"</f>
        <v>08-M03-05</v>
      </c>
      <c r="G8780">
        <v>0.46910000000000002</v>
      </c>
      <c r="H8780" t="s">
        <v>11</v>
      </c>
      <c r="I8780" t="s">
        <v>10</v>
      </c>
    </row>
    <row r="8781" spans="1:9" x14ac:dyDescent="0.25">
      <c r="A8781" t="str">
        <f t="shared" si="208"/>
        <v>89301000</v>
      </c>
      <c r="B8781" t="str">
        <f>"6106110219"</f>
        <v>6106110219</v>
      </c>
      <c r="C8781" s="1">
        <v>45224</v>
      </c>
      <c r="D8781" s="1">
        <v>45225</v>
      </c>
      <c r="E8781">
        <v>1</v>
      </c>
      <c r="F8781" t="str">
        <f>"08-I32-00"</f>
        <v>08-I32-00</v>
      </c>
      <c r="G8781">
        <v>0.40870000000000001</v>
      </c>
      <c r="H8781" t="s">
        <v>11</v>
      </c>
      <c r="I8781" t="s">
        <v>10</v>
      </c>
    </row>
    <row r="8782" spans="1:9" x14ac:dyDescent="0.25">
      <c r="A8782" t="str">
        <f t="shared" si="208"/>
        <v>89301000</v>
      </c>
      <c r="B8782" t="str">
        <f>"6106110219"</f>
        <v>6106110219</v>
      </c>
      <c r="C8782" s="1">
        <v>45102</v>
      </c>
      <c r="D8782" s="1">
        <v>45110</v>
      </c>
      <c r="E8782">
        <v>1</v>
      </c>
      <c r="F8782" t="str">
        <f>"08-I17-01"</f>
        <v>08-I17-01</v>
      </c>
      <c r="G8782">
        <v>1.6462000000000001</v>
      </c>
      <c r="H8782" t="s">
        <v>11</v>
      </c>
      <c r="I8782" t="s">
        <v>10</v>
      </c>
    </row>
    <row r="8783" spans="1:9" x14ac:dyDescent="0.25">
      <c r="A8783" t="str">
        <f t="shared" si="208"/>
        <v>89301000</v>
      </c>
      <c r="B8783" t="str">
        <f>"6106131845"</f>
        <v>6106131845</v>
      </c>
      <c r="C8783" s="1">
        <v>45242</v>
      </c>
      <c r="D8783" s="1">
        <v>45245</v>
      </c>
      <c r="E8783">
        <v>1</v>
      </c>
      <c r="F8783" t="str">
        <f>"03-K03-02"</f>
        <v>03-K03-02</v>
      </c>
      <c r="G8783">
        <v>0.51949999999999996</v>
      </c>
      <c r="H8783" t="s">
        <v>11</v>
      </c>
      <c r="I8783" t="s">
        <v>10</v>
      </c>
    </row>
    <row r="8784" spans="1:9" x14ac:dyDescent="0.25">
      <c r="A8784" t="str">
        <f t="shared" si="208"/>
        <v>89301000</v>
      </c>
      <c r="B8784" t="str">
        <f>"6106131845"</f>
        <v>6106131845</v>
      </c>
      <c r="C8784" s="1">
        <v>45184</v>
      </c>
      <c r="D8784" s="1">
        <v>45185</v>
      </c>
      <c r="E8784">
        <v>1</v>
      </c>
      <c r="F8784" t="str">
        <f>"06-M01-02"</f>
        <v>06-M01-02</v>
      </c>
      <c r="G8784">
        <v>1.2206999999999999</v>
      </c>
      <c r="H8784" t="s">
        <v>11</v>
      </c>
      <c r="I8784" t="s">
        <v>10</v>
      </c>
    </row>
    <row r="8785" spans="1:9" x14ac:dyDescent="0.25">
      <c r="A8785" t="str">
        <f t="shared" si="208"/>
        <v>89301000</v>
      </c>
      <c r="B8785" t="str">
        <f>"6106131845"</f>
        <v>6106131845</v>
      </c>
      <c r="C8785" s="1">
        <v>45272</v>
      </c>
      <c r="D8785" s="1">
        <v>45274</v>
      </c>
      <c r="E8785">
        <v>1</v>
      </c>
      <c r="F8785" t="str">
        <f>"03-I19-03"</f>
        <v>03-I19-03</v>
      </c>
      <c r="G8785">
        <v>0.53249999999999997</v>
      </c>
      <c r="H8785" t="s">
        <v>11</v>
      </c>
      <c r="I8785" t="s">
        <v>10</v>
      </c>
    </row>
    <row r="8786" spans="1:9" x14ac:dyDescent="0.25">
      <c r="A8786" t="str">
        <f t="shared" si="208"/>
        <v>89301000</v>
      </c>
      <c r="B8786" t="str">
        <f>"6106131845"</f>
        <v>6106131845</v>
      </c>
      <c r="C8786" s="1">
        <v>45140</v>
      </c>
      <c r="D8786" s="1">
        <v>45142</v>
      </c>
      <c r="E8786">
        <v>1</v>
      </c>
      <c r="F8786" t="str">
        <f>"08-I25-02"</f>
        <v>08-I25-02</v>
      </c>
      <c r="G8786">
        <v>0.55279999999999996</v>
      </c>
      <c r="H8786" t="s">
        <v>11</v>
      </c>
      <c r="I8786" t="s">
        <v>10</v>
      </c>
    </row>
    <row r="8787" spans="1:9" x14ac:dyDescent="0.25">
      <c r="A8787" t="str">
        <f t="shared" si="208"/>
        <v>89301000</v>
      </c>
      <c r="B8787" t="str">
        <f>"6106140238"</f>
        <v>6106140238</v>
      </c>
      <c r="C8787" s="1">
        <v>44963</v>
      </c>
      <c r="D8787" s="1">
        <v>44964</v>
      </c>
      <c r="E8787">
        <v>1</v>
      </c>
      <c r="F8787" t="str">
        <f>"05-M06-08"</f>
        <v>05-M06-08</v>
      </c>
      <c r="G8787">
        <v>1.4228000000000001</v>
      </c>
      <c r="H8787" t="s">
        <v>12</v>
      </c>
      <c r="I8787" t="s">
        <v>10</v>
      </c>
    </row>
    <row r="8788" spans="1:9" x14ac:dyDescent="0.25">
      <c r="A8788" t="str">
        <f t="shared" si="208"/>
        <v>89301000</v>
      </c>
      <c r="B8788" t="str">
        <f>"6106150171"</f>
        <v>6106150171</v>
      </c>
      <c r="C8788" s="1">
        <v>45224</v>
      </c>
      <c r="D8788" s="1">
        <v>45228</v>
      </c>
      <c r="E8788">
        <v>1</v>
      </c>
      <c r="F8788" t="str">
        <f>"11-M03-02"</f>
        <v>11-M03-02</v>
      </c>
      <c r="G8788">
        <v>1.4410000000000001</v>
      </c>
      <c r="H8788" t="s">
        <v>12</v>
      </c>
      <c r="I8788" t="s">
        <v>10</v>
      </c>
    </row>
    <row r="8789" spans="1:9" x14ac:dyDescent="0.25">
      <c r="A8789" t="str">
        <f t="shared" si="208"/>
        <v>89301000</v>
      </c>
      <c r="B8789" t="str">
        <f>"6106160269"</f>
        <v>6106160269</v>
      </c>
      <c r="C8789" s="1">
        <v>44928</v>
      </c>
      <c r="D8789" s="1">
        <v>44929</v>
      </c>
      <c r="E8789">
        <v>7</v>
      </c>
      <c r="F8789" t="str">
        <f>"06-K13-01"</f>
        <v>06-K13-01</v>
      </c>
      <c r="G8789">
        <v>0.81520000000000004</v>
      </c>
      <c r="H8789" t="s">
        <v>11</v>
      </c>
      <c r="I8789" t="s">
        <v>10</v>
      </c>
    </row>
    <row r="8790" spans="1:9" x14ac:dyDescent="0.25">
      <c r="A8790" t="str">
        <f t="shared" si="208"/>
        <v>89301000</v>
      </c>
      <c r="B8790" t="str">
        <f>"6106210605"</f>
        <v>6106210605</v>
      </c>
      <c r="C8790" s="1">
        <v>45027</v>
      </c>
      <c r="D8790" s="1">
        <v>45036</v>
      </c>
      <c r="E8790">
        <v>1</v>
      </c>
      <c r="F8790" t="str">
        <f>"11-R01-06"</f>
        <v>11-R01-06</v>
      </c>
      <c r="G8790">
        <v>1.9208000000000001</v>
      </c>
      <c r="H8790" t="s">
        <v>11</v>
      </c>
      <c r="I8790" t="s">
        <v>10</v>
      </c>
    </row>
    <row r="8791" spans="1:9" x14ac:dyDescent="0.25">
      <c r="A8791" t="str">
        <f t="shared" si="208"/>
        <v>89301000</v>
      </c>
      <c r="B8791" t="str">
        <f>"6106210605"</f>
        <v>6106210605</v>
      </c>
      <c r="C8791" s="1">
        <v>45012</v>
      </c>
      <c r="D8791" s="1">
        <v>45022</v>
      </c>
      <c r="E8791">
        <v>1</v>
      </c>
      <c r="F8791" t="str">
        <f>"11-R01-06"</f>
        <v>11-R01-06</v>
      </c>
      <c r="G8791">
        <v>1.9208000000000001</v>
      </c>
      <c r="H8791" t="s">
        <v>11</v>
      </c>
      <c r="I8791" t="s">
        <v>10</v>
      </c>
    </row>
    <row r="8792" spans="1:9" x14ac:dyDescent="0.25">
      <c r="A8792" t="str">
        <f t="shared" si="208"/>
        <v>89301000</v>
      </c>
      <c r="B8792" t="str">
        <f>"6106210605"</f>
        <v>6106210605</v>
      </c>
      <c r="C8792" s="1">
        <v>44991</v>
      </c>
      <c r="D8792" s="1">
        <v>45009</v>
      </c>
      <c r="E8792">
        <v>1</v>
      </c>
      <c r="F8792" t="str">
        <f>"11-R01-03"</f>
        <v>11-R01-03</v>
      </c>
      <c r="G8792">
        <v>3.2568000000000001</v>
      </c>
      <c r="H8792" t="s">
        <v>11</v>
      </c>
      <c r="I8792" t="s">
        <v>10</v>
      </c>
    </row>
    <row r="8793" spans="1:9" x14ac:dyDescent="0.25">
      <c r="A8793" t="str">
        <f t="shared" si="208"/>
        <v>89301000</v>
      </c>
      <c r="B8793" t="str">
        <f>"6106260710"</f>
        <v>6106260710</v>
      </c>
      <c r="C8793" s="1">
        <v>45211</v>
      </c>
      <c r="D8793" s="1">
        <v>45213</v>
      </c>
      <c r="E8793">
        <v>1</v>
      </c>
      <c r="F8793" t="str">
        <f>"08-M03-05"</f>
        <v>08-M03-05</v>
      </c>
      <c r="G8793">
        <v>0.46910000000000002</v>
      </c>
      <c r="H8793" t="s">
        <v>11</v>
      </c>
      <c r="I8793" t="s">
        <v>10</v>
      </c>
    </row>
    <row r="8794" spans="1:9" x14ac:dyDescent="0.25">
      <c r="A8794" t="str">
        <f t="shared" si="208"/>
        <v>89301000</v>
      </c>
      <c r="B8794" t="str">
        <f>"6106271644"</f>
        <v>6106271644</v>
      </c>
      <c r="C8794" s="1">
        <v>45214</v>
      </c>
      <c r="D8794" s="1">
        <v>45220</v>
      </c>
      <c r="E8794">
        <v>1</v>
      </c>
      <c r="F8794" t="str">
        <f>"12-I02-01"</f>
        <v>12-I02-01</v>
      </c>
      <c r="G8794">
        <v>3.3855</v>
      </c>
      <c r="H8794" t="s">
        <v>9</v>
      </c>
      <c r="I8794" t="s">
        <v>10</v>
      </c>
    </row>
    <row r="8795" spans="1:9" x14ac:dyDescent="0.25">
      <c r="A8795" t="str">
        <f t="shared" si="208"/>
        <v>89301000</v>
      </c>
      <c r="B8795" t="str">
        <f>"6107011383"</f>
        <v>6107011383</v>
      </c>
      <c r="C8795" s="1">
        <v>44934</v>
      </c>
      <c r="D8795" s="1">
        <v>44937</v>
      </c>
      <c r="E8795">
        <v>1</v>
      </c>
      <c r="F8795" t="str">
        <f>"10-I13-02"</f>
        <v>10-I13-02</v>
      </c>
      <c r="G8795">
        <v>1.1124000000000001</v>
      </c>
      <c r="H8795" t="s">
        <v>9</v>
      </c>
      <c r="I8795" t="s">
        <v>10</v>
      </c>
    </row>
    <row r="8796" spans="1:9" x14ac:dyDescent="0.25">
      <c r="A8796" t="str">
        <f t="shared" si="208"/>
        <v>89301000</v>
      </c>
      <c r="B8796" t="str">
        <f>"6107011383"</f>
        <v>6107011383</v>
      </c>
      <c r="C8796" s="1">
        <v>44987</v>
      </c>
      <c r="D8796" s="1">
        <v>44987</v>
      </c>
      <c r="E8796">
        <v>1</v>
      </c>
      <c r="F8796" t="str">
        <f>"05-D01-08"</f>
        <v>05-D01-08</v>
      </c>
      <c r="G8796">
        <v>0.2303</v>
      </c>
      <c r="H8796" t="s">
        <v>11</v>
      </c>
      <c r="I8796" t="s">
        <v>10</v>
      </c>
    </row>
    <row r="8797" spans="1:9" x14ac:dyDescent="0.25">
      <c r="A8797" t="str">
        <f t="shared" si="208"/>
        <v>89301000</v>
      </c>
      <c r="B8797" t="str">
        <f>"6107011383"</f>
        <v>6107011383</v>
      </c>
      <c r="C8797" s="1">
        <v>45039</v>
      </c>
      <c r="D8797" s="1">
        <v>45042</v>
      </c>
      <c r="E8797">
        <v>1</v>
      </c>
      <c r="F8797" t="str">
        <f>"05-I14-04"</f>
        <v>05-I14-04</v>
      </c>
      <c r="G8797">
        <v>5.2220000000000004</v>
      </c>
      <c r="H8797" t="s">
        <v>12</v>
      </c>
      <c r="I8797" t="s">
        <v>10</v>
      </c>
    </row>
    <row r="8798" spans="1:9" x14ac:dyDescent="0.25">
      <c r="A8798" t="str">
        <f t="shared" si="208"/>
        <v>89301000</v>
      </c>
      <c r="B8798" t="str">
        <f>"6107070123"</f>
        <v>6107070123</v>
      </c>
      <c r="C8798" s="1">
        <v>45182</v>
      </c>
      <c r="D8798" s="1">
        <v>45182</v>
      </c>
      <c r="E8798">
        <v>1</v>
      </c>
      <c r="F8798" t="str">
        <f>"05-D01-08"</f>
        <v>05-D01-08</v>
      </c>
      <c r="G8798">
        <v>0.2303</v>
      </c>
      <c r="H8798" t="s">
        <v>11</v>
      </c>
      <c r="I8798" t="s">
        <v>10</v>
      </c>
    </row>
    <row r="8799" spans="1:9" x14ac:dyDescent="0.25">
      <c r="A8799" t="str">
        <f t="shared" si="208"/>
        <v>89301000</v>
      </c>
      <c r="B8799" t="str">
        <f>"6107121867"</f>
        <v>6107121867</v>
      </c>
      <c r="C8799" s="1">
        <v>45118</v>
      </c>
      <c r="D8799" s="1">
        <v>45127</v>
      </c>
      <c r="E8799">
        <v>1</v>
      </c>
      <c r="F8799" t="str">
        <f>"07-K04-03"</f>
        <v>07-K04-03</v>
      </c>
      <c r="G8799">
        <v>0.98650000000000004</v>
      </c>
      <c r="H8799" t="s">
        <v>11</v>
      </c>
      <c r="I8799" t="s">
        <v>10</v>
      </c>
    </row>
    <row r="8800" spans="1:9" x14ac:dyDescent="0.25">
      <c r="A8800" t="str">
        <f t="shared" si="208"/>
        <v>89301000</v>
      </c>
      <c r="B8800" t="str">
        <f>"6107121867"</f>
        <v>6107121867</v>
      </c>
      <c r="C8800" s="1">
        <v>44990</v>
      </c>
      <c r="D8800" s="1">
        <v>45002</v>
      </c>
      <c r="E8800">
        <v>1</v>
      </c>
      <c r="F8800" t="str">
        <f>"07-K04-03"</f>
        <v>07-K04-03</v>
      </c>
      <c r="G8800">
        <v>0.98919999999999997</v>
      </c>
      <c r="H8800" t="s">
        <v>11</v>
      </c>
      <c r="I8800" t="s">
        <v>10</v>
      </c>
    </row>
    <row r="8801" spans="1:9" x14ac:dyDescent="0.25">
      <c r="A8801" t="str">
        <f t="shared" si="208"/>
        <v>89301000</v>
      </c>
      <c r="B8801" t="str">
        <f>"6107121867"</f>
        <v>6107121867</v>
      </c>
      <c r="C8801" s="1">
        <v>45163</v>
      </c>
      <c r="D8801" s="1">
        <v>45166</v>
      </c>
      <c r="E8801">
        <v>1</v>
      </c>
      <c r="F8801" t="str">
        <f>"06-M01-05"</f>
        <v>06-M01-05</v>
      </c>
      <c r="G8801">
        <v>0.4481</v>
      </c>
      <c r="H8801" t="s">
        <v>11</v>
      </c>
      <c r="I8801" t="s">
        <v>10</v>
      </c>
    </row>
    <row r="8802" spans="1:9" x14ac:dyDescent="0.25">
      <c r="A8802" t="str">
        <f t="shared" si="208"/>
        <v>89301000</v>
      </c>
      <c r="B8802" t="str">
        <f>"6107170443"</f>
        <v>6107170443</v>
      </c>
      <c r="C8802" s="1">
        <v>45049</v>
      </c>
      <c r="D8802" s="1">
        <v>45055</v>
      </c>
      <c r="E8802">
        <v>4</v>
      </c>
      <c r="F8802" t="str">
        <f>"08-I05-04"</f>
        <v>08-I05-04</v>
      </c>
      <c r="G8802">
        <v>2.4445000000000001</v>
      </c>
      <c r="H8802" t="s">
        <v>12</v>
      </c>
      <c r="I8802" t="s">
        <v>10</v>
      </c>
    </row>
    <row r="8803" spans="1:9" x14ac:dyDescent="0.25">
      <c r="A8803" t="str">
        <f t="shared" si="208"/>
        <v>89301000</v>
      </c>
      <c r="B8803" t="str">
        <f>"6107180145"</f>
        <v>6107180145</v>
      </c>
      <c r="C8803" s="1">
        <v>44992</v>
      </c>
      <c r="D8803" s="1">
        <v>45000</v>
      </c>
      <c r="E8803">
        <v>1</v>
      </c>
      <c r="F8803" t="str">
        <f>"12-I04-00"</f>
        <v>12-I04-00</v>
      </c>
      <c r="G8803">
        <v>2.3919999999999999</v>
      </c>
      <c r="H8803" t="s">
        <v>12</v>
      </c>
      <c r="I8803" t="s">
        <v>10</v>
      </c>
    </row>
    <row r="8804" spans="1:9" x14ac:dyDescent="0.25">
      <c r="A8804" t="str">
        <f t="shared" si="208"/>
        <v>89301000</v>
      </c>
      <c r="B8804" t="str">
        <f>"6107180739"</f>
        <v>6107180739</v>
      </c>
      <c r="C8804" s="1">
        <v>45193</v>
      </c>
      <c r="D8804" s="1">
        <v>45203</v>
      </c>
      <c r="E8804">
        <v>1</v>
      </c>
      <c r="F8804" t="str">
        <f>"06-I05-04"</f>
        <v>06-I05-04</v>
      </c>
      <c r="G8804">
        <v>3.2768999999999999</v>
      </c>
      <c r="H8804" t="s">
        <v>12</v>
      </c>
      <c r="I8804" t="s">
        <v>10</v>
      </c>
    </row>
    <row r="8805" spans="1:9" x14ac:dyDescent="0.25">
      <c r="A8805" t="str">
        <f t="shared" si="208"/>
        <v>89301000</v>
      </c>
      <c r="B8805" t="str">
        <f>"6107200583"</f>
        <v>6107200583</v>
      </c>
      <c r="C8805" s="1">
        <v>44910</v>
      </c>
      <c r="D8805" s="1">
        <v>44929</v>
      </c>
      <c r="E8805">
        <v>1</v>
      </c>
      <c r="F8805" t="str">
        <f>"19-K05-01"</f>
        <v>19-K05-01</v>
      </c>
      <c r="G8805">
        <v>1.9512</v>
      </c>
      <c r="H8805" t="s">
        <v>15</v>
      </c>
      <c r="I8805" t="s">
        <v>10</v>
      </c>
    </row>
    <row r="8806" spans="1:9" x14ac:dyDescent="0.25">
      <c r="A8806" t="str">
        <f t="shared" si="208"/>
        <v>89301000</v>
      </c>
      <c r="B8806" t="str">
        <f>"6107230866"</f>
        <v>6107230866</v>
      </c>
      <c r="C8806" s="1">
        <v>44976</v>
      </c>
      <c r="D8806" s="1">
        <v>44984</v>
      </c>
      <c r="E8806">
        <v>4</v>
      </c>
      <c r="F8806" t="str">
        <f>"08-I05-04"</f>
        <v>08-I05-04</v>
      </c>
      <c r="G8806">
        <v>2.4445000000000001</v>
      </c>
      <c r="H8806" t="s">
        <v>12</v>
      </c>
      <c r="I8806" t="s">
        <v>10</v>
      </c>
    </row>
    <row r="8807" spans="1:9" x14ac:dyDescent="0.25">
      <c r="A8807" t="str">
        <f t="shared" si="208"/>
        <v>89301000</v>
      </c>
      <c r="B8807" t="str">
        <f>"6107281400"</f>
        <v>6107281400</v>
      </c>
      <c r="C8807" s="1">
        <v>44970</v>
      </c>
      <c r="D8807" s="1">
        <v>44972</v>
      </c>
      <c r="E8807">
        <v>1</v>
      </c>
      <c r="F8807" t="str">
        <f>"02-I06-03"</f>
        <v>02-I06-03</v>
      </c>
      <c r="G8807">
        <v>0.99260000000000004</v>
      </c>
      <c r="H8807" t="s">
        <v>12</v>
      </c>
      <c r="I8807" t="s">
        <v>10</v>
      </c>
    </row>
    <row r="8808" spans="1:9" x14ac:dyDescent="0.25">
      <c r="A8808" t="str">
        <f t="shared" si="208"/>
        <v>89301000</v>
      </c>
      <c r="B8808" t="str">
        <f>"6107301057"</f>
        <v>6107301057</v>
      </c>
      <c r="C8808" s="1">
        <v>45078</v>
      </c>
      <c r="D8808" s="1">
        <v>45084</v>
      </c>
      <c r="E8808">
        <v>1</v>
      </c>
      <c r="F8808" t="str">
        <f>"12-I03-01"</f>
        <v>12-I03-01</v>
      </c>
      <c r="G8808">
        <v>2.6934999999999998</v>
      </c>
      <c r="H8808" t="s">
        <v>9</v>
      </c>
      <c r="I8808" t="s">
        <v>10</v>
      </c>
    </row>
    <row r="8809" spans="1:9" x14ac:dyDescent="0.25">
      <c r="A8809" t="str">
        <f t="shared" si="208"/>
        <v>89301000</v>
      </c>
      <c r="B8809" t="str">
        <f>"6107301156"</f>
        <v>6107301156</v>
      </c>
      <c r="C8809" s="1">
        <v>45278</v>
      </c>
      <c r="D8809" s="1">
        <v>45283</v>
      </c>
      <c r="E8809">
        <v>1</v>
      </c>
      <c r="F8809" t="str">
        <f>"11-I07-01"</f>
        <v>11-I07-01</v>
      </c>
      <c r="G8809">
        <v>2.7482000000000002</v>
      </c>
      <c r="H8809" t="s">
        <v>9</v>
      </c>
      <c r="I8809" t="s">
        <v>10</v>
      </c>
    </row>
    <row r="8810" spans="1:9" x14ac:dyDescent="0.25">
      <c r="A8810" t="str">
        <f t="shared" si="208"/>
        <v>89301000</v>
      </c>
      <c r="B8810" t="str">
        <f>"6108061641"</f>
        <v>6108061641</v>
      </c>
      <c r="C8810" s="1">
        <v>45047</v>
      </c>
      <c r="D8810" s="1">
        <v>45056</v>
      </c>
      <c r="E8810">
        <v>1</v>
      </c>
      <c r="F8810" t="str">
        <f>"07-I04-02"</f>
        <v>07-I04-02</v>
      </c>
      <c r="G8810">
        <v>2.2502</v>
      </c>
      <c r="H8810" t="s">
        <v>14</v>
      </c>
      <c r="I8810" t="s">
        <v>10</v>
      </c>
    </row>
    <row r="8811" spans="1:9" x14ac:dyDescent="0.25">
      <c r="A8811" t="str">
        <f t="shared" si="208"/>
        <v>89301000</v>
      </c>
      <c r="B8811" t="str">
        <f>"6108111636"</f>
        <v>6108111636</v>
      </c>
      <c r="C8811" s="1">
        <v>45093</v>
      </c>
      <c r="D8811" s="1">
        <v>45097</v>
      </c>
      <c r="E8811">
        <v>1</v>
      </c>
      <c r="F8811" t="str">
        <f>"17-C05-05"</f>
        <v>17-C05-05</v>
      </c>
      <c r="G8811">
        <v>0.66069999999999995</v>
      </c>
      <c r="H8811" t="s">
        <v>11</v>
      </c>
      <c r="I8811" t="s">
        <v>10</v>
      </c>
    </row>
    <row r="8812" spans="1:9" x14ac:dyDescent="0.25">
      <c r="A8812" t="str">
        <f t="shared" si="208"/>
        <v>89301000</v>
      </c>
      <c r="B8812" t="str">
        <f>"6108111636"</f>
        <v>6108111636</v>
      </c>
      <c r="C8812" s="1">
        <v>45117</v>
      </c>
      <c r="D8812" s="1">
        <v>45122</v>
      </c>
      <c r="E8812">
        <v>1</v>
      </c>
      <c r="F8812" t="str">
        <f>"17-C05-05"</f>
        <v>17-C05-05</v>
      </c>
      <c r="G8812">
        <v>0.66069999999999995</v>
      </c>
      <c r="H8812" t="s">
        <v>11</v>
      </c>
      <c r="I8812" t="s">
        <v>10</v>
      </c>
    </row>
    <row r="8813" spans="1:9" x14ac:dyDescent="0.25">
      <c r="A8813" t="str">
        <f t="shared" si="208"/>
        <v>89301000</v>
      </c>
      <c r="B8813" t="str">
        <f>"6108111636"</f>
        <v>6108111636</v>
      </c>
      <c r="C8813" s="1">
        <v>44956</v>
      </c>
      <c r="D8813" s="1">
        <v>44958</v>
      </c>
      <c r="E8813">
        <v>1</v>
      </c>
      <c r="F8813" t="str">
        <f>"17-C05-05"</f>
        <v>17-C05-05</v>
      </c>
      <c r="G8813">
        <v>0.66069999999999995</v>
      </c>
      <c r="H8813" t="s">
        <v>11</v>
      </c>
      <c r="I8813" t="s">
        <v>10</v>
      </c>
    </row>
    <row r="8814" spans="1:9" x14ac:dyDescent="0.25">
      <c r="A8814" t="str">
        <f t="shared" si="208"/>
        <v>89301000</v>
      </c>
      <c r="B8814" t="str">
        <f>"6108111636"</f>
        <v>6108111636</v>
      </c>
      <c r="C8814" s="1">
        <v>44930</v>
      </c>
      <c r="D8814" s="1">
        <v>44939</v>
      </c>
      <c r="E8814">
        <v>1</v>
      </c>
      <c r="F8814" t="str">
        <f>"17-C05-05"</f>
        <v>17-C05-05</v>
      </c>
      <c r="G8814">
        <v>0.82609999999999995</v>
      </c>
      <c r="H8814" t="s">
        <v>11</v>
      </c>
      <c r="I8814" t="s">
        <v>10</v>
      </c>
    </row>
    <row r="8815" spans="1:9" x14ac:dyDescent="0.25">
      <c r="A8815" t="str">
        <f t="shared" si="208"/>
        <v>89301000</v>
      </c>
      <c r="B8815" t="str">
        <f>"6108160850"</f>
        <v>6108160850</v>
      </c>
      <c r="C8815" s="1">
        <v>44952</v>
      </c>
      <c r="D8815" s="1">
        <v>44955</v>
      </c>
      <c r="E8815">
        <v>1</v>
      </c>
      <c r="F8815" t="str">
        <f>"08-I23-02"</f>
        <v>08-I23-02</v>
      </c>
      <c r="G8815">
        <v>0.91059999999999997</v>
      </c>
      <c r="H8815" t="s">
        <v>12</v>
      </c>
      <c r="I8815" t="s">
        <v>10</v>
      </c>
    </row>
    <row r="8816" spans="1:9" x14ac:dyDescent="0.25">
      <c r="A8816" t="str">
        <f t="shared" si="208"/>
        <v>89301000</v>
      </c>
      <c r="B8816" t="str">
        <f>"6108230491"</f>
        <v>6108230491</v>
      </c>
      <c r="C8816" s="1">
        <v>44937</v>
      </c>
      <c r="D8816" s="1">
        <v>44938</v>
      </c>
      <c r="E8816">
        <v>1</v>
      </c>
      <c r="F8816" t="str">
        <f>"05-M06-08"</f>
        <v>05-M06-08</v>
      </c>
      <c r="G8816">
        <v>1.4228000000000001</v>
      </c>
      <c r="H8816" t="s">
        <v>12</v>
      </c>
      <c r="I8816" t="s">
        <v>10</v>
      </c>
    </row>
    <row r="8817" spans="1:9" x14ac:dyDescent="0.25">
      <c r="A8817" t="str">
        <f t="shared" ref="A8817:A8879" si="209">"89301000"</f>
        <v>89301000</v>
      </c>
      <c r="B8817" t="str">
        <f>"6108230667"</f>
        <v>6108230667</v>
      </c>
      <c r="C8817" s="1">
        <v>45069</v>
      </c>
      <c r="D8817" s="1">
        <v>45072</v>
      </c>
      <c r="E8817">
        <v>1</v>
      </c>
      <c r="F8817" t="str">
        <f>"04-K06-02"</f>
        <v>04-K06-02</v>
      </c>
      <c r="G8817">
        <v>0.99870000000000003</v>
      </c>
      <c r="H8817" t="s">
        <v>11</v>
      </c>
      <c r="I8817" t="s">
        <v>10</v>
      </c>
    </row>
    <row r="8818" spans="1:9" x14ac:dyDescent="0.25">
      <c r="A8818" t="str">
        <f t="shared" si="209"/>
        <v>89301000</v>
      </c>
      <c r="B8818" t="str">
        <f>"6108250764"</f>
        <v>6108250764</v>
      </c>
      <c r="C8818" s="1">
        <v>45083</v>
      </c>
      <c r="D8818" s="1">
        <v>45085</v>
      </c>
      <c r="E8818">
        <v>1</v>
      </c>
      <c r="F8818" t="str">
        <f>"04-K10-02"</f>
        <v>04-K10-02</v>
      </c>
      <c r="G8818">
        <v>0.40129999999999999</v>
      </c>
      <c r="H8818" t="s">
        <v>11</v>
      </c>
      <c r="I8818" t="s">
        <v>10</v>
      </c>
    </row>
    <row r="8819" spans="1:9" x14ac:dyDescent="0.25">
      <c r="A8819" t="str">
        <f t="shared" si="209"/>
        <v>89301000</v>
      </c>
      <c r="B8819" t="str">
        <f>"6108271664"</f>
        <v>6108271664</v>
      </c>
      <c r="C8819" s="1">
        <v>45145</v>
      </c>
      <c r="D8819" s="1">
        <v>45150</v>
      </c>
      <c r="E8819">
        <v>1</v>
      </c>
      <c r="F8819" t="str">
        <f>"12-M02-01"</f>
        <v>12-M02-01</v>
      </c>
      <c r="G8819">
        <v>1.2426999999999999</v>
      </c>
      <c r="H8819" t="s">
        <v>9</v>
      </c>
      <c r="I8819" t="s">
        <v>10</v>
      </c>
    </row>
    <row r="8820" spans="1:9" x14ac:dyDescent="0.25">
      <c r="A8820" t="str">
        <f t="shared" si="209"/>
        <v>89301000</v>
      </c>
      <c r="B8820" t="str">
        <f>"6108281058"</f>
        <v>6108281058</v>
      </c>
      <c r="C8820" s="1">
        <v>45272</v>
      </c>
      <c r="D8820" s="1">
        <v>45274</v>
      </c>
      <c r="E8820">
        <v>1</v>
      </c>
      <c r="F8820" t="str">
        <f>"08-I25-02"</f>
        <v>08-I25-02</v>
      </c>
      <c r="G8820">
        <v>0.55279999999999996</v>
      </c>
      <c r="H8820" t="s">
        <v>11</v>
      </c>
      <c r="I8820" t="s">
        <v>10</v>
      </c>
    </row>
    <row r="8821" spans="1:9" x14ac:dyDescent="0.25">
      <c r="A8821" t="str">
        <f t="shared" si="209"/>
        <v>89301000</v>
      </c>
      <c r="B8821" t="str">
        <f>"6108300946"</f>
        <v>6108300946</v>
      </c>
      <c r="C8821" s="1">
        <v>45231</v>
      </c>
      <c r="D8821" s="1">
        <v>45232</v>
      </c>
      <c r="E8821">
        <v>1</v>
      </c>
      <c r="F8821" t="str">
        <f>"07-K05-01"</f>
        <v>07-K05-01</v>
      </c>
      <c r="G8821">
        <v>0.78690000000000004</v>
      </c>
      <c r="H8821" t="s">
        <v>11</v>
      </c>
      <c r="I8821" t="s">
        <v>10</v>
      </c>
    </row>
    <row r="8822" spans="1:9" x14ac:dyDescent="0.25">
      <c r="A8822" t="str">
        <f t="shared" si="209"/>
        <v>89301000</v>
      </c>
      <c r="B8822" t="str">
        <f>"6108300946"</f>
        <v>6108300946</v>
      </c>
      <c r="C8822" s="1">
        <v>45258</v>
      </c>
      <c r="D8822" s="1">
        <v>45261</v>
      </c>
      <c r="E8822">
        <v>1</v>
      </c>
      <c r="F8822" t="str">
        <f>"07-C01-02"</f>
        <v>07-C01-02</v>
      </c>
      <c r="G8822">
        <v>0.3483</v>
      </c>
      <c r="H8822" t="s">
        <v>11</v>
      </c>
      <c r="I8822" t="s">
        <v>10</v>
      </c>
    </row>
    <row r="8823" spans="1:9" x14ac:dyDescent="0.25">
      <c r="A8823" t="str">
        <f t="shared" si="209"/>
        <v>89301000</v>
      </c>
      <c r="B8823" t="str">
        <f>"6108300946"</f>
        <v>6108300946</v>
      </c>
      <c r="C8823" s="1">
        <v>45223</v>
      </c>
      <c r="D8823" s="1">
        <v>45226</v>
      </c>
      <c r="E8823">
        <v>1</v>
      </c>
      <c r="F8823" t="str">
        <f>"07-K02-03"</f>
        <v>07-K02-03</v>
      </c>
      <c r="G8823">
        <v>0.78139999999999998</v>
      </c>
      <c r="H8823" t="s">
        <v>11</v>
      </c>
      <c r="I8823" t="s">
        <v>10</v>
      </c>
    </row>
    <row r="8824" spans="1:9" x14ac:dyDescent="0.25">
      <c r="A8824" t="str">
        <f t="shared" si="209"/>
        <v>89301000</v>
      </c>
      <c r="B8824" t="str">
        <f>"6109040333"</f>
        <v>6109040333</v>
      </c>
      <c r="C8824" s="1">
        <v>45064</v>
      </c>
      <c r="D8824" s="1">
        <v>45065</v>
      </c>
      <c r="E8824">
        <v>1</v>
      </c>
      <c r="F8824" t="str">
        <f>"06-M01-02"</f>
        <v>06-M01-02</v>
      </c>
      <c r="G8824">
        <v>1.2206999999999999</v>
      </c>
      <c r="H8824" t="s">
        <v>11</v>
      </c>
      <c r="I8824" t="s">
        <v>10</v>
      </c>
    </row>
    <row r="8825" spans="1:9" x14ac:dyDescent="0.25">
      <c r="A8825" t="str">
        <f t="shared" si="209"/>
        <v>89301000</v>
      </c>
      <c r="B8825" t="str">
        <f>"6109151059"</f>
        <v>6109151059</v>
      </c>
      <c r="C8825" s="1">
        <v>45176</v>
      </c>
      <c r="D8825" s="1">
        <v>45182</v>
      </c>
      <c r="E8825">
        <v>4</v>
      </c>
      <c r="F8825" t="str">
        <f>"07-K06-02"</f>
        <v>07-K06-02</v>
      </c>
      <c r="G8825">
        <v>0.47520000000000001</v>
      </c>
      <c r="H8825" t="s">
        <v>11</v>
      </c>
      <c r="I8825" t="s">
        <v>10</v>
      </c>
    </row>
    <row r="8826" spans="1:9" x14ac:dyDescent="0.25">
      <c r="A8826" t="str">
        <f t="shared" si="209"/>
        <v>89301000</v>
      </c>
      <c r="B8826" t="str">
        <f>"6109160904"</f>
        <v>6109160904</v>
      </c>
      <c r="C8826" s="1">
        <v>45057</v>
      </c>
      <c r="D8826" s="1">
        <v>45063</v>
      </c>
      <c r="E8826">
        <v>1</v>
      </c>
      <c r="F8826" t="str">
        <f>"11-I07-01"</f>
        <v>11-I07-01</v>
      </c>
      <c r="G8826">
        <v>2.7482000000000002</v>
      </c>
      <c r="H8826" t="s">
        <v>9</v>
      </c>
      <c r="I8826" t="s">
        <v>10</v>
      </c>
    </row>
    <row r="8827" spans="1:9" x14ac:dyDescent="0.25">
      <c r="A8827" t="str">
        <f t="shared" si="209"/>
        <v>89301000</v>
      </c>
      <c r="B8827" t="str">
        <f>"6109160904"</f>
        <v>6109160904</v>
      </c>
      <c r="C8827" s="1">
        <v>45006</v>
      </c>
      <c r="D8827" s="1">
        <v>45011</v>
      </c>
      <c r="E8827">
        <v>1</v>
      </c>
      <c r="F8827" t="str">
        <f>"11-I07-01"</f>
        <v>11-I07-01</v>
      </c>
      <c r="G8827">
        <v>2.7482000000000002</v>
      </c>
      <c r="H8827" t="s">
        <v>9</v>
      </c>
      <c r="I8827" t="s">
        <v>10</v>
      </c>
    </row>
    <row r="8828" spans="1:9" x14ac:dyDescent="0.25">
      <c r="A8828" t="str">
        <f t="shared" si="209"/>
        <v>89301000</v>
      </c>
      <c r="B8828" t="str">
        <f>"6109171827"</f>
        <v>6109171827</v>
      </c>
      <c r="C8828" s="1">
        <v>45242</v>
      </c>
      <c r="D8828" s="1">
        <v>45244</v>
      </c>
      <c r="E8828">
        <v>1</v>
      </c>
      <c r="F8828" t="str">
        <f>"05-M05-03"</f>
        <v>05-M05-03</v>
      </c>
      <c r="G8828">
        <v>2.0312999999999999</v>
      </c>
      <c r="H8828" t="s">
        <v>14</v>
      </c>
      <c r="I8828" t="s">
        <v>10</v>
      </c>
    </row>
    <row r="8829" spans="1:9" x14ac:dyDescent="0.25">
      <c r="A8829" t="str">
        <f t="shared" si="209"/>
        <v>89301000</v>
      </c>
      <c r="B8829" t="str">
        <f>"6109171827"</f>
        <v>6109171827</v>
      </c>
      <c r="C8829" s="1">
        <v>45148</v>
      </c>
      <c r="D8829" s="1">
        <v>45149</v>
      </c>
      <c r="E8829">
        <v>1</v>
      </c>
      <c r="F8829" t="str">
        <f>"05-M06-08"</f>
        <v>05-M06-08</v>
      </c>
      <c r="G8829">
        <v>1.4228000000000001</v>
      </c>
      <c r="H8829" t="s">
        <v>12</v>
      </c>
      <c r="I8829" t="s">
        <v>10</v>
      </c>
    </row>
    <row r="8830" spans="1:9" x14ac:dyDescent="0.25">
      <c r="A8830" t="str">
        <f t="shared" si="209"/>
        <v>89301000</v>
      </c>
      <c r="B8830" t="str">
        <f>"6109180913"</f>
        <v>6109180913</v>
      </c>
      <c r="C8830" s="1">
        <v>45155</v>
      </c>
      <c r="D8830" s="1">
        <v>45156</v>
      </c>
      <c r="E8830">
        <v>1</v>
      </c>
      <c r="F8830" t="str">
        <f>"08-I19-03"</f>
        <v>08-I19-03</v>
      </c>
      <c r="G8830">
        <v>0.59130000000000005</v>
      </c>
      <c r="H8830" t="s">
        <v>12</v>
      </c>
      <c r="I8830" t="s">
        <v>10</v>
      </c>
    </row>
    <row r="8831" spans="1:9" x14ac:dyDescent="0.25">
      <c r="A8831" t="str">
        <f t="shared" si="209"/>
        <v>89301000</v>
      </c>
      <c r="B8831" t="str">
        <f>"6109180913"</f>
        <v>6109180913</v>
      </c>
      <c r="C8831" s="1">
        <v>45194</v>
      </c>
      <c r="D8831" s="1">
        <v>45210</v>
      </c>
      <c r="E8831">
        <v>1</v>
      </c>
      <c r="F8831" t="str">
        <f>"24-M07-02"</f>
        <v>24-M07-02</v>
      </c>
      <c r="G8831">
        <v>1.5729</v>
      </c>
      <c r="H8831" t="s">
        <v>11</v>
      </c>
      <c r="I8831" t="s">
        <v>10</v>
      </c>
    </row>
    <row r="8832" spans="1:9" x14ac:dyDescent="0.25">
      <c r="A8832" t="str">
        <f t="shared" si="209"/>
        <v>89301000</v>
      </c>
      <c r="B8832" t="str">
        <f>"6109201956"</f>
        <v>6109201956</v>
      </c>
      <c r="C8832" s="1">
        <v>45091</v>
      </c>
      <c r="D8832" s="1">
        <v>45092</v>
      </c>
      <c r="E8832">
        <v>1</v>
      </c>
      <c r="F8832" t="str">
        <f>"05-M05-03"</f>
        <v>05-M05-03</v>
      </c>
      <c r="G8832">
        <v>2.0312999999999999</v>
      </c>
      <c r="H8832" t="s">
        <v>14</v>
      </c>
      <c r="I8832" t="s">
        <v>10</v>
      </c>
    </row>
    <row r="8833" spans="1:9" x14ac:dyDescent="0.25">
      <c r="A8833" t="str">
        <f t="shared" si="209"/>
        <v>89301000</v>
      </c>
      <c r="B8833" t="str">
        <f>"6109230413"</f>
        <v>6109230413</v>
      </c>
      <c r="C8833" s="1">
        <v>44992</v>
      </c>
      <c r="D8833" s="1">
        <v>44994</v>
      </c>
      <c r="E8833">
        <v>1</v>
      </c>
      <c r="F8833" t="str">
        <f>"06-I16-04"</f>
        <v>06-I16-04</v>
      </c>
      <c r="G8833">
        <v>0.68920000000000003</v>
      </c>
      <c r="H8833" t="s">
        <v>9</v>
      </c>
      <c r="I8833" t="s">
        <v>10</v>
      </c>
    </row>
    <row r="8834" spans="1:9" x14ac:dyDescent="0.25">
      <c r="A8834" t="str">
        <f t="shared" si="209"/>
        <v>89301000</v>
      </c>
      <c r="B8834" t="str">
        <f>"6109232019"</f>
        <v>6109232019</v>
      </c>
      <c r="C8834" s="1">
        <v>45059</v>
      </c>
      <c r="D8834" s="1">
        <v>45070</v>
      </c>
      <c r="E8834">
        <v>2</v>
      </c>
      <c r="F8834" t="str">
        <f>"01-K11-03"</f>
        <v>01-K11-03</v>
      </c>
      <c r="G8834">
        <v>1.6337999999999999</v>
      </c>
      <c r="H8834" t="s">
        <v>11</v>
      </c>
      <c r="I8834" t="s">
        <v>10</v>
      </c>
    </row>
    <row r="8835" spans="1:9" x14ac:dyDescent="0.25">
      <c r="A8835" t="str">
        <f t="shared" si="209"/>
        <v>89301000</v>
      </c>
      <c r="B8835" t="str">
        <f>"6109250290"</f>
        <v>6109250290</v>
      </c>
      <c r="C8835" s="1">
        <v>45174</v>
      </c>
      <c r="D8835" s="1">
        <v>45176</v>
      </c>
      <c r="E8835">
        <v>1</v>
      </c>
      <c r="F8835" t="str">
        <f>"05-M06-06"</f>
        <v>05-M06-06</v>
      </c>
      <c r="G8835">
        <v>1.8264</v>
      </c>
      <c r="H8835" t="s">
        <v>12</v>
      </c>
      <c r="I8835" t="s">
        <v>10</v>
      </c>
    </row>
    <row r="8836" spans="1:9" x14ac:dyDescent="0.25">
      <c r="A8836" t="str">
        <f t="shared" si="209"/>
        <v>89301000</v>
      </c>
      <c r="B8836" t="str">
        <f>"6109291375"</f>
        <v>6109291375</v>
      </c>
      <c r="C8836" s="1">
        <v>45019</v>
      </c>
      <c r="D8836" s="1">
        <v>45019</v>
      </c>
      <c r="E8836">
        <v>1</v>
      </c>
      <c r="F8836" t="str">
        <f>"05-M06-03"</f>
        <v>05-M06-03</v>
      </c>
      <c r="G8836">
        <v>2.2402000000000002</v>
      </c>
      <c r="H8836" t="s">
        <v>12</v>
      </c>
      <c r="I8836" t="s">
        <v>10</v>
      </c>
    </row>
    <row r="8837" spans="1:9" x14ac:dyDescent="0.25">
      <c r="A8837" t="str">
        <f t="shared" si="209"/>
        <v>89301000</v>
      </c>
      <c r="B8837" t="str">
        <f t="shared" ref="B8837:B8842" si="210">"6109301385"</f>
        <v>6109301385</v>
      </c>
      <c r="C8837" s="1">
        <v>45165</v>
      </c>
      <c r="D8837" s="1">
        <v>45168</v>
      </c>
      <c r="E8837">
        <v>1</v>
      </c>
      <c r="F8837" t="str">
        <f>"03-I22-01"</f>
        <v>03-I22-01</v>
      </c>
      <c r="G8837">
        <v>0.62490000000000001</v>
      </c>
      <c r="H8837" t="s">
        <v>11</v>
      </c>
      <c r="I8837" t="s">
        <v>10</v>
      </c>
    </row>
    <row r="8838" spans="1:9" x14ac:dyDescent="0.25">
      <c r="A8838" t="str">
        <f t="shared" si="209"/>
        <v>89301000</v>
      </c>
      <c r="B8838" t="str">
        <f t="shared" si="210"/>
        <v>6109301385</v>
      </c>
      <c r="C8838" s="1">
        <v>45198</v>
      </c>
      <c r="D8838" s="1">
        <v>45199</v>
      </c>
      <c r="E8838">
        <v>1</v>
      </c>
      <c r="F8838" t="str">
        <f>"03-I22-01"</f>
        <v>03-I22-01</v>
      </c>
      <c r="G8838">
        <v>0.62490000000000001</v>
      </c>
      <c r="H8838" t="s">
        <v>11</v>
      </c>
      <c r="I8838" t="s">
        <v>10</v>
      </c>
    </row>
    <row r="8839" spans="1:9" x14ac:dyDescent="0.25">
      <c r="A8839" t="str">
        <f t="shared" si="209"/>
        <v>89301000</v>
      </c>
      <c r="B8839" t="str">
        <f t="shared" si="210"/>
        <v>6109301385</v>
      </c>
      <c r="C8839" s="1">
        <v>45260</v>
      </c>
      <c r="D8839" s="1">
        <v>45261</v>
      </c>
      <c r="E8839">
        <v>1</v>
      </c>
      <c r="F8839" t="str">
        <f>"03-K09-01"</f>
        <v>03-K09-01</v>
      </c>
      <c r="G8839">
        <v>0.58250000000000002</v>
      </c>
      <c r="H8839" t="s">
        <v>11</v>
      </c>
      <c r="I8839" t="s">
        <v>10</v>
      </c>
    </row>
    <row r="8840" spans="1:9" x14ac:dyDescent="0.25">
      <c r="A8840" t="str">
        <f t="shared" si="209"/>
        <v>89301000</v>
      </c>
      <c r="B8840" t="str">
        <f t="shared" si="210"/>
        <v>6109301385</v>
      </c>
      <c r="C8840" s="1">
        <v>45012</v>
      </c>
      <c r="D8840" s="1">
        <v>45014</v>
      </c>
      <c r="E8840">
        <v>1</v>
      </c>
      <c r="F8840" t="str">
        <f>"03-I22-01"</f>
        <v>03-I22-01</v>
      </c>
      <c r="G8840">
        <v>0.62490000000000001</v>
      </c>
      <c r="H8840" t="s">
        <v>11</v>
      </c>
      <c r="I8840" t="s">
        <v>10</v>
      </c>
    </row>
    <row r="8841" spans="1:9" x14ac:dyDescent="0.25">
      <c r="A8841" t="str">
        <f t="shared" si="209"/>
        <v>89301000</v>
      </c>
      <c r="B8841" t="str">
        <f t="shared" si="210"/>
        <v>6109301385</v>
      </c>
      <c r="C8841" s="1">
        <v>45224</v>
      </c>
      <c r="D8841" s="1">
        <v>45226</v>
      </c>
      <c r="E8841">
        <v>1</v>
      </c>
      <c r="F8841" t="str">
        <f>"03-I22-01"</f>
        <v>03-I22-01</v>
      </c>
      <c r="G8841">
        <v>0.62490000000000001</v>
      </c>
      <c r="H8841" t="s">
        <v>11</v>
      </c>
      <c r="I8841" t="s">
        <v>10</v>
      </c>
    </row>
    <row r="8842" spans="1:9" x14ac:dyDescent="0.25">
      <c r="A8842" t="str">
        <f t="shared" si="209"/>
        <v>89301000</v>
      </c>
      <c r="B8842" t="str">
        <f t="shared" si="210"/>
        <v>6109301385</v>
      </c>
      <c r="C8842" s="1">
        <v>45055</v>
      </c>
      <c r="D8842" s="1">
        <v>45096</v>
      </c>
      <c r="E8842">
        <v>1</v>
      </c>
      <c r="F8842" t="str">
        <f>"03-I03-01"</f>
        <v>03-I03-01</v>
      </c>
      <c r="G8842">
        <v>8.9785000000000004</v>
      </c>
      <c r="H8842" t="s">
        <v>14</v>
      </c>
      <c r="I8842" t="s">
        <v>10</v>
      </c>
    </row>
    <row r="8843" spans="1:9" x14ac:dyDescent="0.25">
      <c r="A8843" t="str">
        <f t="shared" si="209"/>
        <v>89301000</v>
      </c>
      <c r="B8843" t="str">
        <f>"6110030003"</f>
        <v>6110030003</v>
      </c>
      <c r="C8843" s="1">
        <v>45207</v>
      </c>
      <c r="D8843" s="1">
        <v>45212</v>
      </c>
      <c r="E8843">
        <v>1</v>
      </c>
      <c r="F8843" t="str">
        <f>"11-I08-03"</f>
        <v>11-I08-03</v>
      </c>
      <c r="G8843">
        <v>2.0529999999999999</v>
      </c>
      <c r="H8843" t="s">
        <v>9</v>
      </c>
      <c r="I8843" t="s">
        <v>10</v>
      </c>
    </row>
    <row r="8844" spans="1:9" x14ac:dyDescent="0.25">
      <c r="A8844" t="str">
        <f t="shared" si="209"/>
        <v>89301000</v>
      </c>
      <c r="B8844" t="str">
        <f>"6110121952"</f>
        <v>6110121952</v>
      </c>
      <c r="C8844" s="1">
        <v>44959</v>
      </c>
      <c r="D8844" s="1">
        <v>44962</v>
      </c>
      <c r="E8844">
        <v>1</v>
      </c>
      <c r="F8844" t="str">
        <f>"06-I16-04"</f>
        <v>06-I16-04</v>
      </c>
      <c r="G8844">
        <v>0.68920000000000003</v>
      </c>
      <c r="H8844" t="s">
        <v>9</v>
      </c>
      <c r="I8844" t="s">
        <v>10</v>
      </c>
    </row>
    <row r="8845" spans="1:9" x14ac:dyDescent="0.25">
      <c r="A8845" t="str">
        <f t="shared" si="209"/>
        <v>89301000</v>
      </c>
      <c r="B8845" t="str">
        <f>"6110131456"</f>
        <v>6110131456</v>
      </c>
      <c r="C8845" s="1">
        <v>45089</v>
      </c>
      <c r="D8845" s="1">
        <v>45091</v>
      </c>
      <c r="E8845">
        <v>1</v>
      </c>
      <c r="F8845" t="str">
        <f>"05-M05-02"</f>
        <v>05-M05-02</v>
      </c>
      <c r="G8845">
        <v>3.4817999999999998</v>
      </c>
      <c r="H8845" t="s">
        <v>14</v>
      </c>
      <c r="I8845" t="s">
        <v>10</v>
      </c>
    </row>
    <row r="8846" spans="1:9" x14ac:dyDescent="0.25">
      <c r="A8846" t="str">
        <f t="shared" si="209"/>
        <v>89301000</v>
      </c>
      <c r="B8846" t="str">
        <f>"6110131456"</f>
        <v>6110131456</v>
      </c>
      <c r="C8846" s="1">
        <v>45138</v>
      </c>
      <c r="D8846" s="1">
        <v>45142</v>
      </c>
      <c r="E8846">
        <v>1</v>
      </c>
      <c r="F8846" t="str">
        <f>"10-K04-04"</f>
        <v>10-K04-04</v>
      </c>
      <c r="G8846">
        <v>0.53949999999999998</v>
      </c>
      <c r="H8846" t="s">
        <v>11</v>
      </c>
      <c r="I8846" t="s">
        <v>10</v>
      </c>
    </row>
    <row r="8847" spans="1:9" x14ac:dyDescent="0.25">
      <c r="A8847" t="str">
        <f t="shared" si="209"/>
        <v>89301000</v>
      </c>
      <c r="B8847" t="str">
        <f>"6110150090"</f>
        <v>6110150090</v>
      </c>
      <c r="C8847" s="1">
        <v>45064</v>
      </c>
      <c r="D8847" s="1">
        <v>45069</v>
      </c>
      <c r="E8847">
        <v>5</v>
      </c>
      <c r="F8847" t="str">
        <f>"06-K04-02"</f>
        <v>06-K04-02</v>
      </c>
      <c r="G8847">
        <v>0.94599999999999995</v>
      </c>
      <c r="H8847" t="s">
        <v>11</v>
      </c>
      <c r="I8847" t="s">
        <v>10</v>
      </c>
    </row>
    <row r="8848" spans="1:9" x14ac:dyDescent="0.25">
      <c r="A8848" t="str">
        <f t="shared" si="209"/>
        <v>89301000</v>
      </c>
      <c r="B8848" t="str">
        <f>"6110171012"</f>
        <v>6110171012</v>
      </c>
      <c r="C8848" s="1">
        <v>45237</v>
      </c>
      <c r="D8848" s="1">
        <v>45237</v>
      </c>
      <c r="E8848">
        <v>1</v>
      </c>
      <c r="F8848" t="str">
        <f>"05-D01-08"</f>
        <v>05-D01-08</v>
      </c>
      <c r="G8848">
        <v>0.2303</v>
      </c>
      <c r="H8848" t="s">
        <v>11</v>
      </c>
      <c r="I8848" t="s">
        <v>10</v>
      </c>
    </row>
    <row r="8849" spans="1:9" x14ac:dyDescent="0.25">
      <c r="A8849" t="str">
        <f t="shared" si="209"/>
        <v>89301000</v>
      </c>
      <c r="B8849" t="str">
        <f>"6110207455"</f>
        <v>6110207455</v>
      </c>
      <c r="C8849" s="1">
        <v>44965</v>
      </c>
      <c r="D8849" s="1">
        <v>44968</v>
      </c>
      <c r="E8849">
        <v>1</v>
      </c>
      <c r="F8849" t="str">
        <f>"08-I24-01"</f>
        <v>08-I24-01</v>
      </c>
      <c r="G8849">
        <v>1.1051</v>
      </c>
      <c r="H8849" t="s">
        <v>11</v>
      </c>
      <c r="I8849" t="s">
        <v>10</v>
      </c>
    </row>
    <row r="8850" spans="1:9" x14ac:dyDescent="0.25">
      <c r="A8850" t="str">
        <f t="shared" si="209"/>
        <v>89301000</v>
      </c>
      <c r="B8850" t="str">
        <f>"6110240510"</f>
        <v>6110240510</v>
      </c>
      <c r="C8850" s="1">
        <v>45130</v>
      </c>
      <c r="D8850" s="1">
        <v>45134</v>
      </c>
      <c r="E8850">
        <v>1</v>
      </c>
      <c r="F8850" t="str">
        <f>"10-I13-02"</f>
        <v>10-I13-02</v>
      </c>
      <c r="G8850">
        <v>1.1124000000000001</v>
      </c>
      <c r="H8850" t="s">
        <v>9</v>
      </c>
      <c r="I8850" t="s">
        <v>10</v>
      </c>
    </row>
    <row r="8851" spans="1:9" x14ac:dyDescent="0.25">
      <c r="A8851" t="str">
        <f t="shared" si="209"/>
        <v>89301000</v>
      </c>
      <c r="B8851" t="str">
        <f>"6110270804"</f>
        <v>6110270804</v>
      </c>
      <c r="C8851" s="1">
        <v>45260</v>
      </c>
      <c r="D8851" s="1">
        <v>45262</v>
      </c>
      <c r="E8851">
        <v>1</v>
      </c>
      <c r="F8851" t="str">
        <f>"06-M01-02"</f>
        <v>06-M01-02</v>
      </c>
      <c r="G8851">
        <v>1.2206999999999999</v>
      </c>
      <c r="H8851" t="s">
        <v>11</v>
      </c>
      <c r="I8851" t="s">
        <v>10</v>
      </c>
    </row>
    <row r="8852" spans="1:9" x14ac:dyDescent="0.25">
      <c r="A8852" t="str">
        <f t="shared" si="209"/>
        <v>89301000</v>
      </c>
      <c r="B8852" t="str">
        <f>"6111090007"</f>
        <v>6111090007</v>
      </c>
      <c r="C8852" s="1">
        <v>45240</v>
      </c>
      <c r="D8852" s="1">
        <v>45243</v>
      </c>
      <c r="E8852">
        <v>5</v>
      </c>
      <c r="F8852" t="str">
        <f>"05-D01-06"</f>
        <v>05-D01-06</v>
      </c>
      <c r="G8852">
        <v>0.7571</v>
      </c>
      <c r="H8852" t="s">
        <v>11</v>
      </c>
      <c r="I8852" t="s">
        <v>10</v>
      </c>
    </row>
    <row r="8853" spans="1:9" x14ac:dyDescent="0.25">
      <c r="A8853" t="str">
        <f t="shared" si="209"/>
        <v>89301000</v>
      </c>
      <c r="B8853" t="str">
        <f>"6111090007"</f>
        <v>6111090007</v>
      </c>
      <c r="C8853" s="1">
        <v>45250</v>
      </c>
      <c r="D8853" s="1">
        <v>45258</v>
      </c>
      <c r="E8853">
        <v>1</v>
      </c>
      <c r="F8853" t="str">
        <f>"05-I16-06"</f>
        <v>05-I16-06</v>
      </c>
      <c r="G8853">
        <v>5.6303000000000001</v>
      </c>
      <c r="H8853" t="s">
        <v>14</v>
      </c>
      <c r="I8853" t="s">
        <v>10</v>
      </c>
    </row>
    <row r="8854" spans="1:9" x14ac:dyDescent="0.25">
      <c r="A8854" t="str">
        <f t="shared" si="209"/>
        <v>89301000</v>
      </c>
      <c r="B8854" t="str">
        <f>"6111110995"</f>
        <v>6111110995</v>
      </c>
      <c r="C8854" s="1">
        <v>45228</v>
      </c>
      <c r="D8854" s="1">
        <v>45237</v>
      </c>
      <c r="E8854">
        <v>1</v>
      </c>
      <c r="F8854" t="str">
        <f>"05-I18-04"</f>
        <v>05-I18-04</v>
      </c>
      <c r="G8854">
        <v>3.3858000000000001</v>
      </c>
      <c r="H8854" t="s">
        <v>12</v>
      </c>
      <c r="I8854" t="s">
        <v>10</v>
      </c>
    </row>
    <row r="8855" spans="1:9" x14ac:dyDescent="0.25">
      <c r="A8855" t="str">
        <f t="shared" si="209"/>
        <v>89301000</v>
      </c>
      <c r="B8855" t="str">
        <f>"6111190833"</f>
        <v>6111190833</v>
      </c>
      <c r="C8855" s="1">
        <v>44935</v>
      </c>
      <c r="D8855" s="1">
        <v>44937</v>
      </c>
      <c r="E8855">
        <v>1</v>
      </c>
      <c r="F8855" t="str">
        <f>"03-I22-01"</f>
        <v>03-I22-01</v>
      </c>
      <c r="G8855">
        <v>0.62490000000000001</v>
      </c>
      <c r="H8855" t="s">
        <v>11</v>
      </c>
      <c r="I8855" t="s">
        <v>10</v>
      </c>
    </row>
    <row r="8856" spans="1:9" x14ac:dyDescent="0.25">
      <c r="A8856" t="str">
        <f t="shared" si="209"/>
        <v>89301000</v>
      </c>
      <c r="B8856" t="str">
        <f>"6112030782"</f>
        <v>6112030782</v>
      </c>
      <c r="C8856" s="1">
        <v>44930</v>
      </c>
      <c r="D8856" s="1">
        <v>44965</v>
      </c>
      <c r="E8856">
        <v>7</v>
      </c>
      <c r="F8856" t="str">
        <f>"00-M01-02"</f>
        <v>00-M01-02</v>
      </c>
      <c r="G8856">
        <v>13.5434</v>
      </c>
      <c r="H8856" t="s">
        <v>11</v>
      </c>
      <c r="I8856" t="s">
        <v>10</v>
      </c>
    </row>
    <row r="8857" spans="1:9" x14ac:dyDescent="0.25">
      <c r="A8857" t="str">
        <f t="shared" si="209"/>
        <v>89301000</v>
      </c>
      <c r="B8857" t="str">
        <f>"6112050219"</f>
        <v>6112050219</v>
      </c>
      <c r="C8857" s="1">
        <v>45026</v>
      </c>
      <c r="D8857" s="1">
        <v>45032</v>
      </c>
      <c r="E8857">
        <v>1</v>
      </c>
      <c r="F8857" t="str">
        <f>"12-I03-01"</f>
        <v>12-I03-01</v>
      </c>
      <c r="G8857">
        <v>2.6934999999999998</v>
      </c>
      <c r="H8857" t="s">
        <v>9</v>
      </c>
      <c r="I8857" t="s">
        <v>10</v>
      </c>
    </row>
    <row r="8858" spans="1:9" x14ac:dyDescent="0.25">
      <c r="A8858" t="str">
        <f t="shared" si="209"/>
        <v>89301000</v>
      </c>
      <c r="B8858" t="str">
        <f>"6112050230"</f>
        <v>6112050230</v>
      </c>
      <c r="C8858" s="1">
        <v>44999</v>
      </c>
      <c r="D8858" s="1">
        <v>45007</v>
      </c>
      <c r="E8858">
        <v>1</v>
      </c>
      <c r="F8858" t="str">
        <f>"07-K01-02"</f>
        <v>07-K01-02</v>
      </c>
      <c r="G8858">
        <v>1.0002</v>
      </c>
      <c r="H8858" t="s">
        <v>11</v>
      </c>
      <c r="I8858" t="s">
        <v>10</v>
      </c>
    </row>
    <row r="8859" spans="1:9" x14ac:dyDescent="0.25">
      <c r="A8859" t="str">
        <f t="shared" si="209"/>
        <v>89301000</v>
      </c>
      <c r="B8859" t="str">
        <f>"6112100027"</f>
        <v>6112100027</v>
      </c>
      <c r="C8859" s="1">
        <v>45127</v>
      </c>
      <c r="D8859" s="1">
        <v>45132</v>
      </c>
      <c r="E8859">
        <v>3</v>
      </c>
      <c r="F8859" t="str">
        <f>"08-I06-04"</f>
        <v>08-I06-04</v>
      </c>
      <c r="G8859">
        <v>2.4180000000000001</v>
      </c>
      <c r="H8859" t="s">
        <v>9</v>
      </c>
      <c r="I8859" t="s">
        <v>10</v>
      </c>
    </row>
    <row r="8860" spans="1:9" x14ac:dyDescent="0.25">
      <c r="A8860" t="str">
        <f t="shared" si="209"/>
        <v>89301000</v>
      </c>
      <c r="B8860" t="str">
        <f>"6112100027"</f>
        <v>6112100027</v>
      </c>
      <c r="C8860" s="1">
        <v>45132</v>
      </c>
      <c r="D8860" s="1">
        <v>45142</v>
      </c>
      <c r="E8860">
        <v>1</v>
      </c>
      <c r="F8860" t="str">
        <f>"24-M06-02"</f>
        <v>24-M06-02</v>
      </c>
      <c r="G8860">
        <v>1.0699000000000001</v>
      </c>
      <c r="H8860" t="s">
        <v>11</v>
      </c>
      <c r="I8860" t="s">
        <v>10</v>
      </c>
    </row>
    <row r="8861" spans="1:9" x14ac:dyDescent="0.25">
      <c r="A8861" t="str">
        <f t="shared" si="209"/>
        <v>89301000</v>
      </c>
      <c r="B8861" t="str">
        <f>"6112160032"</f>
        <v>6112160032</v>
      </c>
      <c r="C8861" s="1">
        <v>44977</v>
      </c>
      <c r="D8861" s="1">
        <v>44999</v>
      </c>
      <c r="E8861">
        <v>4</v>
      </c>
      <c r="F8861" t="str">
        <f>"24-M08-02"</f>
        <v>24-M08-02</v>
      </c>
      <c r="G8861">
        <v>2.0236999999999998</v>
      </c>
      <c r="H8861" t="s">
        <v>11</v>
      </c>
      <c r="I8861" t="s">
        <v>10</v>
      </c>
    </row>
    <row r="8862" spans="1:9" x14ac:dyDescent="0.25">
      <c r="A8862" t="str">
        <f t="shared" si="209"/>
        <v>89301000</v>
      </c>
      <c r="B8862" t="str">
        <f>"6112221324"</f>
        <v>6112221324</v>
      </c>
      <c r="C8862" s="1">
        <v>44991</v>
      </c>
      <c r="D8862" s="1">
        <v>44993</v>
      </c>
      <c r="E8862">
        <v>1</v>
      </c>
      <c r="F8862" t="str">
        <f>"11-M05-01"</f>
        <v>11-M05-01</v>
      </c>
      <c r="G8862">
        <v>0.83750000000000002</v>
      </c>
      <c r="H8862" t="s">
        <v>12</v>
      </c>
      <c r="I8862" t="s">
        <v>10</v>
      </c>
    </row>
    <row r="8863" spans="1:9" x14ac:dyDescent="0.25">
      <c r="A8863" t="str">
        <f t="shared" si="209"/>
        <v>89301000</v>
      </c>
      <c r="B8863" t="str">
        <f>"6112301657"</f>
        <v>6112301657</v>
      </c>
      <c r="C8863" s="1">
        <v>45041</v>
      </c>
      <c r="D8863" s="1">
        <v>45048</v>
      </c>
      <c r="E8863">
        <v>1</v>
      </c>
      <c r="F8863" t="str">
        <f>"01-K08-02"</f>
        <v>01-K08-02</v>
      </c>
      <c r="G8863">
        <v>0.60619999999999996</v>
      </c>
      <c r="H8863" t="s">
        <v>11</v>
      </c>
      <c r="I8863" t="s">
        <v>10</v>
      </c>
    </row>
    <row r="8864" spans="1:9" x14ac:dyDescent="0.25">
      <c r="A8864" t="str">
        <f t="shared" si="209"/>
        <v>89301000</v>
      </c>
      <c r="B8864" t="str">
        <f>"6112310842"</f>
        <v>6112310842</v>
      </c>
      <c r="C8864" s="1">
        <v>45216</v>
      </c>
      <c r="D8864" s="1">
        <v>45223</v>
      </c>
      <c r="E8864">
        <v>1</v>
      </c>
      <c r="F8864" t="str">
        <f>"07-K04-04"</f>
        <v>07-K04-04</v>
      </c>
      <c r="G8864">
        <v>0.61050000000000004</v>
      </c>
      <c r="H8864" t="s">
        <v>11</v>
      </c>
      <c r="I8864" t="s">
        <v>10</v>
      </c>
    </row>
    <row r="8865" spans="1:9" x14ac:dyDescent="0.25">
      <c r="A8865" t="str">
        <f t="shared" si="209"/>
        <v>89301000</v>
      </c>
      <c r="B8865" t="str">
        <f>"6151051214"</f>
        <v>6151051214</v>
      </c>
      <c r="C8865" s="1">
        <v>45138</v>
      </c>
      <c r="D8865" s="1">
        <v>45140</v>
      </c>
      <c r="E8865">
        <v>1</v>
      </c>
      <c r="F8865" t="str">
        <f>"09-I06-04"</f>
        <v>09-I06-04</v>
      </c>
      <c r="G8865">
        <v>0.95069999999999999</v>
      </c>
      <c r="H8865" t="s">
        <v>12</v>
      </c>
      <c r="I8865" t="s">
        <v>10</v>
      </c>
    </row>
    <row r="8866" spans="1:9" x14ac:dyDescent="0.25">
      <c r="A8866" t="str">
        <f t="shared" si="209"/>
        <v>89301000</v>
      </c>
      <c r="B8866" t="str">
        <f>"6151070860"</f>
        <v>6151070860</v>
      </c>
      <c r="C8866" s="1">
        <v>45278</v>
      </c>
      <c r="D8866" s="1">
        <v>45282</v>
      </c>
      <c r="E8866">
        <v>1</v>
      </c>
      <c r="F8866" t="str">
        <f>"17-K03-02"</f>
        <v>17-K03-02</v>
      </c>
      <c r="G8866">
        <v>1.0993999999999999</v>
      </c>
      <c r="H8866" t="s">
        <v>11</v>
      </c>
      <c r="I8866" t="s">
        <v>10</v>
      </c>
    </row>
    <row r="8867" spans="1:9" x14ac:dyDescent="0.25">
      <c r="A8867" t="str">
        <f t="shared" si="209"/>
        <v>89301000</v>
      </c>
      <c r="B8867" t="str">
        <f>"6151181091"</f>
        <v>6151181091</v>
      </c>
      <c r="C8867" s="1">
        <v>45014</v>
      </c>
      <c r="D8867" s="1">
        <v>45022</v>
      </c>
      <c r="E8867">
        <v>1</v>
      </c>
      <c r="F8867" t="str">
        <f>"08-K01-02"</f>
        <v>08-K01-02</v>
      </c>
      <c r="G8867">
        <v>0.91659999999999997</v>
      </c>
      <c r="H8867" t="s">
        <v>11</v>
      </c>
      <c r="I8867" t="s">
        <v>10</v>
      </c>
    </row>
    <row r="8868" spans="1:9" x14ac:dyDescent="0.25">
      <c r="A8868" t="str">
        <f t="shared" si="209"/>
        <v>89301000</v>
      </c>
      <c r="B8868" t="str">
        <f>"6151181091"</f>
        <v>6151181091</v>
      </c>
      <c r="C8868" s="1">
        <v>45236</v>
      </c>
      <c r="D8868" s="1">
        <v>45245</v>
      </c>
      <c r="E8868">
        <v>1</v>
      </c>
      <c r="F8868" t="str">
        <f>"16-C07-02"</f>
        <v>16-C07-02</v>
      </c>
      <c r="G8868">
        <v>1.0876999999999999</v>
      </c>
      <c r="H8868" t="s">
        <v>11</v>
      </c>
      <c r="I8868" t="s">
        <v>10</v>
      </c>
    </row>
    <row r="8869" spans="1:9" x14ac:dyDescent="0.25">
      <c r="A8869" t="str">
        <f t="shared" si="209"/>
        <v>89301000</v>
      </c>
      <c r="B8869" t="str">
        <f>"6151231042"</f>
        <v>6151231042</v>
      </c>
      <c r="C8869" s="1">
        <v>45025</v>
      </c>
      <c r="D8869" s="1">
        <v>45026</v>
      </c>
      <c r="E8869">
        <v>1</v>
      </c>
      <c r="F8869" t="str">
        <f>"11-I16-02"</f>
        <v>11-I16-02</v>
      </c>
      <c r="G8869">
        <v>0.45679999999999998</v>
      </c>
      <c r="H8869" t="s">
        <v>11</v>
      </c>
      <c r="I8869" t="s">
        <v>10</v>
      </c>
    </row>
    <row r="8870" spans="1:9" x14ac:dyDescent="0.25">
      <c r="A8870" t="str">
        <f t="shared" si="209"/>
        <v>89301000</v>
      </c>
      <c r="B8870" t="str">
        <f>"6151260929"</f>
        <v>6151260929</v>
      </c>
      <c r="C8870" s="1">
        <v>45164</v>
      </c>
      <c r="D8870" s="1">
        <v>45168</v>
      </c>
      <c r="E8870">
        <v>1</v>
      </c>
      <c r="F8870" t="str">
        <f>"01-K03-08"</f>
        <v>01-K03-08</v>
      </c>
      <c r="G8870">
        <v>0.4234</v>
      </c>
      <c r="H8870" t="s">
        <v>11</v>
      </c>
      <c r="I8870" t="s">
        <v>10</v>
      </c>
    </row>
    <row r="8871" spans="1:9" x14ac:dyDescent="0.25">
      <c r="A8871" t="str">
        <f t="shared" si="209"/>
        <v>89301000</v>
      </c>
      <c r="B8871" t="str">
        <f>"6151260929"</f>
        <v>6151260929</v>
      </c>
      <c r="C8871" s="1">
        <v>45145</v>
      </c>
      <c r="D8871" s="1">
        <v>45147</v>
      </c>
      <c r="E8871">
        <v>1</v>
      </c>
      <c r="F8871" t="str">
        <f>"01-K03-06"</f>
        <v>01-K03-06</v>
      </c>
      <c r="G8871">
        <v>0.84740000000000004</v>
      </c>
      <c r="H8871" t="s">
        <v>11</v>
      </c>
      <c r="I8871" t="s">
        <v>10</v>
      </c>
    </row>
    <row r="8872" spans="1:9" x14ac:dyDescent="0.25">
      <c r="A8872" t="str">
        <f t="shared" si="209"/>
        <v>89301000</v>
      </c>
      <c r="B8872" t="str">
        <f>"6151260929"</f>
        <v>6151260929</v>
      </c>
      <c r="C8872" s="1">
        <v>45124</v>
      </c>
      <c r="D8872" s="1">
        <v>45132</v>
      </c>
      <c r="E8872">
        <v>1</v>
      </c>
      <c r="F8872" t="str">
        <f>"06-M01-03"</f>
        <v>06-M01-03</v>
      </c>
      <c r="G8872">
        <v>0.82350000000000001</v>
      </c>
      <c r="H8872" t="s">
        <v>11</v>
      </c>
      <c r="I8872" t="s">
        <v>10</v>
      </c>
    </row>
    <row r="8873" spans="1:9" x14ac:dyDescent="0.25">
      <c r="A8873" t="str">
        <f t="shared" si="209"/>
        <v>89301000</v>
      </c>
      <c r="B8873" t="str">
        <f>"6151260929"</f>
        <v>6151260929</v>
      </c>
      <c r="C8873" s="1">
        <v>45241</v>
      </c>
      <c r="D8873" s="1">
        <v>45244</v>
      </c>
      <c r="E8873">
        <v>1</v>
      </c>
      <c r="F8873" t="str">
        <f>"10-K01-02"</f>
        <v>10-K01-02</v>
      </c>
      <c r="G8873">
        <v>0.62870000000000004</v>
      </c>
      <c r="H8873" t="s">
        <v>11</v>
      </c>
      <c r="I8873" t="s">
        <v>10</v>
      </c>
    </row>
    <row r="8874" spans="1:9" x14ac:dyDescent="0.25">
      <c r="A8874" t="str">
        <f t="shared" si="209"/>
        <v>89301000</v>
      </c>
      <c r="B8874" t="str">
        <f>"6151261457"</f>
        <v>6151261457</v>
      </c>
      <c r="C8874" s="1">
        <v>45264</v>
      </c>
      <c r="D8874" s="1">
        <v>45280</v>
      </c>
      <c r="E8874">
        <v>1</v>
      </c>
      <c r="F8874" t="str">
        <f>"24-M07-02"</f>
        <v>24-M07-02</v>
      </c>
      <c r="G8874">
        <v>1.5729</v>
      </c>
      <c r="H8874" t="s">
        <v>11</v>
      </c>
      <c r="I8874" t="s">
        <v>10</v>
      </c>
    </row>
    <row r="8875" spans="1:9" x14ac:dyDescent="0.25">
      <c r="A8875" t="str">
        <f t="shared" si="209"/>
        <v>89301000</v>
      </c>
      <c r="B8875" t="str">
        <f>"6151261457"</f>
        <v>6151261457</v>
      </c>
      <c r="C8875" s="1">
        <v>45232</v>
      </c>
      <c r="D8875" s="1">
        <v>45236</v>
      </c>
      <c r="E8875">
        <v>1</v>
      </c>
      <c r="F8875" t="str">
        <f>"08-I08-02"</f>
        <v>08-I08-02</v>
      </c>
      <c r="G8875">
        <v>3.4279999999999999</v>
      </c>
      <c r="H8875" t="s">
        <v>12</v>
      </c>
      <c r="I8875" t="s">
        <v>10</v>
      </c>
    </row>
    <row r="8876" spans="1:9" x14ac:dyDescent="0.25">
      <c r="A8876" t="str">
        <f t="shared" si="209"/>
        <v>89301000</v>
      </c>
      <c r="B8876" t="str">
        <f t="shared" ref="B8876:B8888" si="211">"6151300881"</f>
        <v>6151300881</v>
      </c>
      <c r="C8876" s="1">
        <v>45082</v>
      </c>
      <c r="D8876" s="1">
        <v>45084</v>
      </c>
      <c r="E8876">
        <v>1</v>
      </c>
      <c r="F8876" t="str">
        <f t="shared" ref="F8876:F8882" si="212">"06-C02-03"</f>
        <v>06-C02-03</v>
      </c>
      <c r="G8876">
        <v>0.32650000000000001</v>
      </c>
      <c r="H8876" t="s">
        <v>11</v>
      </c>
      <c r="I8876" t="s">
        <v>10</v>
      </c>
    </row>
    <row r="8877" spans="1:9" x14ac:dyDescent="0.25">
      <c r="A8877" t="str">
        <f t="shared" si="209"/>
        <v>89301000</v>
      </c>
      <c r="B8877" t="str">
        <f t="shared" si="211"/>
        <v>6151300881</v>
      </c>
      <c r="C8877" s="1">
        <v>45096</v>
      </c>
      <c r="D8877" s="1">
        <v>45098</v>
      </c>
      <c r="E8877">
        <v>1</v>
      </c>
      <c r="F8877" t="str">
        <f t="shared" si="212"/>
        <v>06-C02-03</v>
      </c>
      <c r="G8877">
        <v>0.32650000000000001</v>
      </c>
      <c r="H8877" t="s">
        <v>11</v>
      </c>
      <c r="I8877" t="s">
        <v>10</v>
      </c>
    </row>
    <row r="8878" spans="1:9" x14ac:dyDescent="0.25">
      <c r="A8878" t="str">
        <f t="shared" si="209"/>
        <v>89301000</v>
      </c>
      <c r="B8878" t="str">
        <f t="shared" si="211"/>
        <v>6151300881</v>
      </c>
      <c r="C8878" s="1">
        <v>45062</v>
      </c>
      <c r="D8878" s="1">
        <v>45064</v>
      </c>
      <c r="E8878">
        <v>1</v>
      </c>
      <c r="F8878" t="str">
        <f t="shared" si="212"/>
        <v>06-C02-03</v>
      </c>
      <c r="G8878">
        <v>0.32650000000000001</v>
      </c>
      <c r="H8878" t="s">
        <v>11</v>
      </c>
      <c r="I8878" t="s">
        <v>10</v>
      </c>
    </row>
    <row r="8879" spans="1:9" x14ac:dyDescent="0.25">
      <c r="A8879" t="str">
        <f t="shared" si="209"/>
        <v>89301000</v>
      </c>
      <c r="B8879" t="str">
        <f t="shared" si="211"/>
        <v>6151300881</v>
      </c>
      <c r="C8879" s="1">
        <v>45042</v>
      </c>
      <c r="D8879" s="1">
        <v>45050</v>
      </c>
      <c r="E8879">
        <v>1</v>
      </c>
      <c r="F8879" t="str">
        <f t="shared" si="212"/>
        <v>06-C02-03</v>
      </c>
      <c r="G8879">
        <v>0.45400000000000001</v>
      </c>
      <c r="H8879" t="s">
        <v>11</v>
      </c>
      <c r="I8879" t="s">
        <v>10</v>
      </c>
    </row>
    <row r="8880" spans="1:9" x14ac:dyDescent="0.25">
      <c r="A8880" t="str">
        <f t="shared" ref="A8880:A8943" si="213">"89301000"</f>
        <v>89301000</v>
      </c>
      <c r="B8880" t="str">
        <f t="shared" si="211"/>
        <v>6151300881</v>
      </c>
      <c r="C8880" s="1">
        <v>45028</v>
      </c>
      <c r="D8880" s="1">
        <v>45030</v>
      </c>
      <c r="E8880">
        <v>1</v>
      </c>
      <c r="F8880" t="str">
        <f t="shared" si="212"/>
        <v>06-C02-03</v>
      </c>
      <c r="G8880">
        <v>0.32650000000000001</v>
      </c>
      <c r="H8880" t="s">
        <v>11</v>
      </c>
      <c r="I8880" t="s">
        <v>10</v>
      </c>
    </row>
    <row r="8881" spans="1:9" x14ac:dyDescent="0.25">
      <c r="A8881" t="str">
        <f t="shared" si="213"/>
        <v>89301000</v>
      </c>
      <c r="B8881" t="str">
        <f t="shared" si="211"/>
        <v>6151300881</v>
      </c>
      <c r="C8881" s="1">
        <v>45007</v>
      </c>
      <c r="D8881" s="1">
        <v>45009</v>
      </c>
      <c r="E8881">
        <v>1</v>
      </c>
      <c r="F8881" t="str">
        <f t="shared" si="212"/>
        <v>06-C02-03</v>
      </c>
      <c r="G8881">
        <v>0.32650000000000001</v>
      </c>
      <c r="H8881" t="s">
        <v>11</v>
      </c>
      <c r="I8881" t="s">
        <v>10</v>
      </c>
    </row>
    <row r="8882" spans="1:9" x14ac:dyDescent="0.25">
      <c r="A8882" t="str">
        <f t="shared" si="213"/>
        <v>89301000</v>
      </c>
      <c r="B8882" t="str">
        <f t="shared" si="211"/>
        <v>6151300881</v>
      </c>
      <c r="C8882" s="1">
        <v>44992</v>
      </c>
      <c r="D8882" s="1">
        <v>44994</v>
      </c>
      <c r="E8882">
        <v>1</v>
      </c>
      <c r="F8882" t="str">
        <f t="shared" si="212"/>
        <v>06-C02-03</v>
      </c>
      <c r="G8882">
        <v>0.32650000000000001</v>
      </c>
      <c r="H8882" t="s">
        <v>11</v>
      </c>
      <c r="I8882" t="s">
        <v>10</v>
      </c>
    </row>
    <row r="8883" spans="1:9" x14ac:dyDescent="0.25">
      <c r="A8883" t="str">
        <f t="shared" si="213"/>
        <v>89301000</v>
      </c>
      <c r="B8883" t="str">
        <f t="shared" si="211"/>
        <v>6151300881</v>
      </c>
      <c r="C8883" s="1">
        <v>44957</v>
      </c>
      <c r="D8883" s="1">
        <v>44965</v>
      </c>
      <c r="E8883">
        <v>1</v>
      </c>
      <c r="F8883" t="str">
        <f>"06-I05-01"</f>
        <v>06-I05-01</v>
      </c>
      <c r="G8883">
        <v>3.8811</v>
      </c>
      <c r="H8883" t="s">
        <v>12</v>
      </c>
      <c r="I8883" t="s">
        <v>10</v>
      </c>
    </row>
    <row r="8884" spans="1:9" x14ac:dyDescent="0.25">
      <c r="A8884" t="str">
        <f t="shared" si="213"/>
        <v>89301000</v>
      </c>
      <c r="B8884" t="str">
        <f t="shared" si="211"/>
        <v>6151300881</v>
      </c>
      <c r="C8884" s="1">
        <v>45170</v>
      </c>
      <c r="D8884" s="1">
        <v>45172</v>
      </c>
      <c r="E8884">
        <v>1</v>
      </c>
      <c r="F8884" t="str">
        <f>"06-C02-03"</f>
        <v>06-C02-03</v>
      </c>
      <c r="G8884">
        <v>0.32650000000000001</v>
      </c>
      <c r="H8884" t="s">
        <v>11</v>
      </c>
      <c r="I8884" t="s">
        <v>10</v>
      </c>
    </row>
    <row r="8885" spans="1:9" x14ac:dyDescent="0.25">
      <c r="A8885" t="str">
        <f t="shared" si="213"/>
        <v>89301000</v>
      </c>
      <c r="B8885" t="str">
        <f t="shared" si="211"/>
        <v>6151300881</v>
      </c>
      <c r="C8885" s="1">
        <v>45156</v>
      </c>
      <c r="D8885" s="1">
        <v>45158</v>
      </c>
      <c r="E8885">
        <v>1</v>
      </c>
      <c r="F8885" t="str">
        <f>"06-C02-03"</f>
        <v>06-C02-03</v>
      </c>
      <c r="G8885">
        <v>0.32650000000000001</v>
      </c>
      <c r="H8885" t="s">
        <v>11</v>
      </c>
      <c r="I8885" t="s">
        <v>10</v>
      </c>
    </row>
    <row r="8886" spans="1:9" x14ac:dyDescent="0.25">
      <c r="A8886" t="str">
        <f t="shared" si="213"/>
        <v>89301000</v>
      </c>
      <c r="B8886" t="str">
        <f t="shared" si="211"/>
        <v>6151300881</v>
      </c>
      <c r="C8886" s="1">
        <v>45142</v>
      </c>
      <c r="D8886" s="1">
        <v>45144</v>
      </c>
      <c r="E8886">
        <v>1</v>
      </c>
      <c r="F8886" t="str">
        <f>"06-C02-03"</f>
        <v>06-C02-03</v>
      </c>
      <c r="G8886">
        <v>0.32650000000000001</v>
      </c>
      <c r="H8886" t="s">
        <v>11</v>
      </c>
      <c r="I8886" t="s">
        <v>10</v>
      </c>
    </row>
    <row r="8887" spans="1:9" x14ac:dyDescent="0.25">
      <c r="A8887" t="str">
        <f t="shared" si="213"/>
        <v>89301000</v>
      </c>
      <c r="B8887" t="str">
        <f t="shared" si="211"/>
        <v>6151300881</v>
      </c>
      <c r="C8887" s="1">
        <v>45125</v>
      </c>
      <c r="D8887" s="1">
        <v>45127</v>
      </c>
      <c r="E8887">
        <v>1</v>
      </c>
      <c r="F8887" t="str">
        <f>"06-C02-03"</f>
        <v>06-C02-03</v>
      </c>
      <c r="G8887">
        <v>0.32650000000000001</v>
      </c>
      <c r="H8887" t="s">
        <v>11</v>
      </c>
      <c r="I8887" t="s">
        <v>10</v>
      </c>
    </row>
    <row r="8888" spans="1:9" x14ac:dyDescent="0.25">
      <c r="A8888" t="str">
        <f t="shared" si="213"/>
        <v>89301000</v>
      </c>
      <c r="B8888" t="str">
        <f t="shared" si="211"/>
        <v>6151300881</v>
      </c>
      <c r="C8888" s="1">
        <v>45111</v>
      </c>
      <c r="D8888" s="1">
        <v>45113</v>
      </c>
      <c r="E8888">
        <v>1</v>
      </c>
      <c r="F8888" t="str">
        <f>"06-C02-03"</f>
        <v>06-C02-03</v>
      </c>
      <c r="G8888">
        <v>0.32650000000000001</v>
      </c>
      <c r="H8888" t="s">
        <v>11</v>
      </c>
      <c r="I8888" t="s">
        <v>10</v>
      </c>
    </row>
    <row r="8889" spans="1:9" x14ac:dyDescent="0.25">
      <c r="A8889" t="str">
        <f t="shared" si="213"/>
        <v>89301000</v>
      </c>
      <c r="B8889" t="str">
        <f>"6152021414"</f>
        <v>6152021414</v>
      </c>
      <c r="C8889" s="1">
        <v>45226</v>
      </c>
      <c r="D8889" s="1">
        <v>45229</v>
      </c>
      <c r="E8889">
        <v>1</v>
      </c>
      <c r="F8889" t="str">
        <f>"04-K05-03"</f>
        <v>04-K05-03</v>
      </c>
      <c r="G8889">
        <v>0.74039999999999995</v>
      </c>
      <c r="H8889" t="s">
        <v>11</v>
      </c>
      <c r="I8889" t="s">
        <v>10</v>
      </c>
    </row>
    <row r="8890" spans="1:9" x14ac:dyDescent="0.25">
      <c r="A8890" t="str">
        <f t="shared" si="213"/>
        <v>89301000</v>
      </c>
      <c r="B8890" t="str">
        <f>"6152031215"</f>
        <v>6152031215</v>
      </c>
      <c r="C8890" s="1">
        <v>45237</v>
      </c>
      <c r="D8890" s="1">
        <v>45239</v>
      </c>
      <c r="E8890">
        <v>1</v>
      </c>
      <c r="F8890" t="str">
        <f>"06-M01-03"</f>
        <v>06-M01-03</v>
      </c>
      <c r="G8890">
        <v>0.82350000000000001</v>
      </c>
      <c r="H8890" t="s">
        <v>11</v>
      </c>
      <c r="I8890" t="s">
        <v>10</v>
      </c>
    </row>
    <row r="8891" spans="1:9" x14ac:dyDescent="0.25">
      <c r="A8891" t="str">
        <f t="shared" si="213"/>
        <v>89301000</v>
      </c>
      <c r="B8891" t="str">
        <f>"6152031215"</f>
        <v>6152031215</v>
      </c>
      <c r="C8891" s="1">
        <v>45153</v>
      </c>
      <c r="D8891" s="1">
        <v>45163</v>
      </c>
      <c r="E8891">
        <v>1</v>
      </c>
      <c r="F8891" t="str">
        <f>"10-K04-04"</f>
        <v>10-K04-04</v>
      </c>
      <c r="G8891">
        <v>0.54310000000000003</v>
      </c>
      <c r="H8891" t="s">
        <v>11</v>
      </c>
      <c r="I8891" t="s">
        <v>10</v>
      </c>
    </row>
    <row r="8892" spans="1:9" x14ac:dyDescent="0.25">
      <c r="A8892" t="str">
        <f t="shared" si="213"/>
        <v>89301000</v>
      </c>
      <c r="B8892" t="str">
        <f>"6152082101"</f>
        <v>6152082101</v>
      </c>
      <c r="C8892" s="1">
        <v>45209</v>
      </c>
      <c r="D8892" s="1">
        <v>45212</v>
      </c>
      <c r="E8892">
        <v>1</v>
      </c>
      <c r="F8892" t="str">
        <f>"00-K01-02"</f>
        <v>00-K01-02</v>
      </c>
      <c r="G8892">
        <v>1.2081</v>
      </c>
      <c r="H8892" t="s">
        <v>12</v>
      </c>
      <c r="I8892" t="s">
        <v>10</v>
      </c>
    </row>
    <row r="8893" spans="1:9" x14ac:dyDescent="0.25">
      <c r="A8893" t="str">
        <f t="shared" si="213"/>
        <v>89301000</v>
      </c>
      <c r="B8893" t="str">
        <f>"6152082101"</f>
        <v>6152082101</v>
      </c>
      <c r="C8893" s="1">
        <v>45069</v>
      </c>
      <c r="D8893" s="1">
        <v>45076</v>
      </c>
      <c r="E8893">
        <v>1</v>
      </c>
      <c r="F8893" t="str">
        <f>"00-K01-02"</f>
        <v>00-K01-02</v>
      </c>
      <c r="G8893">
        <v>1.0307999999999999</v>
      </c>
      <c r="H8893" t="s">
        <v>12</v>
      </c>
      <c r="I8893" t="s">
        <v>10</v>
      </c>
    </row>
    <row r="8894" spans="1:9" x14ac:dyDescent="0.25">
      <c r="A8894" t="str">
        <f t="shared" si="213"/>
        <v>89301000</v>
      </c>
      <c r="B8894" t="str">
        <f>"6152082101"</f>
        <v>6152082101</v>
      </c>
      <c r="C8894" s="1">
        <v>45092</v>
      </c>
      <c r="D8894" s="1">
        <v>45100</v>
      </c>
      <c r="E8894">
        <v>1</v>
      </c>
      <c r="F8894" t="str">
        <f>"00-K01-02"</f>
        <v>00-K01-02</v>
      </c>
      <c r="G8894">
        <v>1.0307999999999999</v>
      </c>
      <c r="H8894" t="s">
        <v>12</v>
      </c>
      <c r="I8894" t="s">
        <v>10</v>
      </c>
    </row>
    <row r="8895" spans="1:9" x14ac:dyDescent="0.25">
      <c r="A8895" t="str">
        <f t="shared" si="213"/>
        <v>89301000</v>
      </c>
      <c r="B8895" t="str">
        <f>"6152082101"</f>
        <v>6152082101</v>
      </c>
      <c r="C8895" s="1">
        <v>45043</v>
      </c>
      <c r="D8895" s="1">
        <v>45044</v>
      </c>
      <c r="E8895">
        <v>1</v>
      </c>
      <c r="F8895" t="str">
        <f>"02-I01-00"</f>
        <v>02-I01-00</v>
      </c>
      <c r="G8895">
        <v>1.3263</v>
      </c>
      <c r="H8895" t="s">
        <v>12</v>
      </c>
      <c r="I8895" t="s">
        <v>10</v>
      </c>
    </row>
    <row r="8896" spans="1:9" x14ac:dyDescent="0.25">
      <c r="A8896" t="str">
        <f t="shared" si="213"/>
        <v>89301000</v>
      </c>
      <c r="B8896" t="str">
        <f>"6152101087"</f>
        <v>6152101087</v>
      </c>
      <c r="C8896" s="1">
        <v>45215</v>
      </c>
      <c r="D8896" s="1">
        <v>45216</v>
      </c>
      <c r="E8896">
        <v>1</v>
      </c>
      <c r="F8896" t="str">
        <f>"08-I15-03"</f>
        <v>08-I15-03</v>
      </c>
      <c r="G8896">
        <v>0.94059999999999999</v>
      </c>
      <c r="H8896" t="s">
        <v>12</v>
      </c>
      <c r="I8896" t="s">
        <v>10</v>
      </c>
    </row>
    <row r="8897" spans="1:9" x14ac:dyDescent="0.25">
      <c r="A8897" t="str">
        <f t="shared" si="213"/>
        <v>89301000</v>
      </c>
      <c r="B8897" t="str">
        <f>"6152171586"</f>
        <v>6152171586</v>
      </c>
      <c r="C8897" s="1">
        <v>45223</v>
      </c>
      <c r="D8897" s="1">
        <v>45224</v>
      </c>
      <c r="E8897">
        <v>1</v>
      </c>
      <c r="F8897" t="str">
        <f>"07-M02-04"</f>
        <v>07-M02-04</v>
      </c>
      <c r="G8897">
        <v>0.77339999999999998</v>
      </c>
      <c r="H8897" t="s">
        <v>12</v>
      </c>
      <c r="I8897" t="s">
        <v>10</v>
      </c>
    </row>
    <row r="8898" spans="1:9" x14ac:dyDescent="0.25">
      <c r="A8898" t="str">
        <f t="shared" si="213"/>
        <v>89301000</v>
      </c>
      <c r="B8898" t="str">
        <f>"6152181277"</f>
        <v>6152181277</v>
      </c>
      <c r="C8898" s="1">
        <v>44958</v>
      </c>
      <c r="D8898" s="1">
        <v>44961</v>
      </c>
      <c r="E8898">
        <v>1</v>
      </c>
      <c r="F8898" t="str">
        <f>"02-I07-01"</f>
        <v>02-I07-01</v>
      </c>
      <c r="G8898">
        <v>2.2244999999999999</v>
      </c>
      <c r="H8898" t="s">
        <v>12</v>
      </c>
      <c r="I8898" t="s">
        <v>10</v>
      </c>
    </row>
    <row r="8899" spans="1:9" x14ac:dyDescent="0.25">
      <c r="A8899" t="str">
        <f t="shared" si="213"/>
        <v>89301000</v>
      </c>
      <c r="B8899" t="str">
        <f>"6152261313"</f>
        <v>6152261313</v>
      </c>
      <c r="C8899" s="1">
        <v>45145</v>
      </c>
      <c r="D8899" s="1">
        <v>45148</v>
      </c>
      <c r="E8899">
        <v>1</v>
      </c>
      <c r="F8899" t="str">
        <f>"13-I14-03"</f>
        <v>13-I14-03</v>
      </c>
      <c r="G8899">
        <v>0.69769999999999999</v>
      </c>
      <c r="H8899" t="s">
        <v>9</v>
      </c>
      <c r="I8899" t="s">
        <v>10</v>
      </c>
    </row>
    <row r="8900" spans="1:9" x14ac:dyDescent="0.25">
      <c r="A8900" t="str">
        <f t="shared" si="213"/>
        <v>89301000</v>
      </c>
      <c r="B8900" t="str">
        <f>"6152271642"</f>
        <v>6152271642</v>
      </c>
      <c r="C8900" s="1">
        <v>44935</v>
      </c>
      <c r="D8900" s="1">
        <v>44938</v>
      </c>
      <c r="E8900">
        <v>1</v>
      </c>
      <c r="F8900" t="str">
        <f>"03-I24-00"</f>
        <v>03-I24-00</v>
      </c>
      <c r="G8900">
        <v>0.40899999999999997</v>
      </c>
      <c r="H8900" t="s">
        <v>11</v>
      </c>
      <c r="I8900" t="s">
        <v>10</v>
      </c>
    </row>
    <row r="8901" spans="1:9" x14ac:dyDescent="0.25">
      <c r="A8901" t="str">
        <f t="shared" si="213"/>
        <v>89301000</v>
      </c>
      <c r="B8901" t="str">
        <f>"6153031269"</f>
        <v>6153031269</v>
      </c>
      <c r="C8901" s="1">
        <v>45250</v>
      </c>
      <c r="D8901" s="1">
        <v>45254</v>
      </c>
      <c r="E8901">
        <v>1</v>
      </c>
      <c r="F8901" t="str">
        <f>"24-M05-02"</f>
        <v>24-M05-02</v>
      </c>
      <c r="G8901">
        <v>0.58660000000000001</v>
      </c>
      <c r="H8901" t="s">
        <v>11</v>
      </c>
      <c r="I8901" t="s">
        <v>10</v>
      </c>
    </row>
    <row r="8902" spans="1:9" x14ac:dyDescent="0.25">
      <c r="A8902" t="str">
        <f t="shared" si="213"/>
        <v>89301000</v>
      </c>
      <c r="B8902" t="str">
        <f>"6153031269"</f>
        <v>6153031269</v>
      </c>
      <c r="C8902" s="1">
        <v>45222</v>
      </c>
      <c r="D8902" s="1">
        <v>45233</v>
      </c>
      <c r="E8902">
        <v>1</v>
      </c>
      <c r="F8902" t="str">
        <f>"24-M06-02"</f>
        <v>24-M06-02</v>
      </c>
      <c r="G8902">
        <v>1.0699000000000001</v>
      </c>
      <c r="H8902" t="s">
        <v>11</v>
      </c>
      <c r="I8902" t="s">
        <v>10</v>
      </c>
    </row>
    <row r="8903" spans="1:9" x14ac:dyDescent="0.25">
      <c r="A8903" t="str">
        <f t="shared" si="213"/>
        <v>89301000</v>
      </c>
      <c r="B8903" t="str">
        <f>"6153031269"</f>
        <v>6153031269</v>
      </c>
      <c r="C8903" s="1">
        <v>45185</v>
      </c>
      <c r="D8903" s="1">
        <v>45190</v>
      </c>
      <c r="E8903">
        <v>1</v>
      </c>
      <c r="F8903" t="str">
        <f>"08-I14-02"</f>
        <v>08-I14-02</v>
      </c>
      <c r="G8903">
        <v>1.6909000000000001</v>
      </c>
      <c r="H8903" t="s">
        <v>12</v>
      </c>
      <c r="I8903" t="s">
        <v>10</v>
      </c>
    </row>
    <row r="8904" spans="1:9" x14ac:dyDescent="0.25">
      <c r="A8904" t="str">
        <f t="shared" si="213"/>
        <v>89301000</v>
      </c>
      <c r="B8904" t="str">
        <f>"6153081011"</f>
        <v>6153081011</v>
      </c>
      <c r="C8904" s="1">
        <v>45125</v>
      </c>
      <c r="D8904" s="1">
        <v>45142</v>
      </c>
      <c r="E8904">
        <v>1</v>
      </c>
      <c r="F8904" t="str">
        <f>"04-K05-03"</f>
        <v>04-K05-03</v>
      </c>
      <c r="G8904">
        <v>1.1751</v>
      </c>
      <c r="H8904" t="s">
        <v>11</v>
      </c>
      <c r="I8904" t="s">
        <v>10</v>
      </c>
    </row>
    <row r="8905" spans="1:9" x14ac:dyDescent="0.25">
      <c r="A8905" t="str">
        <f t="shared" si="213"/>
        <v>89301000</v>
      </c>
      <c r="B8905" t="str">
        <f>"6153081011"</f>
        <v>6153081011</v>
      </c>
      <c r="C8905" s="1">
        <v>45146</v>
      </c>
      <c r="D8905" s="1">
        <v>45159</v>
      </c>
      <c r="E8905">
        <v>4</v>
      </c>
      <c r="F8905" t="str">
        <f>"18-K01-05"</f>
        <v>18-K01-05</v>
      </c>
      <c r="G8905">
        <v>1.8069999999999999</v>
      </c>
      <c r="H8905" t="s">
        <v>11</v>
      </c>
      <c r="I8905" t="s">
        <v>10</v>
      </c>
    </row>
    <row r="8906" spans="1:9" x14ac:dyDescent="0.25">
      <c r="A8906" t="str">
        <f t="shared" si="213"/>
        <v>89301000</v>
      </c>
      <c r="B8906" t="str">
        <f>"6153161201"</f>
        <v>6153161201</v>
      </c>
      <c r="C8906" s="1">
        <v>45049</v>
      </c>
      <c r="D8906" s="1">
        <v>45050</v>
      </c>
      <c r="E8906">
        <v>1</v>
      </c>
      <c r="F8906" t="str">
        <f>"05-M05-03"</f>
        <v>05-M05-03</v>
      </c>
      <c r="G8906">
        <v>2.0312999999999999</v>
      </c>
      <c r="H8906" t="s">
        <v>14</v>
      </c>
      <c r="I8906" t="s">
        <v>10</v>
      </c>
    </row>
    <row r="8907" spans="1:9" x14ac:dyDescent="0.25">
      <c r="A8907" t="str">
        <f t="shared" si="213"/>
        <v>89301000</v>
      </c>
      <c r="B8907" t="str">
        <f>"6153171035"</f>
        <v>6153171035</v>
      </c>
      <c r="C8907" s="1">
        <v>45042</v>
      </c>
      <c r="D8907" s="1">
        <v>45049</v>
      </c>
      <c r="E8907">
        <v>1</v>
      </c>
      <c r="F8907" t="str">
        <f>"04-K02-04"</f>
        <v>04-K02-04</v>
      </c>
      <c r="G8907">
        <v>0.82099999999999995</v>
      </c>
      <c r="H8907" t="s">
        <v>11</v>
      </c>
      <c r="I8907" t="s">
        <v>10</v>
      </c>
    </row>
    <row r="8908" spans="1:9" x14ac:dyDescent="0.25">
      <c r="A8908" t="str">
        <f t="shared" si="213"/>
        <v>89301000</v>
      </c>
      <c r="B8908" t="str">
        <f>"6153211075"</f>
        <v>6153211075</v>
      </c>
      <c r="C8908" s="1">
        <v>45208</v>
      </c>
      <c r="D8908" s="1">
        <v>45209</v>
      </c>
      <c r="E8908">
        <v>1</v>
      </c>
      <c r="F8908" t="str">
        <f>"05-I25-02"</f>
        <v>05-I25-02</v>
      </c>
      <c r="G8908">
        <v>2.9415</v>
      </c>
      <c r="H8908" t="s">
        <v>12</v>
      </c>
      <c r="I8908" t="s">
        <v>10</v>
      </c>
    </row>
    <row r="8909" spans="1:9" x14ac:dyDescent="0.25">
      <c r="A8909" t="str">
        <f t="shared" si="213"/>
        <v>89301000</v>
      </c>
      <c r="B8909" t="str">
        <f>"6153211075"</f>
        <v>6153211075</v>
      </c>
      <c r="C8909" s="1">
        <v>45256</v>
      </c>
      <c r="D8909" s="1">
        <v>45258</v>
      </c>
      <c r="E8909">
        <v>1</v>
      </c>
      <c r="F8909" t="str">
        <f>"05-M05-03"</f>
        <v>05-M05-03</v>
      </c>
      <c r="G8909">
        <v>1.3284</v>
      </c>
      <c r="H8909" t="s">
        <v>14</v>
      </c>
      <c r="I8909" t="s">
        <v>10</v>
      </c>
    </row>
    <row r="8910" spans="1:9" x14ac:dyDescent="0.25">
      <c r="A8910" t="str">
        <f t="shared" si="213"/>
        <v>89301000</v>
      </c>
      <c r="B8910" t="str">
        <f>"6153221151"</f>
        <v>6153221151</v>
      </c>
      <c r="C8910" s="1">
        <v>45253</v>
      </c>
      <c r="D8910" s="1">
        <v>45256</v>
      </c>
      <c r="E8910">
        <v>1</v>
      </c>
      <c r="F8910" t="str">
        <f>"06-I17-04"</f>
        <v>06-I17-04</v>
      </c>
      <c r="G8910">
        <v>0.49869999999999998</v>
      </c>
      <c r="H8910" t="s">
        <v>12</v>
      </c>
      <c r="I8910" t="s">
        <v>10</v>
      </c>
    </row>
    <row r="8911" spans="1:9" x14ac:dyDescent="0.25">
      <c r="A8911" t="str">
        <f t="shared" si="213"/>
        <v>89301000</v>
      </c>
      <c r="B8911" t="str">
        <f>"6153261686"</f>
        <v>6153261686</v>
      </c>
      <c r="C8911" s="1">
        <v>45145</v>
      </c>
      <c r="D8911" s="1">
        <v>45147</v>
      </c>
      <c r="E8911">
        <v>1</v>
      </c>
      <c r="F8911" t="str">
        <f>"11-M02-07"</f>
        <v>11-M02-07</v>
      </c>
      <c r="G8911">
        <v>0.58520000000000005</v>
      </c>
      <c r="H8911" t="s">
        <v>11</v>
      </c>
      <c r="I8911" t="s">
        <v>10</v>
      </c>
    </row>
    <row r="8912" spans="1:9" x14ac:dyDescent="0.25">
      <c r="A8912" t="str">
        <f t="shared" si="213"/>
        <v>89301000</v>
      </c>
      <c r="B8912" t="str">
        <f>"6154081538"</f>
        <v>6154081538</v>
      </c>
      <c r="C8912" s="1">
        <v>45207</v>
      </c>
      <c r="D8912" s="1">
        <v>45213</v>
      </c>
      <c r="E8912">
        <v>1</v>
      </c>
      <c r="F8912" t="str">
        <f>"17-I05-01"</f>
        <v>17-I05-01</v>
      </c>
      <c r="G8912">
        <v>6.0572999999999997</v>
      </c>
      <c r="H8912" t="s">
        <v>12</v>
      </c>
      <c r="I8912" t="s">
        <v>10</v>
      </c>
    </row>
    <row r="8913" spans="1:9" x14ac:dyDescent="0.25">
      <c r="A8913" t="str">
        <f t="shared" si="213"/>
        <v>89301000</v>
      </c>
      <c r="B8913" t="str">
        <f>"6154081538"</f>
        <v>6154081538</v>
      </c>
      <c r="C8913" s="1">
        <v>45186</v>
      </c>
      <c r="D8913" s="1">
        <v>45192</v>
      </c>
      <c r="E8913">
        <v>1</v>
      </c>
      <c r="F8913" t="str">
        <f>"17-I07-02"</f>
        <v>17-I07-02</v>
      </c>
      <c r="G8913">
        <v>1.9672000000000001</v>
      </c>
      <c r="H8913" t="s">
        <v>12</v>
      </c>
      <c r="I8913" t="s">
        <v>10</v>
      </c>
    </row>
    <row r="8914" spans="1:9" x14ac:dyDescent="0.25">
      <c r="A8914" t="str">
        <f t="shared" si="213"/>
        <v>89301000</v>
      </c>
      <c r="B8914" t="str">
        <f>"6154110446"</f>
        <v>6154110446</v>
      </c>
      <c r="C8914" s="1">
        <v>45041</v>
      </c>
      <c r="D8914" s="1">
        <v>45042</v>
      </c>
      <c r="E8914">
        <v>1</v>
      </c>
      <c r="F8914" t="str">
        <f>"13-K09-02"</f>
        <v>13-K09-02</v>
      </c>
      <c r="G8914">
        <v>0.57869999999999999</v>
      </c>
      <c r="H8914" t="s">
        <v>11</v>
      </c>
      <c r="I8914" t="s">
        <v>10</v>
      </c>
    </row>
    <row r="8915" spans="1:9" x14ac:dyDescent="0.25">
      <c r="A8915" t="str">
        <f t="shared" si="213"/>
        <v>89301000</v>
      </c>
      <c r="B8915" t="str">
        <f>"6154111601"</f>
        <v>6154111601</v>
      </c>
      <c r="C8915" s="1">
        <v>45155</v>
      </c>
      <c r="D8915" s="1">
        <v>45159</v>
      </c>
      <c r="E8915">
        <v>1</v>
      </c>
      <c r="F8915" t="str">
        <f>"05-M06-06"</f>
        <v>05-M06-06</v>
      </c>
      <c r="G8915">
        <v>1.8264</v>
      </c>
      <c r="H8915" t="s">
        <v>12</v>
      </c>
      <c r="I8915" t="s">
        <v>10</v>
      </c>
    </row>
    <row r="8916" spans="1:9" x14ac:dyDescent="0.25">
      <c r="A8916" t="str">
        <f t="shared" si="213"/>
        <v>89301000</v>
      </c>
      <c r="B8916" t="str">
        <f>"6154111601"</f>
        <v>6154111601</v>
      </c>
      <c r="C8916" s="1">
        <v>45208</v>
      </c>
      <c r="D8916" s="1">
        <v>45210</v>
      </c>
      <c r="E8916">
        <v>1</v>
      </c>
      <c r="F8916" t="str">
        <f>"05-I14-04"</f>
        <v>05-I14-04</v>
      </c>
      <c r="G8916">
        <v>5.2220000000000004</v>
      </c>
      <c r="H8916" t="s">
        <v>12</v>
      </c>
      <c r="I8916" t="s">
        <v>10</v>
      </c>
    </row>
    <row r="8917" spans="1:9" x14ac:dyDescent="0.25">
      <c r="A8917" t="str">
        <f t="shared" si="213"/>
        <v>89301000</v>
      </c>
      <c r="B8917" t="str">
        <f>"6154161354"</f>
        <v>6154161354</v>
      </c>
      <c r="C8917" s="1">
        <v>44952</v>
      </c>
      <c r="D8917" s="1">
        <v>44958</v>
      </c>
      <c r="E8917">
        <v>4</v>
      </c>
      <c r="F8917" t="str">
        <f>"08-I06-04"</f>
        <v>08-I06-04</v>
      </c>
      <c r="G8917">
        <v>2.4180000000000001</v>
      </c>
      <c r="H8917" t="s">
        <v>9</v>
      </c>
      <c r="I8917" t="s">
        <v>10</v>
      </c>
    </row>
    <row r="8918" spans="1:9" x14ac:dyDescent="0.25">
      <c r="A8918" t="str">
        <f t="shared" si="213"/>
        <v>89301000</v>
      </c>
      <c r="B8918" t="str">
        <f>"6154170968"</f>
        <v>6154170968</v>
      </c>
      <c r="C8918" s="1">
        <v>45098</v>
      </c>
      <c r="D8918" s="1">
        <v>45099</v>
      </c>
      <c r="E8918">
        <v>1</v>
      </c>
      <c r="F8918" t="str">
        <f>"13-I19-00"</f>
        <v>13-I19-00</v>
      </c>
      <c r="G8918">
        <v>0.28249999999999997</v>
      </c>
      <c r="H8918" t="s">
        <v>11</v>
      </c>
      <c r="I8918" t="s">
        <v>10</v>
      </c>
    </row>
    <row r="8919" spans="1:9" x14ac:dyDescent="0.25">
      <c r="A8919" t="str">
        <f t="shared" si="213"/>
        <v>89301000</v>
      </c>
      <c r="B8919" t="str">
        <f>"6154210524"</f>
        <v>6154210524</v>
      </c>
      <c r="C8919" s="1">
        <v>44930</v>
      </c>
      <c r="D8919" s="1">
        <v>44943</v>
      </c>
      <c r="E8919">
        <v>7</v>
      </c>
      <c r="F8919" t="str">
        <f>"09-K08-02"</f>
        <v>09-K08-02</v>
      </c>
      <c r="G8919">
        <v>0.60729999999999995</v>
      </c>
      <c r="H8919" t="s">
        <v>11</v>
      </c>
      <c r="I8919" t="s">
        <v>10</v>
      </c>
    </row>
    <row r="8920" spans="1:9" x14ac:dyDescent="0.25">
      <c r="A8920" t="str">
        <f t="shared" si="213"/>
        <v>89301000</v>
      </c>
      <c r="B8920" t="str">
        <f>"6154211195"</f>
        <v>6154211195</v>
      </c>
      <c r="C8920" s="1">
        <v>44935</v>
      </c>
      <c r="D8920" s="1">
        <v>44940</v>
      </c>
      <c r="E8920">
        <v>1</v>
      </c>
      <c r="F8920" t="str">
        <f>"11-I07-01"</f>
        <v>11-I07-01</v>
      </c>
      <c r="G8920">
        <v>2.7482000000000002</v>
      </c>
      <c r="H8920" t="s">
        <v>9</v>
      </c>
      <c r="I8920" t="s">
        <v>10</v>
      </c>
    </row>
    <row r="8921" spans="1:9" x14ac:dyDescent="0.25">
      <c r="A8921" t="str">
        <f t="shared" si="213"/>
        <v>89301000</v>
      </c>
      <c r="B8921" t="str">
        <f>"6154211195"</f>
        <v>6154211195</v>
      </c>
      <c r="C8921" s="1">
        <v>45170</v>
      </c>
      <c r="D8921" s="1">
        <v>45181</v>
      </c>
      <c r="E8921">
        <v>1</v>
      </c>
      <c r="F8921" t="str">
        <f>"06-K21-03"</f>
        <v>06-K21-03</v>
      </c>
      <c r="G8921">
        <v>0.62609999999999999</v>
      </c>
      <c r="H8921" t="s">
        <v>11</v>
      </c>
      <c r="I8921" t="s">
        <v>10</v>
      </c>
    </row>
    <row r="8922" spans="1:9" x14ac:dyDescent="0.25">
      <c r="A8922" t="str">
        <f t="shared" si="213"/>
        <v>89301000</v>
      </c>
      <c r="B8922" t="str">
        <f>"6154281397"</f>
        <v>6154281397</v>
      </c>
      <c r="C8922" s="1">
        <v>44952</v>
      </c>
      <c r="D8922" s="1">
        <v>44953</v>
      </c>
      <c r="E8922">
        <v>1</v>
      </c>
      <c r="F8922" t="str">
        <f>"06-M01-02"</f>
        <v>06-M01-02</v>
      </c>
      <c r="G8922">
        <v>1.2206999999999999</v>
      </c>
      <c r="H8922" t="s">
        <v>11</v>
      </c>
      <c r="I8922" t="s">
        <v>10</v>
      </c>
    </row>
    <row r="8923" spans="1:9" x14ac:dyDescent="0.25">
      <c r="A8923" t="str">
        <f t="shared" si="213"/>
        <v>89301000</v>
      </c>
      <c r="B8923" t="str">
        <f>"6154301131"</f>
        <v>6154301131</v>
      </c>
      <c r="C8923" s="1">
        <v>44939</v>
      </c>
      <c r="D8923" s="1">
        <v>44970</v>
      </c>
      <c r="E8923">
        <v>3</v>
      </c>
      <c r="F8923" t="str">
        <f>"11-M02-01"</f>
        <v>11-M02-01</v>
      </c>
      <c r="G8923">
        <v>6.0003000000000002</v>
      </c>
      <c r="H8923" t="s">
        <v>11</v>
      </c>
      <c r="I8923" t="s">
        <v>10</v>
      </c>
    </row>
    <row r="8924" spans="1:9" x14ac:dyDescent="0.25">
      <c r="A8924" t="str">
        <f t="shared" si="213"/>
        <v>89301000</v>
      </c>
      <c r="B8924" t="str">
        <f>"6154301131"</f>
        <v>6154301131</v>
      </c>
      <c r="C8924" s="1">
        <v>44970</v>
      </c>
      <c r="D8924" s="1">
        <v>44981</v>
      </c>
      <c r="E8924">
        <v>1</v>
      </c>
      <c r="F8924" t="str">
        <f>"24-M06-02"</f>
        <v>24-M06-02</v>
      </c>
      <c r="G8924">
        <v>1.0699000000000001</v>
      </c>
      <c r="H8924" t="s">
        <v>11</v>
      </c>
      <c r="I8924" t="s">
        <v>10</v>
      </c>
    </row>
    <row r="8925" spans="1:9" x14ac:dyDescent="0.25">
      <c r="A8925" t="str">
        <f t="shared" si="213"/>
        <v>89301000</v>
      </c>
      <c r="B8925" t="str">
        <f>"6155031740"</f>
        <v>6155031740</v>
      </c>
      <c r="C8925" s="1">
        <v>45233</v>
      </c>
      <c r="D8925" s="1">
        <v>45234</v>
      </c>
      <c r="E8925">
        <v>1</v>
      </c>
      <c r="F8925" t="str">
        <f>"13-I19-00"</f>
        <v>13-I19-00</v>
      </c>
      <c r="G8925">
        <v>0.28249999999999997</v>
      </c>
      <c r="H8925" t="s">
        <v>11</v>
      </c>
      <c r="I8925" t="s">
        <v>10</v>
      </c>
    </row>
    <row r="8926" spans="1:9" x14ac:dyDescent="0.25">
      <c r="A8926" t="str">
        <f t="shared" si="213"/>
        <v>89301000</v>
      </c>
      <c r="B8926" t="str">
        <f>"6155050473"</f>
        <v>6155050473</v>
      </c>
      <c r="C8926" s="1">
        <v>44965</v>
      </c>
      <c r="D8926" s="1">
        <v>44970</v>
      </c>
      <c r="E8926">
        <v>1</v>
      </c>
      <c r="F8926" t="str">
        <f>"08-I04-02"</f>
        <v>08-I04-02</v>
      </c>
      <c r="G8926">
        <v>1.6229</v>
      </c>
      <c r="H8926" t="s">
        <v>14</v>
      </c>
      <c r="I8926" t="s">
        <v>10</v>
      </c>
    </row>
    <row r="8927" spans="1:9" x14ac:dyDescent="0.25">
      <c r="A8927" t="str">
        <f t="shared" si="213"/>
        <v>89301000</v>
      </c>
      <c r="B8927" t="str">
        <f>"6155061462"</f>
        <v>6155061462</v>
      </c>
      <c r="C8927" s="1">
        <v>44970</v>
      </c>
      <c r="D8927" s="1">
        <v>44970</v>
      </c>
      <c r="E8927">
        <v>1</v>
      </c>
      <c r="F8927" t="str">
        <f>"05-K04-02"</f>
        <v>05-K04-02</v>
      </c>
      <c r="G8927">
        <v>0.19259999999999999</v>
      </c>
      <c r="H8927" t="s">
        <v>11</v>
      </c>
      <c r="I8927" t="s">
        <v>10</v>
      </c>
    </row>
    <row r="8928" spans="1:9" x14ac:dyDescent="0.25">
      <c r="A8928" t="str">
        <f t="shared" si="213"/>
        <v>89301000</v>
      </c>
      <c r="B8928" t="str">
        <f>"6155071472"</f>
        <v>6155071472</v>
      </c>
      <c r="C8928" s="1">
        <v>45208</v>
      </c>
      <c r="D8928" s="1">
        <v>45226</v>
      </c>
      <c r="E8928">
        <v>1</v>
      </c>
      <c r="F8928" t="str">
        <f>"24-M06-01"</f>
        <v>24-M06-01</v>
      </c>
      <c r="G8928">
        <v>1.1990000000000001</v>
      </c>
      <c r="H8928" t="s">
        <v>11</v>
      </c>
      <c r="I8928" t="s">
        <v>10</v>
      </c>
    </row>
    <row r="8929" spans="1:9" x14ac:dyDescent="0.25">
      <c r="A8929" t="str">
        <f t="shared" si="213"/>
        <v>89301000</v>
      </c>
      <c r="B8929" t="str">
        <f>"6155071472"</f>
        <v>6155071472</v>
      </c>
      <c r="C8929" s="1">
        <v>45202</v>
      </c>
      <c r="D8929" s="1">
        <v>45208</v>
      </c>
      <c r="E8929">
        <v>3</v>
      </c>
      <c r="F8929" t="str">
        <f>"01-K11-03"</f>
        <v>01-K11-03</v>
      </c>
      <c r="G8929">
        <v>1.6337999999999999</v>
      </c>
      <c r="H8929" t="s">
        <v>11</v>
      </c>
      <c r="I8929" t="s">
        <v>10</v>
      </c>
    </row>
    <row r="8930" spans="1:9" x14ac:dyDescent="0.25">
      <c r="A8930" t="str">
        <f t="shared" si="213"/>
        <v>89301000</v>
      </c>
      <c r="B8930" t="str">
        <f>"6155290097"</f>
        <v>6155290097</v>
      </c>
      <c r="C8930" s="1">
        <v>45180</v>
      </c>
      <c r="D8930" s="1">
        <v>45184</v>
      </c>
      <c r="E8930">
        <v>3</v>
      </c>
      <c r="F8930" t="str">
        <f>"24-M05-01"</f>
        <v>24-M05-01</v>
      </c>
      <c r="G8930">
        <v>0.63700000000000001</v>
      </c>
      <c r="H8930" t="s">
        <v>11</v>
      </c>
      <c r="I8930" t="s">
        <v>10</v>
      </c>
    </row>
    <row r="8931" spans="1:9" x14ac:dyDescent="0.25">
      <c r="A8931" t="str">
        <f t="shared" si="213"/>
        <v>89301000</v>
      </c>
      <c r="B8931" t="str">
        <f>"6155290097"</f>
        <v>6155290097</v>
      </c>
      <c r="C8931" s="1">
        <v>45159</v>
      </c>
      <c r="D8931" s="1">
        <v>45165</v>
      </c>
      <c r="E8931">
        <v>1</v>
      </c>
      <c r="F8931" t="str">
        <f>"08-I04-02"</f>
        <v>08-I04-02</v>
      </c>
      <c r="G8931">
        <v>1.6229</v>
      </c>
      <c r="H8931" t="s">
        <v>14</v>
      </c>
      <c r="I8931" t="s">
        <v>10</v>
      </c>
    </row>
    <row r="8932" spans="1:9" x14ac:dyDescent="0.25">
      <c r="A8932" t="str">
        <f t="shared" si="213"/>
        <v>89301000</v>
      </c>
      <c r="B8932" t="str">
        <f>"6155290097"</f>
        <v>6155290097</v>
      </c>
      <c r="C8932" s="1">
        <v>45184</v>
      </c>
      <c r="D8932" s="1">
        <v>45191</v>
      </c>
      <c r="E8932">
        <v>1</v>
      </c>
      <c r="F8932" t="str">
        <f>"01-D01-02"</f>
        <v>01-D01-02</v>
      </c>
      <c r="G8932">
        <v>0.44619999999999999</v>
      </c>
      <c r="H8932" t="s">
        <v>11</v>
      </c>
      <c r="I8932" t="s">
        <v>10</v>
      </c>
    </row>
    <row r="8933" spans="1:9" x14ac:dyDescent="0.25">
      <c r="A8933" t="str">
        <f t="shared" si="213"/>
        <v>89301000</v>
      </c>
      <c r="B8933" t="str">
        <f>"6156031013"</f>
        <v>6156031013</v>
      </c>
      <c r="C8933" s="1">
        <v>45214</v>
      </c>
      <c r="D8933" s="1">
        <v>45224</v>
      </c>
      <c r="E8933">
        <v>1</v>
      </c>
      <c r="F8933" t="str">
        <f>"04-M02-04"</f>
        <v>04-M02-04</v>
      </c>
      <c r="G8933">
        <v>1.2181999999999999</v>
      </c>
      <c r="H8933" t="s">
        <v>11</v>
      </c>
      <c r="I8933" t="s">
        <v>10</v>
      </c>
    </row>
    <row r="8934" spans="1:9" x14ac:dyDescent="0.25">
      <c r="A8934" t="str">
        <f t="shared" si="213"/>
        <v>89301000</v>
      </c>
      <c r="B8934" t="str">
        <f>"6156160802"</f>
        <v>6156160802</v>
      </c>
      <c r="C8934" s="1">
        <v>45068</v>
      </c>
      <c r="D8934" s="1">
        <v>45068</v>
      </c>
      <c r="E8934">
        <v>1</v>
      </c>
      <c r="F8934" t="str">
        <f>"05-D01-08"</f>
        <v>05-D01-08</v>
      </c>
      <c r="G8934">
        <v>0.2303</v>
      </c>
      <c r="H8934" t="s">
        <v>11</v>
      </c>
      <c r="I8934" t="s">
        <v>10</v>
      </c>
    </row>
    <row r="8935" spans="1:9" x14ac:dyDescent="0.25">
      <c r="A8935" t="str">
        <f t="shared" si="213"/>
        <v>89301000</v>
      </c>
      <c r="B8935" t="str">
        <f>"6156220939"</f>
        <v>6156220939</v>
      </c>
      <c r="C8935" s="1">
        <v>44994</v>
      </c>
      <c r="D8935" s="1">
        <v>44997</v>
      </c>
      <c r="E8935">
        <v>1</v>
      </c>
      <c r="F8935" t="str">
        <f>"08-I22-02"</f>
        <v>08-I22-02</v>
      </c>
      <c r="G8935">
        <v>1.131</v>
      </c>
      <c r="H8935" t="s">
        <v>12</v>
      </c>
      <c r="I8935" t="s">
        <v>10</v>
      </c>
    </row>
    <row r="8936" spans="1:9" x14ac:dyDescent="0.25">
      <c r="A8936" t="str">
        <f t="shared" si="213"/>
        <v>89301000</v>
      </c>
      <c r="B8936" t="str">
        <f>"6156251112"</f>
        <v>6156251112</v>
      </c>
      <c r="C8936" s="1">
        <v>45251</v>
      </c>
      <c r="D8936" s="1">
        <v>45254</v>
      </c>
      <c r="E8936">
        <v>1</v>
      </c>
      <c r="F8936" t="str">
        <f>"04-K09-03"</f>
        <v>04-K09-03</v>
      </c>
      <c r="G8936">
        <v>0.79849999999999999</v>
      </c>
      <c r="H8936" t="s">
        <v>11</v>
      </c>
      <c r="I8936" t="s">
        <v>10</v>
      </c>
    </row>
    <row r="8937" spans="1:9" x14ac:dyDescent="0.25">
      <c r="A8937" t="str">
        <f t="shared" si="213"/>
        <v>89301000</v>
      </c>
      <c r="B8937" t="str">
        <f>"6156281153"</f>
        <v>6156281153</v>
      </c>
      <c r="C8937" s="1">
        <v>45252</v>
      </c>
      <c r="D8937" s="1">
        <v>45258</v>
      </c>
      <c r="E8937">
        <v>1</v>
      </c>
      <c r="F8937" t="str">
        <f>"01-I06-05"</f>
        <v>01-I06-05</v>
      </c>
      <c r="G8937">
        <v>2.6970999999999998</v>
      </c>
      <c r="H8937" t="s">
        <v>12</v>
      </c>
      <c r="I8937" t="s">
        <v>10</v>
      </c>
    </row>
    <row r="8938" spans="1:9" x14ac:dyDescent="0.25">
      <c r="A8938" t="str">
        <f t="shared" si="213"/>
        <v>89301000</v>
      </c>
      <c r="B8938" t="str">
        <f>"6157010321"</f>
        <v>6157010321</v>
      </c>
      <c r="C8938" s="1">
        <v>45005</v>
      </c>
      <c r="D8938" s="1">
        <v>45013</v>
      </c>
      <c r="E8938">
        <v>4</v>
      </c>
      <c r="F8938" t="str">
        <f>"08-I05-05"</f>
        <v>08-I05-05</v>
      </c>
      <c r="G8938">
        <v>2.3193000000000001</v>
      </c>
      <c r="H8938" t="s">
        <v>12</v>
      </c>
      <c r="I8938" t="s">
        <v>10</v>
      </c>
    </row>
    <row r="8939" spans="1:9" x14ac:dyDescent="0.25">
      <c r="A8939" t="str">
        <f t="shared" si="213"/>
        <v>89301000</v>
      </c>
      <c r="B8939" t="str">
        <f>"6157060272"</f>
        <v>6157060272</v>
      </c>
      <c r="C8939" s="1">
        <v>45054</v>
      </c>
      <c r="D8939" s="1">
        <v>45056</v>
      </c>
      <c r="E8939">
        <v>1</v>
      </c>
      <c r="F8939" t="str">
        <f>"03-I22-01"</f>
        <v>03-I22-01</v>
      </c>
      <c r="G8939">
        <v>0.62490000000000001</v>
      </c>
      <c r="H8939" t="s">
        <v>11</v>
      </c>
      <c r="I8939" t="s">
        <v>10</v>
      </c>
    </row>
    <row r="8940" spans="1:9" x14ac:dyDescent="0.25">
      <c r="A8940" t="str">
        <f t="shared" si="213"/>
        <v>89301000</v>
      </c>
      <c r="B8940" t="str">
        <f>"6157081623"</f>
        <v>6157081623</v>
      </c>
      <c r="C8940" s="1">
        <v>45036</v>
      </c>
      <c r="D8940" s="1">
        <v>45040</v>
      </c>
      <c r="E8940">
        <v>1</v>
      </c>
      <c r="F8940" t="str">
        <f>"08-K08-00"</f>
        <v>08-K08-00</v>
      </c>
      <c r="G8940">
        <v>0.5272</v>
      </c>
      <c r="H8940" t="s">
        <v>11</v>
      </c>
      <c r="I8940" t="s">
        <v>10</v>
      </c>
    </row>
    <row r="8941" spans="1:9" x14ac:dyDescent="0.25">
      <c r="A8941" t="str">
        <f t="shared" si="213"/>
        <v>89301000</v>
      </c>
      <c r="B8941" t="str">
        <f>"6157090148"</f>
        <v>6157090148</v>
      </c>
      <c r="C8941" s="1">
        <v>44932</v>
      </c>
      <c r="D8941" s="1">
        <v>44942</v>
      </c>
      <c r="E8941">
        <v>1</v>
      </c>
      <c r="F8941" t="str">
        <f>"05-K13-02"</f>
        <v>05-K13-02</v>
      </c>
      <c r="G8941">
        <v>0.62180000000000002</v>
      </c>
      <c r="H8941" t="s">
        <v>11</v>
      </c>
      <c r="I8941" t="s">
        <v>10</v>
      </c>
    </row>
    <row r="8942" spans="1:9" x14ac:dyDescent="0.25">
      <c r="A8942" t="str">
        <f t="shared" si="213"/>
        <v>89301000</v>
      </c>
      <c r="B8942" t="str">
        <f>"6157290656"</f>
        <v>6157290656</v>
      </c>
      <c r="C8942" s="1">
        <v>45011</v>
      </c>
      <c r="D8942" s="1">
        <v>45013</v>
      </c>
      <c r="E8942">
        <v>1</v>
      </c>
      <c r="F8942" t="str">
        <f>"08-M03-02"</f>
        <v>08-M03-02</v>
      </c>
      <c r="G8942">
        <v>0.91359999999999997</v>
      </c>
      <c r="H8942" t="s">
        <v>11</v>
      </c>
      <c r="I8942" t="s">
        <v>10</v>
      </c>
    </row>
    <row r="8943" spans="1:9" x14ac:dyDescent="0.25">
      <c r="A8943" t="str">
        <f t="shared" si="213"/>
        <v>89301000</v>
      </c>
      <c r="B8943" t="str">
        <f>"6158040603"</f>
        <v>6158040603</v>
      </c>
      <c r="C8943" s="1">
        <v>45244</v>
      </c>
      <c r="D8943" s="1">
        <v>45267</v>
      </c>
      <c r="E8943">
        <v>1</v>
      </c>
      <c r="F8943" t="str">
        <f>"17-K01-01"</f>
        <v>17-K01-01</v>
      </c>
      <c r="G8943">
        <v>4.5839999999999996</v>
      </c>
      <c r="H8943" t="s">
        <v>11</v>
      </c>
      <c r="I8943" t="s">
        <v>10</v>
      </c>
    </row>
    <row r="8944" spans="1:9" x14ac:dyDescent="0.25">
      <c r="A8944" t="str">
        <f t="shared" ref="A8944:A9007" si="214">"89301000"</f>
        <v>89301000</v>
      </c>
      <c r="B8944" t="str">
        <f>"6158040603"</f>
        <v>6158040603</v>
      </c>
      <c r="C8944" s="1">
        <v>45001</v>
      </c>
      <c r="D8944" s="1">
        <v>45033</v>
      </c>
      <c r="E8944">
        <v>1</v>
      </c>
      <c r="F8944" t="str">
        <f>"00-M06-02"</f>
        <v>00-M06-02</v>
      </c>
      <c r="G8944">
        <v>20.672000000000001</v>
      </c>
      <c r="H8944" t="s">
        <v>12</v>
      </c>
      <c r="I8944" t="s">
        <v>10</v>
      </c>
    </row>
    <row r="8945" spans="1:9" x14ac:dyDescent="0.25">
      <c r="A8945" t="str">
        <f t="shared" si="214"/>
        <v>89301000</v>
      </c>
      <c r="B8945" t="str">
        <f>"6158040603"</f>
        <v>6158040603</v>
      </c>
      <c r="C8945" s="1">
        <v>44952</v>
      </c>
      <c r="D8945" s="1">
        <v>44981</v>
      </c>
      <c r="E8945">
        <v>1</v>
      </c>
      <c r="F8945" t="str">
        <f>"17-C03-03"</f>
        <v>17-C03-03</v>
      </c>
      <c r="G8945">
        <v>2.9337</v>
      </c>
      <c r="H8945" t="s">
        <v>11</v>
      </c>
      <c r="I8945" t="s">
        <v>10</v>
      </c>
    </row>
    <row r="8946" spans="1:9" x14ac:dyDescent="0.25">
      <c r="A8946" t="str">
        <f t="shared" si="214"/>
        <v>89301000</v>
      </c>
      <c r="B8946" t="str">
        <f>"6158040603"</f>
        <v>6158040603</v>
      </c>
      <c r="C8946" s="1">
        <v>44908</v>
      </c>
      <c r="D8946" s="1">
        <v>44938</v>
      </c>
      <c r="E8946">
        <v>1</v>
      </c>
      <c r="F8946" t="str">
        <f>"17-C03-03"</f>
        <v>17-C03-03</v>
      </c>
      <c r="G8946">
        <v>2.9337</v>
      </c>
      <c r="H8946" t="s">
        <v>11</v>
      </c>
      <c r="I8946" t="s">
        <v>10</v>
      </c>
    </row>
    <row r="8947" spans="1:9" x14ac:dyDescent="0.25">
      <c r="A8947" t="str">
        <f t="shared" si="214"/>
        <v>89301000</v>
      </c>
      <c r="B8947" t="str">
        <f>"6158090356"</f>
        <v>6158090356</v>
      </c>
      <c r="C8947" s="1">
        <v>45179</v>
      </c>
      <c r="D8947" s="1">
        <v>45183</v>
      </c>
      <c r="E8947">
        <v>1</v>
      </c>
      <c r="F8947" t="str">
        <f>"06-I18-05"</f>
        <v>06-I18-05</v>
      </c>
      <c r="G8947">
        <v>0.82420000000000004</v>
      </c>
      <c r="H8947" t="s">
        <v>9</v>
      </c>
      <c r="I8947" t="s">
        <v>10</v>
      </c>
    </row>
    <row r="8948" spans="1:9" x14ac:dyDescent="0.25">
      <c r="A8948" t="str">
        <f t="shared" si="214"/>
        <v>89301000</v>
      </c>
      <c r="B8948" t="str">
        <f>"6158090356"</f>
        <v>6158090356</v>
      </c>
      <c r="C8948" s="1">
        <v>44975</v>
      </c>
      <c r="D8948" s="1">
        <v>44982</v>
      </c>
      <c r="E8948">
        <v>1</v>
      </c>
      <c r="F8948" t="str">
        <f>"06-K05-01"</f>
        <v>06-K05-01</v>
      </c>
      <c r="G8948">
        <v>0.79859999999999998</v>
      </c>
      <c r="H8948" t="s">
        <v>11</v>
      </c>
      <c r="I8948" t="s">
        <v>10</v>
      </c>
    </row>
    <row r="8949" spans="1:9" x14ac:dyDescent="0.25">
      <c r="A8949" t="str">
        <f t="shared" si="214"/>
        <v>89301000</v>
      </c>
      <c r="B8949" t="str">
        <f>"6158110332"</f>
        <v>6158110332</v>
      </c>
      <c r="C8949" s="1">
        <v>45000</v>
      </c>
      <c r="D8949" s="1">
        <v>45001</v>
      </c>
      <c r="E8949">
        <v>1</v>
      </c>
      <c r="F8949" t="str">
        <f>"01-I13-00"</f>
        <v>01-I13-00</v>
      </c>
      <c r="G8949">
        <v>0.38400000000000001</v>
      </c>
      <c r="H8949" t="s">
        <v>11</v>
      </c>
      <c r="I8949" t="s">
        <v>10</v>
      </c>
    </row>
    <row r="8950" spans="1:9" x14ac:dyDescent="0.25">
      <c r="A8950" t="str">
        <f t="shared" si="214"/>
        <v>89301000</v>
      </c>
      <c r="B8950" t="str">
        <f>"6158130946"</f>
        <v>6158130946</v>
      </c>
      <c r="C8950" s="1">
        <v>45201</v>
      </c>
      <c r="D8950" s="1">
        <v>45204</v>
      </c>
      <c r="E8950">
        <v>1</v>
      </c>
      <c r="F8950" t="str">
        <f>"06-K11-00"</f>
        <v>06-K11-00</v>
      </c>
      <c r="G8950">
        <v>0.34639999999999999</v>
      </c>
      <c r="H8950" t="s">
        <v>11</v>
      </c>
      <c r="I8950" t="s">
        <v>10</v>
      </c>
    </row>
    <row r="8951" spans="1:9" x14ac:dyDescent="0.25">
      <c r="A8951" t="str">
        <f t="shared" si="214"/>
        <v>89301000</v>
      </c>
      <c r="B8951" t="str">
        <f>"6158130946"</f>
        <v>6158130946</v>
      </c>
      <c r="C8951" s="1">
        <v>45217</v>
      </c>
      <c r="D8951" s="1">
        <v>45220</v>
      </c>
      <c r="E8951">
        <v>1</v>
      </c>
      <c r="F8951" t="str">
        <f>"09-I13-02"</f>
        <v>09-I13-02</v>
      </c>
      <c r="G8951">
        <v>1.2537</v>
      </c>
      <c r="H8951" t="s">
        <v>11</v>
      </c>
      <c r="I8951" t="s">
        <v>10</v>
      </c>
    </row>
    <row r="8952" spans="1:9" x14ac:dyDescent="0.25">
      <c r="A8952" t="str">
        <f t="shared" si="214"/>
        <v>89301000</v>
      </c>
      <c r="B8952" t="str">
        <f>"6158141242"</f>
        <v>6158141242</v>
      </c>
      <c r="C8952" s="1">
        <v>45146</v>
      </c>
      <c r="D8952" s="1">
        <v>45152</v>
      </c>
      <c r="E8952">
        <v>5</v>
      </c>
      <c r="F8952" t="str">
        <f>"00-M01-04"</f>
        <v>00-M01-04</v>
      </c>
      <c r="G8952">
        <v>7.2366999999999999</v>
      </c>
      <c r="H8952" t="s">
        <v>11</v>
      </c>
      <c r="I8952" t="s">
        <v>10</v>
      </c>
    </row>
    <row r="8953" spans="1:9" x14ac:dyDescent="0.25">
      <c r="A8953" t="str">
        <f t="shared" si="214"/>
        <v>89301000</v>
      </c>
      <c r="B8953" t="str">
        <f>"6158202028"</f>
        <v>6158202028</v>
      </c>
      <c r="C8953" s="1">
        <v>45189</v>
      </c>
      <c r="D8953" s="1">
        <v>45190</v>
      </c>
      <c r="E8953">
        <v>1</v>
      </c>
      <c r="F8953" t="str">
        <f>"10-K08-00"</f>
        <v>10-K08-00</v>
      </c>
      <c r="G8953">
        <v>0.58350000000000002</v>
      </c>
      <c r="H8953" t="s">
        <v>11</v>
      </c>
      <c r="I8953" t="s">
        <v>10</v>
      </c>
    </row>
    <row r="8954" spans="1:9" x14ac:dyDescent="0.25">
      <c r="A8954" t="str">
        <f t="shared" si="214"/>
        <v>89301000</v>
      </c>
      <c r="B8954" t="str">
        <f>"6158211356"</f>
        <v>6158211356</v>
      </c>
      <c r="C8954" s="1">
        <v>45181</v>
      </c>
      <c r="D8954" s="1">
        <v>45190</v>
      </c>
      <c r="E8954">
        <v>1</v>
      </c>
      <c r="F8954" t="str">
        <f>"05-M04-02"</f>
        <v>05-M04-02</v>
      </c>
      <c r="G8954">
        <v>4.0407000000000002</v>
      </c>
      <c r="H8954" t="s">
        <v>12</v>
      </c>
      <c r="I8954" t="s">
        <v>10</v>
      </c>
    </row>
    <row r="8955" spans="1:9" x14ac:dyDescent="0.25">
      <c r="A8955" t="str">
        <f t="shared" si="214"/>
        <v>89301000</v>
      </c>
      <c r="B8955" t="str">
        <f>"6158260350"</f>
        <v>6158260350</v>
      </c>
      <c r="C8955" s="1">
        <v>45258</v>
      </c>
      <c r="D8955" s="1">
        <v>45264</v>
      </c>
      <c r="E8955">
        <v>1</v>
      </c>
      <c r="F8955" t="str">
        <f>"11-I07-01"</f>
        <v>11-I07-01</v>
      </c>
      <c r="G8955">
        <v>2.7482000000000002</v>
      </c>
      <c r="H8955" t="s">
        <v>9</v>
      </c>
      <c r="I8955" t="s">
        <v>10</v>
      </c>
    </row>
    <row r="8956" spans="1:9" x14ac:dyDescent="0.25">
      <c r="A8956" t="str">
        <f t="shared" si="214"/>
        <v>89301000</v>
      </c>
      <c r="B8956" t="str">
        <f>"6158280348"</f>
        <v>6158280348</v>
      </c>
      <c r="C8956" s="1">
        <v>45091</v>
      </c>
      <c r="D8956" s="1">
        <v>45093</v>
      </c>
      <c r="E8956">
        <v>7</v>
      </c>
      <c r="F8956" t="str">
        <f>"11-M02-03"</f>
        <v>11-M02-03</v>
      </c>
      <c r="G8956">
        <v>2.0179999999999998</v>
      </c>
      <c r="H8956" t="s">
        <v>11</v>
      </c>
      <c r="I8956" t="s">
        <v>10</v>
      </c>
    </row>
    <row r="8957" spans="1:9" x14ac:dyDescent="0.25">
      <c r="A8957" t="str">
        <f t="shared" si="214"/>
        <v>89301000</v>
      </c>
      <c r="B8957" t="str">
        <f>"6158280348"</f>
        <v>6158280348</v>
      </c>
      <c r="C8957" s="1">
        <v>45026</v>
      </c>
      <c r="D8957" s="1">
        <v>45030</v>
      </c>
      <c r="E8957">
        <v>1</v>
      </c>
      <c r="F8957" t="str">
        <f>"09-I09-02"</f>
        <v>09-I09-02</v>
      </c>
      <c r="G8957">
        <v>0.76900000000000002</v>
      </c>
      <c r="H8957" t="s">
        <v>12</v>
      </c>
      <c r="I8957" t="s">
        <v>10</v>
      </c>
    </row>
    <row r="8958" spans="1:9" x14ac:dyDescent="0.25">
      <c r="A8958" t="str">
        <f t="shared" si="214"/>
        <v>89301000</v>
      </c>
      <c r="B8958" t="str">
        <f>"6158280348"</f>
        <v>6158280348</v>
      </c>
      <c r="C8958" s="1">
        <v>45002</v>
      </c>
      <c r="D8958" s="1">
        <v>45002</v>
      </c>
      <c r="E8958">
        <v>1</v>
      </c>
      <c r="F8958" t="str">
        <f>"09-K08-02"</f>
        <v>09-K08-02</v>
      </c>
      <c r="G8958">
        <v>0.25440000000000002</v>
      </c>
      <c r="H8958" t="s">
        <v>11</v>
      </c>
      <c r="I8958" t="s">
        <v>10</v>
      </c>
    </row>
    <row r="8959" spans="1:9" x14ac:dyDescent="0.25">
      <c r="A8959" t="str">
        <f t="shared" si="214"/>
        <v>89301000</v>
      </c>
      <c r="B8959" t="str">
        <f>"6158280348"</f>
        <v>6158280348</v>
      </c>
      <c r="C8959" s="1">
        <v>44981</v>
      </c>
      <c r="D8959" s="1">
        <v>44982</v>
      </c>
      <c r="E8959">
        <v>1</v>
      </c>
      <c r="F8959" t="str">
        <f>"09-I09-02"</f>
        <v>09-I09-02</v>
      </c>
      <c r="G8959">
        <v>0.76900000000000002</v>
      </c>
      <c r="H8959" t="s">
        <v>12</v>
      </c>
      <c r="I8959" t="s">
        <v>10</v>
      </c>
    </row>
    <row r="8960" spans="1:9" x14ac:dyDescent="0.25">
      <c r="A8960" t="str">
        <f t="shared" si="214"/>
        <v>89301000</v>
      </c>
      <c r="B8960" t="str">
        <f>"6158280348"</f>
        <v>6158280348</v>
      </c>
      <c r="C8960" s="1">
        <v>44963</v>
      </c>
      <c r="D8960" s="1">
        <v>44965</v>
      </c>
      <c r="E8960">
        <v>1</v>
      </c>
      <c r="F8960" t="str">
        <f>"09-I06-04"</f>
        <v>09-I06-04</v>
      </c>
      <c r="G8960">
        <v>0.95069999999999999</v>
      </c>
      <c r="H8960" t="s">
        <v>12</v>
      </c>
      <c r="I8960" t="s">
        <v>10</v>
      </c>
    </row>
    <row r="8961" spans="1:9" x14ac:dyDescent="0.25">
      <c r="A8961" t="str">
        <f t="shared" si="214"/>
        <v>89301000</v>
      </c>
      <c r="B8961" t="str">
        <f>"6158280359"</f>
        <v>6158280359</v>
      </c>
      <c r="C8961" s="1">
        <v>44965</v>
      </c>
      <c r="D8961" s="1">
        <v>44974</v>
      </c>
      <c r="E8961">
        <v>1</v>
      </c>
      <c r="F8961" t="str">
        <f>"06-K01-03"</f>
        <v>06-K01-03</v>
      </c>
      <c r="G8961">
        <v>0.89710000000000001</v>
      </c>
      <c r="H8961" t="s">
        <v>11</v>
      </c>
      <c r="I8961" t="s">
        <v>10</v>
      </c>
    </row>
    <row r="8962" spans="1:9" x14ac:dyDescent="0.25">
      <c r="A8962" t="str">
        <f t="shared" si="214"/>
        <v>89301000</v>
      </c>
      <c r="B8962" t="str">
        <f>"6159081302"</f>
        <v>6159081302</v>
      </c>
      <c r="C8962" s="1">
        <v>45101</v>
      </c>
      <c r="D8962" s="1">
        <v>45103</v>
      </c>
      <c r="E8962">
        <v>5</v>
      </c>
      <c r="F8962" t="str">
        <f>"08-I03-08"</f>
        <v>08-I03-08</v>
      </c>
      <c r="G8962">
        <v>1.9455</v>
      </c>
      <c r="H8962" t="s">
        <v>9</v>
      </c>
      <c r="I8962" t="s">
        <v>10</v>
      </c>
    </row>
    <row r="8963" spans="1:9" x14ac:dyDescent="0.25">
      <c r="A8963" t="str">
        <f t="shared" si="214"/>
        <v>89301000</v>
      </c>
      <c r="B8963" t="str">
        <f>"6159151229"</f>
        <v>6159151229</v>
      </c>
      <c r="C8963" s="1">
        <v>45151</v>
      </c>
      <c r="D8963" s="1">
        <v>45156</v>
      </c>
      <c r="E8963">
        <v>1</v>
      </c>
      <c r="F8963" t="str">
        <f>"08-I03-06"</f>
        <v>08-I03-06</v>
      </c>
      <c r="G8963">
        <v>2.8247</v>
      </c>
      <c r="H8963" t="s">
        <v>9</v>
      </c>
      <c r="I8963" t="s">
        <v>10</v>
      </c>
    </row>
    <row r="8964" spans="1:9" x14ac:dyDescent="0.25">
      <c r="A8964" t="str">
        <f t="shared" si="214"/>
        <v>89301000</v>
      </c>
      <c r="B8964" t="str">
        <f>"6159151229"</f>
        <v>6159151229</v>
      </c>
      <c r="C8964" s="1">
        <v>45125</v>
      </c>
      <c r="D8964" s="1">
        <v>45130</v>
      </c>
      <c r="E8964">
        <v>1</v>
      </c>
      <c r="F8964" t="str">
        <f>"08-I03-04"</f>
        <v>08-I03-04</v>
      </c>
      <c r="G8964">
        <v>4.6112000000000002</v>
      </c>
      <c r="H8964" t="s">
        <v>9</v>
      </c>
      <c r="I8964" t="s">
        <v>10</v>
      </c>
    </row>
    <row r="8965" spans="1:9" x14ac:dyDescent="0.25">
      <c r="A8965" t="str">
        <f t="shared" si="214"/>
        <v>89301000</v>
      </c>
      <c r="B8965" t="str">
        <f>"6159171546"</f>
        <v>6159171546</v>
      </c>
      <c r="C8965" s="1">
        <v>45222</v>
      </c>
      <c r="D8965" s="1">
        <v>45224</v>
      </c>
      <c r="E8965">
        <v>1</v>
      </c>
      <c r="F8965" t="str">
        <f>"08-I10-01"</f>
        <v>08-I10-01</v>
      </c>
      <c r="G8965">
        <v>1.9841</v>
      </c>
      <c r="H8965" t="s">
        <v>12</v>
      </c>
      <c r="I8965" t="s">
        <v>10</v>
      </c>
    </row>
    <row r="8966" spans="1:9" x14ac:dyDescent="0.25">
      <c r="A8966" t="str">
        <f t="shared" si="214"/>
        <v>89301000</v>
      </c>
      <c r="B8966" t="str">
        <f>"6159231430"</f>
        <v>6159231430</v>
      </c>
      <c r="C8966" s="1">
        <v>45244</v>
      </c>
      <c r="D8966" s="1">
        <v>45246</v>
      </c>
      <c r="E8966">
        <v>1</v>
      </c>
      <c r="F8966" t="str">
        <f>"09-I13-05"</f>
        <v>09-I13-05</v>
      </c>
      <c r="G8966">
        <v>0.42570000000000002</v>
      </c>
      <c r="H8966" t="s">
        <v>11</v>
      </c>
      <c r="I8966" t="s">
        <v>10</v>
      </c>
    </row>
    <row r="8967" spans="1:9" x14ac:dyDescent="0.25">
      <c r="A8967" t="str">
        <f t="shared" si="214"/>
        <v>89301000</v>
      </c>
      <c r="B8967" t="str">
        <f>"6159290258"</f>
        <v>6159290258</v>
      </c>
      <c r="C8967" s="1">
        <v>45062</v>
      </c>
      <c r="D8967" s="1">
        <v>45070</v>
      </c>
      <c r="E8967">
        <v>1</v>
      </c>
      <c r="F8967" t="str">
        <f>"01-K04-02"</f>
        <v>01-K04-02</v>
      </c>
      <c r="G8967">
        <v>0.79990000000000006</v>
      </c>
      <c r="H8967" t="s">
        <v>11</v>
      </c>
      <c r="I8967" t="s">
        <v>10</v>
      </c>
    </row>
    <row r="8968" spans="1:9" x14ac:dyDescent="0.25">
      <c r="A8968" t="str">
        <f t="shared" si="214"/>
        <v>89301000</v>
      </c>
      <c r="B8968" t="str">
        <f>"6160040205"</f>
        <v>6160040205</v>
      </c>
      <c r="C8968" s="1">
        <v>45273</v>
      </c>
      <c r="D8968" s="1">
        <v>45275</v>
      </c>
      <c r="E8968">
        <v>1</v>
      </c>
      <c r="F8968" t="str">
        <f>"05-M05-02"</f>
        <v>05-M05-02</v>
      </c>
      <c r="G8968">
        <v>3.4817999999999998</v>
      </c>
      <c r="H8968" t="s">
        <v>14</v>
      </c>
      <c r="I8968" t="s">
        <v>10</v>
      </c>
    </row>
    <row r="8969" spans="1:9" x14ac:dyDescent="0.25">
      <c r="A8969" t="str">
        <f t="shared" si="214"/>
        <v>89301000</v>
      </c>
      <c r="B8969" t="str">
        <f>"6160040205"</f>
        <v>6160040205</v>
      </c>
      <c r="C8969" s="1">
        <v>45056</v>
      </c>
      <c r="D8969" s="1">
        <v>45063</v>
      </c>
      <c r="E8969">
        <v>1</v>
      </c>
      <c r="F8969" t="str">
        <f>"24-M06-02"</f>
        <v>24-M06-02</v>
      </c>
      <c r="G8969">
        <v>1.0699000000000001</v>
      </c>
      <c r="H8969" t="s">
        <v>11</v>
      </c>
      <c r="I8969" t="s">
        <v>10</v>
      </c>
    </row>
    <row r="8970" spans="1:9" x14ac:dyDescent="0.25">
      <c r="A8970" t="str">
        <f t="shared" si="214"/>
        <v>89301000</v>
      </c>
      <c r="B8970" t="str">
        <f>"6160041536"</f>
        <v>6160041536</v>
      </c>
      <c r="C8970" s="1">
        <v>45174</v>
      </c>
      <c r="D8970" s="1">
        <v>45174</v>
      </c>
      <c r="E8970">
        <v>1</v>
      </c>
      <c r="F8970" t="str">
        <f>"05-D01-08"</f>
        <v>05-D01-08</v>
      </c>
      <c r="G8970">
        <v>0.2303</v>
      </c>
      <c r="H8970" t="s">
        <v>11</v>
      </c>
      <c r="I8970" t="s">
        <v>10</v>
      </c>
    </row>
    <row r="8971" spans="1:9" x14ac:dyDescent="0.25">
      <c r="A8971" t="str">
        <f t="shared" si="214"/>
        <v>89301000</v>
      </c>
      <c r="B8971" t="str">
        <f>"6160041536"</f>
        <v>6160041536</v>
      </c>
      <c r="C8971" s="1">
        <v>45218</v>
      </c>
      <c r="D8971" s="1">
        <v>45233</v>
      </c>
      <c r="E8971">
        <v>1</v>
      </c>
      <c r="F8971" t="str">
        <f>"05-I08-01"</f>
        <v>05-I08-01</v>
      </c>
      <c r="G8971">
        <v>11.4008</v>
      </c>
      <c r="H8971" t="s">
        <v>14</v>
      </c>
      <c r="I8971" t="s">
        <v>10</v>
      </c>
    </row>
    <row r="8972" spans="1:9" x14ac:dyDescent="0.25">
      <c r="A8972" t="str">
        <f t="shared" si="214"/>
        <v>89301000</v>
      </c>
      <c r="B8972" t="str">
        <f>"6160170929"</f>
        <v>6160170929</v>
      </c>
      <c r="C8972" s="1">
        <v>44990</v>
      </c>
      <c r="D8972" s="1">
        <v>44993</v>
      </c>
      <c r="E8972">
        <v>1</v>
      </c>
      <c r="F8972" t="str">
        <f>"13-I14-03"</f>
        <v>13-I14-03</v>
      </c>
      <c r="G8972">
        <v>0.89500000000000002</v>
      </c>
      <c r="H8972" t="s">
        <v>9</v>
      </c>
      <c r="I8972" t="s">
        <v>10</v>
      </c>
    </row>
    <row r="8973" spans="1:9" x14ac:dyDescent="0.25">
      <c r="A8973" t="str">
        <f t="shared" si="214"/>
        <v>89301000</v>
      </c>
      <c r="B8973" t="str">
        <f>"6160280709"</f>
        <v>6160280709</v>
      </c>
      <c r="C8973" s="1">
        <v>45035</v>
      </c>
      <c r="D8973" s="1">
        <v>45036</v>
      </c>
      <c r="E8973">
        <v>1</v>
      </c>
      <c r="F8973" t="str">
        <f>"02-I13-02"</f>
        <v>02-I13-02</v>
      </c>
      <c r="G8973">
        <v>0.4259</v>
      </c>
      <c r="H8973" t="s">
        <v>11</v>
      </c>
      <c r="I8973" t="s">
        <v>10</v>
      </c>
    </row>
    <row r="8974" spans="1:9" x14ac:dyDescent="0.25">
      <c r="A8974" t="str">
        <f t="shared" si="214"/>
        <v>89301000</v>
      </c>
      <c r="B8974" t="str">
        <f>"6160280742"</f>
        <v>6160280742</v>
      </c>
      <c r="C8974" s="1">
        <v>45105</v>
      </c>
      <c r="D8974" s="1">
        <v>45109</v>
      </c>
      <c r="E8974">
        <v>1</v>
      </c>
      <c r="F8974" t="str">
        <f>"10-I13-02"</f>
        <v>10-I13-02</v>
      </c>
      <c r="G8974">
        <v>1.1124000000000001</v>
      </c>
      <c r="H8974" t="s">
        <v>9</v>
      </c>
      <c r="I8974" t="s">
        <v>10</v>
      </c>
    </row>
    <row r="8975" spans="1:9" x14ac:dyDescent="0.25">
      <c r="A8975" t="str">
        <f t="shared" si="214"/>
        <v>89301000</v>
      </c>
      <c r="B8975" t="str">
        <f>"6160310134"</f>
        <v>6160310134</v>
      </c>
      <c r="C8975" s="1">
        <v>45043</v>
      </c>
      <c r="D8975" s="1">
        <v>45048</v>
      </c>
      <c r="E8975">
        <v>1</v>
      </c>
      <c r="F8975" t="str">
        <f>"07-M02-04"</f>
        <v>07-M02-04</v>
      </c>
      <c r="G8975">
        <v>1.4185000000000001</v>
      </c>
      <c r="H8975" t="s">
        <v>12</v>
      </c>
      <c r="I8975" t="s">
        <v>10</v>
      </c>
    </row>
    <row r="8976" spans="1:9" x14ac:dyDescent="0.25">
      <c r="A8976" t="str">
        <f t="shared" si="214"/>
        <v>89301000</v>
      </c>
      <c r="B8976" t="str">
        <f>"6160310673"</f>
        <v>6160310673</v>
      </c>
      <c r="C8976" s="1">
        <v>44936</v>
      </c>
      <c r="D8976" s="1">
        <v>44938</v>
      </c>
      <c r="E8976">
        <v>1</v>
      </c>
      <c r="F8976" t="str">
        <f>"04-K07-03"</f>
        <v>04-K07-03</v>
      </c>
      <c r="G8976">
        <v>0.61119999999999997</v>
      </c>
      <c r="H8976" t="s">
        <v>11</v>
      </c>
      <c r="I8976" t="s">
        <v>10</v>
      </c>
    </row>
    <row r="8977" spans="1:9" x14ac:dyDescent="0.25">
      <c r="A8977" t="str">
        <f t="shared" si="214"/>
        <v>89301000</v>
      </c>
      <c r="B8977" t="str">
        <f>"6160311641"</f>
        <v>6160311641</v>
      </c>
      <c r="C8977" s="1">
        <v>44994</v>
      </c>
      <c r="D8977" s="1">
        <v>45000</v>
      </c>
      <c r="E8977">
        <v>1</v>
      </c>
      <c r="F8977" t="str">
        <f>"01-K01-02"</f>
        <v>01-K01-02</v>
      </c>
      <c r="G8977">
        <v>0.442</v>
      </c>
      <c r="H8977" t="s">
        <v>11</v>
      </c>
      <c r="I8977" t="s">
        <v>10</v>
      </c>
    </row>
    <row r="8978" spans="1:9" x14ac:dyDescent="0.25">
      <c r="A8978" t="str">
        <f t="shared" si="214"/>
        <v>89301000</v>
      </c>
      <c r="B8978" t="str">
        <f>"6161050137"</f>
        <v>6161050137</v>
      </c>
      <c r="C8978" s="1">
        <v>45236</v>
      </c>
      <c r="D8978" s="1">
        <v>45238</v>
      </c>
      <c r="E8978">
        <v>1</v>
      </c>
      <c r="F8978" t="str">
        <f>"05-I14-04"</f>
        <v>05-I14-04</v>
      </c>
      <c r="G8978">
        <v>5.2220000000000004</v>
      </c>
      <c r="H8978" t="s">
        <v>12</v>
      </c>
      <c r="I8978" t="s">
        <v>10</v>
      </c>
    </row>
    <row r="8979" spans="1:9" x14ac:dyDescent="0.25">
      <c r="A8979" t="str">
        <f t="shared" si="214"/>
        <v>89301000</v>
      </c>
      <c r="B8979" t="str">
        <f>"6161080948"</f>
        <v>6161080948</v>
      </c>
      <c r="C8979" s="1">
        <v>45020</v>
      </c>
      <c r="D8979" s="1">
        <v>45025</v>
      </c>
      <c r="E8979">
        <v>1</v>
      </c>
      <c r="F8979" t="str">
        <f>"08-K08-00"</f>
        <v>08-K08-00</v>
      </c>
      <c r="G8979">
        <v>0.5272</v>
      </c>
      <c r="H8979" t="s">
        <v>11</v>
      </c>
      <c r="I8979" t="s">
        <v>10</v>
      </c>
    </row>
    <row r="8980" spans="1:9" x14ac:dyDescent="0.25">
      <c r="A8980" t="str">
        <f t="shared" si="214"/>
        <v>89301000</v>
      </c>
      <c r="B8980" t="str">
        <f>"6161091332"</f>
        <v>6161091332</v>
      </c>
      <c r="C8980" s="1">
        <v>45172</v>
      </c>
      <c r="D8980" s="1">
        <v>45175</v>
      </c>
      <c r="E8980">
        <v>1</v>
      </c>
      <c r="F8980" t="str">
        <f>"08-K02-02"</f>
        <v>08-K02-02</v>
      </c>
      <c r="G8980">
        <v>0.81369999999999998</v>
      </c>
      <c r="H8980" t="s">
        <v>11</v>
      </c>
      <c r="I8980" t="s">
        <v>10</v>
      </c>
    </row>
    <row r="8981" spans="1:9" x14ac:dyDescent="0.25">
      <c r="A8981" t="str">
        <f t="shared" si="214"/>
        <v>89301000</v>
      </c>
      <c r="B8981" t="str">
        <f>"6161151062"</f>
        <v>6161151062</v>
      </c>
      <c r="C8981" s="1">
        <v>44944</v>
      </c>
      <c r="D8981" s="1">
        <v>44949</v>
      </c>
      <c r="E8981">
        <v>1</v>
      </c>
      <c r="F8981" t="str">
        <f>"11-K02-03"</f>
        <v>11-K02-03</v>
      </c>
      <c r="G8981">
        <v>0.86360000000000003</v>
      </c>
      <c r="H8981" t="s">
        <v>11</v>
      </c>
      <c r="I8981" t="s">
        <v>10</v>
      </c>
    </row>
    <row r="8982" spans="1:9" x14ac:dyDescent="0.25">
      <c r="A8982" t="str">
        <f t="shared" si="214"/>
        <v>89301000</v>
      </c>
      <c r="B8982" t="str">
        <f>"6161160720"</f>
        <v>6161160720</v>
      </c>
      <c r="C8982" s="1">
        <v>44952</v>
      </c>
      <c r="D8982" s="1">
        <v>44966</v>
      </c>
      <c r="E8982">
        <v>1</v>
      </c>
      <c r="F8982" t="str">
        <f>"19-K04-02"</f>
        <v>19-K04-02</v>
      </c>
      <c r="G8982">
        <v>1.3379000000000001</v>
      </c>
      <c r="H8982" t="s">
        <v>15</v>
      </c>
      <c r="I8982" t="s">
        <v>10</v>
      </c>
    </row>
    <row r="8983" spans="1:9" x14ac:dyDescent="0.25">
      <c r="A8983" t="str">
        <f t="shared" si="214"/>
        <v>89301000</v>
      </c>
      <c r="B8983" t="str">
        <f>"6161221176"</f>
        <v>6161221176</v>
      </c>
      <c r="C8983" s="1">
        <v>45184</v>
      </c>
      <c r="D8983" s="1">
        <v>45190</v>
      </c>
      <c r="E8983">
        <v>1</v>
      </c>
      <c r="F8983" t="str">
        <f>"01-K12-01"</f>
        <v>01-K12-01</v>
      </c>
      <c r="G8983">
        <v>0.72709999999999997</v>
      </c>
      <c r="H8983" t="s">
        <v>11</v>
      </c>
      <c r="I8983" t="s">
        <v>10</v>
      </c>
    </row>
    <row r="8984" spans="1:9" x14ac:dyDescent="0.25">
      <c r="A8984" t="str">
        <f t="shared" si="214"/>
        <v>89301000</v>
      </c>
      <c r="B8984" t="str">
        <f>"6161230823"</f>
        <v>6161230823</v>
      </c>
      <c r="C8984" s="1">
        <v>44963</v>
      </c>
      <c r="D8984" s="1">
        <v>44966</v>
      </c>
      <c r="E8984">
        <v>1</v>
      </c>
      <c r="F8984" t="str">
        <f>"09-I08-02"</f>
        <v>09-I08-02</v>
      </c>
      <c r="G8984">
        <v>1.1143000000000001</v>
      </c>
      <c r="H8984" t="s">
        <v>14</v>
      </c>
      <c r="I8984" t="s">
        <v>10</v>
      </c>
    </row>
    <row r="8985" spans="1:9" x14ac:dyDescent="0.25">
      <c r="A8985" t="str">
        <f t="shared" si="214"/>
        <v>89301000</v>
      </c>
      <c r="B8985" t="str">
        <f>"6161260677"</f>
        <v>6161260677</v>
      </c>
      <c r="C8985" s="1">
        <v>45202</v>
      </c>
      <c r="D8985" s="1">
        <v>45205</v>
      </c>
      <c r="E8985">
        <v>1</v>
      </c>
      <c r="F8985" t="str">
        <f>"08-M03-05"</f>
        <v>08-M03-05</v>
      </c>
      <c r="G8985">
        <v>0.46810000000000002</v>
      </c>
      <c r="H8985" t="s">
        <v>11</v>
      </c>
      <c r="I8985" t="s">
        <v>10</v>
      </c>
    </row>
    <row r="8986" spans="1:9" x14ac:dyDescent="0.25">
      <c r="A8986" t="str">
        <f t="shared" si="214"/>
        <v>89301000</v>
      </c>
      <c r="B8986" t="str">
        <f>"6161260732"</f>
        <v>6161260732</v>
      </c>
      <c r="C8986" s="1">
        <v>44999</v>
      </c>
      <c r="D8986" s="1">
        <v>45001</v>
      </c>
      <c r="E8986">
        <v>1</v>
      </c>
      <c r="F8986" t="str">
        <f>"04-K10-02"</f>
        <v>04-K10-02</v>
      </c>
      <c r="G8986">
        <v>0.40129999999999999</v>
      </c>
      <c r="H8986" t="s">
        <v>11</v>
      </c>
      <c r="I8986" t="s">
        <v>10</v>
      </c>
    </row>
    <row r="8987" spans="1:9" x14ac:dyDescent="0.25">
      <c r="A8987" t="str">
        <f t="shared" si="214"/>
        <v>89301000</v>
      </c>
      <c r="B8987" t="str">
        <f>"6161260732"</f>
        <v>6161260732</v>
      </c>
      <c r="C8987" s="1">
        <v>45082</v>
      </c>
      <c r="D8987" s="1">
        <v>45099</v>
      </c>
      <c r="E8987">
        <v>1</v>
      </c>
      <c r="F8987" t="str">
        <f>"04-I02-03"</f>
        <v>04-I02-03</v>
      </c>
      <c r="G8987">
        <v>4.1902999999999997</v>
      </c>
      <c r="H8987" t="s">
        <v>14</v>
      </c>
      <c r="I8987" t="s">
        <v>10</v>
      </c>
    </row>
    <row r="8988" spans="1:9" x14ac:dyDescent="0.25">
      <c r="A8988" t="str">
        <f t="shared" si="214"/>
        <v>89301000</v>
      </c>
      <c r="B8988" t="str">
        <f>"6161291334"</f>
        <v>6161291334</v>
      </c>
      <c r="C8988" s="1">
        <v>45222</v>
      </c>
      <c r="D8988" s="1">
        <v>45226</v>
      </c>
      <c r="E8988">
        <v>1</v>
      </c>
      <c r="F8988" t="str">
        <f>"11-M06-03"</f>
        <v>11-M06-03</v>
      </c>
      <c r="G8988">
        <v>0.61150000000000004</v>
      </c>
      <c r="H8988" t="s">
        <v>12</v>
      </c>
      <c r="I8988" t="s">
        <v>10</v>
      </c>
    </row>
    <row r="8989" spans="1:9" x14ac:dyDescent="0.25">
      <c r="A8989" t="str">
        <f t="shared" si="214"/>
        <v>89301000</v>
      </c>
      <c r="B8989" t="str">
        <f>"6161291334"</f>
        <v>6161291334</v>
      </c>
      <c r="C8989" s="1">
        <v>45175</v>
      </c>
      <c r="D8989" s="1">
        <v>45185</v>
      </c>
      <c r="E8989">
        <v>1</v>
      </c>
      <c r="F8989" t="str">
        <f>"11-M06-03"</f>
        <v>11-M06-03</v>
      </c>
      <c r="G8989">
        <v>0.84019999999999995</v>
      </c>
      <c r="H8989" t="s">
        <v>12</v>
      </c>
      <c r="I8989" t="s">
        <v>10</v>
      </c>
    </row>
    <row r="8990" spans="1:9" x14ac:dyDescent="0.25">
      <c r="A8990" t="str">
        <f t="shared" si="214"/>
        <v>89301000</v>
      </c>
      <c r="B8990" t="str">
        <f>"6161301355"</f>
        <v>6161301355</v>
      </c>
      <c r="C8990" s="1">
        <v>45001</v>
      </c>
      <c r="D8990" s="1">
        <v>45004</v>
      </c>
      <c r="E8990">
        <v>1</v>
      </c>
      <c r="F8990" t="str">
        <f>"05-M07-06"</f>
        <v>05-M07-06</v>
      </c>
      <c r="G8990">
        <v>1.2264999999999999</v>
      </c>
      <c r="H8990" t="s">
        <v>12</v>
      </c>
      <c r="I8990" t="s">
        <v>10</v>
      </c>
    </row>
    <row r="8991" spans="1:9" x14ac:dyDescent="0.25">
      <c r="A8991" t="str">
        <f t="shared" si="214"/>
        <v>89301000</v>
      </c>
      <c r="B8991" t="str">
        <f>"6161301355"</f>
        <v>6161301355</v>
      </c>
      <c r="C8991" s="1">
        <v>45051</v>
      </c>
      <c r="D8991" s="1">
        <v>45057</v>
      </c>
      <c r="E8991">
        <v>1</v>
      </c>
      <c r="F8991" t="str">
        <f>"08-I25-02"</f>
        <v>08-I25-02</v>
      </c>
      <c r="G8991">
        <v>0.63629999999999998</v>
      </c>
      <c r="H8991" t="s">
        <v>11</v>
      </c>
      <c r="I8991" t="s">
        <v>10</v>
      </c>
    </row>
    <row r="8992" spans="1:9" x14ac:dyDescent="0.25">
      <c r="A8992" t="str">
        <f t="shared" si="214"/>
        <v>89301000</v>
      </c>
      <c r="B8992" t="str">
        <f>"6161301355"</f>
        <v>6161301355</v>
      </c>
      <c r="C8992" s="1">
        <v>45212</v>
      </c>
      <c r="D8992" s="1">
        <v>45213</v>
      </c>
      <c r="E8992">
        <v>1</v>
      </c>
      <c r="F8992" t="str">
        <f>"16-K02-03"</f>
        <v>16-K02-03</v>
      </c>
      <c r="G8992">
        <v>0.58299999999999996</v>
      </c>
      <c r="H8992" t="s">
        <v>11</v>
      </c>
      <c r="I8992" t="s">
        <v>10</v>
      </c>
    </row>
    <row r="8993" spans="1:9" x14ac:dyDescent="0.25">
      <c r="A8993" t="str">
        <f t="shared" si="214"/>
        <v>89301000</v>
      </c>
      <c r="B8993" t="str">
        <f>"6162010657"</f>
        <v>6162010657</v>
      </c>
      <c r="C8993" s="1">
        <v>44980</v>
      </c>
      <c r="D8993" s="1">
        <v>44984</v>
      </c>
      <c r="E8993">
        <v>1</v>
      </c>
      <c r="F8993" t="str">
        <f>"10-I13-02"</f>
        <v>10-I13-02</v>
      </c>
      <c r="G8993">
        <v>1.1124000000000001</v>
      </c>
      <c r="H8993" t="s">
        <v>9</v>
      </c>
      <c r="I8993" t="s">
        <v>10</v>
      </c>
    </row>
    <row r="8994" spans="1:9" x14ac:dyDescent="0.25">
      <c r="A8994" t="str">
        <f t="shared" si="214"/>
        <v>89301000</v>
      </c>
      <c r="B8994" t="str">
        <f>"6162011372"</f>
        <v>6162011372</v>
      </c>
      <c r="C8994" s="1">
        <v>44979</v>
      </c>
      <c r="D8994" s="1">
        <v>44982</v>
      </c>
      <c r="E8994">
        <v>1</v>
      </c>
      <c r="F8994" t="str">
        <f>"08-I23-02"</f>
        <v>08-I23-02</v>
      </c>
      <c r="G8994">
        <v>0.91059999999999997</v>
      </c>
      <c r="H8994" t="s">
        <v>12</v>
      </c>
      <c r="I8994" t="s">
        <v>10</v>
      </c>
    </row>
    <row r="8995" spans="1:9" x14ac:dyDescent="0.25">
      <c r="A8995" t="str">
        <f t="shared" si="214"/>
        <v>89301000</v>
      </c>
      <c r="B8995" t="str">
        <f>"6162080716"</f>
        <v>6162080716</v>
      </c>
      <c r="C8995" s="1">
        <v>45018</v>
      </c>
      <c r="D8995" s="1">
        <v>45022</v>
      </c>
      <c r="E8995">
        <v>1</v>
      </c>
      <c r="F8995" t="str">
        <f>"13-I11-03"</f>
        <v>13-I11-03</v>
      </c>
      <c r="G8995">
        <v>1.4332</v>
      </c>
      <c r="H8995" t="s">
        <v>9</v>
      </c>
      <c r="I8995" t="s">
        <v>10</v>
      </c>
    </row>
    <row r="8996" spans="1:9" x14ac:dyDescent="0.25">
      <c r="A8996" t="str">
        <f t="shared" si="214"/>
        <v>89301000</v>
      </c>
      <c r="B8996" t="str">
        <f>"6162191167"</f>
        <v>6162191167</v>
      </c>
      <c r="C8996" s="1">
        <v>45050</v>
      </c>
      <c r="D8996" s="1">
        <v>45082</v>
      </c>
      <c r="E8996">
        <v>1</v>
      </c>
      <c r="F8996" t="str">
        <f>"11-K02-03"</f>
        <v>11-K02-03</v>
      </c>
      <c r="G8996">
        <v>2.0013999999999998</v>
      </c>
      <c r="H8996" t="s">
        <v>11</v>
      </c>
      <c r="I8996" t="s">
        <v>10</v>
      </c>
    </row>
    <row r="8997" spans="1:9" x14ac:dyDescent="0.25">
      <c r="A8997" t="str">
        <f t="shared" si="214"/>
        <v>89301000</v>
      </c>
      <c r="B8997" t="str">
        <f>"6162240876"</f>
        <v>6162240876</v>
      </c>
      <c r="C8997" s="1">
        <v>45096</v>
      </c>
      <c r="D8997" s="1">
        <v>45098</v>
      </c>
      <c r="E8997">
        <v>1</v>
      </c>
      <c r="F8997" t="str">
        <f>"05-M05-02"</f>
        <v>05-M05-02</v>
      </c>
      <c r="G8997">
        <v>1.8706</v>
      </c>
      <c r="H8997" t="s">
        <v>14</v>
      </c>
      <c r="I8997" t="s">
        <v>10</v>
      </c>
    </row>
    <row r="8998" spans="1:9" x14ac:dyDescent="0.25">
      <c r="A8998" t="str">
        <f t="shared" si="214"/>
        <v>89301000</v>
      </c>
      <c r="B8998" t="str">
        <f>"6162240876"</f>
        <v>6162240876</v>
      </c>
      <c r="C8998" s="1">
        <v>45159</v>
      </c>
      <c r="D8998" s="1">
        <v>45160</v>
      </c>
      <c r="E8998">
        <v>1</v>
      </c>
      <c r="F8998" t="str">
        <f>"13-I19-00"</f>
        <v>13-I19-00</v>
      </c>
      <c r="G8998">
        <v>0.28249999999999997</v>
      </c>
      <c r="H8998" t="s">
        <v>11</v>
      </c>
      <c r="I8998" t="s">
        <v>10</v>
      </c>
    </row>
    <row r="8999" spans="1:9" x14ac:dyDescent="0.25">
      <c r="A8999" t="str">
        <f t="shared" si="214"/>
        <v>89301000</v>
      </c>
      <c r="B8999" t="str">
        <f>"6162281114"</f>
        <v>6162281114</v>
      </c>
      <c r="C8999" s="1">
        <v>45180</v>
      </c>
      <c r="D8999" s="1">
        <v>45182</v>
      </c>
      <c r="E8999">
        <v>1</v>
      </c>
      <c r="F8999" t="str">
        <f>"09-I04-02"</f>
        <v>09-I04-02</v>
      </c>
      <c r="G8999">
        <v>1.0899000000000001</v>
      </c>
      <c r="H8999" t="s">
        <v>12</v>
      </c>
      <c r="I8999" t="s">
        <v>10</v>
      </c>
    </row>
    <row r="9000" spans="1:9" x14ac:dyDescent="0.25">
      <c r="A9000" t="str">
        <f t="shared" si="214"/>
        <v>89301000</v>
      </c>
      <c r="B9000" t="str">
        <f>"6201041715"</f>
        <v>6201041715</v>
      </c>
      <c r="C9000" s="1">
        <v>44956</v>
      </c>
      <c r="D9000" s="1">
        <v>44964</v>
      </c>
      <c r="E9000">
        <v>1</v>
      </c>
      <c r="F9000" t="str">
        <f>"01-K18-04"</f>
        <v>01-K18-04</v>
      </c>
      <c r="G9000">
        <v>0.628</v>
      </c>
      <c r="H9000" t="s">
        <v>11</v>
      </c>
      <c r="I9000" t="s">
        <v>10</v>
      </c>
    </row>
    <row r="9001" spans="1:9" x14ac:dyDescent="0.25">
      <c r="A9001" t="str">
        <f t="shared" si="214"/>
        <v>89301000</v>
      </c>
      <c r="B9001" t="str">
        <f>"6201080391"</f>
        <v>6201080391</v>
      </c>
      <c r="C9001" s="1">
        <v>45181</v>
      </c>
      <c r="D9001" s="1">
        <v>45183</v>
      </c>
      <c r="E9001">
        <v>1</v>
      </c>
      <c r="F9001" t="str">
        <f>"08-M03-02"</f>
        <v>08-M03-02</v>
      </c>
      <c r="G9001">
        <v>0.91359999999999997</v>
      </c>
      <c r="H9001" t="s">
        <v>11</v>
      </c>
      <c r="I9001" t="s">
        <v>10</v>
      </c>
    </row>
    <row r="9002" spans="1:9" x14ac:dyDescent="0.25">
      <c r="A9002" t="str">
        <f t="shared" si="214"/>
        <v>89301000</v>
      </c>
      <c r="B9002" t="str">
        <f>"6201091413"</f>
        <v>6201091413</v>
      </c>
      <c r="C9002" s="1">
        <v>45044</v>
      </c>
      <c r="D9002" s="1">
        <v>45046</v>
      </c>
      <c r="E9002">
        <v>1</v>
      </c>
      <c r="F9002" t="str">
        <f>"05-M06-06"</f>
        <v>05-M06-06</v>
      </c>
      <c r="G9002">
        <v>1.8264</v>
      </c>
      <c r="H9002" t="s">
        <v>12</v>
      </c>
      <c r="I9002" t="s">
        <v>10</v>
      </c>
    </row>
    <row r="9003" spans="1:9" x14ac:dyDescent="0.25">
      <c r="A9003" t="str">
        <f t="shared" si="214"/>
        <v>89301000</v>
      </c>
      <c r="B9003" t="str">
        <f>"6201111455"</f>
        <v>6201111455</v>
      </c>
      <c r="C9003" s="1">
        <v>45140</v>
      </c>
      <c r="D9003" s="1">
        <v>45147</v>
      </c>
      <c r="E9003">
        <v>1</v>
      </c>
      <c r="F9003" t="str">
        <f>"07-K05-02"</f>
        <v>07-K05-02</v>
      </c>
      <c r="G9003">
        <v>0.64410000000000001</v>
      </c>
      <c r="H9003" t="s">
        <v>11</v>
      </c>
      <c r="I9003" t="s">
        <v>10</v>
      </c>
    </row>
    <row r="9004" spans="1:9" x14ac:dyDescent="0.25">
      <c r="A9004" t="str">
        <f t="shared" si="214"/>
        <v>89301000</v>
      </c>
      <c r="B9004" t="str">
        <f>"6201120739"</f>
        <v>6201120739</v>
      </c>
      <c r="C9004" s="1">
        <v>45000</v>
      </c>
      <c r="D9004" s="1">
        <v>45006</v>
      </c>
      <c r="E9004">
        <v>1</v>
      </c>
      <c r="F9004" t="str">
        <f>"08-I03-03"</f>
        <v>08-I03-03</v>
      </c>
      <c r="G9004">
        <v>4.3754</v>
      </c>
      <c r="H9004" t="s">
        <v>9</v>
      </c>
      <c r="I9004" t="s">
        <v>10</v>
      </c>
    </row>
    <row r="9005" spans="1:9" x14ac:dyDescent="0.25">
      <c r="A9005" t="str">
        <f t="shared" si="214"/>
        <v>89301000</v>
      </c>
      <c r="B9005" t="str">
        <f>"6201150483"</f>
        <v>6201150483</v>
      </c>
      <c r="C9005" s="1">
        <v>45153</v>
      </c>
      <c r="D9005" s="1">
        <v>45155</v>
      </c>
      <c r="E9005">
        <v>1</v>
      </c>
      <c r="F9005" t="str">
        <f>"10-K15-02"</f>
        <v>10-K15-02</v>
      </c>
      <c r="G9005">
        <v>0.66379999999999995</v>
      </c>
      <c r="H9005" t="s">
        <v>11</v>
      </c>
      <c r="I9005" t="s">
        <v>10</v>
      </c>
    </row>
    <row r="9006" spans="1:9" x14ac:dyDescent="0.25">
      <c r="A9006" t="str">
        <f t="shared" si="214"/>
        <v>89301000</v>
      </c>
      <c r="B9006" t="str">
        <f>"6201161527"</f>
        <v>6201161527</v>
      </c>
      <c r="C9006" s="1">
        <v>45057</v>
      </c>
      <c r="D9006" s="1">
        <v>45060</v>
      </c>
      <c r="E9006">
        <v>1</v>
      </c>
      <c r="F9006" t="str">
        <f>"05-M07-04"</f>
        <v>05-M07-04</v>
      </c>
      <c r="G9006">
        <v>1.7763</v>
      </c>
      <c r="H9006" t="s">
        <v>12</v>
      </c>
      <c r="I9006" t="s">
        <v>10</v>
      </c>
    </row>
    <row r="9007" spans="1:9" x14ac:dyDescent="0.25">
      <c r="A9007" t="str">
        <f t="shared" si="214"/>
        <v>89301000</v>
      </c>
      <c r="B9007" t="str">
        <f>"6201201644"</f>
        <v>6201201644</v>
      </c>
      <c r="C9007" s="1">
        <v>45191</v>
      </c>
      <c r="D9007" s="1">
        <v>45195</v>
      </c>
      <c r="E9007">
        <v>3</v>
      </c>
      <c r="F9007" t="str">
        <f>"08-I04-02"</f>
        <v>08-I04-02</v>
      </c>
      <c r="G9007">
        <v>1.6229</v>
      </c>
      <c r="H9007" t="s">
        <v>14</v>
      </c>
      <c r="I9007" t="s">
        <v>10</v>
      </c>
    </row>
    <row r="9008" spans="1:9" x14ac:dyDescent="0.25">
      <c r="A9008" t="str">
        <f t="shared" ref="A9008:A9070" si="215">"89301000"</f>
        <v>89301000</v>
      </c>
      <c r="B9008" t="str">
        <f>"6201201644"</f>
        <v>6201201644</v>
      </c>
      <c r="C9008" s="1">
        <v>45195</v>
      </c>
      <c r="D9008" s="1">
        <v>45205</v>
      </c>
      <c r="E9008">
        <v>1</v>
      </c>
      <c r="F9008" t="str">
        <f>"24-M06-02"</f>
        <v>24-M06-02</v>
      </c>
      <c r="G9008">
        <v>1.0699000000000001</v>
      </c>
      <c r="H9008" t="s">
        <v>11</v>
      </c>
      <c r="I9008" t="s">
        <v>10</v>
      </c>
    </row>
    <row r="9009" spans="1:9" x14ac:dyDescent="0.25">
      <c r="A9009" t="str">
        <f t="shared" si="215"/>
        <v>89301000</v>
      </c>
      <c r="B9009" t="str">
        <f>"6201201798"</f>
        <v>6201201798</v>
      </c>
      <c r="C9009" s="1">
        <v>45236</v>
      </c>
      <c r="D9009" s="1">
        <v>45250</v>
      </c>
      <c r="E9009">
        <v>1</v>
      </c>
      <c r="F9009" t="str">
        <f>"08-K04-01"</f>
        <v>08-K04-01</v>
      </c>
      <c r="G9009">
        <v>0.90980000000000005</v>
      </c>
      <c r="H9009" t="s">
        <v>11</v>
      </c>
      <c r="I9009" t="s">
        <v>10</v>
      </c>
    </row>
    <row r="9010" spans="1:9" x14ac:dyDescent="0.25">
      <c r="A9010" t="str">
        <f t="shared" si="215"/>
        <v>89301000</v>
      </c>
      <c r="B9010" t="str">
        <f>"6201201798"</f>
        <v>6201201798</v>
      </c>
      <c r="C9010" s="1">
        <v>45089</v>
      </c>
      <c r="D9010" s="1">
        <v>45099</v>
      </c>
      <c r="E9010">
        <v>4</v>
      </c>
      <c r="F9010" t="str">
        <f>"00-M01-01"</f>
        <v>00-M01-01</v>
      </c>
      <c r="G9010">
        <v>16.065100000000001</v>
      </c>
      <c r="H9010" t="s">
        <v>11</v>
      </c>
      <c r="I9010" t="s">
        <v>10</v>
      </c>
    </row>
    <row r="9011" spans="1:9" x14ac:dyDescent="0.25">
      <c r="A9011" t="str">
        <f t="shared" si="215"/>
        <v>89301000</v>
      </c>
      <c r="B9011" t="str">
        <f>"6202071964"</f>
        <v>6202071964</v>
      </c>
      <c r="C9011" s="1">
        <v>44995</v>
      </c>
      <c r="D9011" s="1">
        <v>45007</v>
      </c>
      <c r="E9011">
        <v>1</v>
      </c>
      <c r="F9011" t="str">
        <f>"05-I18-02"</f>
        <v>05-I18-02</v>
      </c>
      <c r="G9011">
        <v>8.4535</v>
      </c>
      <c r="H9011" t="s">
        <v>12</v>
      </c>
      <c r="I9011" t="s">
        <v>10</v>
      </c>
    </row>
    <row r="9012" spans="1:9" x14ac:dyDescent="0.25">
      <c r="A9012" t="str">
        <f t="shared" si="215"/>
        <v>89301000</v>
      </c>
      <c r="B9012" t="str">
        <f>"6202080313"</f>
        <v>6202080313</v>
      </c>
      <c r="C9012" s="1">
        <v>45086</v>
      </c>
      <c r="D9012" s="1">
        <v>45091</v>
      </c>
      <c r="E9012">
        <v>1</v>
      </c>
      <c r="F9012" t="str">
        <f>"05-D01-06"</f>
        <v>05-D01-06</v>
      </c>
      <c r="G9012">
        <v>0.7571</v>
      </c>
      <c r="H9012" t="s">
        <v>11</v>
      </c>
      <c r="I9012" t="s">
        <v>10</v>
      </c>
    </row>
    <row r="9013" spans="1:9" x14ac:dyDescent="0.25">
      <c r="A9013" t="str">
        <f t="shared" si="215"/>
        <v>89301000</v>
      </c>
      <c r="B9013" t="str">
        <f>"6202090455"</f>
        <v>6202090455</v>
      </c>
      <c r="C9013" s="1">
        <v>44971</v>
      </c>
      <c r="D9013" s="1">
        <v>44986</v>
      </c>
      <c r="E9013">
        <v>4</v>
      </c>
      <c r="F9013" t="str">
        <f>"08-I05-03"</f>
        <v>08-I05-03</v>
      </c>
      <c r="G9013">
        <v>2.8450000000000002</v>
      </c>
      <c r="H9013" t="s">
        <v>12</v>
      </c>
      <c r="I9013" t="s">
        <v>10</v>
      </c>
    </row>
    <row r="9014" spans="1:9" x14ac:dyDescent="0.25">
      <c r="A9014" t="str">
        <f t="shared" si="215"/>
        <v>89301000</v>
      </c>
      <c r="B9014" t="str">
        <f>"6202170249"</f>
        <v>6202170249</v>
      </c>
      <c r="C9014" s="1">
        <v>44949</v>
      </c>
      <c r="D9014" s="1">
        <v>44952</v>
      </c>
      <c r="E9014">
        <v>4</v>
      </c>
      <c r="F9014" t="str">
        <f>"09-K13-02"</f>
        <v>09-K13-02</v>
      </c>
      <c r="G9014">
        <v>0.31190000000000001</v>
      </c>
      <c r="H9014" t="s">
        <v>11</v>
      </c>
      <c r="I9014" t="s">
        <v>10</v>
      </c>
    </row>
    <row r="9015" spans="1:9" x14ac:dyDescent="0.25">
      <c r="A9015" t="str">
        <f t="shared" si="215"/>
        <v>89301000</v>
      </c>
      <c r="B9015" t="str">
        <f>"6202202435"</f>
        <v>6202202435</v>
      </c>
      <c r="C9015" s="1">
        <v>45282</v>
      </c>
      <c r="D9015" s="1">
        <v>45285</v>
      </c>
      <c r="E9015">
        <v>1</v>
      </c>
      <c r="F9015" t="str">
        <f>"08-I16-03"</f>
        <v>08-I16-03</v>
      </c>
      <c r="G9015">
        <v>1.3762000000000001</v>
      </c>
      <c r="H9015" t="s">
        <v>12</v>
      </c>
      <c r="I9015" t="s">
        <v>10</v>
      </c>
    </row>
    <row r="9016" spans="1:9" x14ac:dyDescent="0.25">
      <c r="A9016" t="str">
        <f t="shared" si="215"/>
        <v>89301000</v>
      </c>
      <c r="B9016" t="str">
        <f>"6202271658"</f>
        <v>6202271658</v>
      </c>
      <c r="C9016" s="1">
        <v>45110</v>
      </c>
      <c r="D9016" s="1">
        <v>45113</v>
      </c>
      <c r="E9016">
        <v>1</v>
      </c>
      <c r="F9016" t="str">
        <f>"05-M07-04"</f>
        <v>05-M07-04</v>
      </c>
      <c r="G9016">
        <v>1.7763</v>
      </c>
      <c r="H9016" t="s">
        <v>12</v>
      </c>
      <c r="I9016" t="s">
        <v>10</v>
      </c>
    </row>
    <row r="9017" spans="1:9" x14ac:dyDescent="0.25">
      <c r="A9017" t="str">
        <f t="shared" si="215"/>
        <v>89301000</v>
      </c>
      <c r="B9017" t="str">
        <f>"6203061909"</f>
        <v>6203061909</v>
      </c>
      <c r="C9017" s="1">
        <v>45139</v>
      </c>
      <c r="D9017" s="1">
        <v>45142</v>
      </c>
      <c r="E9017">
        <v>1</v>
      </c>
      <c r="F9017" t="str">
        <f>"05-D01-06"</f>
        <v>05-D01-06</v>
      </c>
      <c r="G9017">
        <v>0.7571</v>
      </c>
      <c r="H9017" t="s">
        <v>11</v>
      </c>
      <c r="I9017" t="s">
        <v>10</v>
      </c>
    </row>
    <row r="9018" spans="1:9" x14ac:dyDescent="0.25">
      <c r="A9018" t="str">
        <f t="shared" si="215"/>
        <v>89301000</v>
      </c>
      <c r="B9018" t="str">
        <f>"6203061909"</f>
        <v>6203061909</v>
      </c>
      <c r="C9018" s="1">
        <v>45051</v>
      </c>
      <c r="D9018" s="1">
        <v>45052</v>
      </c>
      <c r="E9018">
        <v>1</v>
      </c>
      <c r="F9018" t="str">
        <f>"05-D01-08"</f>
        <v>05-D01-08</v>
      </c>
      <c r="G9018">
        <v>0.43159999999999998</v>
      </c>
      <c r="H9018" t="s">
        <v>11</v>
      </c>
      <c r="I9018" t="s">
        <v>10</v>
      </c>
    </row>
    <row r="9019" spans="1:9" x14ac:dyDescent="0.25">
      <c r="A9019" t="str">
        <f t="shared" si="215"/>
        <v>89301000</v>
      </c>
      <c r="B9019" t="str">
        <f>"6203080158"</f>
        <v>6203080158</v>
      </c>
      <c r="C9019" s="1">
        <v>45083</v>
      </c>
      <c r="D9019" s="1">
        <v>45085</v>
      </c>
      <c r="E9019">
        <v>1</v>
      </c>
      <c r="F9019" t="str">
        <f>"11-M05-02"</f>
        <v>11-M05-02</v>
      </c>
      <c r="G9019">
        <v>0.6694</v>
      </c>
      <c r="H9019" t="s">
        <v>12</v>
      </c>
      <c r="I9019" t="s">
        <v>10</v>
      </c>
    </row>
    <row r="9020" spans="1:9" x14ac:dyDescent="0.25">
      <c r="A9020" t="str">
        <f t="shared" si="215"/>
        <v>89301000</v>
      </c>
      <c r="B9020" t="str">
        <f>"6203090432"</f>
        <v>6203090432</v>
      </c>
      <c r="C9020" s="1">
        <v>44970</v>
      </c>
      <c r="D9020" s="1">
        <v>44972</v>
      </c>
      <c r="E9020">
        <v>1</v>
      </c>
      <c r="F9020" t="str">
        <f>"05-M05-02"</f>
        <v>05-M05-02</v>
      </c>
      <c r="G9020">
        <v>3.4817999999999998</v>
      </c>
      <c r="H9020" t="s">
        <v>14</v>
      </c>
      <c r="I9020" t="s">
        <v>10</v>
      </c>
    </row>
    <row r="9021" spans="1:9" x14ac:dyDescent="0.25">
      <c r="A9021" t="str">
        <f t="shared" si="215"/>
        <v>89301000</v>
      </c>
      <c r="B9021" t="str">
        <f>"6203101916"</f>
        <v>6203101916</v>
      </c>
      <c r="C9021" s="1">
        <v>45180</v>
      </c>
      <c r="D9021" s="1">
        <v>45184</v>
      </c>
      <c r="E9021">
        <v>1</v>
      </c>
      <c r="F9021" t="str">
        <f>"12-M02-02"</f>
        <v>12-M02-02</v>
      </c>
      <c r="G9021">
        <v>0.95020000000000004</v>
      </c>
      <c r="H9021" t="s">
        <v>9</v>
      </c>
      <c r="I9021" t="s">
        <v>10</v>
      </c>
    </row>
    <row r="9022" spans="1:9" x14ac:dyDescent="0.25">
      <c r="A9022" t="str">
        <f t="shared" si="215"/>
        <v>89301000</v>
      </c>
      <c r="B9022" t="str">
        <f>"6203142165"</f>
        <v>6203142165</v>
      </c>
      <c r="C9022" s="1">
        <v>45027</v>
      </c>
      <c r="D9022" s="1">
        <v>45035</v>
      </c>
      <c r="E9022">
        <v>1</v>
      </c>
      <c r="F9022" t="str">
        <f>"05-I08-02"</f>
        <v>05-I08-02</v>
      </c>
      <c r="G9022">
        <v>7.6098999999999997</v>
      </c>
      <c r="H9022" t="s">
        <v>14</v>
      </c>
      <c r="I9022" t="s">
        <v>10</v>
      </c>
    </row>
    <row r="9023" spans="1:9" x14ac:dyDescent="0.25">
      <c r="A9023" t="str">
        <f t="shared" si="215"/>
        <v>89301000</v>
      </c>
      <c r="B9023" t="str">
        <f>"6203171711"</f>
        <v>6203171711</v>
      </c>
      <c r="C9023" s="1">
        <v>45196</v>
      </c>
      <c r="D9023" s="1">
        <v>45196</v>
      </c>
      <c r="E9023">
        <v>1</v>
      </c>
      <c r="F9023" t="str">
        <f>"05-D01-08"</f>
        <v>05-D01-08</v>
      </c>
      <c r="G9023">
        <v>0.2303</v>
      </c>
      <c r="H9023" t="s">
        <v>11</v>
      </c>
      <c r="I9023" t="s">
        <v>10</v>
      </c>
    </row>
    <row r="9024" spans="1:9" x14ac:dyDescent="0.25">
      <c r="A9024" t="str">
        <f t="shared" si="215"/>
        <v>89301000</v>
      </c>
      <c r="B9024" t="str">
        <f>"6203271723"</f>
        <v>6203271723</v>
      </c>
      <c r="C9024" s="1">
        <v>45091</v>
      </c>
      <c r="D9024" s="1">
        <v>45093</v>
      </c>
      <c r="E9024">
        <v>1</v>
      </c>
      <c r="F9024" t="str">
        <f>"08-I25-02"</f>
        <v>08-I25-02</v>
      </c>
      <c r="G9024">
        <v>0.55279999999999996</v>
      </c>
      <c r="H9024" t="s">
        <v>11</v>
      </c>
      <c r="I9024" t="s">
        <v>10</v>
      </c>
    </row>
    <row r="9025" spans="1:9" x14ac:dyDescent="0.25">
      <c r="A9025" t="str">
        <f t="shared" si="215"/>
        <v>89301000</v>
      </c>
      <c r="B9025" t="str">
        <f t="shared" ref="B9025:B9030" si="216">"6204011957"</f>
        <v>6204011957</v>
      </c>
      <c r="C9025" s="1">
        <v>45030</v>
      </c>
      <c r="D9025" s="1">
        <v>45033</v>
      </c>
      <c r="E9025">
        <v>1</v>
      </c>
      <c r="F9025" t="str">
        <f t="shared" ref="F9025:F9030" si="217">"07-C01-02"</f>
        <v>07-C01-02</v>
      </c>
      <c r="G9025">
        <v>0.3483</v>
      </c>
      <c r="H9025" t="s">
        <v>11</v>
      </c>
      <c r="I9025" t="s">
        <v>10</v>
      </c>
    </row>
    <row r="9026" spans="1:9" x14ac:dyDescent="0.25">
      <c r="A9026" t="str">
        <f t="shared" si="215"/>
        <v>89301000</v>
      </c>
      <c r="B9026" t="str">
        <f t="shared" si="216"/>
        <v>6204011957</v>
      </c>
      <c r="C9026" s="1">
        <v>44988</v>
      </c>
      <c r="D9026" s="1">
        <v>44990</v>
      </c>
      <c r="E9026">
        <v>1</v>
      </c>
      <c r="F9026" t="str">
        <f t="shared" si="217"/>
        <v>07-C01-02</v>
      </c>
      <c r="G9026">
        <v>0.3483</v>
      </c>
      <c r="H9026" t="s">
        <v>11</v>
      </c>
      <c r="I9026" t="s">
        <v>10</v>
      </c>
    </row>
    <row r="9027" spans="1:9" x14ac:dyDescent="0.25">
      <c r="A9027" t="str">
        <f t="shared" si="215"/>
        <v>89301000</v>
      </c>
      <c r="B9027" t="str">
        <f t="shared" si="216"/>
        <v>6204011957</v>
      </c>
      <c r="C9027" s="1">
        <v>45002</v>
      </c>
      <c r="D9027" s="1">
        <v>45004</v>
      </c>
      <c r="E9027">
        <v>1</v>
      </c>
      <c r="F9027" t="str">
        <f t="shared" si="217"/>
        <v>07-C01-02</v>
      </c>
      <c r="G9027">
        <v>0.3483</v>
      </c>
      <c r="H9027" t="s">
        <v>11</v>
      </c>
      <c r="I9027" t="s">
        <v>10</v>
      </c>
    </row>
    <row r="9028" spans="1:9" x14ac:dyDescent="0.25">
      <c r="A9028" t="str">
        <f t="shared" si="215"/>
        <v>89301000</v>
      </c>
      <c r="B9028" t="str">
        <f t="shared" si="216"/>
        <v>6204011957</v>
      </c>
      <c r="C9028" s="1">
        <v>45016</v>
      </c>
      <c r="D9028" s="1">
        <v>45018</v>
      </c>
      <c r="E9028">
        <v>1</v>
      </c>
      <c r="F9028" t="str">
        <f t="shared" si="217"/>
        <v>07-C01-02</v>
      </c>
      <c r="G9028">
        <v>0.3483</v>
      </c>
      <c r="H9028" t="s">
        <v>11</v>
      </c>
      <c r="I9028" t="s">
        <v>10</v>
      </c>
    </row>
    <row r="9029" spans="1:9" x14ac:dyDescent="0.25">
      <c r="A9029" t="str">
        <f t="shared" si="215"/>
        <v>89301000</v>
      </c>
      <c r="B9029" t="str">
        <f t="shared" si="216"/>
        <v>6204011957</v>
      </c>
      <c r="C9029" s="1">
        <v>44960</v>
      </c>
      <c r="D9029" s="1">
        <v>44962</v>
      </c>
      <c r="E9029">
        <v>1</v>
      </c>
      <c r="F9029" t="str">
        <f t="shared" si="217"/>
        <v>07-C01-02</v>
      </c>
      <c r="G9029">
        <v>0.3483</v>
      </c>
      <c r="H9029" t="s">
        <v>11</v>
      </c>
      <c r="I9029" t="s">
        <v>10</v>
      </c>
    </row>
    <row r="9030" spans="1:9" x14ac:dyDescent="0.25">
      <c r="A9030" t="str">
        <f t="shared" si="215"/>
        <v>89301000</v>
      </c>
      <c r="B9030" t="str">
        <f t="shared" si="216"/>
        <v>6204011957</v>
      </c>
      <c r="C9030" s="1">
        <v>44974</v>
      </c>
      <c r="D9030" s="1">
        <v>44976</v>
      </c>
      <c r="E9030">
        <v>1</v>
      </c>
      <c r="F9030" t="str">
        <f t="shared" si="217"/>
        <v>07-C01-02</v>
      </c>
      <c r="G9030">
        <v>0.3483</v>
      </c>
      <c r="H9030" t="s">
        <v>11</v>
      </c>
      <c r="I9030" t="s">
        <v>10</v>
      </c>
    </row>
    <row r="9031" spans="1:9" x14ac:dyDescent="0.25">
      <c r="A9031" t="str">
        <f t="shared" si="215"/>
        <v>89301000</v>
      </c>
      <c r="B9031" t="str">
        <f>"6204161381"</f>
        <v>6204161381</v>
      </c>
      <c r="C9031" s="1">
        <v>45267</v>
      </c>
      <c r="D9031" s="1">
        <v>45269</v>
      </c>
      <c r="E9031">
        <v>1</v>
      </c>
      <c r="F9031" t="str">
        <f>"05-M06-06"</f>
        <v>05-M06-06</v>
      </c>
      <c r="G9031">
        <v>1.8264</v>
      </c>
      <c r="H9031" t="s">
        <v>12</v>
      </c>
      <c r="I9031" t="s">
        <v>10</v>
      </c>
    </row>
    <row r="9032" spans="1:9" x14ac:dyDescent="0.25">
      <c r="A9032" t="str">
        <f t="shared" si="215"/>
        <v>89301000</v>
      </c>
      <c r="B9032" t="str">
        <f>"6204182633"</f>
        <v>6204182633</v>
      </c>
      <c r="C9032" s="1">
        <v>45224</v>
      </c>
      <c r="D9032" s="1">
        <v>45229</v>
      </c>
      <c r="E9032">
        <v>3</v>
      </c>
      <c r="F9032" t="str">
        <f>"08-I06-04"</f>
        <v>08-I06-04</v>
      </c>
      <c r="G9032">
        <v>2.3887999999999998</v>
      </c>
      <c r="H9032" t="s">
        <v>9</v>
      </c>
      <c r="I9032" t="s">
        <v>10</v>
      </c>
    </row>
    <row r="9033" spans="1:9" x14ac:dyDescent="0.25">
      <c r="A9033" t="str">
        <f t="shared" si="215"/>
        <v>89301000</v>
      </c>
      <c r="B9033" t="str">
        <f>"6204182633"</f>
        <v>6204182633</v>
      </c>
      <c r="C9033" s="1">
        <v>45229</v>
      </c>
      <c r="D9033" s="1">
        <v>45240</v>
      </c>
      <c r="E9033">
        <v>1</v>
      </c>
      <c r="F9033" t="str">
        <f>"24-M06-02"</f>
        <v>24-M06-02</v>
      </c>
      <c r="G9033">
        <v>1.0699000000000001</v>
      </c>
      <c r="H9033" t="s">
        <v>11</v>
      </c>
      <c r="I9033" t="s">
        <v>10</v>
      </c>
    </row>
    <row r="9034" spans="1:9" x14ac:dyDescent="0.25">
      <c r="A9034" t="str">
        <f t="shared" si="215"/>
        <v>89301000</v>
      </c>
      <c r="B9034" t="str">
        <f>"6204281061"</f>
        <v>6204281061</v>
      </c>
      <c r="C9034" s="1">
        <v>44907</v>
      </c>
      <c r="D9034" s="1">
        <v>44943</v>
      </c>
      <c r="E9034">
        <v>5</v>
      </c>
      <c r="F9034" t="str">
        <f>"01-I06-02"</f>
        <v>01-I06-02</v>
      </c>
      <c r="G9034">
        <v>8.0610999999999997</v>
      </c>
      <c r="H9034" t="s">
        <v>12</v>
      </c>
      <c r="I9034" t="s">
        <v>10</v>
      </c>
    </row>
    <row r="9035" spans="1:9" x14ac:dyDescent="0.25">
      <c r="A9035" t="str">
        <f t="shared" si="215"/>
        <v>89301000</v>
      </c>
      <c r="B9035" t="str">
        <f>"6204281061"</f>
        <v>6204281061</v>
      </c>
      <c r="C9035" s="1">
        <v>44965</v>
      </c>
      <c r="D9035" s="1">
        <v>44977</v>
      </c>
      <c r="E9035">
        <v>1</v>
      </c>
      <c r="F9035" t="str">
        <f>"01-K03-08"</f>
        <v>01-K03-08</v>
      </c>
      <c r="G9035">
        <v>0.80059999999999998</v>
      </c>
      <c r="H9035" t="s">
        <v>11</v>
      </c>
      <c r="I9035" t="s">
        <v>10</v>
      </c>
    </row>
    <row r="9036" spans="1:9" x14ac:dyDescent="0.25">
      <c r="A9036" t="str">
        <f t="shared" si="215"/>
        <v>89301000</v>
      </c>
      <c r="B9036" t="str">
        <f>"6204281061"</f>
        <v>6204281061</v>
      </c>
      <c r="C9036" s="1">
        <v>45023</v>
      </c>
      <c r="D9036" s="1">
        <v>45036</v>
      </c>
      <c r="E9036">
        <v>1</v>
      </c>
      <c r="F9036" t="str">
        <f>"11-K08-01"</f>
        <v>11-K08-01</v>
      </c>
      <c r="G9036">
        <v>1.1573</v>
      </c>
      <c r="H9036" t="s">
        <v>11</v>
      </c>
      <c r="I9036" t="s">
        <v>10</v>
      </c>
    </row>
    <row r="9037" spans="1:9" x14ac:dyDescent="0.25">
      <c r="A9037" t="str">
        <f t="shared" si="215"/>
        <v>89301000</v>
      </c>
      <c r="B9037" t="str">
        <f>"6205061412"</f>
        <v>6205061412</v>
      </c>
      <c r="C9037" s="1">
        <v>44968</v>
      </c>
      <c r="D9037" s="1">
        <v>44970</v>
      </c>
      <c r="E9037">
        <v>4</v>
      </c>
      <c r="F9037" t="str">
        <f>"08-K12-02"</f>
        <v>08-K12-02</v>
      </c>
      <c r="G9037">
        <v>0.75429999999999997</v>
      </c>
      <c r="H9037" t="s">
        <v>11</v>
      </c>
      <c r="I9037" t="s">
        <v>10</v>
      </c>
    </row>
    <row r="9038" spans="1:9" x14ac:dyDescent="0.25">
      <c r="A9038" t="str">
        <f t="shared" si="215"/>
        <v>89301000</v>
      </c>
      <c r="B9038" t="str">
        <f>"6205240074"</f>
        <v>6205240074</v>
      </c>
      <c r="C9038" s="1">
        <v>45051</v>
      </c>
      <c r="D9038" s="1">
        <v>45055</v>
      </c>
      <c r="E9038">
        <v>1</v>
      </c>
      <c r="F9038" t="str">
        <f>"08-I04-02"</f>
        <v>08-I04-02</v>
      </c>
      <c r="G9038">
        <v>1.6229</v>
      </c>
      <c r="H9038" t="s">
        <v>14</v>
      </c>
      <c r="I9038" t="s">
        <v>10</v>
      </c>
    </row>
    <row r="9039" spans="1:9" x14ac:dyDescent="0.25">
      <c r="A9039" t="str">
        <f t="shared" si="215"/>
        <v>89301000</v>
      </c>
      <c r="B9039" t="str">
        <f>"6205240514"</f>
        <v>6205240514</v>
      </c>
      <c r="C9039" s="1">
        <v>45230</v>
      </c>
      <c r="D9039" s="1">
        <v>45231</v>
      </c>
      <c r="E9039">
        <v>1</v>
      </c>
      <c r="F9039" t="str">
        <f>"08-I17-02"</f>
        <v>08-I17-02</v>
      </c>
      <c r="G9039">
        <v>0.89680000000000004</v>
      </c>
      <c r="H9039" t="s">
        <v>11</v>
      </c>
      <c r="I9039" t="s">
        <v>10</v>
      </c>
    </row>
    <row r="9040" spans="1:9" x14ac:dyDescent="0.25">
      <c r="A9040" t="str">
        <f t="shared" si="215"/>
        <v>89301000</v>
      </c>
      <c r="B9040" t="str">
        <f>"6205290091"</f>
        <v>6205290091</v>
      </c>
      <c r="C9040" s="1">
        <v>45172</v>
      </c>
      <c r="D9040" s="1">
        <v>45175</v>
      </c>
      <c r="E9040">
        <v>1</v>
      </c>
      <c r="F9040" t="str">
        <f>"05-M07-01"</f>
        <v>05-M07-01</v>
      </c>
      <c r="G9040">
        <v>5.0646000000000004</v>
      </c>
      <c r="H9040" t="s">
        <v>12</v>
      </c>
      <c r="I9040" t="s">
        <v>10</v>
      </c>
    </row>
    <row r="9041" spans="1:9" x14ac:dyDescent="0.25">
      <c r="A9041" t="str">
        <f t="shared" si="215"/>
        <v>89301000</v>
      </c>
      <c r="B9041" t="str">
        <f>"6205300563"</f>
        <v>6205300563</v>
      </c>
      <c r="C9041" s="1">
        <v>45264</v>
      </c>
      <c r="D9041" s="1">
        <v>45265</v>
      </c>
      <c r="E9041">
        <v>1</v>
      </c>
      <c r="F9041" t="str">
        <f>"06-I16-04"</f>
        <v>06-I16-04</v>
      </c>
      <c r="G9041">
        <v>0.68920000000000003</v>
      </c>
      <c r="H9041" t="s">
        <v>9</v>
      </c>
      <c r="I9041" t="s">
        <v>10</v>
      </c>
    </row>
    <row r="9042" spans="1:9" x14ac:dyDescent="0.25">
      <c r="A9042" t="str">
        <f t="shared" si="215"/>
        <v>89301000</v>
      </c>
      <c r="B9042" t="str">
        <f>"6205310562"</f>
        <v>6205310562</v>
      </c>
      <c r="C9042" s="1">
        <v>45077</v>
      </c>
      <c r="D9042" s="1">
        <v>45082</v>
      </c>
      <c r="E9042">
        <v>1</v>
      </c>
      <c r="F9042" t="str">
        <f>"01-K04-02"</f>
        <v>01-K04-02</v>
      </c>
      <c r="G9042">
        <v>0.79990000000000006</v>
      </c>
      <c r="H9042" t="s">
        <v>11</v>
      </c>
      <c r="I9042" t="s">
        <v>10</v>
      </c>
    </row>
    <row r="9043" spans="1:9" x14ac:dyDescent="0.25">
      <c r="A9043" t="str">
        <f t="shared" si="215"/>
        <v>89301000</v>
      </c>
      <c r="B9043" t="str">
        <f>"6205310562"</f>
        <v>6205310562</v>
      </c>
      <c r="C9043" s="1">
        <v>45175</v>
      </c>
      <c r="D9043" s="1">
        <v>45190</v>
      </c>
      <c r="E9043">
        <v>1</v>
      </c>
      <c r="F9043" t="str">
        <f>"01-I01-01"</f>
        <v>01-I01-01</v>
      </c>
      <c r="G9043">
        <v>15.636699999999999</v>
      </c>
      <c r="H9043" t="s">
        <v>14</v>
      </c>
      <c r="I9043" t="s">
        <v>10</v>
      </c>
    </row>
    <row r="9044" spans="1:9" x14ac:dyDescent="0.25">
      <c r="A9044" t="str">
        <f t="shared" si="215"/>
        <v>89301000</v>
      </c>
      <c r="B9044" t="str">
        <f>"6205310562"</f>
        <v>6205310562</v>
      </c>
      <c r="C9044" s="1">
        <v>45215</v>
      </c>
      <c r="D9044" s="1">
        <v>45218</v>
      </c>
      <c r="E9044">
        <v>1</v>
      </c>
      <c r="F9044" t="str">
        <f>"01-K04-02"</f>
        <v>01-K04-02</v>
      </c>
      <c r="G9044">
        <v>0.79990000000000006</v>
      </c>
      <c r="H9044" t="s">
        <v>11</v>
      </c>
      <c r="I9044" t="s">
        <v>10</v>
      </c>
    </row>
    <row r="9045" spans="1:9" x14ac:dyDescent="0.25">
      <c r="A9045" t="str">
        <f t="shared" si="215"/>
        <v>89301000</v>
      </c>
      <c r="B9045" t="str">
        <f>"6206010536"</f>
        <v>6206010536</v>
      </c>
      <c r="C9045" s="1">
        <v>45151</v>
      </c>
      <c r="D9045" s="1">
        <v>45154</v>
      </c>
      <c r="E9045">
        <v>1</v>
      </c>
      <c r="F9045" t="str">
        <f>"08-I15-02"</f>
        <v>08-I15-02</v>
      </c>
      <c r="G9045">
        <v>1.5535000000000001</v>
      </c>
      <c r="H9045" t="s">
        <v>12</v>
      </c>
      <c r="I9045" t="s">
        <v>10</v>
      </c>
    </row>
    <row r="9046" spans="1:9" x14ac:dyDescent="0.25">
      <c r="A9046" t="str">
        <f t="shared" si="215"/>
        <v>89301000</v>
      </c>
      <c r="B9046" t="str">
        <f>"6206170795"</f>
        <v>6206170795</v>
      </c>
      <c r="C9046" s="1">
        <v>45128</v>
      </c>
      <c r="D9046" s="1">
        <v>45130</v>
      </c>
      <c r="E9046">
        <v>1</v>
      </c>
      <c r="F9046" t="str">
        <f>"07-K04-03"</f>
        <v>07-K04-03</v>
      </c>
      <c r="G9046">
        <v>0.93859999999999999</v>
      </c>
      <c r="H9046" t="s">
        <v>11</v>
      </c>
      <c r="I9046" t="s">
        <v>10</v>
      </c>
    </row>
    <row r="9047" spans="1:9" x14ac:dyDescent="0.25">
      <c r="A9047" t="str">
        <f t="shared" si="215"/>
        <v>89301000</v>
      </c>
      <c r="B9047" t="str">
        <f>"6206170795"</f>
        <v>6206170795</v>
      </c>
      <c r="C9047" s="1">
        <v>45157</v>
      </c>
      <c r="D9047" s="1">
        <v>45180</v>
      </c>
      <c r="E9047">
        <v>4</v>
      </c>
      <c r="F9047" t="str">
        <f>"01-K18-03"</f>
        <v>01-K18-03</v>
      </c>
      <c r="G9047">
        <v>1.7302999999999999</v>
      </c>
      <c r="H9047" t="s">
        <v>11</v>
      </c>
      <c r="I9047" t="s">
        <v>10</v>
      </c>
    </row>
    <row r="9048" spans="1:9" x14ac:dyDescent="0.25">
      <c r="A9048" t="str">
        <f t="shared" si="215"/>
        <v>89301000</v>
      </c>
      <c r="B9048" t="str">
        <f>"6206170795"</f>
        <v>6206170795</v>
      </c>
      <c r="C9048" s="1">
        <v>45222</v>
      </c>
      <c r="D9048" s="1">
        <v>45224</v>
      </c>
      <c r="E9048">
        <v>4</v>
      </c>
      <c r="F9048" t="str">
        <f>"07-K01-02"</f>
        <v>07-K01-02</v>
      </c>
      <c r="G9048">
        <v>1.0169999999999999</v>
      </c>
      <c r="H9048" t="s">
        <v>11</v>
      </c>
      <c r="I9048" t="s">
        <v>10</v>
      </c>
    </row>
    <row r="9049" spans="1:9" x14ac:dyDescent="0.25">
      <c r="A9049" t="str">
        <f t="shared" si="215"/>
        <v>89301000</v>
      </c>
      <c r="B9049" t="str">
        <f>"6206190969"</f>
        <v>6206190969</v>
      </c>
      <c r="C9049" s="1">
        <v>44932</v>
      </c>
      <c r="D9049" s="1">
        <v>44935</v>
      </c>
      <c r="E9049">
        <v>1</v>
      </c>
      <c r="F9049" t="str">
        <f>"05-M06-06"</f>
        <v>05-M06-06</v>
      </c>
      <c r="G9049">
        <v>1.8264</v>
      </c>
      <c r="H9049" t="s">
        <v>12</v>
      </c>
      <c r="I9049" t="s">
        <v>10</v>
      </c>
    </row>
    <row r="9050" spans="1:9" x14ac:dyDescent="0.25">
      <c r="A9050" t="str">
        <f t="shared" si="215"/>
        <v>89301000</v>
      </c>
      <c r="B9050" t="str">
        <f>"6206220350"</f>
        <v>6206220350</v>
      </c>
      <c r="C9050" s="1">
        <v>45165</v>
      </c>
      <c r="D9050" s="1">
        <v>45169</v>
      </c>
      <c r="E9050">
        <v>1</v>
      </c>
      <c r="F9050" t="str">
        <f>"10-I13-02"</f>
        <v>10-I13-02</v>
      </c>
      <c r="G9050">
        <v>1.1124000000000001</v>
      </c>
      <c r="H9050" t="s">
        <v>9</v>
      </c>
      <c r="I9050" t="s">
        <v>10</v>
      </c>
    </row>
    <row r="9051" spans="1:9" x14ac:dyDescent="0.25">
      <c r="A9051" t="str">
        <f t="shared" si="215"/>
        <v>89301000</v>
      </c>
      <c r="B9051" t="str">
        <f>"6206240414"</f>
        <v>6206240414</v>
      </c>
      <c r="C9051" s="1">
        <v>45064</v>
      </c>
      <c r="D9051" s="1">
        <v>45064</v>
      </c>
      <c r="E9051">
        <v>1</v>
      </c>
      <c r="F9051" t="str">
        <f>"05-D01-08"</f>
        <v>05-D01-08</v>
      </c>
      <c r="G9051">
        <v>0.2303</v>
      </c>
      <c r="H9051" t="s">
        <v>11</v>
      </c>
      <c r="I9051" t="s">
        <v>10</v>
      </c>
    </row>
    <row r="9052" spans="1:9" x14ac:dyDescent="0.25">
      <c r="A9052" t="str">
        <f t="shared" si="215"/>
        <v>89301000</v>
      </c>
      <c r="B9052" t="str">
        <f>"6206270521"</f>
        <v>6206270521</v>
      </c>
      <c r="C9052" s="1">
        <v>45278</v>
      </c>
      <c r="D9052" s="1">
        <v>45279</v>
      </c>
      <c r="E9052">
        <v>1</v>
      </c>
      <c r="F9052" t="str">
        <f>"05-M06-08"</f>
        <v>05-M06-08</v>
      </c>
      <c r="G9052">
        <v>1.4228000000000001</v>
      </c>
      <c r="H9052" t="s">
        <v>12</v>
      </c>
      <c r="I9052" t="s">
        <v>10</v>
      </c>
    </row>
    <row r="9053" spans="1:9" x14ac:dyDescent="0.25">
      <c r="A9053" t="str">
        <f t="shared" si="215"/>
        <v>89301000</v>
      </c>
      <c r="B9053" t="str">
        <f>"6206292004"</f>
        <v>6206292004</v>
      </c>
      <c r="C9053" s="1">
        <v>45009</v>
      </c>
      <c r="D9053" s="1">
        <v>45015</v>
      </c>
      <c r="E9053">
        <v>1</v>
      </c>
      <c r="F9053" t="str">
        <f>"04-K10-02"</f>
        <v>04-K10-02</v>
      </c>
      <c r="G9053">
        <v>0.40129999999999999</v>
      </c>
      <c r="H9053" t="s">
        <v>11</v>
      </c>
      <c r="I9053" t="s">
        <v>10</v>
      </c>
    </row>
    <row r="9054" spans="1:9" x14ac:dyDescent="0.25">
      <c r="A9054" t="str">
        <f t="shared" si="215"/>
        <v>89301000</v>
      </c>
      <c r="B9054" t="str">
        <f>"6206292004"</f>
        <v>6206292004</v>
      </c>
      <c r="C9054" s="1">
        <v>44956</v>
      </c>
      <c r="D9054" s="1">
        <v>44960</v>
      </c>
      <c r="E9054">
        <v>1</v>
      </c>
      <c r="F9054" t="str">
        <f>"04-K10-02"</f>
        <v>04-K10-02</v>
      </c>
      <c r="G9054">
        <v>0.40129999999999999</v>
      </c>
      <c r="H9054" t="s">
        <v>11</v>
      </c>
      <c r="I9054" t="s">
        <v>10</v>
      </c>
    </row>
    <row r="9055" spans="1:9" x14ac:dyDescent="0.25">
      <c r="A9055" t="str">
        <f t="shared" si="215"/>
        <v>89301000</v>
      </c>
      <c r="B9055" t="str">
        <f>"6207020171"</f>
        <v>6207020171</v>
      </c>
      <c r="C9055" s="1">
        <v>44973</v>
      </c>
      <c r="D9055" s="1">
        <v>44977</v>
      </c>
      <c r="E9055">
        <v>1</v>
      </c>
      <c r="F9055" t="str">
        <f>"12-M02-01"</f>
        <v>12-M02-01</v>
      </c>
      <c r="G9055">
        <v>1.2426999999999999</v>
      </c>
      <c r="H9055" t="s">
        <v>9</v>
      </c>
      <c r="I9055" t="s">
        <v>10</v>
      </c>
    </row>
    <row r="9056" spans="1:9" x14ac:dyDescent="0.25">
      <c r="A9056" t="str">
        <f t="shared" si="215"/>
        <v>89301000</v>
      </c>
      <c r="B9056" t="str">
        <f>"6207251897"</f>
        <v>6207251897</v>
      </c>
      <c r="C9056" s="1">
        <v>45288</v>
      </c>
      <c r="D9056" s="1">
        <v>45288</v>
      </c>
      <c r="E9056">
        <v>1</v>
      </c>
      <c r="F9056" t="str">
        <f>"05-M06-08"</f>
        <v>05-M06-08</v>
      </c>
      <c r="G9056">
        <v>1.1012</v>
      </c>
      <c r="H9056" t="s">
        <v>12</v>
      </c>
      <c r="I9056" t="s">
        <v>10</v>
      </c>
    </row>
    <row r="9057" spans="1:9" x14ac:dyDescent="0.25">
      <c r="A9057" t="str">
        <f t="shared" si="215"/>
        <v>89301000</v>
      </c>
      <c r="B9057" t="str">
        <f>"6207262028"</f>
        <v>6207262028</v>
      </c>
      <c r="C9057" s="1">
        <v>45254</v>
      </c>
      <c r="D9057" s="1">
        <v>45257</v>
      </c>
      <c r="E9057">
        <v>1</v>
      </c>
      <c r="F9057" t="str">
        <f>"01-D01-03"</f>
        <v>01-D01-03</v>
      </c>
      <c r="G9057">
        <v>0.21060000000000001</v>
      </c>
      <c r="H9057" t="s">
        <v>11</v>
      </c>
      <c r="I9057" t="s">
        <v>10</v>
      </c>
    </row>
    <row r="9058" spans="1:9" x14ac:dyDescent="0.25">
      <c r="A9058" t="str">
        <f t="shared" si="215"/>
        <v>89301000</v>
      </c>
      <c r="B9058" t="str">
        <f>"6207262028"</f>
        <v>6207262028</v>
      </c>
      <c r="C9058" s="1">
        <v>45222</v>
      </c>
      <c r="D9058" s="1">
        <v>45223</v>
      </c>
      <c r="E9058">
        <v>1</v>
      </c>
      <c r="F9058" t="str">
        <f>"01-D01-03"</f>
        <v>01-D01-03</v>
      </c>
      <c r="G9058">
        <v>0.16200000000000001</v>
      </c>
      <c r="H9058" t="s">
        <v>11</v>
      </c>
      <c r="I9058" t="s">
        <v>10</v>
      </c>
    </row>
    <row r="9059" spans="1:9" x14ac:dyDescent="0.25">
      <c r="A9059" t="str">
        <f t="shared" si="215"/>
        <v>89301000</v>
      </c>
      <c r="B9059" t="str">
        <f>"6207262050"</f>
        <v>6207262050</v>
      </c>
      <c r="C9059" s="1">
        <v>45002</v>
      </c>
      <c r="D9059" s="1">
        <v>45020</v>
      </c>
      <c r="E9059">
        <v>4</v>
      </c>
      <c r="F9059" t="str">
        <f>"24-M08-02"</f>
        <v>24-M08-02</v>
      </c>
      <c r="G9059">
        <v>2.0236999999999998</v>
      </c>
      <c r="H9059" t="s">
        <v>11</v>
      </c>
      <c r="I9059" t="s">
        <v>10</v>
      </c>
    </row>
    <row r="9060" spans="1:9" x14ac:dyDescent="0.25">
      <c r="A9060" t="str">
        <f t="shared" si="215"/>
        <v>89301000</v>
      </c>
      <c r="B9060" t="str">
        <f>"6207262050"</f>
        <v>6207262050</v>
      </c>
      <c r="C9060" s="1">
        <v>45202</v>
      </c>
      <c r="D9060" s="1">
        <v>45211</v>
      </c>
      <c r="E9060">
        <v>1</v>
      </c>
      <c r="F9060" t="str">
        <f>"01-K04-02"</f>
        <v>01-K04-02</v>
      </c>
      <c r="G9060">
        <v>0.79990000000000006</v>
      </c>
      <c r="H9060" t="s">
        <v>11</v>
      </c>
      <c r="I9060" t="s">
        <v>10</v>
      </c>
    </row>
    <row r="9061" spans="1:9" x14ac:dyDescent="0.25">
      <c r="A9061" t="str">
        <f t="shared" si="215"/>
        <v>89301000</v>
      </c>
      <c r="B9061" t="str">
        <f>"6207262050"</f>
        <v>6207262050</v>
      </c>
      <c r="C9061" s="1">
        <v>44997</v>
      </c>
      <c r="D9061" s="1">
        <v>45002</v>
      </c>
      <c r="E9061">
        <v>3</v>
      </c>
      <c r="F9061" t="str">
        <f>"08-M03-05"</f>
        <v>08-M03-05</v>
      </c>
      <c r="G9061">
        <v>0.56269999999999998</v>
      </c>
      <c r="H9061" t="s">
        <v>11</v>
      </c>
      <c r="I9061" t="s">
        <v>10</v>
      </c>
    </row>
    <row r="9062" spans="1:9" x14ac:dyDescent="0.25">
      <c r="A9062" t="str">
        <f t="shared" si="215"/>
        <v>89301000</v>
      </c>
      <c r="B9062" t="str">
        <f>"6208101284"</f>
        <v>6208101284</v>
      </c>
      <c r="C9062" s="1">
        <v>45057</v>
      </c>
      <c r="D9062" s="1">
        <v>45058</v>
      </c>
      <c r="E9062">
        <v>1</v>
      </c>
      <c r="F9062" t="str">
        <f>"06-M01-05"</f>
        <v>06-M01-05</v>
      </c>
      <c r="G9062">
        <v>0.4178</v>
      </c>
      <c r="H9062" t="s">
        <v>11</v>
      </c>
      <c r="I9062" t="s">
        <v>10</v>
      </c>
    </row>
    <row r="9063" spans="1:9" x14ac:dyDescent="0.25">
      <c r="A9063" t="str">
        <f t="shared" si="215"/>
        <v>89301000</v>
      </c>
      <c r="B9063" t="str">
        <f>"6208170408"</f>
        <v>6208170408</v>
      </c>
      <c r="C9063" s="1">
        <v>45174</v>
      </c>
      <c r="D9063" s="1">
        <v>45182</v>
      </c>
      <c r="E9063">
        <v>5</v>
      </c>
      <c r="F9063" t="str">
        <f>"05-M06-02"</f>
        <v>05-M06-02</v>
      </c>
      <c r="G9063">
        <v>3.8536000000000001</v>
      </c>
      <c r="H9063" t="s">
        <v>12</v>
      </c>
      <c r="I9063" t="s">
        <v>10</v>
      </c>
    </row>
    <row r="9064" spans="1:9" x14ac:dyDescent="0.25">
      <c r="A9064" t="str">
        <f t="shared" si="215"/>
        <v>89301000</v>
      </c>
      <c r="B9064" t="str">
        <f>"6208270178"</f>
        <v>6208270178</v>
      </c>
      <c r="C9064" s="1">
        <v>44953</v>
      </c>
      <c r="D9064" s="1">
        <v>44957</v>
      </c>
      <c r="E9064">
        <v>2</v>
      </c>
      <c r="F9064" t="str">
        <f>"06-K22-03"</f>
        <v>06-K22-03</v>
      </c>
      <c r="G9064">
        <v>0.31819999999999998</v>
      </c>
      <c r="H9064" t="s">
        <v>11</v>
      </c>
      <c r="I9064" t="s">
        <v>10</v>
      </c>
    </row>
    <row r="9065" spans="1:9" x14ac:dyDescent="0.25">
      <c r="A9065" t="str">
        <f t="shared" si="215"/>
        <v>89301000</v>
      </c>
      <c r="B9065" t="str">
        <f>"6209020235"</f>
        <v>6209020235</v>
      </c>
      <c r="C9065" s="1">
        <v>45093</v>
      </c>
      <c r="D9065" s="1">
        <v>45105</v>
      </c>
      <c r="E9065">
        <v>1</v>
      </c>
      <c r="F9065" t="str">
        <f>"11-K03-01"</f>
        <v>11-K03-01</v>
      </c>
      <c r="G9065">
        <v>1.2496</v>
      </c>
      <c r="H9065" t="s">
        <v>11</v>
      </c>
      <c r="I9065" t="s">
        <v>10</v>
      </c>
    </row>
    <row r="9066" spans="1:9" x14ac:dyDescent="0.25">
      <c r="A9066" t="str">
        <f t="shared" si="215"/>
        <v>89301000</v>
      </c>
      <c r="B9066" t="str">
        <f>"6209020235"</f>
        <v>6209020235</v>
      </c>
      <c r="C9066" s="1">
        <v>45135</v>
      </c>
      <c r="D9066" s="1">
        <v>45147</v>
      </c>
      <c r="E9066">
        <v>8</v>
      </c>
      <c r="F9066" t="str">
        <f>"05-K07-03"</f>
        <v>05-K07-03</v>
      </c>
      <c r="G9066">
        <v>1.8048</v>
      </c>
      <c r="H9066" t="s">
        <v>11</v>
      </c>
      <c r="I9066" t="s">
        <v>10</v>
      </c>
    </row>
    <row r="9067" spans="1:9" x14ac:dyDescent="0.25">
      <c r="A9067" t="str">
        <f t="shared" si="215"/>
        <v>89301000</v>
      </c>
      <c r="B9067" t="str">
        <f>"6209020235"</f>
        <v>6209020235</v>
      </c>
      <c r="C9067" s="1">
        <v>45025</v>
      </c>
      <c r="D9067" s="1">
        <v>45079</v>
      </c>
      <c r="E9067">
        <v>1</v>
      </c>
      <c r="F9067" t="str">
        <f>"06-I06-02"</f>
        <v>06-I06-02</v>
      </c>
      <c r="G9067">
        <v>10.5031</v>
      </c>
      <c r="H9067" t="s">
        <v>12</v>
      </c>
      <c r="I9067" t="s">
        <v>10</v>
      </c>
    </row>
    <row r="9068" spans="1:9" x14ac:dyDescent="0.25">
      <c r="A9068" t="str">
        <f t="shared" si="215"/>
        <v>89301000</v>
      </c>
      <c r="B9068" t="str">
        <f>"6209020235"</f>
        <v>6209020235</v>
      </c>
      <c r="C9068" s="1">
        <v>45018</v>
      </c>
      <c r="D9068" s="1">
        <v>45022</v>
      </c>
      <c r="E9068">
        <v>1</v>
      </c>
      <c r="F9068" t="str">
        <f>"11-K03-01"</f>
        <v>11-K03-01</v>
      </c>
      <c r="G9068">
        <v>1.2875000000000001</v>
      </c>
      <c r="H9068" t="s">
        <v>11</v>
      </c>
      <c r="I9068" t="s">
        <v>10</v>
      </c>
    </row>
    <row r="9069" spans="1:9" x14ac:dyDescent="0.25">
      <c r="A9069" t="str">
        <f t="shared" si="215"/>
        <v>89301000</v>
      </c>
      <c r="B9069" t="str">
        <f>"6209051794"</f>
        <v>6209051794</v>
      </c>
      <c r="C9069" s="1">
        <v>45239</v>
      </c>
      <c r="D9069" s="1">
        <v>45244</v>
      </c>
      <c r="E9069">
        <v>4</v>
      </c>
      <c r="F9069" t="str">
        <f>"08-I06-04"</f>
        <v>08-I06-04</v>
      </c>
      <c r="G9069">
        <v>2.4116</v>
      </c>
      <c r="H9069" t="s">
        <v>9</v>
      </c>
      <c r="I9069" t="s">
        <v>10</v>
      </c>
    </row>
    <row r="9070" spans="1:9" x14ac:dyDescent="0.25">
      <c r="A9070" t="str">
        <f t="shared" si="215"/>
        <v>89301000</v>
      </c>
      <c r="B9070" t="str">
        <f>"6209060000"</f>
        <v>6209060000</v>
      </c>
      <c r="C9070" s="1">
        <v>45196</v>
      </c>
      <c r="D9070" s="1">
        <v>45204</v>
      </c>
      <c r="E9070">
        <v>1</v>
      </c>
      <c r="F9070" t="str">
        <f>"07-K04-04"</f>
        <v>07-K04-04</v>
      </c>
      <c r="G9070">
        <v>0.61050000000000004</v>
      </c>
      <c r="H9070" t="s">
        <v>11</v>
      </c>
      <c r="I9070" t="s">
        <v>10</v>
      </c>
    </row>
    <row r="9071" spans="1:9" x14ac:dyDescent="0.25">
      <c r="A9071" t="str">
        <f t="shared" ref="A9071:A9134" si="218">"89301000"</f>
        <v>89301000</v>
      </c>
      <c r="B9071" t="str">
        <f>"6209091669"</f>
        <v>6209091669</v>
      </c>
      <c r="C9071" s="1">
        <v>45005</v>
      </c>
      <c r="D9071" s="1">
        <v>45007</v>
      </c>
      <c r="E9071">
        <v>1</v>
      </c>
      <c r="F9071" t="str">
        <f>"07-M02-04"</f>
        <v>07-M02-04</v>
      </c>
      <c r="G9071">
        <v>0.77339999999999998</v>
      </c>
      <c r="H9071" t="s">
        <v>12</v>
      </c>
      <c r="I9071" t="s">
        <v>10</v>
      </c>
    </row>
    <row r="9072" spans="1:9" x14ac:dyDescent="0.25">
      <c r="A9072" t="str">
        <f t="shared" si="218"/>
        <v>89301000</v>
      </c>
      <c r="B9072" t="str">
        <f>"6209091669"</f>
        <v>6209091669</v>
      </c>
      <c r="C9072" s="1">
        <v>45188</v>
      </c>
      <c r="D9072" s="1">
        <v>45190</v>
      </c>
      <c r="E9072">
        <v>1</v>
      </c>
      <c r="F9072" t="str">
        <f>"07-M02-04"</f>
        <v>07-M02-04</v>
      </c>
      <c r="G9072">
        <v>0.77339999999999998</v>
      </c>
      <c r="H9072" t="s">
        <v>12</v>
      </c>
      <c r="I9072" t="s">
        <v>10</v>
      </c>
    </row>
    <row r="9073" spans="1:9" x14ac:dyDescent="0.25">
      <c r="A9073" t="str">
        <f t="shared" si="218"/>
        <v>89301000</v>
      </c>
      <c r="B9073" t="str">
        <f>"6209101723"</f>
        <v>6209101723</v>
      </c>
      <c r="C9073" s="1">
        <v>45015</v>
      </c>
      <c r="D9073" s="1">
        <v>45033</v>
      </c>
      <c r="E9073">
        <v>8</v>
      </c>
      <c r="F9073" t="str">
        <f>"04-K09-02"</f>
        <v>04-K09-02</v>
      </c>
      <c r="G9073">
        <v>1.155</v>
      </c>
      <c r="H9073" t="s">
        <v>11</v>
      </c>
      <c r="I9073" t="s">
        <v>10</v>
      </c>
    </row>
    <row r="9074" spans="1:9" x14ac:dyDescent="0.25">
      <c r="A9074" t="str">
        <f t="shared" si="218"/>
        <v>89301000</v>
      </c>
      <c r="B9074" t="str">
        <f>"6209130213"</f>
        <v>6209130213</v>
      </c>
      <c r="C9074" s="1">
        <v>44982</v>
      </c>
      <c r="D9074" s="1">
        <v>44992</v>
      </c>
      <c r="E9074">
        <v>1</v>
      </c>
      <c r="F9074" t="str">
        <f>"06-K10-02"</f>
        <v>06-K10-02</v>
      </c>
      <c r="G9074">
        <v>0.71699999999999997</v>
      </c>
      <c r="H9074" t="s">
        <v>11</v>
      </c>
      <c r="I9074" t="s">
        <v>10</v>
      </c>
    </row>
    <row r="9075" spans="1:9" x14ac:dyDescent="0.25">
      <c r="A9075" t="str">
        <f t="shared" si="218"/>
        <v>89301000</v>
      </c>
      <c r="B9075" t="str">
        <f>"6209130213"</f>
        <v>6209130213</v>
      </c>
      <c r="C9075" s="1">
        <v>45265</v>
      </c>
      <c r="D9075" s="1">
        <v>45267</v>
      </c>
      <c r="E9075">
        <v>1</v>
      </c>
      <c r="F9075" t="str">
        <f>"05-M05-02"</f>
        <v>05-M05-02</v>
      </c>
      <c r="G9075">
        <v>3.5649999999999999</v>
      </c>
      <c r="H9075" t="s">
        <v>14</v>
      </c>
      <c r="I9075" t="s">
        <v>10</v>
      </c>
    </row>
    <row r="9076" spans="1:9" x14ac:dyDescent="0.25">
      <c r="A9076" t="str">
        <f t="shared" si="218"/>
        <v>89301000</v>
      </c>
      <c r="B9076" t="str">
        <f>"6209141235"</f>
        <v>6209141235</v>
      </c>
      <c r="C9076" s="1">
        <v>45251</v>
      </c>
      <c r="D9076" s="1">
        <v>45255</v>
      </c>
      <c r="E9076">
        <v>1</v>
      </c>
      <c r="F9076" t="str">
        <f>"10-K12-03"</f>
        <v>10-K12-03</v>
      </c>
      <c r="G9076">
        <v>0.5091</v>
      </c>
      <c r="H9076" t="s">
        <v>11</v>
      </c>
      <c r="I9076" t="s">
        <v>10</v>
      </c>
    </row>
    <row r="9077" spans="1:9" x14ac:dyDescent="0.25">
      <c r="A9077" t="str">
        <f t="shared" si="218"/>
        <v>89301000</v>
      </c>
      <c r="B9077" t="str">
        <f>"6209170308"</f>
        <v>6209170308</v>
      </c>
      <c r="C9077" s="1">
        <v>45133</v>
      </c>
      <c r="D9077" s="1">
        <v>45135</v>
      </c>
      <c r="E9077">
        <v>1</v>
      </c>
      <c r="F9077" t="str">
        <f>"11-K07-02"</f>
        <v>11-K07-02</v>
      </c>
      <c r="G9077">
        <v>0.57999999999999996</v>
      </c>
      <c r="H9077" t="s">
        <v>11</v>
      </c>
      <c r="I9077" t="s">
        <v>10</v>
      </c>
    </row>
    <row r="9078" spans="1:9" x14ac:dyDescent="0.25">
      <c r="A9078" t="str">
        <f t="shared" si="218"/>
        <v>89301000</v>
      </c>
      <c r="B9078" t="str">
        <f>"6209170308"</f>
        <v>6209170308</v>
      </c>
      <c r="C9078" s="1">
        <v>45107</v>
      </c>
      <c r="D9078" s="1">
        <v>45109</v>
      </c>
      <c r="E9078">
        <v>1</v>
      </c>
      <c r="F9078" t="str">
        <f>"11-K07-02"</f>
        <v>11-K07-02</v>
      </c>
      <c r="G9078">
        <v>0.57999999999999996</v>
      </c>
      <c r="H9078" t="s">
        <v>11</v>
      </c>
      <c r="I9078" t="s">
        <v>10</v>
      </c>
    </row>
    <row r="9079" spans="1:9" x14ac:dyDescent="0.25">
      <c r="A9079" t="str">
        <f t="shared" si="218"/>
        <v>89301000</v>
      </c>
      <c r="B9079" t="str">
        <f>"6209170308"</f>
        <v>6209170308</v>
      </c>
      <c r="C9079" s="1">
        <v>45006</v>
      </c>
      <c r="D9079" s="1">
        <v>45014</v>
      </c>
      <c r="E9079">
        <v>1</v>
      </c>
      <c r="F9079" t="str">
        <f>"01-K18-04"</f>
        <v>01-K18-04</v>
      </c>
      <c r="G9079">
        <v>0.628</v>
      </c>
      <c r="H9079" t="s">
        <v>11</v>
      </c>
      <c r="I9079" t="s">
        <v>10</v>
      </c>
    </row>
    <row r="9080" spans="1:9" x14ac:dyDescent="0.25">
      <c r="A9080" t="str">
        <f t="shared" si="218"/>
        <v>89301000</v>
      </c>
      <c r="B9080" t="str">
        <f>"6209250003"</f>
        <v>6209250003</v>
      </c>
      <c r="C9080" s="1">
        <v>45089</v>
      </c>
      <c r="D9080" s="1">
        <v>45091</v>
      </c>
      <c r="E9080">
        <v>1</v>
      </c>
      <c r="F9080" t="str">
        <f>"05-I30-02"</f>
        <v>05-I30-02</v>
      </c>
      <c r="G9080">
        <v>0.41699999999999998</v>
      </c>
      <c r="H9080" t="s">
        <v>12</v>
      </c>
      <c r="I9080" t="s">
        <v>10</v>
      </c>
    </row>
    <row r="9081" spans="1:9" x14ac:dyDescent="0.25">
      <c r="A9081" t="str">
        <f t="shared" si="218"/>
        <v>89301000</v>
      </c>
      <c r="B9081" t="str">
        <f>"6209260662"</f>
        <v>6209260662</v>
      </c>
      <c r="C9081" s="1">
        <v>45107</v>
      </c>
      <c r="D9081" s="1">
        <v>45108</v>
      </c>
      <c r="E9081">
        <v>1</v>
      </c>
      <c r="F9081" t="str">
        <f>"09-K13-02"</f>
        <v>09-K13-02</v>
      </c>
      <c r="G9081">
        <v>0.31409999999999999</v>
      </c>
      <c r="H9081" t="s">
        <v>11</v>
      </c>
      <c r="I9081" t="s">
        <v>10</v>
      </c>
    </row>
    <row r="9082" spans="1:9" x14ac:dyDescent="0.25">
      <c r="A9082" t="str">
        <f t="shared" si="218"/>
        <v>89301000</v>
      </c>
      <c r="B9082" t="str">
        <f>"6210021301"</f>
        <v>6210021301</v>
      </c>
      <c r="C9082" s="1">
        <v>44941</v>
      </c>
      <c r="D9082" s="1">
        <v>44946</v>
      </c>
      <c r="E9082">
        <v>1</v>
      </c>
      <c r="F9082" t="str">
        <f>"06-I17-02"</f>
        <v>06-I17-02</v>
      </c>
      <c r="G9082">
        <v>1.0106999999999999</v>
      </c>
      <c r="H9082" t="s">
        <v>12</v>
      </c>
      <c r="I9082" t="s">
        <v>10</v>
      </c>
    </row>
    <row r="9083" spans="1:9" x14ac:dyDescent="0.25">
      <c r="A9083" t="str">
        <f t="shared" si="218"/>
        <v>89301000</v>
      </c>
      <c r="B9083" t="str">
        <f>"6210160638"</f>
        <v>6210160638</v>
      </c>
      <c r="C9083" s="1">
        <v>45055</v>
      </c>
      <c r="D9083" s="1">
        <v>45057</v>
      </c>
      <c r="E9083">
        <v>1</v>
      </c>
      <c r="F9083" t="str">
        <f>"08-K02-03"</f>
        <v>08-K02-03</v>
      </c>
      <c r="G9083">
        <v>0.6361</v>
      </c>
      <c r="H9083" t="s">
        <v>11</v>
      </c>
      <c r="I9083" t="s">
        <v>10</v>
      </c>
    </row>
    <row r="9084" spans="1:9" x14ac:dyDescent="0.25">
      <c r="A9084" t="str">
        <f t="shared" si="218"/>
        <v>89301000</v>
      </c>
      <c r="B9084" t="str">
        <f>"6210160638"</f>
        <v>6210160638</v>
      </c>
      <c r="C9084" s="1">
        <v>45036</v>
      </c>
      <c r="D9084" s="1">
        <v>45040</v>
      </c>
      <c r="E9084">
        <v>1</v>
      </c>
      <c r="F9084" t="str">
        <f>"08-M03-05"</f>
        <v>08-M03-05</v>
      </c>
      <c r="G9084">
        <v>0.46910000000000002</v>
      </c>
      <c r="H9084" t="s">
        <v>11</v>
      </c>
      <c r="I9084" t="s">
        <v>10</v>
      </c>
    </row>
    <row r="9085" spans="1:9" x14ac:dyDescent="0.25">
      <c r="A9085" t="str">
        <f t="shared" si="218"/>
        <v>89301000</v>
      </c>
      <c r="B9085" t="str">
        <f>"6210170978"</f>
        <v>6210170978</v>
      </c>
      <c r="C9085" s="1">
        <v>45148</v>
      </c>
      <c r="D9085" s="1">
        <v>45150</v>
      </c>
      <c r="E9085">
        <v>1</v>
      </c>
      <c r="F9085" t="str">
        <f>"05-I14-03"</f>
        <v>05-I14-03</v>
      </c>
      <c r="G9085">
        <v>6.0362</v>
      </c>
      <c r="H9085" t="s">
        <v>12</v>
      </c>
      <c r="I9085" t="s">
        <v>10</v>
      </c>
    </row>
    <row r="9086" spans="1:9" x14ac:dyDescent="0.25">
      <c r="A9086" t="str">
        <f t="shared" si="218"/>
        <v>89301000</v>
      </c>
      <c r="B9086" t="str">
        <f>"6210196058"</f>
        <v>6210196058</v>
      </c>
      <c r="C9086" s="1">
        <v>44973</v>
      </c>
      <c r="D9086" s="1">
        <v>44977</v>
      </c>
      <c r="E9086">
        <v>1</v>
      </c>
      <c r="F9086" t="str">
        <f>"09-I10-02"</f>
        <v>09-I10-02</v>
      </c>
      <c r="G9086">
        <v>0.87580000000000002</v>
      </c>
      <c r="H9086" t="s">
        <v>12</v>
      </c>
      <c r="I9086" t="s">
        <v>10</v>
      </c>
    </row>
    <row r="9087" spans="1:9" x14ac:dyDescent="0.25">
      <c r="A9087" t="str">
        <f t="shared" si="218"/>
        <v>89301000</v>
      </c>
      <c r="B9087" t="str">
        <f>"6210196058"</f>
        <v>6210196058</v>
      </c>
      <c r="C9087" s="1">
        <v>45205</v>
      </c>
      <c r="D9087" s="1">
        <v>45212</v>
      </c>
      <c r="E9087">
        <v>1</v>
      </c>
      <c r="F9087" t="str">
        <f>"09-K07-02"</f>
        <v>09-K07-02</v>
      </c>
      <c r="G9087">
        <v>0.49120000000000003</v>
      </c>
      <c r="H9087" t="s">
        <v>11</v>
      </c>
      <c r="I9087" t="s">
        <v>10</v>
      </c>
    </row>
    <row r="9088" spans="1:9" x14ac:dyDescent="0.25">
      <c r="A9088" t="str">
        <f t="shared" si="218"/>
        <v>89301000</v>
      </c>
      <c r="B9088" t="str">
        <f>"6210280703"</f>
        <v>6210280703</v>
      </c>
      <c r="C9088" s="1">
        <v>45145</v>
      </c>
      <c r="D9088" s="1">
        <v>45157</v>
      </c>
      <c r="E9088">
        <v>1</v>
      </c>
      <c r="F9088" t="str">
        <f>"05-I16-06"</f>
        <v>05-I16-06</v>
      </c>
      <c r="G9088">
        <v>5.6303000000000001</v>
      </c>
      <c r="H9088" t="s">
        <v>14</v>
      </c>
      <c r="I9088" t="s">
        <v>10</v>
      </c>
    </row>
    <row r="9089" spans="1:9" x14ac:dyDescent="0.25">
      <c r="A9089" t="str">
        <f t="shared" si="218"/>
        <v>89301000</v>
      </c>
      <c r="B9089" t="str">
        <f>"6210280703"</f>
        <v>6210280703</v>
      </c>
      <c r="C9089" s="1">
        <v>45088</v>
      </c>
      <c r="D9089" s="1">
        <v>45093</v>
      </c>
      <c r="E9089">
        <v>1</v>
      </c>
      <c r="F9089" t="str">
        <f>"05-D01-06"</f>
        <v>05-D01-06</v>
      </c>
      <c r="G9089">
        <v>0.7571</v>
      </c>
      <c r="H9089" t="s">
        <v>11</v>
      </c>
      <c r="I9089" t="s">
        <v>10</v>
      </c>
    </row>
    <row r="9090" spans="1:9" x14ac:dyDescent="0.25">
      <c r="A9090" t="str">
        <f t="shared" si="218"/>
        <v>89301000</v>
      </c>
      <c r="B9090" t="str">
        <f>"6210280703"</f>
        <v>6210280703</v>
      </c>
      <c r="C9090" s="1">
        <v>45260</v>
      </c>
      <c r="D9090" s="1">
        <v>45261</v>
      </c>
      <c r="E9090">
        <v>1</v>
      </c>
      <c r="F9090" t="str">
        <f>"05-I14-03"</f>
        <v>05-I14-03</v>
      </c>
      <c r="G9090">
        <v>6.0362</v>
      </c>
      <c r="H9090" t="s">
        <v>12</v>
      </c>
      <c r="I9090" t="s">
        <v>10</v>
      </c>
    </row>
    <row r="9091" spans="1:9" x14ac:dyDescent="0.25">
      <c r="A9091" t="str">
        <f t="shared" si="218"/>
        <v>89301000</v>
      </c>
      <c r="B9091" t="str">
        <f>"6210290944"</f>
        <v>6210290944</v>
      </c>
      <c r="C9091" s="1">
        <v>45037</v>
      </c>
      <c r="D9091" s="1">
        <v>45043</v>
      </c>
      <c r="E9091">
        <v>5</v>
      </c>
      <c r="F9091" t="str">
        <f>"08-I04-02"</f>
        <v>08-I04-02</v>
      </c>
      <c r="G9091">
        <v>1.6229</v>
      </c>
      <c r="H9091" t="s">
        <v>14</v>
      </c>
      <c r="I9091" t="s">
        <v>10</v>
      </c>
    </row>
    <row r="9092" spans="1:9" x14ac:dyDescent="0.25">
      <c r="A9092" t="str">
        <f t="shared" si="218"/>
        <v>89301000</v>
      </c>
      <c r="B9092" t="str">
        <f>"6210290944"</f>
        <v>6210290944</v>
      </c>
      <c r="C9092" s="1">
        <v>45216</v>
      </c>
      <c r="D9092" s="1">
        <v>45218</v>
      </c>
      <c r="E9092">
        <v>1</v>
      </c>
      <c r="F9092" t="str">
        <f>"08-I03-04"</f>
        <v>08-I03-04</v>
      </c>
      <c r="G9092">
        <v>2.9885000000000002</v>
      </c>
      <c r="H9092" t="s">
        <v>9</v>
      </c>
      <c r="I9092" t="s">
        <v>10</v>
      </c>
    </row>
    <row r="9093" spans="1:9" x14ac:dyDescent="0.25">
      <c r="A9093" t="str">
        <f t="shared" si="218"/>
        <v>89301000</v>
      </c>
      <c r="B9093" t="str">
        <f>"6211040836"</f>
        <v>6211040836</v>
      </c>
      <c r="C9093" s="1">
        <v>45187</v>
      </c>
      <c r="D9093" s="1">
        <v>45195</v>
      </c>
      <c r="E9093">
        <v>1</v>
      </c>
      <c r="F9093" t="str">
        <f>"17-C05-05"</f>
        <v>17-C05-05</v>
      </c>
      <c r="G9093">
        <v>0.74339999999999995</v>
      </c>
      <c r="H9093" t="s">
        <v>11</v>
      </c>
      <c r="I9093" t="s">
        <v>10</v>
      </c>
    </row>
    <row r="9094" spans="1:9" x14ac:dyDescent="0.25">
      <c r="A9094" t="str">
        <f t="shared" si="218"/>
        <v>89301000</v>
      </c>
      <c r="B9094" t="str">
        <f>"6211050340"</f>
        <v>6211050340</v>
      </c>
      <c r="C9094" s="1">
        <v>45162</v>
      </c>
      <c r="D9094" s="1">
        <v>45168</v>
      </c>
      <c r="E9094">
        <v>1</v>
      </c>
      <c r="F9094" t="str">
        <f>"04-K14-01"</f>
        <v>04-K14-01</v>
      </c>
      <c r="G9094">
        <v>2.1053000000000002</v>
      </c>
      <c r="H9094" t="s">
        <v>11</v>
      </c>
      <c r="I9094" t="s">
        <v>10</v>
      </c>
    </row>
    <row r="9095" spans="1:9" x14ac:dyDescent="0.25">
      <c r="A9095" t="str">
        <f t="shared" si="218"/>
        <v>89301000</v>
      </c>
      <c r="B9095" t="str">
        <f>"6211091447"</f>
        <v>6211091447</v>
      </c>
      <c r="C9095" s="1">
        <v>45267</v>
      </c>
      <c r="D9095" s="1">
        <v>45268</v>
      </c>
      <c r="E9095">
        <v>1</v>
      </c>
      <c r="F9095" t="str">
        <f>"01-D01-03"</f>
        <v>01-D01-03</v>
      </c>
      <c r="G9095">
        <v>0.16200000000000001</v>
      </c>
      <c r="H9095" t="s">
        <v>11</v>
      </c>
      <c r="I9095" t="s">
        <v>10</v>
      </c>
    </row>
    <row r="9096" spans="1:9" x14ac:dyDescent="0.25">
      <c r="A9096" t="str">
        <f t="shared" si="218"/>
        <v>89301000</v>
      </c>
      <c r="B9096" t="str">
        <f>"6211111588"</f>
        <v>6211111588</v>
      </c>
      <c r="C9096" s="1">
        <v>45245</v>
      </c>
      <c r="D9096" s="1">
        <v>45247</v>
      </c>
      <c r="E9096">
        <v>1</v>
      </c>
      <c r="F9096" t="str">
        <f>"05-M05-02"</f>
        <v>05-M05-02</v>
      </c>
      <c r="G9096">
        <v>3.5562999999999998</v>
      </c>
      <c r="H9096" t="s">
        <v>14</v>
      </c>
      <c r="I9096" t="s">
        <v>10</v>
      </c>
    </row>
    <row r="9097" spans="1:9" x14ac:dyDescent="0.25">
      <c r="A9097" t="str">
        <f t="shared" si="218"/>
        <v>89301000</v>
      </c>
      <c r="B9097" t="str">
        <f>"6211171109"</f>
        <v>6211171109</v>
      </c>
      <c r="C9097" s="1">
        <v>45127</v>
      </c>
      <c r="D9097" s="1">
        <v>45142</v>
      </c>
      <c r="E9097">
        <v>4</v>
      </c>
      <c r="F9097" t="str">
        <f>"19-K05-02"</f>
        <v>19-K05-02</v>
      </c>
      <c r="G9097">
        <v>1.7688999999999999</v>
      </c>
      <c r="H9097" t="s">
        <v>15</v>
      </c>
      <c r="I9097" t="s">
        <v>10</v>
      </c>
    </row>
    <row r="9098" spans="1:9" x14ac:dyDescent="0.25">
      <c r="A9098" t="str">
        <f t="shared" si="218"/>
        <v>89301000</v>
      </c>
      <c r="B9098" t="str">
        <f>"6211201216"</f>
        <v>6211201216</v>
      </c>
      <c r="C9098" s="1">
        <v>45195</v>
      </c>
      <c r="D9098" s="1">
        <v>45203</v>
      </c>
      <c r="E9098">
        <v>1</v>
      </c>
      <c r="F9098" t="str">
        <f>"11-K04-02"</f>
        <v>11-K04-02</v>
      </c>
      <c r="G9098">
        <v>0.42049999999999998</v>
      </c>
      <c r="H9098" t="s">
        <v>11</v>
      </c>
      <c r="I9098" t="s">
        <v>10</v>
      </c>
    </row>
    <row r="9099" spans="1:9" x14ac:dyDescent="0.25">
      <c r="A9099" t="str">
        <f t="shared" si="218"/>
        <v>89301000</v>
      </c>
      <c r="B9099" t="str">
        <f>"6211201216"</f>
        <v>6211201216</v>
      </c>
      <c r="C9099" s="1">
        <v>45207</v>
      </c>
      <c r="D9099" s="1">
        <v>45222</v>
      </c>
      <c r="E9099">
        <v>1</v>
      </c>
      <c r="F9099" t="str">
        <f>"04-K09-02"</f>
        <v>04-K09-02</v>
      </c>
      <c r="G9099">
        <v>1.155</v>
      </c>
      <c r="H9099" t="s">
        <v>11</v>
      </c>
      <c r="I9099" t="s">
        <v>10</v>
      </c>
    </row>
    <row r="9100" spans="1:9" x14ac:dyDescent="0.25">
      <c r="A9100" t="str">
        <f t="shared" si="218"/>
        <v>89301000</v>
      </c>
      <c r="B9100" t="str">
        <f>"6211201216"</f>
        <v>6211201216</v>
      </c>
      <c r="C9100" s="1">
        <v>45230</v>
      </c>
      <c r="D9100" s="1">
        <v>45237</v>
      </c>
      <c r="E9100">
        <v>8</v>
      </c>
      <c r="F9100" t="str">
        <f>"04-K02-02"</f>
        <v>04-K02-02</v>
      </c>
      <c r="G9100">
        <v>2.8616999999999999</v>
      </c>
      <c r="H9100" t="s">
        <v>11</v>
      </c>
      <c r="I9100" t="s">
        <v>10</v>
      </c>
    </row>
    <row r="9101" spans="1:9" x14ac:dyDescent="0.25">
      <c r="A9101" t="str">
        <f t="shared" si="218"/>
        <v>89301000</v>
      </c>
      <c r="B9101" t="str">
        <f>"6211230817"</f>
        <v>6211230817</v>
      </c>
      <c r="C9101" s="1">
        <v>44974</v>
      </c>
      <c r="D9101" s="1">
        <v>44984</v>
      </c>
      <c r="E9101">
        <v>1</v>
      </c>
      <c r="F9101" t="str">
        <f>"06-K04-02"</f>
        <v>06-K04-02</v>
      </c>
      <c r="G9101">
        <v>0.98099999999999998</v>
      </c>
      <c r="H9101" t="s">
        <v>11</v>
      </c>
      <c r="I9101" t="s">
        <v>10</v>
      </c>
    </row>
    <row r="9102" spans="1:9" x14ac:dyDescent="0.25">
      <c r="A9102" t="str">
        <f t="shared" si="218"/>
        <v>89301000</v>
      </c>
      <c r="B9102" t="str">
        <f>"6211230817"</f>
        <v>6211230817</v>
      </c>
      <c r="C9102" s="1">
        <v>45213</v>
      </c>
      <c r="D9102" s="1">
        <v>45240</v>
      </c>
      <c r="E9102">
        <v>1</v>
      </c>
      <c r="F9102" t="str">
        <f>"06-I12-01"</f>
        <v>06-I12-01</v>
      </c>
      <c r="G9102">
        <v>4.9291</v>
      </c>
      <c r="H9102" t="s">
        <v>11</v>
      </c>
      <c r="I9102" t="s">
        <v>10</v>
      </c>
    </row>
    <row r="9103" spans="1:9" x14ac:dyDescent="0.25">
      <c r="A9103" t="str">
        <f t="shared" si="218"/>
        <v>89301000</v>
      </c>
      <c r="B9103" t="str">
        <f>"6212160185"</f>
        <v>6212160185</v>
      </c>
      <c r="C9103" s="1">
        <v>45069</v>
      </c>
      <c r="D9103" s="1">
        <v>45069</v>
      </c>
      <c r="E9103">
        <v>1</v>
      </c>
      <c r="F9103" t="str">
        <f>"05-M09-00"</f>
        <v>05-M09-00</v>
      </c>
      <c r="G9103">
        <v>0.87160000000000004</v>
      </c>
      <c r="H9103" t="s">
        <v>11</v>
      </c>
      <c r="I9103" t="s">
        <v>10</v>
      </c>
    </row>
    <row r="9104" spans="1:9" x14ac:dyDescent="0.25">
      <c r="A9104" t="str">
        <f t="shared" si="218"/>
        <v>89301000</v>
      </c>
      <c r="B9104" t="str">
        <f>"6212210939"</f>
        <v>6212210939</v>
      </c>
      <c r="C9104" s="1">
        <v>45229</v>
      </c>
      <c r="D9104" s="1">
        <v>45231</v>
      </c>
      <c r="E9104">
        <v>1</v>
      </c>
      <c r="F9104" t="str">
        <f>"08-I03-08"</f>
        <v>08-I03-08</v>
      </c>
      <c r="G9104">
        <v>1.9455</v>
      </c>
      <c r="H9104" t="s">
        <v>9</v>
      </c>
      <c r="I9104" t="s">
        <v>10</v>
      </c>
    </row>
    <row r="9105" spans="1:9" x14ac:dyDescent="0.25">
      <c r="A9105" t="str">
        <f t="shared" si="218"/>
        <v>89301000</v>
      </c>
      <c r="B9105" t="str">
        <f>"6212276114"</f>
        <v>6212276114</v>
      </c>
      <c r="C9105" s="1">
        <v>45218</v>
      </c>
      <c r="D9105" s="1">
        <v>45219</v>
      </c>
      <c r="E9105">
        <v>1</v>
      </c>
      <c r="F9105" t="str">
        <f>"08-K08-00"</f>
        <v>08-K08-00</v>
      </c>
      <c r="G9105">
        <v>0.5272</v>
      </c>
      <c r="H9105" t="s">
        <v>11</v>
      </c>
      <c r="I9105" t="s">
        <v>10</v>
      </c>
    </row>
    <row r="9106" spans="1:9" x14ac:dyDescent="0.25">
      <c r="A9106" t="str">
        <f t="shared" si="218"/>
        <v>89301000</v>
      </c>
      <c r="B9106" t="str">
        <f>"6212281240"</f>
        <v>6212281240</v>
      </c>
      <c r="C9106" s="1">
        <v>44976</v>
      </c>
      <c r="D9106" s="1">
        <v>44979</v>
      </c>
      <c r="E9106">
        <v>1</v>
      </c>
      <c r="F9106" t="str">
        <f>"08-M03-04"</f>
        <v>08-M03-04</v>
      </c>
      <c r="G9106">
        <v>0.87760000000000005</v>
      </c>
      <c r="H9106" t="s">
        <v>11</v>
      </c>
      <c r="I9106" t="s">
        <v>10</v>
      </c>
    </row>
    <row r="9107" spans="1:9" x14ac:dyDescent="0.25">
      <c r="A9107" t="str">
        <f t="shared" si="218"/>
        <v>89301000</v>
      </c>
      <c r="B9107" t="str">
        <f>"6251011525"</f>
        <v>6251011525</v>
      </c>
      <c r="C9107" s="1">
        <v>45211</v>
      </c>
      <c r="D9107" s="1">
        <v>45212</v>
      </c>
      <c r="E9107">
        <v>1</v>
      </c>
      <c r="F9107" t="str">
        <f>"03-K13-02"</f>
        <v>03-K13-02</v>
      </c>
      <c r="G9107">
        <v>0.24440000000000001</v>
      </c>
      <c r="H9107" t="s">
        <v>11</v>
      </c>
      <c r="I9107" t="s">
        <v>10</v>
      </c>
    </row>
    <row r="9108" spans="1:9" x14ac:dyDescent="0.25">
      <c r="A9108" t="str">
        <f t="shared" si="218"/>
        <v>89301000</v>
      </c>
      <c r="B9108" t="str">
        <f>"6251020512"</f>
        <v>6251020512</v>
      </c>
      <c r="C9108" s="1">
        <v>45194</v>
      </c>
      <c r="D9108" s="1">
        <v>45196</v>
      </c>
      <c r="E9108">
        <v>1</v>
      </c>
      <c r="F9108" t="str">
        <f>"04-K07-03"</f>
        <v>04-K07-03</v>
      </c>
      <c r="G9108">
        <v>0.61119999999999997</v>
      </c>
      <c r="H9108" t="s">
        <v>11</v>
      </c>
      <c r="I9108" t="s">
        <v>10</v>
      </c>
    </row>
    <row r="9109" spans="1:9" x14ac:dyDescent="0.25">
      <c r="A9109" t="str">
        <f t="shared" si="218"/>
        <v>89301000</v>
      </c>
      <c r="B9109" t="str">
        <f>"6251031479"</f>
        <v>6251031479</v>
      </c>
      <c r="C9109" s="1">
        <v>44991</v>
      </c>
      <c r="D9109" s="1">
        <v>44999</v>
      </c>
      <c r="E9109">
        <v>1</v>
      </c>
      <c r="F9109" t="str">
        <f>"06-I15-00"</f>
        <v>06-I15-00</v>
      </c>
      <c r="G9109">
        <v>1.9919</v>
      </c>
      <c r="H9109" t="s">
        <v>9</v>
      </c>
      <c r="I9109" t="s">
        <v>10</v>
      </c>
    </row>
    <row r="9110" spans="1:9" x14ac:dyDescent="0.25">
      <c r="A9110" t="str">
        <f t="shared" si="218"/>
        <v>89301000</v>
      </c>
      <c r="B9110" t="str">
        <f>"6251040004"</f>
        <v>6251040004</v>
      </c>
      <c r="C9110" s="1">
        <v>45084</v>
      </c>
      <c r="D9110" s="1">
        <v>45085</v>
      </c>
      <c r="E9110">
        <v>1</v>
      </c>
      <c r="F9110" t="str">
        <f>"08-K13-02"</f>
        <v>08-K13-02</v>
      </c>
      <c r="G9110">
        <v>0.43059999999999998</v>
      </c>
      <c r="H9110" t="s">
        <v>11</v>
      </c>
      <c r="I9110" t="s">
        <v>10</v>
      </c>
    </row>
    <row r="9111" spans="1:9" x14ac:dyDescent="0.25">
      <c r="A9111" t="str">
        <f t="shared" si="218"/>
        <v>89301000</v>
      </c>
      <c r="B9111" t="str">
        <f>"6251040004"</f>
        <v>6251040004</v>
      </c>
      <c r="C9111" s="1">
        <v>45128</v>
      </c>
      <c r="D9111" s="1">
        <v>45128</v>
      </c>
      <c r="E9111">
        <v>1</v>
      </c>
      <c r="F9111" t="str">
        <f>"05-D01-06"</f>
        <v>05-D01-06</v>
      </c>
      <c r="G9111">
        <v>0.4037</v>
      </c>
      <c r="H9111" t="s">
        <v>11</v>
      </c>
      <c r="I9111" t="s">
        <v>10</v>
      </c>
    </row>
    <row r="9112" spans="1:9" x14ac:dyDescent="0.25">
      <c r="A9112" t="str">
        <f t="shared" si="218"/>
        <v>89301000</v>
      </c>
      <c r="B9112" t="str">
        <f>"6251050025"</f>
        <v>6251050025</v>
      </c>
      <c r="C9112" s="1">
        <v>45229</v>
      </c>
      <c r="D9112" s="1">
        <v>45233</v>
      </c>
      <c r="E9112">
        <v>1</v>
      </c>
      <c r="F9112" t="str">
        <f>"10-I13-02"</f>
        <v>10-I13-02</v>
      </c>
      <c r="G9112">
        <v>1.1124000000000001</v>
      </c>
      <c r="H9112" t="s">
        <v>9</v>
      </c>
      <c r="I9112" t="s">
        <v>10</v>
      </c>
    </row>
    <row r="9113" spans="1:9" x14ac:dyDescent="0.25">
      <c r="A9113" t="str">
        <f t="shared" si="218"/>
        <v>89301000</v>
      </c>
      <c r="B9113" t="str">
        <f>"6251110503"</f>
        <v>6251110503</v>
      </c>
      <c r="C9113" s="1">
        <v>44952</v>
      </c>
      <c r="D9113" s="1">
        <v>44954</v>
      </c>
      <c r="E9113">
        <v>1</v>
      </c>
      <c r="F9113" t="str">
        <f>"09-I06-04"</f>
        <v>09-I06-04</v>
      </c>
      <c r="G9113">
        <v>0.98780000000000001</v>
      </c>
      <c r="H9113" t="s">
        <v>12</v>
      </c>
      <c r="I9113" t="s">
        <v>10</v>
      </c>
    </row>
    <row r="9114" spans="1:9" x14ac:dyDescent="0.25">
      <c r="A9114" t="str">
        <f t="shared" si="218"/>
        <v>89301000</v>
      </c>
      <c r="B9114" t="str">
        <f>"6251140071"</f>
        <v>6251140071</v>
      </c>
      <c r="C9114" s="1">
        <v>45169</v>
      </c>
      <c r="D9114" s="1">
        <v>45175</v>
      </c>
      <c r="E9114">
        <v>4</v>
      </c>
      <c r="F9114" t="str">
        <f>"08-I06-04"</f>
        <v>08-I06-04</v>
      </c>
      <c r="G9114">
        <v>2.4003999999999999</v>
      </c>
      <c r="H9114" t="s">
        <v>9</v>
      </c>
      <c r="I9114" t="s">
        <v>10</v>
      </c>
    </row>
    <row r="9115" spans="1:9" x14ac:dyDescent="0.25">
      <c r="A9115" t="str">
        <f t="shared" si="218"/>
        <v>89301000</v>
      </c>
      <c r="B9115" t="str">
        <f>"6251170068"</f>
        <v>6251170068</v>
      </c>
      <c r="C9115" s="1">
        <v>45201</v>
      </c>
      <c r="D9115" s="1">
        <v>45202</v>
      </c>
      <c r="E9115">
        <v>1</v>
      </c>
      <c r="F9115" t="str">
        <f>"08-I15-03"</f>
        <v>08-I15-03</v>
      </c>
      <c r="G9115">
        <v>0.94059999999999999</v>
      </c>
      <c r="H9115" t="s">
        <v>12</v>
      </c>
      <c r="I9115" t="s">
        <v>10</v>
      </c>
    </row>
    <row r="9116" spans="1:9" x14ac:dyDescent="0.25">
      <c r="A9116" t="str">
        <f t="shared" si="218"/>
        <v>89301000</v>
      </c>
      <c r="B9116" t="str">
        <f>"6251180034"</f>
        <v>6251180034</v>
      </c>
      <c r="C9116" s="1">
        <v>45196</v>
      </c>
      <c r="D9116" s="1">
        <v>45201</v>
      </c>
      <c r="E9116">
        <v>1</v>
      </c>
      <c r="F9116" t="str">
        <f>"04-K02-04"</f>
        <v>04-K02-04</v>
      </c>
      <c r="G9116">
        <v>0.82099999999999995</v>
      </c>
      <c r="H9116" t="s">
        <v>11</v>
      </c>
      <c r="I9116" t="s">
        <v>10</v>
      </c>
    </row>
    <row r="9117" spans="1:9" x14ac:dyDescent="0.25">
      <c r="A9117" t="str">
        <f t="shared" si="218"/>
        <v>89301000</v>
      </c>
      <c r="B9117" t="str">
        <f>"6251180045"</f>
        <v>6251180045</v>
      </c>
      <c r="C9117" s="1">
        <v>45231</v>
      </c>
      <c r="D9117" s="1">
        <v>45234</v>
      </c>
      <c r="E9117">
        <v>1</v>
      </c>
      <c r="F9117" t="str">
        <f>"05-M07-06"</f>
        <v>05-M07-06</v>
      </c>
      <c r="G9117">
        <v>1.2264999999999999</v>
      </c>
      <c r="H9117" t="s">
        <v>12</v>
      </c>
      <c r="I9117" t="s">
        <v>10</v>
      </c>
    </row>
    <row r="9118" spans="1:9" x14ac:dyDescent="0.25">
      <c r="A9118" t="str">
        <f t="shared" si="218"/>
        <v>89301000</v>
      </c>
      <c r="B9118" t="str">
        <f>"6251180045"</f>
        <v>6251180045</v>
      </c>
      <c r="C9118" s="1">
        <v>45142</v>
      </c>
      <c r="D9118" s="1">
        <v>45149</v>
      </c>
      <c r="E9118">
        <v>1</v>
      </c>
      <c r="F9118" t="str">
        <f>"08-K01-02"</f>
        <v>08-K01-02</v>
      </c>
      <c r="G9118">
        <v>0.91659999999999997</v>
      </c>
      <c r="H9118" t="s">
        <v>11</v>
      </c>
      <c r="I9118" t="s">
        <v>10</v>
      </c>
    </row>
    <row r="9119" spans="1:9" x14ac:dyDescent="0.25">
      <c r="A9119" t="str">
        <f t="shared" si="218"/>
        <v>89301000</v>
      </c>
      <c r="B9119" t="str">
        <f>"6251240699"</f>
        <v>6251240699</v>
      </c>
      <c r="C9119" s="1">
        <v>45096</v>
      </c>
      <c r="D9119" s="1">
        <v>45104</v>
      </c>
      <c r="E9119">
        <v>1</v>
      </c>
      <c r="F9119" t="str">
        <f>"01-K04-02"</f>
        <v>01-K04-02</v>
      </c>
      <c r="G9119">
        <v>0.79990000000000006</v>
      </c>
      <c r="H9119" t="s">
        <v>11</v>
      </c>
      <c r="I9119" t="s">
        <v>10</v>
      </c>
    </row>
    <row r="9120" spans="1:9" x14ac:dyDescent="0.25">
      <c r="A9120" t="str">
        <f t="shared" si="218"/>
        <v>89301000</v>
      </c>
      <c r="B9120" t="str">
        <f>"6251270014"</f>
        <v>6251270014</v>
      </c>
      <c r="C9120" s="1">
        <v>45197</v>
      </c>
      <c r="D9120" s="1">
        <v>45202</v>
      </c>
      <c r="E9120">
        <v>4</v>
      </c>
      <c r="F9120" t="str">
        <f>"08-I06-04"</f>
        <v>08-I06-04</v>
      </c>
      <c r="G9120">
        <v>2.4180000000000001</v>
      </c>
      <c r="H9120" t="s">
        <v>9</v>
      </c>
      <c r="I9120" t="s">
        <v>10</v>
      </c>
    </row>
    <row r="9121" spans="1:9" x14ac:dyDescent="0.25">
      <c r="A9121" t="str">
        <f t="shared" si="218"/>
        <v>89301000</v>
      </c>
      <c r="B9121" t="str">
        <f>"6251311011"</f>
        <v>6251311011</v>
      </c>
      <c r="C9121" s="1">
        <v>45042</v>
      </c>
      <c r="D9121" s="1">
        <v>45043</v>
      </c>
      <c r="E9121">
        <v>1</v>
      </c>
      <c r="F9121" t="str">
        <f>"05-M03-00"</f>
        <v>05-M03-00</v>
      </c>
      <c r="G9121">
        <v>3.4253999999999998</v>
      </c>
      <c r="H9121" t="s">
        <v>14</v>
      </c>
      <c r="I9121" t="s">
        <v>10</v>
      </c>
    </row>
    <row r="9122" spans="1:9" x14ac:dyDescent="0.25">
      <c r="A9122" t="str">
        <f t="shared" si="218"/>
        <v>89301000</v>
      </c>
      <c r="B9122" t="str">
        <f>"6252032149"</f>
        <v>6252032149</v>
      </c>
      <c r="C9122" s="1">
        <v>45011</v>
      </c>
      <c r="D9122" s="1">
        <v>45012</v>
      </c>
      <c r="E9122">
        <v>1</v>
      </c>
      <c r="F9122" t="str">
        <f>"08-K13-02"</f>
        <v>08-K13-02</v>
      </c>
      <c r="G9122">
        <v>0.43059999999999998</v>
      </c>
      <c r="H9122" t="s">
        <v>11</v>
      </c>
      <c r="I9122" t="s">
        <v>10</v>
      </c>
    </row>
    <row r="9123" spans="1:9" x14ac:dyDescent="0.25">
      <c r="A9123" t="str">
        <f t="shared" si="218"/>
        <v>89301000</v>
      </c>
      <c r="B9123" t="str">
        <f>"6252140015"</f>
        <v>6252140015</v>
      </c>
      <c r="C9123" s="1">
        <v>45272</v>
      </c>
      <c r="D9123" s="1">
        <v>45275</v>
      </c>
      <c r="E9123">
        <v>1</v>
      </c>
      <c r="F9123" t="str">
        <f>"07-I10-06"</f>
        <v>07-I10-06</v>
      </c>
      <c r="G9123">
        <v>0.98419999999999996</v>
      </c>
      <c r="H9123" t="s">
        <v>12</v>
      </c>
      <c r="I9123" t="s">
        <v>10</v>
      </c>
    </row>
    <row r="9124" spans="1:9" x14ac:dyDescent="0.25">
      <c r="A9124" t="str">
        <f t="shared" si="218"/>
        <v>89301000</v>
      </c>
      <c r="B9124" t="str">
        <f>"6252150014"</f>
        <v>6252150014</v>
      </c>
      <c r="C9124" s="1">
        <v>45205</v>
      </c>
      <c r="D9124" s="1">
        <v>45207</v>
      </c>
      <c r="E9124">
        <v>1</v>
      </c>
      <c r="F9124" t="str">
        <f>"09-I08-02"</f>
        <v>09-I08-02</v>
      </c>
      <c r="G9124">
        <v>1.0949</v>
      </c>
      <c r="H9124" t="s">
        <v>14</v>
      </c>
      <c r="I9124" t="s">
        <v>10</v>
      </c>
    </row>
    <row r="9125" spans="1:9" x14ac:dyDescent="0.25">
      <c r="A9125" t="str">
        <f t="shared" si="218"/>
        <v>89301000</v>
      </c>
      <c r="B9125" t="str">
        <f>"6252150014"</f>
        <v>6252150014</v>
      </c>
      <c r="C9125" s="1">
        <v>44995</v>
      </c>
      <c r="D9125" s="1">
        <v>44998</v>
      </c>
      <c r="E9125">
        <v>1</v>
      </c>
      <c r="F9125" t="str">
        <f>"09-I08-02"</f>
        <v>09-I08-02</v>
      </c>
      <c r="G9125">
        <v>1.0949</v>
      </c>
      <c r="H9125" t="s">
        <v>14</v>
      </c>
      <c r="I9125" t="s">
        <v>10</v>
      </c>
    </row>
    <row r="9126" spans="1:9" x14ac:dyDescent="0.25">
      <c r="A9126" t="str">
        <f t="shared" si="218"/>
        <v>89301000</v>
      </c>
      <c r="B9126" t="str">
        <f>"6252151081"</f>
        <v>6252151081</v>
      </c>
      <c r="C9126" s="1">
        <v>44969</v>
      </c>
      <c r="D9126" s="1">
        <v>44974</v>
      </c>
      <c r="E9126">
        <v>1</v>
      </c>
      <c r="F9126" t="str">
        <f>"06-I13-03"</f>
        <v>06-I13-03</v>
      </c>
      <c r="G9126">
        <v>1.5217000000000001</v>
      </c>
      <c r="H9126" t="s">
        <v>11</v>
      </c>
      <c r="I9126" t="s">
        <v>10</v>
      </c>
    </row>
    <row r="9127" spans="1:9" x14ac:dyDescent="0.25">
      <c r="A9127" t="str">
        <f t="shared" si="218"/>
        <v>89301000</v>
      </c>
      <c r="B9127" t="str">
        <f>"6252200042"</f>
        <v>6252200042</v>
      </c>
      <c r="C9127" s="1">
        <v>44942</v>
      </c>
      <c r="D9127" s="1">
        <v>44946</v>
      </c>
      <c r="E9127">
        <v>1</v>
      </c>
      <c r="F9127" t="str">
        <f>"10-I13-02"</f>
        <v>10-I13-02</v>
      </c>
      <c r="G9127">
        <v>1.1124000000000001</v>
      </c>
      <c r="H9127" t="s">
        <v>9</v>
      </c>
      <c r="I9127" t="s">
        <v>10</v>
      </c>
    </row>
    <row r="9128" spans="1:9" x14ac:dyDescent="0.25">
      <c r="A9128" t="str">
        <f t="shared" si="218"/>
        <v>89301000</v>
      </c>
      <c r="B9128" t="str">
        <f>"6252200746"</f>
        <v>6252200746</v>
      </c>
      <c r="C9128" s="1">
        <v>44963</v>
      </c>
      <c r="D9128" s="1">
        <v>44986</v>
      </c>
      <c r="E9128">
        <v>1</v>
      </c>
      <c r="F9128" t="str">
        <f>"19-K05-02"</f>
        <v>19-K05-02</v>
      </c>
      <c r="G9128">
        <v>1.7688999999999999</v>
      </c>
      <c r="H9128" t="s">
        <v>15</v>
      </c>
      <c r="I9128" t="s">
        <v>10</v>
      </c>
    </row>
    <row r="9129" spans="1:9" x14ac:dyDescent="0.25">
      <c r="A9129" t="str">
        <f t="shared" si="218"/>
        <v>89301000</v>
      </c>
      <c r="B9129" t="str">
        <f>"6252210283"</f>
        <v>6252210283</v>
      </c>
      <c r="C9129" s="1">
        <v>45267</v>
      </c>
      <c r="D9129" s="1">
        <v>45274</v>
      </c>
      <c r="E9129">
        <v>1</v>
      </c>
      <c r="F9129" t="str">
        <f>"17-K09-01"</f>
        <v>17-K09-01</v>
      </c>
      <c r="G9129">
        <v>1.653</v>
      </c>
      <c r="H9129" t="s">
        <v>11</v>
      </c>
      <c r="I9129" t="s">
        <v>10</v>
      </c>
    </row>
    <row r="9130" spans="1:9" x14ac:dyDescent="0.25">
      <c r="A9130" t="str">
        <f t="shared" si="218"/>
        <v>89301000</v>
      </c>
      <c r="B9130" t="str">
        <f>"6252240863"</f>
        <v>6252240863</v>
      </c>
      <c r="C9130" s="1">
        <v>45040</v>
      </c>
      <c r="D9130" s="1">
        <v>45041</v>
      </c>
      <c r="E9130">
        <v>1</v>
      </c>
      <c r="F9130" t="str">
        <f>"01-I13-00"</f>
        <v>01-I13-00</v>
      </c>
      <c r="G9130">
        <v>0.38400000000000001</v>
      </c>
      <c r="H9130" t="s">
        <v>11</v>
      </c>
      <c r="I9130" t="s">
        <v>10</v>
      </c>
    </row>
    <row r="9131" spans="1:9" x14ac:dyDescent="0.25">
      <c r="A9131" t="str">
        <f t="shared" si="218"/>
        <v>89301000</v>
      </c>
      <c r="B9131" t="str">
        <f>"6252280045"</f>
        <v>6252280045</v>
      </c>
      <c r="C9131" s="1">
        <v>44950</v>
      </c>
      <c r="D9131" s="1">
        <v>44953</v>
      </c>
      <c r="E9131">
        <v>1</v>
      </c>
      <c r="F9131" t="str">
        <f>"13-K05-00"</f>
        <v>13-K05-00</v>
      </c>
      <c r="G9131">
        <v>0.67110000000000003</v>
      </c>
      <c r="H9131" t="s">
        <v>11</v>
      </c>
      <c r="I9131" t="s">
        <v>10</v>
      </c>
    </row>
    <row r="9132" spans="1:9" x14ac:dyDescent="0.25">
      <c r="A9132" t="str">
        <f t="shared" si="218"/>
        <v>89301000</v>
      </c>
      <c r="B9132" t="str">
        <f>"6252280067"</f>
        <v>6252280067</v>
      </c>
      <c r="C9132" s="1">
        <v>44999</v>
      </c>
      <c r="D9132" s="1">
        <v>45016</v>
      </c>
      <c r="E9132">
        <v>1</v>
      </c>
      <c r="F9132" t="str">
        <f>"24-M07-02"</f>
        <v>24-M07-02</v>
      </c>
      <c r="G9132">
        <v>1.5729</v>
      </c>
      <c r="H9132" t="s">
        <v>11</v>
      </c>
      <c r="I9132" t="s">
        <v>10</v>
      </c>
    </row>
    <row r="9133" spans="1:9" x14ac:dyDescent="0.25">
      <c r="A9133" t="str">
        <f t="shared" si="218"/>
        <v>89301000</v>
      </c>
      <c r="B9133" t="str">
        <f>"6253010731"</f>
        <v>6253010731</v>
      </c>
      <c r="C9133" s="1">
        <v>45008</v>
      </c>
      <c r="D9133" s="1">
        <v>45011</v>
      </c>
      <c r="E9133">
        <v>1</v>
      </c>
      <c r="F9133" t="str">
        <f>"06-I17-04"</f>
        <v>06-I17-04</v>
      </c>
      <c r="G9133">
        <v>0.49869999999999998</v>
      </c>
      <c r="H9133" t="s">
        <v>12</v>
      </c>
      <c r="I9133" t="s">
        <v>10</v>
      </c>
    </row>
    <row r="9134" spans="1:9" x14ac:dyDescent="0.25">
      <c r="A9134" t="str">
        <f t="shared" si="218"/>
        <v>89301000</v>
      </c>
      <c r="B9134" t="str">
        <f>"6253011699"</f>
        <v>6253011699</v>
      </c>
      <c r="C9134" s="1">
        <v>44942</v>
      </c>
      <c r="D9134" s="1">
        <v>44944</v>
      </c>
      <c r="E9134">
        <v>1</v>
      </c>
      <c r="F9134" t="str">
        <f>"08-I31-04"</f>
        <v>08-I31-04</v>
      </c>
      <c r="G9134">
        <v>0.49170000000000003</v>
      </c>
      <c r="H9134" t="s">
        <v>11</v>
      </c>
      <c r="I9134" t="s">
        <v>10</v>
      </c>
    </row>
    <row r="9135" spans="1:9" x14ac:dyDescent="0.25">
      <c r="A9135" t="str">
        <f t="shared" ref="A9135:A9198" si="219">"89301000"</f>
        <v>89301000</v>
      </c>
      <c r="B9135" t="str">
        <f>"6253060891"</f>
        <v>6253060891</v>
      </c>
      <c r="C9135" s="1">
        <v>44969</v>
      </c>
      <c r="D9135" s="1">
        <v>44980</v>
      </c>
      <c r="E9135">
        <v>1</v>
      </c>
      <c r="F9135" t="str">
        <f>"07-I01-02"</f>
        <v>07-I01-02</v>
      </c>
      <c r="G9135">
        <v>5.4336000000000002</v>
      </c>
      <c r="H9135" t="s">
        <v>14</v>
      </c>
      <c r="I9135" t="s">
        <v>10</v>
      </c>
    </row>
    <row r="9136" spans="1:9" x14ac:dyDescent="0.25">
      <c r="A9136" t="str">
        <f t="shared" si="219"/>
        <v>89301000</v>
      </c>
      <c r="B9136" t="str">
        <f>"6253080988"</f>
        <v>6253080988</v>
      </c>
      <c r="C9136" s="1">
        <v>45008</v>
      </c>
      <c r="D9136" s="1">
        <v>45009</v>
      </c>
      <c r="E9136">
        <v>1</v>
      </c>
      <c r="F9136" t="str">
        <f>"01-I11-01"</f>
        <v>01-I11-01</v>
      </c>
      <c r="G9136">
        <v>0.96399999999999997</v>
      </c>
      <c r="H9136" t="s">
        <v>12</v>
      </c>
      <c r="I9136" t="s">
        <v>10</v>
      </c>
    </row>
    <row r="9137" spans="1:9" x14ac:dyDescent="0.25">
      <c r="A9137" t="str">
        <f t="shared" si="219"/>
        <v>89301000</v>
      </c>
      <c r="B9137" t="str">
        <f>"6253091988"</f>
        <v>6253091988</v>
      </c>
      <c r="C9137" s="1">
        <v>44932</v>
      </c>
      <c r="D9137" s="1">
        <v>44933</v>
      </c>
      <c r="E9137">
        <v>1</v>
      </c>
      <c r="F9137" t="str">
        <f>"06-M01-02"</f>
        <v>06-M01-02</v>
      </c>
      <c r="G9137">
        <v>1.2206999999999999</v>
      </c>
      <c r="H9137" t="s">
        <v>11</v>
      </c>
      <c r="I9137" t="s">
        <v>10</v>
      </c>
    </row>
    <row r="9138" spans="1:9" x14ac:dyDescent="0.25">
      <c r="A9138" t="str">
        <f t="shared" si="219"/>
        <v>89301000</v>
      </c>
      <c r="B9138" t="str">
        <f>"6253100040"</f>
        <v>6253100040</v>
      </c>
      <c r="C9138" s="1">
        <v>45089</v>
      </c>
      <c r="D9138" s="1">
        <v>45093</v>
      </c>
      <c r="E9138">
        <v>1</v>
      </c>
      <c r="F9138" t="str">
        <f>"09-I06-04"</f>
        <v>09-I06-04</v>
      </c>
      <c r="G9138">
        <v>0.95069999999999999</v>
      </c>
      <c r="H9138" t="s">
        <v>12</v>
      </c>
      <c r="I9138" t="s">
        <v>10</v>
      </c>
    </row>
    <row r="9139" spans="1:9" x14ac:dyDescent="0.25">
      <c r="A9139" t="str">
        <f t="shared" si="219"/>
        <v>89301000</v>
      </c>
      <c r="B9139" t="str">
        <f>"6253140102"</f>
        <v>6253140102</v>
      </c>
      <c r="C9139" s="1">
        <v>44926</v>
      </c>
      <c r="D9139" s="1">
        <v>44931</v>
      </c>
      <c r="E9139">
        <v>1</v>
      </c>
      <c r="F9139" t="str">
        <f>"06-I18-05"</f>
        <v>06-I18-05</v>
      </c>
      <c r="G9139">
        <v>0.82420000000000004</v>
      </c>
      <c r="H9139" t="s">
        <v>9</v>
      </c>
      <c r="I9139" t="s">
        <v>10</v>
      </c>
    </row>
    <row r="9140" spans="1:9" x14ac:dyDescent="0.25">
      <c r="A9140" t="str">
        <f t="shared" si="219"/>
        <v>89301000</v>
      </c>
      <c r="B9140" t="str">
        <f>"6253181264"</f>
        <v>6253181264</v>
      </c>
      <c r="C9140" s="1">
        <v>45172</v>
      </c>
      <c r="D9140" s="1">
        <v>45176</v>
      </c>
      <c r="E9140">
        <v>1</v>
      </c>
      <c r="F9140" t="str">
        <f>"10-I13-02"</f>
        <v>10-I13-02</v>
      </c>
      <c r="G9140">
        <v>1.1124000000000001</v>
      </c>
      <c r="H9140" t="s">
        <v>9</v>
      </c>
      <c r="I9140" t="s">
        <v>10</v>
      </c>
    </row>
    <row r="9141" spans="1:9" x14ac:dyDescent="0.25">
      <c r="A9141" t="str">
        <f t="shared" si="219"/>
        <v>89301000</v>
      </c>
      <c r="B9141" t="str">
        <f>"6253211877"</f>
        <v>6253211877</v>
      </c>
      <c r="C9141" s="1">
        <v>45050</v>
      </c>
      <c r="D9141" s="1">
        <v>45052</v>
      </c>
      <c r="E9141">
        <v>1</v>
      </c>
      <c r="F9141" t="str">
        <f>"08-M03-05"</f>
        <v>08-M03-05</v>
      </c>
      <c r="G9141">
        <v>0.46810000000000002</v>
      </c>
      <c r="H9141" t="s">
        <v>11</v>
      </c>
      <c r="I9141" t="s">
        <v>10</v>
      </c>
    </row>
    <row r="9142" spans="1:9" x14ac:dyDescent="0.25">
      <c r="A9142" t="str">
        <f t="shared" si="219"/>
        <v>89301000</v>
      </c>
      <c r="B9142" t="str">
        <f>"6253220501"</f>
        <v>6253220501</v>
      </c>
      <c r="C9142" s="1">
        <v>45254</v>
      </c>
      <c r="D9142" s="1">
        <v>45254</v>
      </c>
      <c r="E9142">
        <v>1</v>
      </c>
      <c r="F9142" t="str">
        <f>"05-D01-02"</f>
        <v>05-D01-02</v>
      </c>
      <c r="G9142">
        <v>0.1414</v>
      </c>
      <c r="H9142" t="s">
        <v>11</v>
      </c>
      <c r="I9142" t="s">
        <v>10</v>
      </c>
    </row>
    <row r="9143" spans="1:9" x14ac:dyDescent="0.25">
      <c r="A9143" t="str">
        <f t="shared" si="219"/>
        <v>89301000</v>
      </c>
      <c r="B9143" t="str">
        <f>"6253301802"</f>
        <v>6253301802</v>
      </c>
      <c r="C9143" s="1">
        <v>45278</v>
      </c>
      <c r="D9143" s="1">
        <v>45280</v>
      </c>
      <c r="E9143">
        <v>1</v>
      </c>
      <c r="F9143" t="str">
        <f>"04-K09-03"</f>
        <v>04-K09-03</v>
      </c>
      <c r="G9143">
        <v>0.629</v>
      </c>
      <c r="H9143" t="s">
        <v>11</v>
      </c>
      <c r="I9143" t="s">
        <v>10</v>
      </c>
    </row>
    <row r="9144" spans="1:9" x14ac:dyDescent="0.25">
      <c r="A9144" t="str">
        <f t="shared" si="219"/>
        <v>89301000</v>
      </c>
      <c r="B9144" t="str">
        <f>"6254030959"</f>
        <v>6254030959</v>
      </c>
      <c r="C9144" s="1">
        <v>45018</v>
      </c>
      <c r="D9144" s="1">
        <v>45020</v>
      </c>
      <c r="E9144">
        <v>1</v>
      </c>
      <c r="F9144" t="str">
        <f>"08-M03-05"</f>
        <v>08-M03-05</v>
      </c>
      <c r="G9144">
        <v>0.46810000000000002</v>
      </c>
      <c r="H9144" t="s">
        <v>11</v>
      </c>
      <c r="I9144" t="s">
        <v>10</v>
      </c>
    </row>
    <row r="9145" spans="1:9" x14ac:dyDescent="0.25">
      <c r="A9145" t="str">
        <f t="shared" si="219"/>
        <v>89301000</v>
      </c>
      <c r="B9145" t="str">
        <f>"6254050044"</f>
        <v>6254050044</v>
      </c>
      <c r="C9145" s="1">
        <v>44949</v>
      </c>
      <c r="D9145" s="1">
        <v>44949</v>
      </c>
      <c r="E9145">
        <v>1</v>
      </c>
      <c r="F9145" t="str">
        <f>"05-D01-08"</f>
        <v>05-D01-08</v>
      </c>
      <c r="G9145">
        <v>0.2303</v>
      </c>
      <c r="H9145" t="s">
        <v>11</v>
      </c>
      <c r="I9145" t="s">
        <v>10</v>
      </c>
    </row>
    <row r="9146" spans="1:9" x14ac:dyDescent="0.25">
      <c r="A9146" t="str">
        <f t="shared" si="219"/>
        <v>89301000</v>
      </c>
      <c r="B9146" t="str">
        <f>"6254080503"</f>
        <v>6254080503</v>
      </c>
      <c r="C9146" s="1">
        <v>45097</v>
      </c>
      <c r="D9146" s="1">
        <v>45105</v>
      </c>
      <c r="E9146">
        <v>8</v>
      </c>
      <c r="F9146" t="str">
        <f>"06-C02-02"</f>
        <v>06-C02-02</v>
      </c>
      <c r="G9146">
        <v>0.47189999999999999</v>
      </c>
      <c r="H9146" t="s">
        <v>11</v>
      </c>
      <c r="I9146" t="s">
        <v>10</v>
      </c>
    </row>
    <row r="9147" spans="1:9" x14ac:dyDescent="0.25">
      <c r="A9147" t="str">
        <f t="shared" si="219"/>
        <v>89301000</v>
      </c>
      <c r="B9147" t="str">
        <f>"6254180691"</f>
        <v>6254180691</v>
      </c>
      <c r="C9147" s="1">
        <v>45251</v>
      </c>
      <c r="D9147" s="1">
        <v>45252</v>
      </c>
      <c r="E9147">
        <v>1</v>
      </c>
      <c r="F9147" t="str">
        <f>"13-I13-02"</f>
        <v>13-I13-02</v>
      </c>
      <c r="G9147">
        <v>0.94840000000000002</v>
      </c>
      <c r="H9147" t="s">
        <v>12</v>
      </c>
      <c r="I9147" t="s">
        <v>10</v>
      </c>
    </row>
    <row r="9148" spans="1:9" x14ac:dyDescent="0.25">
      <c r="A9148" t="str">
        <f t="shared" si="219"/>
        <v>89301000</v>
      </c>
      <c r="B9148" t="str">
        <f>"6254190272"</f>
        <v>6254190272</v>
      </c>
      <c r="C9148" s="1">
        <v>45215</v>
      </c>
      <c r="D9148" s="1">
        <v>45217</v>
      </c>
      <c r="E9148">
        <v>1</v>
      </c>
      <c r="F9148" t="str">
        <f>"08-I32-00"</f>
        <v>08-I32-00</v>
      </c>
      <c r="G9148">
        <v>0.4093</v>
      </c>
      <c r="H9148" t="s">
        <v>11</v>
      </c>
      <c r="I9148" t="s">
        <v>10</v>
      </c>
    </row>
    <row r="9149" spans="1:9" x14ac:dyDescent="0.25">
      <c r="A9149" t="str">
        <f t="shared" si="219"/>
        <v>89301000</v>
      </c>
      <c r="B9149" t="str">
        <f>"6254191482"</f>
        <v>6254191482</v>
      </c>
      <c r="C9149" s="1">
        <v>45267</v>
      </c>
      <c r="D9149" s="1">
        <v>45269</v>
      </c>
      <c r="E9149">
        <v>1</v>
      </c>
      <c r="F9149" t="str">
        <f>"09-I09-02"</f>
        <v>09-I09-02</v>
      </c>
      <c r="G9149">
        <v>0.76900000000000002</v>
      </c>
      <c r="H9149" t="s">
        <v>12</v>
      </c>
      <c r="I9149" t="s">
        <v>10</v>
      </c>
    </row>
    <row r="9150" spans="1:9" x14ac:dyDescent="0.25">
      <c r="A9150" t="str">
        <f t="shared" si="219"/>
        <v>89301000</v>
      </c>
      <c r="B9150" t="str">
        <f>"6254191482"</f>
        <v>6254191482</v>
      </c>
      <c r="C9150" s="1">
        <v>45119</v>
      </c>
      <c r="D9150" s="1">
        <v>45127</v>
      </c>
      <c r="E9150">
        <v>1</v>
      </c>
      <c r="F9150" t="str">
        <f>"09-K08-01"</f>
        <v>09-K08-01</v>
      </c>
      <c r="G9150">
        <v>1.1941999999999999</v>
      </c>
      <c r="H9150" t="s">
        <v>11</v>
      </c>
      <c r="I9150" t="s">
        <v>10</v>
      </c>
    </row>
    <row r="9151" spans="1:9" x14ac:dyDescent="0.25">
      <c r="A9151" t="str">
        <f t="shared" si="219"/>
        <v>89301000</v>
      </c>
      <c r="B9151" t="str">
        <f>"6254191482"</f>
        <v>6254191482</v>
      </c>
      <c r="C9151" s="1">
        <v>45131</v>
      </c>
      <c r="D9151" s="1">
        <v>45142</v>
      </c>
      <c r="E9151">
        <v>1</v>
      </c>
      <c r="F9151" t="str">
        <f>"09-K08-02"</f>
        <v>09-K08-02</v>
      </c>
      <c r="G9151">
        <v>0.49280000000000002</v>
      </c>
      <c r="H9151" t="s">
        <v>11</v>
      </c>
      <c r="I9151" t="s">
        <v>10</v>
      </c>
    </row>
    <row r="9152" spans="1:9" x14ac:dyDescent="0.25">
      <c r="A9152" t="str">
        <f t="shared" si="219"/>
        <v>89301000</v>
      </c>
      <c r="B9152" t="str">
        <f>"6254211634"</f>
        <v>6254211634</v>
      </c>
      <c r="C9152" s="1">
        <v>45118</v>
      </c>
      <c r="D9152" s="1">
        <v>45123</v>
      </c>
      <c r="E9152">
        <v>1</v>
      </c>
      <c r="F9152" t="str">
        <f>"08-I03-04"</f>
        <v>08-I03-04</v>
      </c>
      <c r="G9152">
        <v>4.7615999999999996</v>
      </c>
      <c r="H9152" t="s">
        <v>9</v>
      </c>
      <c r="I9152" t="s">
        <v>10</v>
      </c>
    </row>
    <row r="9153" spans="1:9" x14ac:dyDescent="0.25">
      <c r="A9153" t="str">
        <f t="shared" si="219"/>
        <v>89301000</v>
      </c>
      <c r="B9153" t="str">
        <f>"6254231214"</f>
        <v>6254231214</v>
      </c>
      <c r="C9153" s="1">
        <v>45006</v>
      </c>
      <c r="D9153" s="1">
        <v>45006</v>
      </c>
      <c r="E9153">
        <v>1</v>
      </c>
      <c r="F9153" t="str">
        <f>"05-D01-08"</f>
        <v>05-D01-08</v>
      </c>
      <c r="G9153">
        <v>0.2303</v>
      </c>
      <c r="H9153" t="s">
        <v>11</v>
      </c>
      <c r="I9153" t="s">
        <v>10</v>
      </c>
    </row>
    <row r="9154" spans="1:9" x14ac:dyDescent="0.25">
      <c r="A9154" t="str">
        <f t="shared" si="219"/>
        <v>89301000</v>
      </c>
      <c r="B9154" t="str">
        <f>"6255020343"</f>
        <v>6255020343</v>
      </c>
      <c r="C9154" s="1">
        <v>45147</v>
      </c>
      <c r="D9154" s="1">
        <v>45148</v>
      </c>
      <c r="E9154">
        <v>1</v>
      </c>
      <c r="F9154" t="str">
        <f>"05-M05-03"</f>
        <v>05-M05-03</v>
      </c>
      <c r="G9154">
        <v>2.0312999999999999</v>
      </c>
      <c r="H9154" t="s">
        <v>14</v>
      </c>
      <c r="I9154" t="s">
        <v>10</v>
      </c>
    </row>
    <row r="9155" spans="1:9" x14ac:dyDescent="0.25">
      <c r="A9155" t="str">
        <f t="shared" si="219"/>
        <v>89301000</v>
      </c>
      <c r="B9155" t="str">
        <f>"6255080106"</f>
        <v>6255080106</v>
      </c>
      <c r="C9155" s="1">
        <v>44950</v>
      </c>
      <c r="D9155" s="1">
        <v>44952</v>
      </c>
      <c r="E9155">
        <v>1</v>
      </c>
      <c r="F9155" t="str">
        <f>"08-I17-02"</f>
        <v>08-I17-02</v>
      </c>
      <c r="G9155">
        <v>0.89680000000000004</v>
      </c>
      <c r="H9155" t="s">
        <v>11</v>
      </c>
      <c r="I9155" t="s">
        <v>10</v>
      </c>
    </row>
    <row r="9156" spans="1:9" x14ac:dyDescent="0.25">
      <c r="A9156" t="str">
        <f t="shared" si="219"/>
        <v>89301000</v>
      </c>
      <c r="B9156" t="str">
        <f>"6255100159"</f>
        <v>6255100159</v>
      </c>
      <c r="C9156" s="1">
        <v>45219</v>
      </c>
      <c r="D9156" s="1">
        <v>45229</v>
      </c>
      <c r="E9156">
        <v>1</v>
      </c>
      <c r="F9156" t="str">
        <f>"24-M06-02"</f>
        <v>24-M06-02</v>
      </c>
      <c r="G9156">
        <v>1.0699000000000001</v>
      </c>
      <c r="H9156" t="s">
        <v>11</v>
      </c>
      <c r="I9156" t="s">
        <v>10</v>
      </c>
    </row>
    <row r="9157" spans="1:9" x14ac:dyDescent="0.25">
      <c r="A9157" t="str">
        <f t="shared" si="219"/>
        <v>89301000</v>
      </c>
      <c r="B9157" t="str">
        <f>"6255100159"</f>
        <v>6255100159</v>
      </c>
      <c r="C9157" s="1">
        <v>44944</v>
      </c>
      <c r="D9157" s="1">
        <v>44945</v>
      </c>
      <c r="E9157">
        <v>1</v>
      </c>
      <c r="F9157" t="str">
        <f>"03-K06-01"</f>
        <v>03-K06-01</v>
      </c>
      <c r="G9157">
        <v>0.4713</v>
      </c>
      <c r="H9157" t="s">
        <v>11</v>
      </c>
      <c r="I9157" t="s">
        <v>10</v>
      </c>
    </row>
    <row r="9158" spans="1:9" x14ac:dyDescent="0.25">
      <c r="A9158" t="str">
        <f t="shared" si="219"/>
        <v>89301000</v>
      </c>
      <c r="B9158" t="str">
        <f>"6255150990"</f>
        <v>6255150990</v>
      </c>
      <c r="C9158" s="1">
        <v>45037</v>
      </c>
      <c r="D9158" s="1">
        <v>45051</v>
      </c>
      <c r="E9158">
        <v>1</v>
      </c>
      <c r="F9158" t="str">
        <f>"24-M07-02"</f>
        <v>24-M07-02</v>
      </c>
      <c r="G9158">
        <v>1.5729</v>
      </c>
      <c r="H9158" t="s">
        <v>11</v>
      </c>
      <c r="I9158" t="s">
        <v>10</v>
      </c>
    </row>
    <row r="9159" spans="1:9" x14ac:dyDescent="0.25">
      <c r="A9159" t="str">
        <f t="shared" si="219"/>
        <v>89301000</v>
      </c>
      <c r="B9159" t="str">
        <f>"6255150990"</f>
        <v>6255150990</v>
      </c>
      <c r="C9159" s="1">
        <v>45032</v>
      </c>
      <c r="D9159" s="1">
        <v>45037</v>
      </c>
      <c r="E9159">
        <v>3</v>
      </c>
      <c r="F9159" t="str">
        <f>"08-I06-04"</f>
        <v>08-I06-04</v>
      </c>
      <c r="G9159">
        <v>2.4180000000000001</v>
      </c>
      <c r="H9159" t="s">
        <v>9</v>
      </c>
      <c r="I9159" t="s">
        <v>10</v>
      </c>
    </row>
    <row r="9160" spans="1:9" x14ac:dyDescent="0.25">
      <c r="A9160" t="str">
        <f t="shared" si="219"/>
        <v>89301000</v>
      </c>
      <c r="B9160" t="str">
        <f>"6255210148"</f>
        <v>6255210148</v>
      </c>
      <c r="C9160" s="1">
        <v>45216</v>
      </c>
      <c r="D9160" s="1">
        <v>45217</v>
      </c>
      <c r="E9160">
        <v>1</v>
      </c>
      <c r="F9160" t="str">
        <f>"08-K08-00"</f>
        <v>08-K08-00</v>
      </c>
      <c r="G9160">
        <v>0.52949999999999997</v>
      </c>
      <c r="H9160" t="s">
        <v>11</v>
      </c>
      <c r="I9160" t="s">
        <v>10</v>
      </c>
    </row>
    <row r="9161" spans="1:9" x14ac:dyDescent="0.25">
      <c r="A9161" t="str">
        <f t="shared" si="219"/>
        <v>89301000</v>
      </c>
      <c r="B9161" t="str">
        <f>"6255210148"</f>
        <v>6255210148</v>
      </c>
      <c r="C9161" s="1">
        <v>45036</v>
      </c>
      <c r="D9161" s="1">
        <v>45048</v>
      </c>
      <c r="E9161">
        <v>1</v>
      </c>
      <c r="F9161" t="str">
        <f>"06-K08-01"</f>
        <v>06-K08-01</v>
      </c>
      <c r="G9161">
        <v>1.1262000000000001</v>
      </c>
      <c r="H9161" t="s">
        <v>11</v>
      </c>
      <c r="I9161" t="s">
        <v>10</v>
      </c>
    </row>
    <row r="9162" spans="1:9" x14ac:dyDescent="0.25">
      <c r="A9162" t="str">
        <f t="shared" si="219"/>
        <v>89301000</v>
      </c>
      <c r="B9162" t="str">
        <f>"6255230465"</f>
        <v>6255230465</v>
      </c>
      <c r="C9162" s="1">
        <v>45237</v>
      </c>
      <c r="D9162" s="1">
        <v>45244</v>
      </c>
      <c r="E9162">
        <v>1</v>
      </c>
      <c r="F9162" t="str">
        <f>"01-K07-03"</f>
        <v>01-K07-03</v>
      </c>
      <c r="G9162">
        <v>0.48849999999999999</v>
      </c>
      <c r="H9162" t="s">
        <v>11</v>
      </c>
      <c r="I9162" t="s">
        <v>10</v>
      </c>
    </row>
    <row r="9163" spans="1:9" x14ac:dyDescent="0.25">
      <c r="A9163" t="str">
        <f t="shared" si="219"/>
        <v>89301000</v>
      </c>
      <c r="B9163" t="str">
        <f>"6255281945"</f>
        <v>6255281945</v>
      </c>
      <c r="C9163" s="1">
        <v>45140</v>
      </c>
      <c r="D9163" s="1">
        <v>45141</v>
      </c>
      <c r="E9163">
        <v>1</v>
      </c>
      <c r="F9163" t="str">
        <f>"01-K16-06"</f>
        <v>01-K16-06</v>
      </c>
      <c r="G9163">
        <v>0.27150000000000002</v>
      </c>
      <c r="H9163" t="s">
        <v>11</v>
      </c>
      <c r="I9163" t="s">
        <v>10</v>
      </c>
    </row>
    <row r="9164" spans="1:9" x14ac:dyDescent="0.25">
      <c r="A9164" t="str">
        <f t="shared" si="219"/>
        <v>89301000</v>
      </c>
      <c r="B9164" t="str">
        <f>"6256011520"</f>
        <v>6256011520</v>
      </c>
      <c r="C9164" s="1">
        <v>44999</v>
      </c>
      <c r="D9164" s="1">
        <v>45000</v>
      </c>
      <c r="E9164">
        <v>1</v>
      </c>
      <c r="F9164" t="str">
        <f>"08-I32-00"</f>
        <v>08-I32-00</v>
      </c>
      <c r="G9164">
        <v>0.40870000000000001</v>
      </c>
      <c r="H9164" t="s">
        <v>11</v>
      </c>
      <c r="I9164" t="s">
        <v>10</v>
      </c>
    </row>
    <row r="9165" spans="1:9" x14ac:dyDescent="0.25">
      <c r="A9165" t="str">
        <f t="shared" si="219"/>
        <v>89301000</v>
      </c>
      <c r="B9165" t="str">
        <f>"6256021024"</f>
        <v>6256021024</v>
      </c>
      <c r="C9165" s="1">
        <v>45037</v>
      </c>
      <c r="D9165" s="1">
        <v>45038</v>
      </c>
      <c r="E9165">
        <v>1</v>
      </c>
      <c r="F9165" t="str">
        <f>"11-M02-07"</f>
        <v>11-M02-07</v>
      </c>
      <c r="G9165">
        <v>0.64419999999999999</v>
      </c>
      <c r="H9165" t="s">
        <v>11</v>
      </c>
      <c r="I9165" t="s">
        <v>10</v>
      </c>
    </row>
    <row r="9166" spans="1:9" x14ac:dyDescent="0.25">
      <c r="A9166" t="str">
        <f t="shared" si="219"/>
        <v>89301000</v>
      </c>
      <c r="B9166" t="str">
        <f>"6256030539"</f>
        <v>6256030539</v>
      </c>
      <c r="C9166" s="1">
        <v>45161</v>
      </c>
      <c r="D9166" s="1">
        <v>45167</v>
      </c>
      <c r="E9166">
        <v>1</v>
      </c>
      <c r="F9166" t="str">
        <f>"07-K04-02"</f>
        <v>07-K04-02</v>
      </c>
      <c r="G9166">
        <v>1.5216000000000001</v>
      </c>
      <c r="H9166" t="s">
        <v>11</v>
      </c>
      <c r="I9166" t="s">
        <v>10</v>
      </c>
    </row>
    <row r="9167" spans="1:9" x14ac:dyDescent="0.25">
      <c r="A9167" t="str">
        <f t="shared" si="219"/>
        <v>89301000</v>
      </c>
      <c r="B9167" t="str">
        <f>"6256170426"</f>
        <v>6256170426</v>
      </c>
      <c r="C9167" s="1">
        <v>44982</v>
      </c>
      <c r="D9167" s="1">
        <v>44991</v>
      </c>
      <c r="E9167">
        <v>1</v>
      </c>
      <c r="F9167" t="str">
        <f>"06-I07-05"</f>
        <v>06-I07-05</v>
      </c>
      <c r="G9167">
        <v>2.7919999999999998</v>
      </c>
      <c r="H9167" t="s">
        <v>12</v>
      </c>
      <c r="I9167" t="s">
        <v>10</v>
      </c>
    </row>
    <row r="9168" spans="1:9" x14ac:dyDescent="0.25">
      <c r="A9168" t="str">
        <f t="shared" si="219"/>
        <v>89301000</v>
      </c>
      <c r="B9168" t="str">
        <f>"6256170426"</f>
        <v>6256170426</v>
      </c>
      <c r="C9168" s="1">
        <v>45175</v>
      </c>
      <c r="D9168" s="1">
        <v>45187</v>
      </c>
      <c r="E9168">
        <v>1</v>
      </c>
      <c r="F9168" t="str">
        <f>"06-I07-06"</f>
        <v>06-I07-06</v>
      </c>
      <c r="G9168">
        <v>2.3725000000000001</v>
      </c>
      <c r="H9168" t="s">
        <v>12</v>
      </c>
      <c r="I9168" t="s">
        <v>10</v>
      </c>
    </row>
    <row r="9169" spans="1:9" x14ac:dyDescent="0.25">
      <c r="A9169" t="str">
        <f t="shared" si="219"/>
        <v>89301000</v>
      </c>
      <c r="B9169" t="str">
        <f>"6256191073"</f>
        <v>6256191073</v>
      </c>
      <c r="C9169" s="1">
        <v>45067</v>
      </c>
      <c r="D9169" s="1">
        <v>45071</v>
      </c>
      <c r="E9169">
        <v>1</v>
      </c>
      <c r="F9169" t="str">
        <f>"10-I13-02"</f>
        <v>10-I13-02</v>
      </c>
      <c r="G9169">
        <v>1.1124000000000001</v>
      </c>
      <c r="H9169" t="s">
        <v>9</v>
      </c>
      <c r="I9169" t="s">
        <v>10</v>
      </c>
    </row>
    <row r="9170" spans="1:9" x14ac:dyDescent="0.25">
      <c r="A9170" t="str">
        <f t="shared" si="219"/>
        <v>89301000</v>
      </c>
      <c r="B9170" t="str">
        <f>"6257010309"</f>
        <v>6257010309</v>
      </c>
      <c r="C9170" s="1">
        <v>45116</v>
      </c>
      <c r="D9170" s="1">
        <v>45118</v>
      </c>
      <c r="E9170">
        <v>1</v>
      </c>
      <c r="F9170" t="str">
        <f>"08-M03-05"</f>
        <v>08-M03-05</v>
      </c>
      <c r="G9170">
        <v>0.46810000000000002</v>
      </c>
      <c r="H9170" t="s">
        <v>11</v>
      </c>
      <c r="I9170" t="s">
        <v>10</v>
      </c>
    </row>
    <row r="9171" spans="1:9" x14ac:dyDescent="0.25">
      <c r="A9171" t="str">
        <f t="shared" si="219"/>
        <v>89301000</v>
      </c>
      <c r="B9171" t="str">
        <f>"6257030461"</f>
        <v>6257030461</v>
      </c>
      <c r="C9171" s="1">
        <v>45222</v>
      </c>
      <c r="D9171" s="1">
        <v>45225</v>
      </c>
      <c r="E9171">
        <v>1</v>
      </c>
      <c r="F9171" t="str">
        <f>"08-I03-06"</f>
        <v>08-I03-06</v>
      </c>
      <c r="G9171">
        <v>2.9196</v>
      </c>
      <c r="H9171" t="s">
        <v>9</v>
      </c>
      <c r="I9171" t="s">
        <v>10</v>
      </c>
    </row>
    <row r="9172" spans="1:9" x14ac:dyDescent="0.25">
      <c r="A9172" t="str">
        <f t="shared" si="219"/>
        <v>89301000</v>
      </c>
      <c r="B9172" t="str">
        <f>"6257070600"</f>
        <v>6257070600</v>
      </c>
      <c r="C9172" s="1">
        <v>45176</v>
      </c>
      <c r="D9172" s="1">
        <v>45177</v>
      </c>
      <c r="E9172">
        <v>1</v>
      </c>
      <c r="F9172" t="str">
        <f>"03-K13-02"</f>
        <v>03-K13-02</v>
      </c>
      <c r="G9172">
        <v>0.24440000000000001</v>
      </c>
      <c r="H9172" t="s">
        <v>11</v>
      </c>
      <c r="I9172" t="s">
        <v>10</v>
      </c>
    </row>
    <row r="9173" spans="1:9" x14ac:dyDescent="0.25">
      <c r="A9173" t="str">
        <f t="shared" si="219"/>
        <v>89301000</v>
      </c>
      <c r="B9173" t="str">
        <f>"6257070820"</f>
        <v>6257070820</v>
      </c>
      <c r="C9173" s="1">
        <v>45050</v>
      </c>
      <c r="D9173" s="1">
        <v>45057</v>
      </c>
      <c r="E9173">
        <v>1</v>
      </c>
      <c r="F9173" t="str">
        <f>"07-M02-03"</f>
        <v>07-M02-03</v>
      </c>
      <c r="G9173">
        <v>1.36</v>
      </c>
      <c r="H9173" t="s">
        <v>12</v>
      </c>
      <c r="I9173" t="s">
        <v>10</v>
      </c>
    </row>
    <row r="9174" spans="1:9" x14ac:dyDescent="0.25">
      <c r="A9174" t="str">
        <f t="shared" si="219"/>
        <v>89301000</v>
      </c>
      <c r="B9174" t="str">
        <f>"6257070820"</f>
        <v>6257070820</v>
      </c>
      <c r="C9174" s="1">
        <v>44957</v>
      </c>
      <c r="D9174" s="1">
        <v>44964</v>
      </c>
      <c r="E9174">
        <v>1</v>
      </c>
      <c r="F9174" t="str">
        <f>"07-K07-02"</f>
        <v>07-K07-02</v>
      </c>
      <c r="G9174">
        <v>0.53069999999999995</v>
      </c>
      <c r="H9174" t="s">
        <v>11</v>
      </c>
      <c r="I9174" t="s">
        <v>10</v>
      </c>
    </row>
    <row r="9175" spans="1:9" x14ac:dyDescent="0.25">
      <c r="A9175" t="str">
        <f t="shared" si="219"/>
        <v>89301000</v>
      </c>
      <c r="B9175" t="str">
        <f>"6257070820"</f>
        <v>6257070820</v>
      </c>
      <c r="C9175" s="1">
        <v>44950</v>
      </c>
      <c r="D9175" s="1">
        <v>44954</v>
      </c>
      <c r="E9175">
        <v>1</v>
      </c>
      <c r="F9175" t="str">
        <f>"07-M02-03"</f>
        <v>07-M02-03</v>
      </c>
      <c r="G9175">
        <v>1.2942</v>
      </c>
      <c r="H9175" t="s">
        <v>12</v>
      </c>
      <c r="I9175" t="s">
        <v>10</v>
      </c>
    </row>
    <row r="9176" spans="1:9" x14ac:dyDescent="0.25">
      <c r="A9176" t="str">
        <f t="shared" si="219"/>
        <v>89301000</v>
      </c>
      <c r="B9176" t="str">
        <f>"6257091665"</f>
        <v>6257091665</v>
      </c>
      <c r="C9176" s="1">
        <v>45098</v>
      </c>
      <c r="D9176" s="1">
        <v>45100</v>
      </c>
      <c r="E9176">
        <v>1</v>
      </c>
      <c r="F9176" t="str">
        <f>"01-D01-03"</f>
        <v>01-D01-03</v>
      </c>
      <c r="G9176">
        <v>0.16200000000000001</v>
      </c>
      <c r="H9176" t="s">
        <v>11</v>
      </c>
      <c r="I9176" t="s">
        <v>10</v>
      </c>
    </row>
    <row r="9177" spans="1:9" x14ac:dyDescent="0.25">
      <c r="A9177" t="str">
        <f t="shared" si="219"/>
        <v>89301000</v>
      </c>
      <c r="B9177" t="str">
        <f>"6257110552"</f>
        <v>6257110552</v>
      </c>
      <c r="C9177" s="1">
        <v>45216</v>
      </c>
      <c r="D9177" s="1">
        <v>45219</v>
      </c>
      <c r="E9177">
        <v>1</v>
      </c>
      <c r="F9177" t="str">
        <f>"08-I25-02"</f>
        <v>08-I25-02</v>
      </c>
      <c r="G9177">
        <v>0.61899999999999999</v>
      </c>
      <c r="H9177" t="s">
        <v>11</v>
      </c>
      <c r="I9177" t="s">
        <v>10</v>
      </c>
    </row>
    <row r="9178" spans="1:9" x14ac:dyDescent="0.25">
      <c r="A9178" t="str">
        <f t="shared" si="219"/>
        <v>89301000</v>
      </c>
      <c r="B9178" t="str">
        <f>"6257121684"</f>
        <v>6257121684</v>
      </c>
      <c r="C9178" s="1">
        <v>45168</v>
      </c>
      <c r="D9178" s="1">
        <v>45169</v>
      </c>
      <c r="E9178">
        <v>1</v>
      </c>
      <c r="F9178" t="str">
        <f>"17-K03-02"</f>
        <v>17-K03-02</v>
      </c>
      <c r="G9178">
        <v>0.92989999999999995</v>
      </c>
      <c r="H9178" t="s">
        <v>11</v>
      </c>
      <c r="I9178" t="s">
        <v>10</v>
      </c>
    </row>
    <row r="9179" spans="1:9" x14ac:dyDescent="0.25">
      <c r="A9179" t="str">
        <f t="shared" si="219"/>
        <v>89301000</v>
      </c>
      <c r="B9179" t="str">
        <f>"6257170249"</f>
        <v>6257170249</v>
      </c>
      <c r="C9179" s="1">
        <v>44974</v>
      </c>
      <c r="D9179" s="1">
        <v>44977</v>
      </c>
      <c r="E9179">
        <v>1</v>
      </c>
      <c r="F9179" t="str">
        <f>"01-D01-03"</f>
        <v>01-D01-03</v>
      </c>
      <c r="G9179">
        <v>0.21060000000000001</v>
      </c>
      <c r="H9179" t="s">
        <v>11</v>
      </c>
      <c r="I9179" t="s">
        <v>10</v>
      </c>
    </row>
    <row r="9180" spans="1:9" x14ac:dyDescent="0.25">
      <c r="A9180" t="str">
        <f t="shared" si="219"/>
        <v>89301000</v>
      </c>
      <c r="B9180" t="str">
        <f>"6258010011"</f>
        <v>6258010011</v>
      </c>
      <c r="C9180" s="1">
        <v>45133</v>
      </c>
      <c r="D9180" s="1">
        <v>45137</v>
      </c>
      <c r="E9180">
        <v>1</v>
      </c>
      <c r="F9180" t="str">
        <f>"03-I17-00"</f>
        <v>03-I17-00</v>
      </c>
      <c r="G9180">
        <v>0.83489999999999998</v>
      </c>
      <c r="H9180" t="s">
        <v>9</v>
      </c>
      <c r="I9180" t="s">
        <v>10</v>
      </c>
    </row>
    <row r="9181" spans="1:9" x14ac:dyDescent="0.25">
      <c r="A9181" t="str">
        <f t="shared" si="219"/>
        <v>89301000</v>
      </c>
      <c r="B9181" t="str">
        <f>"6258021990"</f>
        <v>6258021990</v>
      </c>
      <c r="C9181" s="1">
        <v>45078</v>
      </c>
      <c r="D9181" s="1">
        <v>45089</v>
      </c>
      <c r="E9181">
        <v>1</v>
      </c>
      <c r="F9181" t="str">
        <f>"04-K04-02"</f>
        <v>04-K04-02</v>
      </c>
      <c r="G9181">
        <v>0.57609999999999995</v>
      </c>
      <c r="H9181" t="s">
        <v>11</v>
      </c>
      <c r="I9181" t="s">
        <v>10</v>
      </c>
    </row>
    <row r="9182" spans="1:9" x14ac:dyDescent="0.25">
      <c r="A9182" t="str">
        <f t="shared" si="219"/>
        <v>89301000</v>
      </c>
      <c r="B9182" t="str">
        <f>"6258030207"</f>
        <v>6258030207</v>
      </c>
      <c r="C9182" s="1">
        <v>45130</v>
      </c>
      <c r="D9182" s="1">
        <v>45135</v>
      </c>
      <c r="E9182">
        <v>1</v>
      </c>
      <c r="F9182" t="str">
        <f>"13-I08-01"</f>
        <v>13-I08-01</v>
      </c>
      <c r="G9182">
        <v>1.7029000000000001</v>
      </c>
      <c r="H9182" t="s">
        <v>14</v>
      </c>
      <c r="I9182" t="s">
        <v>10</v>
      </c>
    </row>
    <row r="9183" spans="1:9" x14ac:dyDescent="0.25">
      <c r="A9183" t="str">
        <f t="shared" si="219"/>
        <v>89301000</v>
      </c>
      <c r="B9183" t="str">
        <f>"6258080059"</f>
        <v>6258080059</v>
      </c>
      <c r="C9183" s="1">
        <v>45069</v>
      </c>
      <c r="D9183" s="1">
        <v>45077</v>
      </c>
      <c r="E9183">
        <v>1</v>
      </c>
      <c r="F9183" t="str">
        <f>"06-I05-01"</f>
        <v>06-I05-01</v>
      </c>
      <c r="G9183">
        <v>3.8811</v>
      </c>
      <c r="H9183" t="s">
        <v>12</v>
      </c>
      <c r="I9183" t="s">
        <v>10</v>
      </c>
    </row>
    <row r="9184" spans="1:9" x14ac:dyDescent="0.25">
      <c r="A9184" t="str">
        <f t="shared" si="219"/>
        <v>89301000</v>
      </c>
      <c r="B9184" t="str">
        <f>"6258081500"</f>
        <v>6258081500</v>
      </c>
      <c r="C9184" s="1">
        <v>45251</v>
      </c>
      <c r="D9184" s="1">
        <v>45253</v>
      </c>
      <c r="E9184">
        <v>1</v>
      </c>
      <c r="F9184" t="str">
        <f>"05-M05-02"</f>
        <v>05-M05-02</v>
      </c>
      <c r="G9184">
        <v>3.4817999999999998</v>
      </c>
      <c r="H9184" t="s">
        <v>14</v>
      </c>
      <c r="I9184" t="s">
        <v>10</v>
      </c>
    </row>
    <row r="9185" spans="1:9" x14ac:dyDescent="0.25">
      <c r="A9185" t="str">
        <f t="shared" si="219"/>
        <v>89301000</v>
      </c>
      <c r="B9185" t="str">
        <f>"6258081500"</f>
        <v>6258081500</v>
      </c>
      <c r="C9185" s="1">
        <v>45064</v>
      </c>
      <c r="D9185" s="1">
        <v>45065</v>
      </c>
      <c r="E9185">
        <v>1</v>
      </c>
      <c r="F9185" t="str">
        <f>"01-D01-03"</f>
        <v>01-D01-03</v>
      </c>
      <c r="G9185">
        <v>0.16200000000000001</v>
      </c>
      <c r="H9185" t="s">
        <v>11</v>
      </c>
      <c r="I9185" t="s">
        <v>10</v>
      </c>
    </row>
    <row r="9186" spans="1:9" x14ac:dyDescent="0.25">
      <c r="A9186" t="str">
        <f t="shared" si="219"/>
        <v>89301000</v>
      </c>
      <c r="B9186" t="str">
        <f>"6258081500"</f>
        <v>6258081500</v>
      </c>
      <c r="C9186" s="1">
        <v>44963</v>
      </c>
      <c r="D9186" s="1">
        <v>44966</v>
      </c>
      <c r="E9186">
        <v>1</v>
      </c>
      <c r="F9186" t="str">
        <f>"13-I14-03"</f>
        <v>13-I14-03</v>
      </c>
      <c r="G9186">
        <v>0.87760000000000005</v>
      </c>
      <c r="H9186" t="s">
        <v>9</v>
      </c>
      <c r="I9186" t="s">
        <v>10</v>
      </c>
    </row>
    <row r="9187" spans="1:9" x14ac:dyDescent="0.25">
      <c r="A9187" t="str">
        <f t="shared" si="219"/>
        <v>89301000</v>
      </c>
      <c r="B9187" t="str">
        <f>"6258081500"</f>
        <v>6258081500</v>
      </c>
      <c r="C9187" s="1">
        <v>45100</v>
      </c>
      <c r="D9187" s="1">
        <v>45103</v>
      </c>
      <c r="E9187">
        <v>1</v>
      </c>
      <c r="F9187" t="str">
        <f>"01-D01-03"</f>
        <v>01-D01-03</v>
      </c>
      <c r="G9187">
        <v>0.21060000000000001</v>
      </c>
      <c r="H9187" t="s">
        <v>11</v>
      </c>
      <c r="I9187" t="s">
        <v>10</v>
      </c>
    </row>
    <row r="9188" spans="1:9" x14ac:dyDescent="0.25">
      <c r="A9188" t="str">
        <f t="shared" si="219"/>
        <v>89301000</v>
      </c>
      <c r="B9188" t="str">
        <f>"6258090586"</f>
        <v>6258090586</v>
      </c>
      <c r="C9188" s="1">
        <v>45001</v>
      </c>
      <c r="D9188" s="1">
        <v>45003</v>
      </c>
      <c r="E9188">
        <v>1</v>
      </c>
      <c r="F9188" t="str">
        <f>"09-I06-04"</f>
        <v>09-I06-04</v>
      </c>
      <c r="G9188">
        <v>0.95069999999999999</v>
      </c>
      <c r="H9188" t="s">
        <v>12</v>
      </c>
      <c r="I9188" t="s">
        <v>10</v>
      </c>
    </row>
    <row r="9189" spans="1:9" x14ac:dyDescent="0.25">
      <c r="A9189" t="str">
        <f t="shared" si="219"/>
        <v>89301000</v>
      </c>
      <c r="B9189" t="str">
        <f>"6258131473"</f>
        <v>6258131473</v>
      </c>
      <c r="C9189" s="1">
        <v>45062</v>
      </c>
      <c r="D9189" s="1">
        <v>45065</v>
      </c>
      <c r="E9189">
        <v>1</v>
      </c>
      <c r="F9189" t="str">
        <f>"08-I23-02"</f>
        <v>08-I23-02</v>
      </c>
      <c r="G9189">
        <v>0.91059999999999997</v>
      </c>
      <c r="H9189" t="s">
        <v>12</v>
      </c>
      <c r="I9189" t="s">
        <v>10</v>
      </c>
    </row>
    <row r="9190" spans="1:9" x14ac:dyDescent="0.25">
      <c r="A9190" t="str">
        <f t="shared" si="219"/>
        <v>89301000</v>
      </c>
      <c r="B9190" t="str">
        <f>"6258170248"</f>
        <v>6258170248</v>
      </c>
      <c r="C9190" s="1">
        <v>45145</v>
      </c>
      <c r="D9190" s="1">
        <v>45146</v>
      </c>
      <c r="E9190">
        <v>1</v>
      </c>
      <c r="F9190" t="str">
        <f>"01-D01-03"</f>
        <v>01-D01-03</v>
      </c>
      <c r="G9190">
        <v>0.16200000000000001</v>
      </c>
      <c r="H9190" t="s">
        <v>11</v>
      </c>
      <c r="I9190" t="s">
        <v>10</v>
      </c>
    </row>
    <row r="9191" spans="1:9" x14ac:dyDescent="0.25">
      <c r="A9191" t="str">
        <f t="shared" si="219"/>
        <v>89301000</v>
      </c>
      <c r="B9191" t="str">
        <f>"6258171733"</f>
        <v>6258171733</v>
      </c>
      <c r="C9191" s="1">
        <v>45078</v>
      </c>
      <c r="D9191" s="1">
        <v>45079</v>
      </c>
      <c r="E9191">
        <v>1</v>
      </c>
      <c r="F9191" t="str">
        <f>"01-D01-03"</f>
        <v>01-D01-03</v>
      </c>
      <c r="G9191">
        <v>0.16200000000000001</v>
      </c>
      <c r="H9191" t="s">
        <v>11</v>
      </c>
      <c r="I9191" t="s">
        <v>10</v>
      </c>
    </row>
    <row r="9192" spans="1:9" x14ac:dyDescent="0.25">
      <c r="A9192" t="str">
        <f t="shared" si="219"/>
        <v>89301000</v>
      </c>
      <c r="B9192" t="str">
        <f>"6258171733"</f>
        <v>6258171733</v>
      </c>
      <c r="C9192" s="1">
        <v>45187</v>
      </c>
      <c r="D9192" s="1">
        <v>45188</v>
      </c>
      <c r="E9192">
        <v>1</v>
      </c>
      <c r="F9192" t="str">
        <f>"01-D01-03"</f>
        <v>01-D01-03</v>
      </c>
      <c r="G9192">
        <v>0.16200000000000001</v>
      </c>
      <c r="H9192" t="s">
        <v>11</v>
      </c>
      <c r="I9192" t="s">
        <v>10</v>
      </c>
    </row>
    <row r="9193" spans="1:9" x14ac:dyDescent="0.25">
      <c r="A9193" t="str">
        <f t="shared" si="219"/>
        <v>89301000</v>
      </c>
      <c r="B9193" t="str">
        <f>"6258231892"</f>
        <v>6258231892</v>
      </c>
      <c r="C9193" s="1">
        <v>45138</v>
      </c>
      <c r="D9193" s="1">
        <v>45139</v>
      </c>
      <c r="E9193">
        <v>1</v>
      </c>
      <c r="F9193" t="str">
        <f>"01-K16-02"</f>
        <v>01-K16-02</v>
      </c>
      <c r="G9193">
        <v>1.0049999999999999</v>
      </c>
      <c r="H9193" t="s">
        <v>11</v>
      </c>
      <c r="I9193" t="s">
        <v>10</v>
      </c>
    </row>
    <row r="9194" spans="1:9" x14ac:dyDescent="0.25">
      <c r="A9194" t="str">
        <f t="shared" si="219"/>
        <v>89301000</v>
      </c>
      <c r="B9194" t="str">
        <f>"6258271965"</f>
        <v>6258271965</v>
      </c>
      <c r="C9194" s="1">
        <v>44977</v>
      </c>
      <c r="D9194" s="1">
        <v>44979</v>
      </c>
      <c r="E9194">
        <v>1</v>
      </c>
      <c r="F9194" t="str">
        <f>"05-I30-01"</f>
        <v>05-I30-01</v>
      </c>
      <c r="G9194">
        <v>0.60350000000000004</v>
      </c>
      <c r="H9194" t="s">
        <v>12</v>
      </c>
      <c r="I9194" t="s">
        <v>10</v>
      </c>
    </row>
    <row r="9195" spans="1:9" x14ac:dyDescent="0.25">
      <c r="A9195" t="str">
        <f t="shared" si="219"/>
        <v>89301000</v>
      </c>
      <c r="B9195" t="str">
        <f>"6258290412"</f>
        <v>6258290412</v>
      </c>
      <c r="C9195" s="1">
        <v>45255</v>
      </c>
      <c r="D9195" s="1">
        <v>45264</v>
      </c>
      <c r="E9195">
        <v>3</v>
      </c>
      <c r="F9195" t="str">
        <f>"08-K07-00"</f>
        <v>08-K07-00</v>
      </c>
      <c r="G9195">
        <v>0.97599999999999998</v>
      </c>
      <c r="H9195" t="s">
        <v>11</v>
      </c>
      <c r="I9195" t="s">
        <v>10</v>
      </c>
    </row>
    <row r="9196" spans="1:9" x14ac:dyDescent="0.25">
      <c r="A9196" t="str">
        <f t="shared" si="219"/>
        <v>89301000</v>
      </c>
      <c r="B9196" t="str">
        <f>"6258290412"</f>
        <v>6258290412</v>
      </c>
      <c r="C9196" s="1">
        <v>45264</v>
      </c>
      <c r="D9196" s="1">
        <v>45281</v>
      </c>
      <c r="E9196">
        <v>1</v>
      </c>
      <c r="F9196" t="str">
        <f>"24-M07-01"</f>
        <v>24-M07-01</v>
      </c>
      <c r="G9196">
        <v>1.7825</v>
      </c>
      <c r="H9196" t="s">
        <v>11</v>
      </c>
      <c r="I9196" t="s">
        <v>10</v>
      </c>
    </row>
    <row r="9197" spans="1:9" x14ac:dyDescent="0.25">
      <c r="A9197" t="str">
        <f t="shared" si="219"/>
        <v>89301000</v>
      </c>
      <c r="B9197" t="str">
        <f>"6258680516"</f>
        <v>6258680516</v>
      </c>
      <c r="C9197" s="1">
        <v>45001</v>
      </c>
      <c r="D9197" s="1">
        <v>45003</v>
      </c>
      <c r="E9197">
        <v>1</v>
      </c>
      <c r="F9197" t="str">
        <f>"07-K06-02"</f>
        <v>07-K06-02</v>
      </c>
      <c r="G9197">
        <v>0.47520000000000001</v>
      </c>
      <c r="H9197" t="s">
        <v>11</v>
      </c>
      <c r="I9197" t="s">
        <v>10</v>
      </c>
    </row>
    <row r="9198" spans="1:9" x14ac:dyDescent="0.25">
      <c r="A9198" t="str">
        <f t="shared" si="219"/>
        <v>89301000</v>
      </c>
      <c r="B9198" t="str">
        <f>"6258680516"</f>
        <v>6258680516</v>
      </c>
      <c r="C9198" s="1">
        <v>45006</v>
      </c>
      <c r="D9198" s="1">
        <v>45012</v>
      </c>
      <c r="E9198">
        <v>6</v>
      </c>
      <c r="F9198" t="str">
        <f>"04-K09-02"</f>
        <v>04-K09-02</v>
      </c>
      <c r="G9198">
        <v>1.155</v>
      </c>
      <c r="H9198" t="s">
        <v>11</v>
      </c>
      <c r="I9198" t="s">
        <v>10</v>
      </c>
    </row>
    <row r="9199" spans="1:9" x14ac:dyDescent="0.25">
      <c r="A9199" t="str">
        <f t="shared" ref="A9199:A9261" si="220">"89301000"</f>
        <v>89301000</v>
      </c>
      <c r="B9199" t="str">
        <f t="shared" ref="B9199:B9206" si="221">"6259070224"</f>
        <v>6259070224</v>
      </c>
      <c r="C9199" s="1">
        <v>45175</v>
      </c>
      <c r="D9199" s="1">
        <v>45177</v>
      </c>
      <c r="E9199">
        <v>1</v>
      </c>
      <c r="F9199" t="str">
        <f>"10-K12-03"</f>
        <v>10-K12-03</v>
      </c>
      <c r="G9199">
        <v>0.5091</v>
      </c>
      <c r="H9199" t="s">
        <v>11</v>
      </c>
      <c r="I9199" t="s">
        <v>10</v>
      </c>
    </row>
    <row r="9200" spans="1:9" x14ac:dyDescent="0.25">
      <c r="A9200" t="str">
        <f t="shared" si="220"/>
        <v>89301000</v>
      </c>
      <c r="B9200" t="str">
        <f t="shared" si="221"/>
        <v>6259070224</v>
      </c>
      <c r="C9200" s="1">
        <v>45252</v>
      </c>
      <c r="D9200" s="1">
        <v>45253</v>
      </c>
      <c r="E9200">
        <v>1</v>
      </c>
      <c r="F9200" t="str">
        <f>"21-K05-03"</f>
        <v>21-K05-03</v>
      </c>
      <c r="G9200">
        <v>0.45729999999999998</v>
      </c>
      <c r="H9200" t="s">
        <v>11</v>
      </c>
      <c r="I9200" t="s">
        <v>10</v>
      </c>
    </row>
    <row r="9201" spans="1:9" x14ac:dyDescent="0.25">
      <c r="A9201" t="str">
        <f t="shared" si="220"/>
        <v>89301000</v>
      </c>
      <c r="B9201" t="str">
        <f t="shared" si="221"/>
        <v>6259070224</v>
      </c>
      <c r="C9201" s="1">
        <v>44962</v>
      </c>
      <c r="D9201" s="1">
        <v>44966</v>
      </c>
      <c r="E9201">
        <v>1</v>
      </c>
      <c r="F9201" t="str">
        <f>"20-K01-04"</f>
        <v>20-K01-04</v>
      </c>
      <c r="G9201">
        <v>0.40660000000000002</v>
      </c>
      <c r="H9201" t="s">
        <v>11</v>
      </c>
      <c r="I9201" t="s">
        <v>10</v>
      </c>
    </row>
    <row r="9202" spans="1:9" x14ac:dyDescent="0.25">
      <c r="A9202" t="str">
        <f t="shared" si="220"/>
        <v>89301000</v>
      </c>
      <c r="B9202" t="str">
        <f t="shared" si="221"/>
        <v>6259070224</v>
      </c>
      <c r="C9202" s="1">
        <v>45072</v>
      </c>
      <c r="D9202" s="1">
        <v>45086</v>
      </c>
      <c r="E9202">
        <v>1</v>
      </c>
      <c r="F9202" t="str">
        <f>"20-K04-02"</f>
        <v>20-K04-02</v>
      </c>
      <c r="G9202">
        <v>1.3379000000000001</v>
      </c>
      <c r="H9202" t="s">
        <v>11</v>
      </c>
      <c r="I9202" t="s">
        <v>10</v>
      </c>
    </row>
    <row r="9203" spans="1:9" x14ac:dyDescent="0.25">
      <c r="A9203" t="str">
        <f t="shared" si="220"/>
        <v>89301000</v>
      </c>
      <c r="B9203" t="str">
        <f t="shared" si="221"/>
        <v>6259070224</v>
      </c>
      <c r="C9203" s="1">
        <v>45223</v>
      </c>
      <c r="D9203" s="1">
        <v>45224</v>
      </c>
      <c r="E9203">
        <v>1</v>
      </c>
      <c r="F9203" t="str">
        <f>"20-K01-05"</f>
        <v>20-K01-05</v>
      </c>
      <c r="G9203">
        <v>0.3952</v>
      </c>
      <c r="H9203" t="s">
        <v>11</v>
      </c>
      <c r="I9203" t="s">
        <v>10</v>
      </c>
    </row>
    <row r="9204" spans="1:9" x14ac:dyDescent="0.25">
      <c r="A9204" t="str">
        <f t="shared" si="220"/>
        <v>89301000</v>
      </c>
      <c r="B9204" t="str">
        <f t="shared" si="221"/>
        <v>6259070224</v>
      </c>
      <c r="C9204" s="1">
        <v>45153</v>
      </c>
      <c r="D9204" s="1">
        <v>45167</v>
      </c>
      <c r="E9204">
        <v>1</v>
      </c>
      <c r="F9204" t="str">
        <f>"20-K04-02"</f>
        <v>20-K04-02</v>
      </c>
      <c r="G9204">
        <v>1.3379000000000001</v>
      </c>
      <c r="H9204" t="s">
        <v>11</v>
      </c>
      <c r="I9204" t="s">
        <v>10</v>
      </c>
    </row>
    <row r="9205" spans="1:9" x14ac:dyDescent="0.25">
      <c r="A9205" t="str">
        <f t="shared" si="220"/>
        <v>89301000</v>
      </c>
      <c r="B9205" t="str">
        <f t="shared" si="221"/>
        <v>6259070224</v>
      </c>
      <c r="C9205" s="1">
        <v>45188</v>
      </c>
      <c r="D9205" s="1">
        <v>45210</v>
      </c>
      <c r="E9205">
        <v>1</v>
      </c>
      <c r="F9205" t="str">
        <f>"19-K06-02"</f>
        <v>19-K06-02</v>
      </c>
      <c r="G9205">
        <v>2.2334999999999998</v>
      </c>
      <c r="H9205" t="s">
        <v>15</v>
      </c>
      <c r="I9205" t="s">
        <v>10</v>
      </c>
    </row>
    <row r="9206" spans="1:9" x14ac:dyDescent="0.25">
      <c r="A9206" t="str">
        <f t="shared" si="220"/>
        <v>89301000</v>
      </c>
      <c r="B9206" t="str">
        <f t="shared" si="221"/>
        <v>6259070224</v>
      </c>
      <c r="C9206" s="1">
        <v>45140</v>
      </c>
      <c r="D9206" s="1">
        <v>45142</v>
      </c>
      <c r="E9206">
        <v>1</v>
      </c>
      <c r="F9206" t="str">
        <f>"21-K05-03"</f>
        <v>21-K05-03</v>
      </c>
      <c r="G9206">
        <v>0.45729999999999998</v>
      </c>
      <c r="H9206" t="s">
        <v>11</v>
      </c>
      <c r="I9206" t="s">
        <v>10</v>
      </c>
    </row>
    <row r="9207" spans="1:9" x14ac:dyDescent="0.25">
      <c r="A9207" t="str">
        <f t="shared" si="220"/>
        <v>89301000</v>
      </c>
      <c r="B9207" t="str">
        <f>"6259130339"</f>
        <v>6259130339</v>
      </c>
      <c r="C9207" s="1">
        <v>45274</v>
      </c>
      <c r="D9207" s="1">
        <v>45277</v>
      </c>
      <c r="E9207">
        <v>1</v>
      </c>
      <c r="F9207" t="str">
        <f>"08-I03-08"</f>
        <v>08-I03-08</v>
      </c>
      <c r="G9207">
        <v>1.9455</v>
      </c>
      <c r="H9207" t="s">
        <v>9</v>
      </c>
      <c r="I9207" t="s">
        <v>10</v>
      </c>
    </row>
    <row r="9208" spans="1:9" x14ac:dyDescent="0.25">
      <c r="A9208" t="str">
        <f t="shared" si="220"/>
        <v>89301000</v>
      </c>
      <c r="B9208" t="str">
        <f>"6260060444"</f>
        <v>6260060444</v>
      </c>
      <c r="C9208" s="1">
        <v>45070</v>
      </c>
      <c r="D9208" s="1">
        <v>45076</v>
      </c>
      <c r="E9208">
        <v>1</v>
      </c>
      <c r="F9208" t="str">
        <f>"20-K03-03"</f>
        <v>20-K03-03</v>
      </c>
      <c r="G9208">
        <v>0.94020000000000004</v>
      </c>
      <c r="H9208" t="s">
        <v>11</v>
      </c>
      <c r="I9208" t="s">
        <v>10</v>
      </c>
    </row>
    <row r="9209" spans="1:9" x14ac:dyDescent="0.25">
      <c r="A9209" t="str">
        <f t="shared" si="220"/>
        <v>89301000</v>
      </c>
      <c r="B9209" t="str">
        <f>"6260171478"</f>
        <v>6260171478</v>
      </c>
      <c r="C9209" s="1">
        <v>44934</v>
      </c>
      <c r="D9209" s="1">
        <v>44943</v>
      </c>
      <c r="E9209">
        <v>1</v>
      </c>
      <c r="F9209" t="str">
        <f>"04-I02-02"</f>
        <v>04-I02-02</v>
      </c>
      <c r="G9209">
        <v>4.6359000000000004</v>
      </c>
      <c r="H9209" t="s">
        <v>14</v>
      </c>
      <c r="I9209" t="s">
        <v>10</v>
      </c>
    </row>
    <row r="9210" spans="1:9" x14ac:dyDescent="0.25">
      <c r="A9210" t="str">
        <f t="shared" si="220"/>
        <v>89301000</v>
      </c>
      <c r="B9210" t="str">
        <f>"6260201508"</f>
        <v>6260201508</v>
      </c>
      <c r="C9210" s="1">
        <v>45243</v>
      </c>
      <c r="D9210" s="1">
        <v>45244</v>
      </c>
      <c r="E9210">
        <v>1</v>
      </c>
      <c r="F9210" t="str">
        <f>"06-M01-05"</f>
        <v>06-M01-05</v>
      </c>
      <c r="G9210">
        <v>0.4178</v>
      </c>
      <c r="H9210" t="s">
        <v>11</v>
      </c>
      <c r="I9210" t="s">
        <v>10</v>
      </c>
    </row>
    <row r="9211" spans="1:9" x14ac:dyDescent="0.25">
      <c r="A9211" t="str">
        <f t="shared" si="220"/>
        <v>89301000</v>
      </c>
      <c r="B9211" t="str">
        <f>"6260240129"</f>
        <v>6260240129</v>
      </c>
      <c r="C9211" s="1">
        <v>45039</v>
      </c>
      <c r="D9211" s="1">
        <v>45047</v>
      </c>
      <c r="E9211">
        <v>1</v>
      </c>
      <c r="F9211" t="str">
        <f>"05-I24-04"</f>
        <v>05-I24-04</v>
      </c>
      <c r="G9211">
        <v>2.1032000000000002</v>
      </c>
      <c r="H9211" t="s">
        <v>12</v>
      </c>
      <c r="I9211" t="s">
        <v>10</v>
      </c>
    </row>
    <row r="9212" spans="1:9" x14ac:dyDescent="0.25">
      <c r="A9212" t="str">
        <f t="shared" si="220"/>
        <v>89301000</v>
      </c>
      <c r="B9212" t="str">
        <f>"6260251569"</f>
        <v>6260251569</v>
      </c>
      <c r="C9212" s="1">
        <v>45014</v>
      </c>
      <c r="D9212" s="1">
        <v>45015</v>
      </c>
      <c r="E9212">
        <v>1</v>
      </c>
      <c r="F9212" t="str">
        <f>"13-I19-00"</f>
        <v>13-I19-00</v>
      </c>
      <c r="G9212">
        <v>0.28249999999999997</v>
      </c>
      <c r="H9212" t="s">
        <v>11</v>
      </c>
      <c r="I9212" t="s">
        <v>10</v>
      </c>
    </row>
    <row r="9213" spans="1:9" x14ac:dyDescent="0.25">
      <c r="A9213" t="str">
        <f t="shared" si="220"/>
        <v>89301000</v>
      </c>
      <c r="B9213" t="str">
        <f>"6260270874"</f>
        <v>6260270874</v>
      </c>
      <c r="C9213" s="1">
        <v>44950</v>
      </c>
      <c r="D9213" s="1">
        <v>44952</v>
      </c>
      <c r="E9213">
        <v>1</v>
      </c>
      <c r="F9213" t="str">
        <f>"05-D01-06"</f>
        <v>05-D01-06</v>
      </c>
      <c r="G9213">
        <v>0.7571</v>
      </c>
      <c r="H9213" t="s">
        <v>11</v>
      </c>
      <c r="I9213" t="s">
        <v>10</v>
      </c>
    </row>
    <row r="9214" spans="1:9" x14ac:dyDescent="0.25">
      <c r="A9214" t="str">
        <f t="shared" si="220"/>
        <v>89301000</v>
      </c>
      <c r="B9214" t="str">
        <f>"6260280928"</f>
        <v>6260280928</v>
      </c>
      <c r="C9214" s="1">
        <v>45177</v>
      </c>
      <c r="D9214" s="1">
        <v>45181</v>
      </c>
      <c r="E9214">
        <v>1</v>
      </c>
      <c r="F9214" t="str">
        <f>"04-K15-03"</f>
        <v>04-K15-03</v>
      </c>
      <c r="G9214">
        <v>0.48670000000000002</v>
      </c>
      <c r="H9214" t="s">
        <v>11</v>
      </c>
      <c r="I9214" t="s">
        <v>10</v>
      </c>
    </row>
    <row r="9215" spans="1:9" x14ac:dyDescent="0.25">
      <c r="A9215" t="str">
        <f t="shared" si="220"/>
        <v>89301000</v>
      </c>
      <c r="B9215" t="str">
        <f>"6260280928"</f>
        <v>6260280928</v>
      </c>
      <c r="C9215" s="1">
        <v>45200</v>
      </c>
      <c r="D9215" s="1">
        <v>45209</v>
      </c>
      <c r="E9215">
        <v>1</v>
      </c>
      <c r="F9215" t="str">
        <f>"04-I09-02"</f>
        <v>04-I09-02</v>
      </c>
      <c r="G9215">
        <v>0.89080000000000004</v>
      </c>
      <c r="H9215" t="s">
        <v>11</v>
      </c>
      <c r="I9215" t="s">
        <v>10</v>
      </c>
    </row>
    <row r="9216" spans="1:9" x14ac:dyDescent="0.25">
      <c r="A9216" t="str">
        <f t="shared" si="220"/>
        <v>89301000</v>
      </c>
      <c r="B9216" t="str">
        <f>"6260310375"</f>
        <v>6260310375</v>
      </c>
      <c r="C9216" s="1">
        <v>45056</v>
      </c>
      <c r="D9216" s="1">
        <v>45058</v>
      </c>
      <c r="E9216">
        <v>1</v>
      </c>
      <c r="F9216" t="str">
        <f>"01-K04-02"</f>
        <v>01-K04-02</v>
      </c>
      <c r="G9216">
        <v>0.79990000000000006</v>
      </c>
      <c r="H9216" t="s">
        <v>11</v>
      </c>
      <c r="I9216" t="s">
        <v>10</v>
      </c>
    </row>
    <row r="9217" spans="1:9" x14ac:dyDescent="0.25">
      <c r="A9217" t="str">
        <f t="shared" si="220"/>
        <v>89301000</v>
      </c>
      <c r="B9217" t="str">
        <f>"6261020898"</f>
        <v>6261020898</v>
      </c>
      <c r="C9217" s="1">
        <v>45048</v>
      </c>
      <c r="D9217" s="1">
        <v>45049</v>
      </c>
      <c r="E9217">
        <v>1</v>
      </c>
      <c r="F9217" t="str">
        <f>"01-D01-03"</f>
        <v>01-D01-03</v>
      </c>
      <c r="G9217">
        <v>0.16200000000000001</v>
      </c>
      <c r="H9217" t="s">
        <v>11</v>
      </c>
      <c r="I9217" t="s">
        <v>10</v>
      </c>
    </row>
    <row r="9218" spans="1:9" x14ac:dyDescent="0.25">
      <c r="A9218" t="str">
        <f t="shared" si="220"/>
        <v>89301000</v>
      </c>
      <c r="B9218" t="str">
        <f>"6261070123"</f>
        <v>6261070123</v>
      </c>
      <c r="C9218" s="1">
        <v>45076</v>
      </c>
      <c r="D9218" s="1">
        <v>45078</v>
      </c>
      <c r="E9218">
        <v>1</v>
      </c>
      <c r="F9218" t="str">
        <f>"18-K03-02"</f>
        <v>18-K03-02</v>
      </c>
      <c r="G9218">
        <v>0.62429999999999997</v>
      </c>
      <c r="H9218" t="s">
        <v>11</v>
      </c>
      <c r="I9218" t="s">
        <v>10</v>
      </c>
    </row>
    <row r="9219" spans="1:9" x14ac:dyDescent="0.25">
      <c r="A9219" t="str">
        <f t="shared" si="220"/>
        <v>89301000</v>
      </c>
      <c r="B9219" t="str">
        <f>"6261070123"</f>
        <v>6261070123</v>
      </c>
      <c r="C9219" s="1">
        <v>45100</v>
      </c>
      <c r="D9219" s="1">
        <v>45103</v>
      </c>
      <c r="E9219">
        <v>1</v>
      </c>
      <c r="F9219" t="str">
        <f>"08-K01-03"</f>
        <v>08-K01-03</v>
      </c>
      <c r="G9219">
        <v>0.59189999999999998</v>
      </c>
      <c r="H9219" t="s">
        <v>11</v>
      </c>
      <c r="I9219" t="s">
        <v>10</v>
      </c>
    </row>
    <row r="9220" spans="1:9" x14ac:dyDescent="0.25">
      <c r="A9220" t="str">
        <f t="shared" si="220"/>
        <v>89301000</v>
      </c>
      <c r="B9220" t="str">
        <f>"6261070123"</f>
        <v>6261070123</v>
      </c>
      <c r="C9220" s="1">
        <v>44980</v>
      </c>
      <c r="D9220" s="1">
        <v>44981</v>
      </c>
      <c r="E9220">
        <v>1</v>
      </c>
      <c r="F9220" t="str">
        <f>"01-K07-03"</f>
        <v>01-K07-03</v>
      </c>
      <c r="G9220">
        <v>0.48680000000000001</v>
      </c>
      <c r="H9220" t="s">
        <v>11</v>
      </c>
      <c r="I9220" t="s">
        <v>10</v>
      </c>
    </row>
    <row r="9221" spans="1:9" x14ac:dyDescent="0.25">
      <c r="A9221" t="str">
        <f t="shared" si="220"/>
        <v>89301000</v>
      </c>
      <c r="B9221" t="str">
        <f>"6261160092"</f>
        <v>6261160092</v>
      </c>
      <c r="C9221" s="1">
        <v>44964</v>
      </c>
      <c r="D9221" s="1">
        <v>44966</v>
      </c>
      <c r="E9221">
        <v>1</v>
      </c>
      <c r="F9221" t="str">
        <f>"11-M05-02"</f>
        <v>11-M05-02</v>
      </c>
      <c r="G9221">
        <v>0.6694</v>
      </c>
      <c r="H9221" t="s">
        <v>12</v>
      </c>
      <c r="I9221" t="s">
        <v>10</v>
      </c>
    </row>
    <row r="9222" spans="1:9" x14ac:dyDescent="0.25">
      <c r="A9222" t="str">
        <f t="shared" si="220"/>
        <v>89301000</v>
      </c>
      <c r="B9222" t="str">
        <f>"6261210208"</f>
        <v>6261210208</v>
      </c>
      <c r="C9222" s="1">
        <v>45140</v>
      </c>
      <c r="D9222" s="1">
        <v>45149</v>
      </c>
      <c r="E9222">
        <v>1</v>
      </c>
      <c r="F9222" t="str">
        <f>"08-K02-02"</f>
        <v>08-K02-02</v>
      </c>
      <c r="G9222">
        <v>0.82479999999999998</v>
      </c>
      <c r="H9222" t="s">
        <v>11</v>
      </c>
      <c r="I9222" t="s">
        <v>10</v>
      </c>
    </row>
    <row r="9223" spans="1:9" x14ac:dyDescent="0.25">
      <c r="A9223" t="str">
        <f t="shared" si="220"/>
        <v>89301000</v>
      </c>
      <c r="B9223" t="str">
        <f>"6261210208"</f>
        <v>6261210208</v>
      </c>
      <c r="C9223" s="1">
        <v>45238</v>
      </c>
      <c r="D9223" s="1">
        <v>45246</v>
      </c>
      <c r="E9223">
        <v>1</v>
      </c>
      <c r="F9223" t="str">
        <f>"08-K02-03"</f>
        <v>08-K02-03</v>
      </c>
      <c r="G9223">
        <v>0.6361</v>
      </c>
      <c r="H9223" t="s">
        <v>11</v>
      </c>
      <c r="I9223" t="s">
        <v>10</v>
      </c>
    </row>
    <row r="9224" spans="1:9" x14ac:dyDescent="0.25">
      <c r="A9224" t="str">
        <f t="shared" si="220"/>
        <v>89301000</v>
      </c>
      <c r="B9224" t="str">
        <f>"6261210208"</f>
        <v>6261210208</v>
      </c>
      <c r="C9224" s="1">
        <v>45043</v>
      </c>
      <c r="D9224" s="1">
        <v>45045</v>
      </c>
      <c r="E9224">
        <v>1</v>
      </c>
      <c r="F9224" t="str">
        <f>"08-K13-02"</f>
        <v>08-K13-02</v>
      </c>
      <c r="G9224">
        <v>0.43059999999999998</v>
      </c>
      <c r="H9224" t="s">
        <v>11</v>
      </c>
      <c r="I9224" t="s">
        <v>10</v>
      </c>
    </row>
    <row r="9225" spans="1:9" x14ac:dyDescent="0.25">
      <c r="A9225" t="str">
        <f t="shared" si="220"/>
        <v>89301000</v>
      </c>
      <c r="B9225" t="str">
        <f>"6261210208"</f>
        <v>6261210208</v>
      </c>
      <c r="C9225" s="1">
        <v>45070</v>
      </c>
      <c r="D9225" s="1">
        <v>45075</v>
      </c>
      <c r="E9225">
        <v>1</v>
      </c>
      <c r="F9225" t="str">
        <f>"08-K02-02"</f>
        <v>08-K02-02</v>
      </c>
      <c r="G9225">
        <v>0.81369999999999998</v>
      </c>
      <c r="H9225" t="s">
        <v>11</v>
      </c>
      <c r="I9225" t="s">
        <v>10</v>
      </c>
    </row>
    <row r="9226" spans="1:9" x14ac:dyDescent="0.25">
      <c r="A9226" t="str">
        <f t="shared" si="220"/>
        <v>89301000</v>
      </c>
      <c r="B9226" t="str">
        <f>"6261240293"</f>
        <v>6261240293</v>
      </c>
      <c r="C9226" s="1">
        <v>44963</v>
      </c>
      <c r="D9226" s="1">
        <v>44971</v>
      </c>
      <c r="E9226">
        <v>1</v>
      </c>
      <c r="F9226" t="str">
        <f>"25-I02-02"</f>
        <v>25-I02-02</v>
      </c>
      <c r="G9226">
        <v>6.6448999999999998</v>
      </c>
      <c r="H9226" t="s">
        <v>14</v>
      </c>
      <c r="I9226" t="s">
        <v>10</v>
      </c>
    </row>
    <row r="9227" spans="1:9" x14ac:dyDescent="0.25">
      <c r="A9227" t="str">
        <f t="shared" si="220"/>
        <v>89301000</v>
      </c>
      <c r="B9227" t="str">
        <f>"6262050135"</f>
        <v>6262050135</v>
      </c>
      <c r="C9227" s="1">
        <v>45222</v>
      </c>
      <c r="D9227" s="1">
        <v>45224</v>
      </c>
      <c r="E9227">
        <v>1</v>
      </c>
      <c r="F9227" t="str">
        <f>"08-M03-05"</f>
        <v>08-M03-05</v>
      </c>
      <c r="G9227">
        <v>0.46810000000000002</v>
      </c>
      <c r="H9227" t="s">
        <v>11</v>
      </c>
      <c r="I9227" t="s">
        <v>10</v>
      </c>
    </row>
    <row r="9228" spans="1:9" x14ac:dyDescent="0.25">
      <c r="A9228" t="str">
        <f t="shared" si="220"/>
        <v>89301000</v>
      </c>
      <c r="B9228" t="str">
        <f>"6262110998"</f>
        <v>6262110998</v>
      </c>
      <c r="C9228" s="1">
        <v>45091</v>
      </c>
      <c r="D9228" s="1">
        <v>45096</v>
      </c>
      <c r="E9228">
        <v>1</v>
      </c>
      <c r="F9228" t="str">
        <f>"13-I11-03"</f>
        <v>13-I11-03</v>
      </c>
      <c r="G9228">
        <v>1.6525000000000001</v>
      </c>
      <c r="H9228" t="s">
        <v>9</v>
      </c>
      <c r="I9228" t="s">
        <v>10</v>
      </c>
    </row>
    <row r="9229" spans="1:9" x14ac:dyDescent="0.25">
      <c r="A9229" t="str">
        <f t="shared" si="220"/>
        <v>89301000</v>
      </c>
      <c r="B9229" t="str">
        <f>"6262111020"</f>
        <v>6262111020</v>
      </c>
      <c r="C9229" s="1">
        <v>44972</v>
      </c>
      <c r="D9229" s="1">
        <v>44974</v>
      </c>
      <c r="E9229">
        <v>1</v>
      </c>
      <c r="F9229" t="str">
        <f>"08-M03-02"</f>
        <v>08-M03-02</v>
      </c>
      <c r="G9229">
        <v>0.91359999999999997</v>
      </c>
      <c r="H9229" t="s">
        <v>11</v>
      </c>
      <c r="I9229" t="s">
        <v>10</v>
      </c>
    </row>
    <row r="9230" spans="1:9" x14ac:dyDescent="0.25">
      <c r="A9230" t="str">
        <f t="shared" si="220"/>
        <v>89301000</v>
      </c>
      <c r="B9230" t="str">
        <f>"6262150158"</f>
        <v>6262150158</v>
      </c>
      <c r="C9230" s="1">
        <v>45198</v>
      </c>
      <c r="D9230" s="1">
        <v>45198</v>
      </c>
      <c r="E9230">
        <v>1</v>
      </c>
      <c r="F9230" t="str">
        <f>"05-D01-08"</f>
        <v>05-D01-08</v>
      </c>
      <c r="G9230">
        <v>0.2303</v>
      </c>
      <c r="H9230" t="s">
        <v>11</v>
      </c>
      <c r="I9230" t="s">
        <v>10</v>
      </c>
    </row>
    <row r="9231" spans="1:9" x14ac:dyDescent="0.25">
      <c r="A9231" t="str">
        <f t="shared" si="220"/>
        <v>89301000</v>
      </c>
      <c r="B9231" t="str">
        <f>"6262171289"</f>
        <v>6262171289</v>
      </c>
      <c r="C9231" s="1">
        <v>44987</v>
      </c>
      <c r="D9231" s="1">
        <v>45008</v>
      </c>
      <c r="E9231">
        <v>4</v>
      </c>
      <c r="F9231" t="str">
        <f>"20-K06-02"</f>
        <v>20-K06-02</v>
      </c>
      <c r="G9231">
        <v>2.2334999999999998</v>
      </c>
      <c r="H9231" t="s">
        <v>11</v>
      </c>
      <c r="I9231" t="s">
        <v>10</v>
      </c>
    </row>
    <row r="9232" spans="1:9" x14ac:dyDescent="0.25">
      <c r="A9232" t="str">
        <f t="shared" si="220"/>
        <v>89301000</v>
      </c>
      <c r="B9232" t="str">
        <f>"6262236343"</f>
        <v>6262236343</v>
      </c>
      <c r="C9232" s="1">
        <v>45271</v>
      </c>
      <c r="D9232" s="1">
        <v>45274</v>
      </c>
      <c r="E9232">
        <v>1</v>
      </c>
      <c r="F9232" t="str">
        <f>"07-C01-02"</f>
        <v>07-C01-02</v>
      </c>
      <c r="G9232">
        <v>0.3483</v>
      </c>
      <c r="H9232" t="s">
        <v>11</v>
      </c>
      <c r="I9232" t="s">
        <v>16</v>
      </c>
    </row>
    <row r="9233" spans="1:9" x14ac:dyDescent="0.25">
      <c r="A9233" t="str">
        <f t="shared" si="220"/>
        <v>89301000</v>
      </c>
      <c r="B9233" t="str">
        <f>"6262236343"</f>
        <v>6262236343</v>
      </c>
      <c r="C9233" s="1">
        <v>45257</v>
      </c>
      <c r="D9233" s="1">
        <v>45259</v>
      </c>
      <c r="E9233">
        <v>1</v>
      </c>
      <c r="F9233" t="str">
        <f>"07-C01-02"</f>
        <v>07-C01-02</v>
      </c>
      <c r="G9233">
        <v>0.3483</v>
      </c>
      <c r="H9233" t="s">
        <v>11</v>
      </c>
      <c r="I9233" t="s">
        <v>16</v>
      </c>
    </row>
    <row r="9234" spans="1:9" x14ac:dyDescent="0.25">
      <c r="A9234" t="str">
        <f t="shared" si="220"/>
        <v>89301000</v>
      </c>
      <c r="B9234" t="str">
        <f>"6262240952"</f>
        <v>6262240952</v>
      </c>
      <c r="C9234" s="1">
        <v>44980</v>
      </c>
      <c r="D9234" s="1">
        <v>45037</v>
      </c>
      <c r="E9234">
        <v>1</v>
      </c>
      <c r="F9234" t="str">
        <f>"00-M06-02"</f>
        <v>00-M06-02</v>
      </c>
      <c r="G9234">
        <v>22.8171</v>
      </c>
      <c r="H9234" t="s">
        <v>12</v>
      </c>
      <c r="I9234" t="s">
        <v>10</v>
      </c>
    </row>
    <row r="9235" spans="1:9" x14ac:dyDescent="0.25">
      <c r="A9235" t="str">
        <f t="shared" si="220"/>
        <v>89301000</v>
      </c>
      <c r="B9235" t="str">
        <f>"6301091258"</f>
        <v>6301091258</v>
      </c>
      <c r="C9235" s="1">
        <v>45104</v>
      </c>
      <c r="D9235" s="1">
        <v>45110</v>
      </c>
      <c r="E9235">
        <v>1</v>
      </c>
      <c r="F9235" t="str">
        <f>"04-K03-02"</f>
        <v>04-K03-02</v>
      </c>
      <c r="G9235">
        <v>0.79500000000000004</v>
      </c>
      <c r="H9235" t="s">
        <v>11</v>
      </c>
      <c r="I9235" t="s">
        <v>10</v>
      </c>
    </row>
    <row r="9236" spans="1:9" x14ac:dyDescent="0.25">
      <c r="A9236" t="str">
        <f t="shared" si="220"/>
        <v>89301000</v>
      </c>
      <c r="B9236" t="str">
        <f>"6301100773"</f>
        <v>6301100773</v>
      </c>
      <c r="C9236" s="1">
        <v>44988</v>
      </c>
      <c r="D9236" s="1">
        <v>44991</v>
      </c>
      <c r="E9236">
        <v>1</v>
      </c>
      <c r="F9236" t="str">
        <f>"06-I18-05"</f>
        <v>06-I18-05</v>
      </c>
      <c r="G9236">
        <v>0.82420000000000004</v>
      </c>
      <c r="H9236" t="s">
        <v>9</v>
      </c>
      <c r="I9236" t="s">
        <v>10</v>
      </c>
    </row>
    <row r="9237" spans="1:9" x14ac:dyDescent="0.25">
      <c r="A9237" t="str">
        <f t="shared" si="220"/>
        <v>89301000</v>
      </c>
      <c r="B9237" t="str">
        <f>"6301151670"</f>
        <v>6301151670</v>
      </c>
      <c r="C9237" s="1">
        <v>45245</v>
      </c>
      <c r="D9237" s="1">
        <v>45251</v>
      </c>
      <c r="E9237">
        <v>4</v>
      </c>
      <c r="F9237" t="str">
        <f>"08-I05-04"</f>
        <v>08-I05-04</v>
      </c>
      <c r="G9237">
        <v>2.4445000000000001</v>
      </c>
      <c r="H9237" t="s">
        <v>12</v>
      </c>
      <c r="I9237" t="s">
        <v>10</v>
      </c>
    </row>
    <row r="9238" spans="1:9" x14ac:dyDescent="0.25">
      <c r="A9238" t="str">
        <f t="shared" si="220"/>
        <v>89301000</v>
      </c>
      <c r="B9238" t="str">
        <f>"6301151670"</f>
        <v>6301151670</v>
      </c>
      <c r="C9238" s="1">
        <v>45159</v>
      </c>
      <c r="D9238" s="1">
        <v>45162</v>
      </c>
      <c r="E9238">
        <v>1</v>
      </c>
      <c r="F9238" t="str">
        <f>"03-I24-00"</f>
        <v>03-I24-00</v>
      </c>
      <c r="G9238">
        <v>0.40899999999999997</v>
      </c>
      <c r="H9238" t="s">
        <v>11</v>
      </c>
      <c r="I9238" t="s">
        <v>10</v>
      </c>
    </row>
    <row r="9239" spans="1:9" x14ac:dyDescent="0.25">
      <c r="A9239" t="str">
        <f t="shared" si="220"/>
        <v>89301000</v>
      </c>
      <c r="B9239" t="str">
        <f>"6301201357"</f>
        <v>6301201357</v>
      </c>
      <c r="C9239" s="1">
        <v>45028</v>
      </c>
      <c r="D9239" s="1">
        <v>45029</v>
      </c>
      <c r="E9239">
        <v>1</v>
      </c>
      <c r="F9239" t="str">
        <f>"12-K03-00"</f>
        <v>12-K03-00</v>
      </c>
      <c r="G9239">
        <v>0.27379999999999999</v>
      </c>
      <c r="H9239" t="s">
        <v>11</v>
      </c>
      <c r="I9239" t="s">
        <v>10</v>
      </c>
    </row>
    <row r="9240" spans="1:9" x14ac:dyDescent="0.25">
      <c r="A9240" t="str">
        <f t="shared" si="220"/>
        <v>89301000</v>
      </c>
      <c r="B9240" t="str">
        <f>"6301211543"</f>
        <v>6301211543</v>
      </c>
      <c r="C9240" s="1">
        <v>45164</v>
      </c>
      <c r="D9240" s="1">
        <v>45169</v>
      </c>
      <c r="E9240">
        <v>1</v>
      </c>
      <c r="F9240" t="str">
        <f>"01-K12-01"</f>
        <v>01-K12-01</v>
      </c>
      <c r="G9240">
        <v>0.73780000000000001</v>
      </c>
      <c r="H9240" t="s">
        <v>11</v>
      </c>
      <c r="I9240" t="s">
        <v>10</v>
      </c>
    </row>
    <row r="9241" spans="1:9" x14ac:dyDescent="0.25">
      <c r="A9241" t="str">
        <f t="shared" si="220"/>
        <v>89301000</v>
      </c>
      <c r="B9241" t="str">
        <f>"6301211631"</f>
        <v>6301211631</v>
      </c>
      <c r="C9241" s="1">
        <v>45166</v>
      </c>
      <c r="D9241" s="1">
        <v>45169</v>
      </c>
      <c r="E9241">
        <v>1</v>
      </c>
      <c r="F9241" t="str">
        <f>"20-K02-03"</f>
        <v>20-K02-03</v>
      </c>
      <c r="G9241">
        <v>0.57520000000000004</v>
      </c>
      <c r="H9241" t="s">
        <v>11</v>
      </c>
      <c r="I9241" t="s">
        <v>10</v>
      </c>
    </row>
    <row r="9242" spans="1:9" x14ac:dyDescent="0.25">
      <c r="A9242" t="str">
        <f t="shared" si="220"/>
        <v>89301000</v>
      </c>
      <c r="B9242" t="str">
        <f>"6301230936"</f>
        <v>6301230936</v>
      </c>
      <c r="C9242" s="1">
        <v>44949</v>
      </c>
      <c r="D9242" s="1">
        <v>44963</v>
      </c>
      <c r="E9242">
        <v>1</v>
      </c>
      <c r="F9242" t="str">
        <f>"08-R02-08"</f>
        <v>08-R02-08</v>
      </c>
      <c r="G9242">
        <v>1.3348</v>
      </c>
      <c r="H9242" t="s">
        <v>11</v>
      </c>
      <c r="I9242" t="s">
        <v>10</v>
      </c>
    </row>
    <row r="9243" spans="1:9" x14ac:dyDescent="0.25">
      <c r="A9243" t="str">
        <f t="shared" si="220"/>
        <v>89301000</v>
      </c>
      <c r="B9243" t="str">
        <f>"6301271515"</f>
        <v>6301271515</v>
      </c>
      <c r="C9243" s="1">
        <v>45075</v>
      </c>
      <c r="D9243" s="1">
        <v>45076</v>
      </c>
      <c r="E9243">
        <v>1</v>
      </c>
      <c r="F9243" t="str">
        <f>"17-K03-02"</f>
        <v>17-K03-02</v>
      </c>
      <c r="G9243">
        <v>1.008</v>
      </c>
      <c r="H9243" t="s">
        <v>11</v>
      </c>
      <c r="I9243" t="s">
        <v>10</v>
      </c>
    </row>
    <row r="9244" spans="1:9" x14ac:dyDescent="0.25">
      <c r="A9244" t="str">
        <f t="shared" si="220"/>
        <v>89301000</v>
      </c>
      <c r="B9244" t="str">
        <f>"6302052152"</f>
        <v>6302052152</v>
      </c>
      <c r="C9244" s="1">
        <v>45031</v>
      </c>
      <c r="D9244" s="1">
        <v>45034</v>
      </c>
      <c r="E9244">
        <v>1</v>
      </c>
      <c r="F9244" t="str">
        <f>"19-K02-03"</f>
        <v>19-K02-03</v>
      </c>
      <c r="G9244">
        <v>0.71950000000000003</v>
      </c>
      <c r="H9244" t="s">
        <v>15</v>
      </c>
      <c r="I9244" t="s">
        <v>10</v>
      </c>
    </row>
    <row r="9245" spans="1:9" x14ac:dyDescent="0.25">
      <c r="A9245" t="str">
        <f t="shared" si="220"/>
        <v>89301000</v>
      </c>
      <c r="B9245" t="str">
        <f>"6302061689"</f>
        <v>6302061689</v>
      </c>
      <c r="C9245" s="1">
        <v>45261</v>
      </c>
      <c r="D9245" s="1">
        <v>45262</v>
      </c>
      <c r="E9245">
        <v>1</v>
      </c>
      <c r="F9245" t="str">
        <f>"04-K10-02"</f>
        <v>04-K10-02</v>
      </c>
      <c r="G9245">
        <v>0.41899999999999998</v>
      </c>
      <c r="H9245" t="s">
        <v>11</v>
      </c>
      <c r="I9245" t="s">
        <v>10</v>
      </c>
    </row>
    <row r="9246" spans="1:9" x14ac:dyDescent="0.25">
      <c r="A9246" t="str">
        <f t="shared" si="220"/>
        <v>89301000</v>
      </c>
      <c r="B9246" t="str">
        <f>"6302091477"</f>
        <v>6302091477</v>
      </c>
      <c r="C9246" s="1">
        <v>44944</v>
      </c>
      <c r="D9246" s="1">
        <v>44945</v>
      </c>
      <c r="E9246">
        <v>1</v>
      </c>
      <c r="F9246" t="str">
        <f>"08-M03-02"</f>
        <v>08-M03-02</v>
      </c>
      <c r="G9246">
        <v>0.91359999999999997</v>
      </c>
      <c r="H9246" t="s">
        <v>11</v>
      </c>
      <c r="I9246" t="s">
        <v>10</v>
      </c>
    </row>
    <row r="9247" spans="1:9" x14ac:dyDescent="0.25">
      <c r="A9247" t="str">
        <f t="shared" si="220"/>
        <v>89301000</v>
      </c>
      <c r="B9247" t="str">
        <f>"6302100970"</f>
        <v>6302100970</v>
      </c>
      <c r="C9247" s="1">
        <v>44946</v>
      </c>
      <c r="D9247" s="1">
        <v>44952</v>
      </c>
      <c r="E9247">
        <v>1</v>
      </c>
      <c r="F9247" t="str">
        <f>"08-I17-02"</f>
        <v>08-I17-02</v>
      </c>
      <c r="G9247">
        <v>1.0041</v>
      </c>
      <c r="H9247" t="s">
        <v>11</v>
      </c>
      <c r="I9247" t="s">
        <v>10</v>
      </c>
    </row>
    <row r="9248" spans="1:9" x14ac:dyDescent="0.25">
      <c r="A9248" t="str">
        <f t="shared" si="220"/>
        <v>89301000</v>
      </c>
      <c r="B9248" t="str">
        <f>"6302180874"</f>
        <v>6302180874</v>
      </c>
      <c r="C9248" s="1">
        <v>45190</v>
      </c>
      <c r="D9248" s="1">
        <v>45200</v>
      </c>
      <c r="E9248">
        <v>1</v>
      </c>
      <c r="F9248" t="str">
        <f>"01-K02-04"</f>
        <v>01-K02-04</v>
      </c>
      <c r="G9248">
        <v>1.2318</v>
      </c>
      <c r="H9248" t="s">
        <v>11</v>
      </c>
      <c r="I9248" t="s">
        <v>10</v>
      </c>
    </row>
    <row r="9249" spans="1:9" x14ac:dyDescent="0.25">
      <c r="A9249" t="str">
        <f t="shared" si="220"/>
        <v>89301000</v>
      </c>
      <c r="B9249" t="str">
        <f>"6302191863"</f>
        <v>6302191863</v>
      </c>
      <c r="C9249" s="1">
        <v>44935</v>
      </c>
      <c r="D9249" s="1">
        <v>44937</v>
      </c>
      <c r="E9249">
        <v>5</v>
      </c>
      <c r="F9249" t="str">
        <f>"05-I21-02"</f>
        <v>05-I21-02</v>
      </c>
      <c r="G9249">
        <v>2.9087999999999998</v>
      </c>
      <c r="H9249" t="s">
        <v>12</v>
      </c>
      <c r="I9249" t="s">
        <v>10</v>
      </c>
    </row>
    <row r="9250" spans="1:9" x14ac:dyDescent="0.25">
      <c r="A9250" t="str">
        <f t="shared" si="220"/>
        <v>89301000</v>
      </c>
      <c r="B9250" t="str">
        <f>"6302221607"</f>
        <v>6302221607</v>
      </c>
      <c r="C9250" s="1">
        <v>45147</v>
      </c>
      <c r="D9250" s="1">
        <v>45148</v>
      </c>
      <c r="E9250">
        <v>1</v>
      </c>
      <c r="F9250" t="str">
        <f>"03-K13-02"</f>
        <v>03-K13-02</v>
      </c>
      <c r="G9250">
        <v>0.24440000000000001</v>
      </c>
      <c r="H9250" t="s">
        <v>11</v>
      </c>
      <c r="I9250" t="s">
        <v>10</v>
      </c>
    </row>
    <row r="9251" spans="1:9" x14ac:dyDescent="0.25">
      <c r="A9251" t="str">
        <f t="shared" si="220"/>
        <v>89301000</v>
      </c>
      <c r="B9251" t="str">
        <f>"6303070708"</f>
        <v>6303070708</v>
      </c>
      <c r="C9251" s="1">
        <v>44926</v>
      </c>
      <c r="D9251" s="1">
        <v>44927</v>
      </c>
      <c r="E9251">
        <v>1</v>
      </c>
      <c r="F9251" t="str">
        <f>"08-I15-03"</f>
        <v>08-I15-03</v>
      </c>
      <c r="G9251">
        <v>0.94059999999999999</v>
      </c>
      <c r="H9251" t="s">
        <v>12</v>
      </c>
      <c r="I9251" t="s">
        <v>10</v>
      </c>
    </row>
    <row r="9252" spans="1:9" x14ac:dyDescent="0.25">
      <c r="A9252" t="str">
        <f t="shared" si="220"/>
        <v>89301000</v>
      </c>
      <c r="B9252" t="str">
        <f>"6303071423"</f>
        <v>6303071423</v>
      </c>
      <c r="C9252" s="1">
        <v>45000</v>
      </c>
      <c r="D9252" s="1">
        <v>45009</v>
      </c>
      <c r="E9252">
        <v>5</v>
      </c>
      <c r="F9252" t="str">
        <f>"25-I02-01"</f>
        <v>25-I02-01</v>
      </c>
      <c r="G9252">
        <v>9.1928999999999998</v>
      </c>
      <c r="H9252" t="s">
        <v>14</v>
      </c>
      <c r="I9252" t="s">
        <v>10</v>
      </c>
    </row>
    <row r="9253" spans="1:9" x14ac:dyDescent="0.25">
      <c r="A9253" t="str">
        <f t="shared" si="220"/>
        <v>89301000</v>
      </c>
      <c r="B9253" t="str">
        <f>"6303071423"</f>
        <v>6303071423</v>
      </c>
      <c r="C9253" s="1">
        <v>45055</v>
      </c>
      <c r="D9253" s="1">
        <v>45065</v>
      </c>
      <c r="E9253">
        <v>1</v>
      </c>
      <c r="F9253" t="str">
        <f>"24-M06-02"</f>
        <v>24-M06-02</v>
      </c>
      <c r="G9253">
        <v>1.0699000000000001</v>
      </c>
      <c r="H9253" t="s">
        <v>11</v>
      </c>
      <c r="I9253" t="s">
        <v>10</v>
      </c>
    </row>
    <row r="9254" spans="1:9" x14ac:dyDescent="0.25">
      <c r="A9254" t="str">
        <f t="shared" si="220"/>
        <v>89301000</v>
      </c>
      <c r="B9254" t="str">
        <f>"6303111639"</f>
        <v>6303111639</v>
      </c>
      <c r="C9254" s="1">
        <v>45267</v>
      </c>
      <c r="D9254" s="1">
        <v>45269</v>
      </c>
      <c r="E9254">
        <v>1</v>
      </c>
      <c r="F9254" t="str">
        <f>"05-M05-02"</f>
        <v>05-M05-02</v>
      </c>
      <c r="G9254">
        <v>3.5579999999999998</v>
      </c>
      <c r="H9254" t="s">
        <v>14</v>
      </c>
      <c r="I9254" t="s">
        <v>10</v>
      </c>
    </row>
    <row r="9255" spans="1:9" x14ac:dyDescent="0.25">
      <c r="A9255" t="str">
        <f t="shared" si="220"/>
        <v>89301000</v>
      </c>
      <c r="B9255" t="str">
        <f>"6303111639"</f>
        <v>6303111639</v>
      </c>
      <c r="C9255" s="1">
        <v>45231</v>
      </c>
      <c r="D9255" s="1">
        <v>45233</v>
      </c>
      <c r="E9255">
        <v>1</v>
      </c>
      <c r="F9255" t="str">
        <f>"05-M05-02"</f>
        <v>05-M05-02</v>
      </c>
      <c r="G9255">
        <v>3.5560999999999998</v>
      </c>
      <c r="H9255" t="s">
        <v>14</v>
      </c>
      <c r="I9255" t="s">
        <v>10</v>
      </c>
    </row>
    <row r="9256" spans="1:9" x14ac:dyDescent="0.25">
      <c r="A9256" t="str">
        <f t="shared" si="220"/>
        <v>89301000</v>
      </c>
      <c r="B9256" t="str">
        <f>"6303121506"</f>
        <v>6303121506</v>
      </c>
      <c r="C9256" s="1">
        <v>45277</v>
      </c>
      <c r="D9256" s="1">
        <v>45283</v>
      </c>
      <c r="E9256">
        <v>1</v>
      </c>
      <c r="F9256" t="str">
        <f>"12-I02-01"</f>
        <v>12-I02-01</v>
      </c>
      <c r="G9256">
        <v>3.3855</v>
      </c>
      <c r="H9256" t="s">
        <v>9</v>
      </c>
      <c r="I9256" t="s">
        <v>10</v>
      </c>
    </row>
    <row r="9257" spans="1:9" x14ac:dyDescent="0.25">
      <c r="A9257" t="str">
        <f t="shared" si="220"/>
        <v>89301000</v>
      </c>
      <c r="B9257" t="str">
        <f>"6303121924"</f>
        <v>6303121924</v>
      </c>
      <c r="C9257" s="1">
        <v>44967</v>
      </c>
      <c r="D9257" s="1">
        <v>44973</v>
      </c>
      <c r="E9257">
        <v>1</v>
      </c>
      <c r="F9257" t="str">
        <f>"05-M06-01"</f>
        <v>05-M06-01</v>
      </c>
      <c r="G9257">
        <v>4.5058999999999996</v>
      </c>
      <c r="H9257" t="s">
        <v>12</v>
      </c>
      <c r="I9257" t="s">
        <v>10</v>
      </c>
    </row>
    <row r="9258" spans="1:9" x14ac:dyDescent="0.25">
      <c r="A9258" t="str">
        <f t="shared" si="220"/>
        <v>89301000</v>
      </c>
      <c r="B9258" t="str">
        <f>"6303240559"</f>
        <v>6303240559</v>
      </c>
      <c r="C9258" s="1">
        <v>45153</v>
      </c>
      <c r="D9258" s="1">
        <v>45155</v>
      </c>
      <c r="E9258">
        <v>1</v>
      </c>
      <c r="F9258" t="str">
        <f>"08-M03-05"</f>
        <v>08-M03-05</v>
      </c>
      <c r="G9258">
        <v>0.46810000000000002</v>
      </c>
      <c r="H9258" t="s">
        <v>11</v>
      </c>
      <c r="I9258" t="s">
        <v>10</v>
      </c>
    </row>
    <row r="9259" spans="1:9" x14ac:dyDescent="0.25">
      <c r="A9259" t="str">
        <f t="shared" si="220"/>
        <v>89301000</v>
      </c>
      <c r="B9259" t="str">
        <f>"6303251735"</f>
        <v>6303251735</v>
      </c>
      <c r="C9259" s="1">
        <v>45203</v>
      </c>
      <c r="D9259" s="1">
        <v>45205</v>
      </c>
      <c r="E9259">
        <v>1</v>
      </c>
      <c r="F9259" t="str">
        <f>"08-I32-00"</f>
        <v>08-I32-00</v>
      </c>
      <c r="G9259">
        <v>0.4093</v>
      </c>
      <c r="H9259" t="s">
        <v>11</v>
      </c>
      <c r="I9259" t="s">
        <v>10</v>
      </c>
    </row>
    <row r="9260" spans="1:9" x14ac:dyDescent="0.25">
      <c r="A9260" t="str">
        <f t="shared" si="220"/>
        <v>89301000</v>
      </c>
      <c r="B9260" t="str">
        <f>"6303270820"</f>
        <v>6303270820</v>
      </c>
      <c r="C9260" s="1">
        <v>45016</v>
      </c>
      <c r="D9260" s="1">
        <v>45019</v>
      </c>
      <c r="E9260">
        <v>1</v>
      </c>
      <c r="F9260" t="str">
        <f>"01-D01-03"</f>
        <v>01-D01-03</v>
      </c>
      <c r="G9260">
        <v>0.21060000000000001</v>
      </c>
      <c r="H9260" t="s">
        <v>11</v>
      </c>
      <c r="I9260" t="s">
        <v>10</v>
      </c>
    </row>
    <row r="9261" spans="1:9" x14ac:dyDescent="0.25">
      <c r="A9261" t="str">
        <f t="shared" si="220"/>
        <v>89301000</v>
      </c>
      <c r="B9261" t="str">
        <f>"6303270820"</f>
        <v>6303270820</v>
      </c>
      <c r="C9261" s="1">
        <v>44958</v>
      </c>
      <c r="D9261" s="1">
        <v>44959</v>
      </c>
      <c r="E9261">
        <v>1</v>
      </c>
      <c r="F9261" t="str">
        <f>"01-D01-03"</f>
        <v>01-D01-03</v>
      </c>
      <c r="G9261">
        <v>0.16200000000000001</v>
      </c>
      <c r="H9261" t="s">
        <v>11</v>
      </c>
      <c r="I9261" t="s">
        <v>10</v>
      </c>
    </row>
    <row r="9262" spans="1:9" x14ac:dyDescent="0.25">
      <c r="A9262" t="str">
        <f t="shared" ref="A9262:A9325" si="222">"89301000"</f>
        <v>89301000</v>
      </c>
      <c r="B9262" t="str">
        <f>"6303310717"</f>
        <v>6303310717</v>
      </c>
      <c r="C9262" s="1">
        <v>44971</v>
      </c>
      <c r="D9262" s="1">
        <v>44981</v>
      </c>
      <c r="E9262">
        <v>1</v>
      </c>
      <c r="F9262" t="str">
        <f>"05-I14-02"</f>
        <v>05-I14-02</v>
      </c>
      <c r="G9262">
        <v>6.4595000000000002</v>
      </c>
      <c r="H9262" t="s">
        <v>12</v>
      </c>
      <c r="I9262" t="s">
        <v>10</v>
      </c>
    </row>
    <row r="9263" spans="1:9" x14ac:dyDescent="0.25">
      <c r="A9263" t="str">
        <f t="shared" si="222"/>
        <v>89301000</v>
      </c>
      <c r="B9263" t="str">
        <f>"6303310717"</f>
        <v>6303310717</v>
      </c>
      <c r="C9263" s="1">
        <v>45030</v>
      </c>
      <c r="D9263" s="1">
        <v>45043</v>
      </c>
      <c r="E9263">
        <v>1</v>
      </c>
      <c r="F9263" t="str">
        <f>"05-I13-02"</f>
        <v>05-I13-02</v>
      </c>
      <c r="G9263">
        <v>11.439299999999999</v>
      </c>
      <c r="H9263" t="s">
        <v>14</v>
      </c>
      <c r="I9263" t="s">
        <v>10</v>
      </c>
    </row>
    <row r="9264" spans="1:9" x14ac:dyDescent="0.25">
      <c r="A9264" t="str">
        <f t="shared" si="222"/>
        <v>89301000</v>
      </c>
      <c r="B9264" t="str">
        <f>"6304016983"</f>
        <v>6304016983</v>
      </c>
      <c r="C9264" s="1">
        <v>45243</v>
      </c>
      <c r="D9264" s="1">
        <v>45244</v>
      </c>
      <c r="E9264">
        <v>1</v>
      </c>
      <c r="F9264" t="str">
        <f>"06-K14-02"</f>
        <v>06-K14-02</v>
      </c>
      <c r="G9264">
        <v>0.61380000000000001</v>
      </c>
      <c r="H9264" t="s">
        <v>11</v>
      </c>
      <c r="I9264" t="s">
        <v>10</v>
      </c>
    </row>
    <row r="9265" spans="1:9" x14ac:dyDescent="0.25">
      <c r="A9265" t="str">
        <f t="shared" si="222"/>
        <v>89301000</v>
      </c>
      <c r="B9265" t="str">
        <f>"6304041007"</f>
        <v>6304041007</v>
      </c>
      <c r="C9265" s="1">
        <v>45232</v>
      </c>
      <c r="D9265" s="1">
        <v>45235</v>
      </c>
      <c r="E9265">
        <v>1</v>
      </c>
      <c r="F9265" t="str">
        <f>"08-I04-02"</f>
        <v>08-I04-02</v>
      </c>
      <c r="G9265">
        <v>1.6229</v>
      </c>
      <c r="H9265" t="s">
        <v>14</v>
      </c>
      <c r="I9265" t="s">
        <v>10</v>
      </c>
    </row>
    <row r="9266" spans="1:9" x14ac:dyDescent="0.25">
      <c r="A9266" t="str">
        <f t="shared" si="222"/>
        <v>89301000</v>
      </c>
      <c r="B9266" t="str">
        <f>"6304051072"</f>
        <v>6304051072</v>
      </c>
      <c r="C9266" s="1">
        <v>44974</v>
      </c>
      <c r="D9266" s="1">
        <v>44985</v>
      </c>
      <c r="E9266">
        <v>4</v>
      </c>
      <c r="F9266" t="str">
        <f>"05-I16-04"</f>
        <v>05-I16-04</v>
      </c>
      <c r="G9266">
        <v>6.2375999999999996</v>
      </c>
      <c r="H9266" t="s">
        <v>14</v>
      </c>
      <c r="I9266" t="s">
        <v>10</v>
      </c>
    </row>
    <row r="9267" spans="1:9" x14ac:dyDescent="0.25">
      <c r="A9267" t="str">
        <f t="shared" si="222"/>
        <v>89301000</v>
      </c>
      <c r="B9267" t="str">
        <f>"6304110593"</f>
        <v>6304110593</v>
      </c>
      <c r="C9267" s="1">
        <v>45230</v>
      </c>
      <c r="D9267" s="1">
        <v>45231</v>
      </c>
      <c r="E9267">
        <v>1</v>
      </c>
      <c r="F9267" t="str">
        <f>"02-I06-04"</f>
        <v>02-I06-04</v>
      </c>
      <c r="G9267">
        <v>0.79630000000000001</v>
      </c>
      <c r="H9267" t="s">
        <v>12</v>
      </c>
      <c r="I9267" t="s">
        <v>10</v>
      </c>
    </row>
    <row r="9268" spans="1:9" x14ac:dyDescent="0.25">
      <c r="A9268" t="str">
        <f t="shared" si="222"/>
        <v>89301000</v>
      </c>
      <c r="B9268" t="str">
        <f>"6304112012"</f>
        <v>6304112012</v>
      </c>
      <c r="C9268" s="1">
        <v>45091</v>
      </c>
      <c r="D9268" s="1">
        <v>45096</v>
      </c>
      <c r="E9268">
        <v>1</v>
      </c>
      <c r="F9268" t="str">
        <f>"05-M06-06"</f>
        <v>05-M06-06</v>
      </c>
      <c r="G9268">
        <v>1.8264</v>
      </c>
      <c r="H9268" t="s">
        <v>12</v>
      </c>
      <c r="I9268" t="s">
        <v>10</v>
      </c>
    </row>
    <row r="9269" spans="1:9" x14ac:dyDescent="0.25">
      <c r="A9269" t="str">
        <f t="shared" si="222"/>
        <v>89301000</v>
      </c>
      <c r="B9269" t="str">
        <f>"6304141129"</f>
        <v>6304141129</v>
      </c>
      <c r="C9269" s="1">
        <v>45103</v>
      </c>
      <c r="D9269" s="1">
        <v>45105</v>
      </c>
      <c r="E9269">
        <v>1</v>
      </c>
      <c r="F9269" t="str">
        <f>"11-K14-03"</f>
        <v>11-K14-03</v>
      </c>
      <c r="G9269">
        <v>0.31240000000000001</v>
      </c>
      <c r="H9269" t="s">
        <v>11</v>
      </c>
      <c r="I9269" t="s">
        <v>10</v>
      </c>
    </row>
    <row r="9270" spans="1:9" x14ac:dyDescent="0.25">
      <c r="A9270" t="str">
        <f t="shared" si="222"/>
        <v>89301000</v>
      </c>
      <c r="B9270" t="str">
        <f>"6304232440"</f>
        <v>6304232440</v>
      </c>
      <c r="C9270" s="1">
        <v>45203</v>
      </c>
      <c r="D9270" s="1">
        <v>45205</v>
      </c>
      <c r="E9270">
        <v>1</v>
      </c>
      <c r="F9270" t="str">
        <f>"08-M03-02"</f>
        <v>08-M03-02</v>
      </c>
      <c r="G9270">
        <v>0.91359999999999997</v>
      </c>
      <c r="H9270" t="s">
        <v>11</v>
      </c>
      <c r="I9270" t="s">
        <v>10</v>
      </c>
    </row>
    <row r="9271" spans="1:9" x14ac:dyDescent="0.25">
      <c r="A9271" t="str">
        <f t="shared" si="222"/>
        <v>89301000</v>
      </c>
      <c r="B9271" t="str">
        <f>"6304280477"</f>
        <v>6304280477</v>
      </c>
      <c r="C9271" s="1">
        <v>44994</v>
      </c>
      <c r="D9271" s="1">
        <v>44996</v>
      </c>
      <c r="E9271">
        <v>1</v>
      </c>
      <c r="F9271" t="str">
        <f>"08-M03-02"</f>
        <v>08-M03-02</v>
      </c>
      <c r="G9271">
        <v>0.91359999999999997</v>
      </c>
      <c r="H9271" t="s">
        <v>11</v>
      </c>
      <c r="I9271" t="s">
        <v>10</v>
      </c>
    </row>
    <row r="9272" spans="1:9" x14ac:dyDescent="0.25">
      <c r="A9272" t="str">
        <f t="shared" si="222"/>
        <v>89301000</v>
      </c>
      <c r="B9272" t="str">
        <f>"6304640518"</f>
        <v>6304640518</v>
      </c>
      <c r="C9272" s="1">
        <v>45183</v>
      </c>
      <c r="D9272" s="1">
        <v>45187</v>
      </c>
      <c r="E9272">
        <v>1</v>
      </c>
      <c r="F9272" t="str">
        <f>"03-I24-00"</f>
        <v>03-I24-00</v>
      </c>
      <c r="G9272">
        <v>0.40670000000000001</v>
      </c>
      <c r="H9272" t="s">
        <v>11</v>
      </c>
      <c r="I9272" t="s">
        <v>10</v>
      </c>
    </row>
    <row r="9273" spans="1:9" x14ac:dyDescent="0.25">
      <c r="A9273" t="str">
        <f t="shared" si="222"/>
        <v>89301000</v>
      </c>
      <c r="B9273" t="str">
        <f>"6305011570"</f>
        <v>6305011570</v>
      </c>
      <c r="C9273" s="1">
        <v>45049</v>
      </c>
      <c r="D9273" s="1">
        <v>45065</v>
      </c>
      <c r="E9273">
        <v>1</v>
      </c>
      <c r="F9273" t="str">
        <f>"05-I06-02"</f>
        <v>05-I06-02</v>
      </c>
      <c r="G9273">
        <v>11.702299999999999</v>
      </c>
      <c r="H9273" t="s">
        <v>14</v>
      </c>
      <c r="I9273" t="s">
        <v>10</v>
      </c>
    </row>
    <row r="9274" spans="1:9" x14ac:dyDescent="0.25">
      <c r="A9274" t="str">
        <f t="shared" si="222"/>
        <v>89301000</v>
      </c>
      <c r="B9274" t="str">
        <f>"6305122065"</f>
        <v>6305122065</v>
      </c>
      <c r="C9274" s="1">
        <v>44957</v>
      </c>
      <c r="D9274" s="1">
        <v>44960</v>
      </c>
      <c r="E9274">
        <v>1</v>
      </c>
      <c r="F9274" t="str">
        <f>"08-I22-02"</f>
        <v>08-I22-02</v>
      </c>
      <c r="G9274">
        <v>1.131</v>
      </c>
      <c r="H9274" t="s">
        <v>12</v>
      </c>
      <c r="I9274" t="s">
        <v>10</v>
      </c>
    </row>
    <row r="9275" spans="1:9" x14ac:dyDescent="0.25">
      <c r="A9275" t="str">
        <f t="shared" si="222"/>
        <v>89301000</v>
      </c>
      <c r="B9275" t="str">
        <f>"6305130997"</f>
        <v>6305130997</v>
      </c>
      <c r="C9275" s="1">
        <v>45208</v>
      </c>
      <c r="D9275" s="1">
        <v>45208</v>
      </c>
      <c r="E9275">
        <v>1</v>
      </c>
      <c r="F9275" t="str">
        <f>"05-D01-08"</f>
        <v>05-D01-08</v>
      </c>
      <c r="G9275">
        <v>0.2303</v>
      </c>
      <c r="H9275" t="s">
        <v>11</v>
      </c>
      <c r="I9275" t="s">
        <v>10</v>
      </c>
    </row>
    <row r="9276" spans="1:9" x14ac:dyDescent="0.25">
      <c r="A9276" t="str">
        <f t="shared" si="222"/>
        <v>89301000</v>
      </c>
      <c r="B9276" t="str">
        <f>"6305181762"</f>
        <v>6305181762</v>
      </c>
      <c r="C9276" s="1">
        <v>45231</v>
      </c>
      <c r="D9276" s="1">
        <v>45232</v>
      </c>
      <c r="E9276">
        <v>1</v>
      </c>
      <c r="F9276" t="str">
        <f>"01-I11-01"</f>
        <v>01-I11-01</v>
      </c>
      <c r="G9276">
        <v>0.96399999999999997</v>
      </c>
      <c r="H9276" t="s">
        <v>12</v>
      </c>
      <c r="I9276" t="s">
        <v>10</v>
      </c>
    </row>
    <row r="9277" spans="1:9" x14ac:dyDescent="0.25">
      <c r="A9277" t="str">
        <f t="shared" si="222"/>
        <v>89301000</v>
      </c>
      <c r="B9277" t="str">
        <f>"6305190320"</f>
        <v>6305190320</v>
      </c>
      <c r="C9277" s="1">
        <v>45042</v>
      </c>
      <c r="D9277" s="1">
        <v>45043</v>
      </c>
      <c r="E9277">
        <v>1</v>
      </c>
      <c r="F9277" t="str">
        <f>"12-M02-02"</f>
        <v>12-M02-02</v>
      </c>
      <c r="G9277">
        <v>0.95020000000000004</v>
      </c>
      <c r="H9277" t="s">
        <v>9</v>
      </c>
      <c r="I9277" t="s">
        <v>10</v>
      </c>
    </row>
    <row r="9278" spans="1:9" x14ac:dyDescent="0.25">
      <c r="A9278" t="str">
        <f t="shared" si="222"/>
        <v>89301000</v>
      </c>
      <c r="B9278" t="str">
        <f>"6305292103"</f>
        <v>6305292103</v>
      </c>
      <c r="C9278" s="1">
        <v>44981</v>
      </c>
      <c r="D9278" s="1">
        <v>44984</v>
      </c>
      <c r="E9278">
        <v>1</v>
      </c>
      <c r="F9278" t="str">
        <f>"01-D01-03"</f>
        <v>01-D01-03</v>
      </c>
      <c r="G9278">
        <v>0.21060000000000001</v>
      </c>
      <c r="H9278" t="s">
        <v>11</v>
      </c>
      <c r="I9278" t="s">
        <v>10</v>
      </c>
    </row>
    <row r="9279" spans="1:9" x14ac:dyDescent="0.25">
      <c r="A9279" t="str">
        <f t="shared" si="222"/>
        <v>89301000</v>
      </c>
      <c r="B9279" t="str">
        <f>"6306041159"</f>
        <v>6306041159</v>
      </c>
      <c r="C9279" s="1">
        <v>44980</v>
      </c>
      <c r="D9279" s="1">
        <v>44992</v>
      </c>
      <c r="E9279">
        <v>1</v>
      </c>
      <c r="F9279" t="str">
        <f>"05-I24-01"</f>
        <v>05-I24-01</v>
      </c>
      <c r="G9279">
        <v>4.8490000000000002</v>
      </c>
      <c r="H9279" t="s">
        <v>12</v>
      </c>
      <c r="I9279" t="s">
        <v>10</v>
      </c>
    </row>
    <row r="9280" spans="1:9" x14ac:dyDescent="0.25">
      <c r="A9280" t="str">
        <f t="shared" si="222"/>
        <v>89301000</v>
      </c>
      <c r="B9280" t="str">
        <f>"6306041995"</f>
        <v>6306041995</v>
      </c>
      <c r="C9280" s="1">
        <v>45166</v>
      </c>
      <c r="D9280" s="1">
        <v>45169</v>
      </c>
      <c r="E9280">
        <v>1</v>
      </c>
      <c r="F9280" t="str">
        <f>"06-K02-03"</f>
        <v>06-K02-03</v>
      </c>
      <c r="G9280">
        <v>0.50470000000000004</v>
      </c>
      <c r="H9280" t="s">
        <v>11</v>
      </c>
      <c r="I9280" t="s">
        <v>10</v>
      </c>
    </row>
    <row r="9281" spans="1:9" x14ac:dyDescent="0.25">
      <c r="A9281" t="str">
        <f t="shared" si="222"/>
        <v>89301000</v>
      </c>
      <c r="B9281" t="str">
        <f>"6306120920"</f>
        <v>6306120920</v>
      </c>
      <c r="C9281" s="1">
        <v>44942</v>
      </c>
      <c r="D9281" s="1">
        <v>44944</v>
      </c>
      <c r="E9281">
        <v>1</v>
      </c>
      <c r="F9281" t="str">
        <f>"05-M05-02"</f>
        <v>05-M05-02</v>
      </c>
      <c r="G9281">
        <v>3.4817999999999998</v>
      </c>
      <c r="H9281" t="s">
        <v>14</v>
      </c>
      <c r="I9281" t="s">
        <v>10</v>
      </c>
    </row>
    <row r="9282" spans="1:9" x14ac:dyDescent="0.25">
      <c r="A9282" t="str">
        <f t="shared" si="222"/>
        <v>89301000</v>
      </c>
      <c r="B9282" t="str">
        <f>"6306150807"</f>
        <v>6306150807</v>
      </c>
      <c r="C9282" s="1">
        <v>45232</v>
      </c>
      <c r="D9282" s="1">
        <v>45234</v>
      </c>
      <c r="E9282">
        <v>1</v>
      </c>
      <c r="F9282" t="str">
        <f>"05-M05-02"</f>
        <v>05-M05-02</v>
      </c>
      <c r="G9282">
        <v>3.4817999999999998</v>
      </c>
      <c r="H9282" t="s">
        <v>14</v>
      </c>
      <c r="I9282" t="s">
        <v>10</v>
      </c>
    </row>
    <row r="9283" spans="1:9" x14ac:dyDescent="0.25">
      <c r="A9283" t="str">
        <f t="shared" si="222"/>
        <v>89301000</v>
      </c>
      <c r="B9283" t="str">
        <f>"6306150807"</f>
        <v>6306150807</v>
      </c>
      <c r="C9283" s="1">
        <v>44972</v>
      </c>
      <c r="D9283" s="1">
        <v>44973</v>
      </c>
      <c r="E9283">
        <v>1</v>
      </c>
      <c r="F9283" t="str">
        <f>"05-K05-05"</f>
        <v>05-K05-05</v>
      </c>
      <c r="G9283">
        <v>0.35659999999999997</v>
      </c>
      <c r="H9283" t="s">
        <v>11</v>
      </c>
      <c r="I9283" t="s">
        <v>10</v>
      </c>
    </row>
    <row r="9284" spans="1:9" x14ac:dyDescent="0.25">
      <c r="A9284" t="str">
        <f t="shared" si="222"/>
        <v>89301000</v>
      </c>
      <c r="B9284" t="str">
        <f>"6306151445"</f>
        <v>6306151445</v>
      </c>
      <c r="C9284" s="1">
        <v>45256</v>
      </c>
      <c r="D9284" s="1">
        <v>45260</v>
      </c>
      <c r="E9284">
        <v>1</v>
      </c>
      <c r="F9284" t="str">
        <f>"08-I32-00"</f>
        <v>08-I32-00</v>
      </c>
      <c r="G9284">
        <v>0.4093</v>
      </c>
      <c r="H9284" t="s">
        <v>11</v>
      </c>
      <c r="I9284" t="s">
        <v>10</v>
      </c>
    </row>
    <row r="9285" spans="1:9" x14ac:dyDescent="0.25">
      <c r="A9285" t="str">
        <f t="shared" si="222"/>
        <v>89301000</v>
      </c>
      <c r="B9285" t="str">
        <f>"6306181596"</f>
        <v>6306181596</v>
      </c>
      <c r="C9285" s="1">
        <v>44972</v>
      </c>
      <c r="D9285" s="1">
        <v>44977</v>
      </c>
      <c r="E9285">
        <v>1</v>
      </c>
      <c r="F9285" t="str">
        <f>"02-I06-02"</f>
        <v>02-I06-02</v>
      </c>
      <c r="G9285">
        <v>1.2479</v>
      </c>
      <c r="H9285" t="s">
        <v>12</v>
      </c>
      <c r="I9285" t="s">
        <v>10</v>
      </c>
    </row>
    <row r="9286" spans="1:9" x14ac:dyDescent="0.25">
      <c r="A9286" t="str">
        <f t="shared" si="222"/>
        <v>89301000</v>
      </c>
      <c r="B9286" t="str">
        <f>"6306181596"</f>
        <v>6306181596</v>
      </c>
      <c r="C9286" s="1">
        <v>45232</v>
      </c>
      <c r="D9286" s="1">
        <v>45233</v>
      </c>
      <c r="E9286">
        <v>1</v>
      </c>
      <c r="F9286" t="str">
        <f>"02-M01-02"</f>
        <v>02-M01-02</v>
      </c>
      <c r="G9286">
        <v>0.63149999999999995</v>
      </c>
      <c r="H9286" t="s">
        <v>11</v>
      </c>
      <c r="I9286" t="s">
        <v>10</v>
      </c>
    </row>
    <row r="9287" spans="1:9" x14ac:dyDescent="0.25">
      <c r="A9287" t="str">
        <f t="shared" si="222"/>
        <v>89301000</v>
      </c>
      <c r="B9287" t="str">
        <f>"6306181596"</f>
        <v>6306181596</v>
      </c>
      <c r="C9287" s="1">
        <v>44930</v>
      </c>
      <c r="D9287" s="1">
        <v>44935</v>
      </c>
      <c r="E9287">
        <v>1</v>
      </c>
      <c r="F9287" t="str">
        <f>"02-I06-04"</f>
        <v>02-I06-04</v>
      </c>
      <c r="G9287">
        <v>0.79630000000000001</v>
      </c>
      <c r="H9287" t="s">
        <v>12</v>
      </c>
      <c r="I9287" t="s">
        <v>10</v>
      </c>
    </row>
    <row r="9288" spans="1:9" x14ac:dyDescent="0.25">
      <c r="A9288" t="str">
        <f t="shared" si="222"/>
        <v>89301000</v>
      </c>
      <c r="B9288" t="str">
        <f>"6306200461"</f>
        <v>6306200461</v>
      </c>
      <c r="C9288" s="1">
        <v>45194</v>
      </c>
      <c r="D9288" s="1">
        <v>45203</v>
      </c>
      <c r="E9288">
        <v>4</v>
      </c>
      <c r="F9288" t="str">
        <f>"08-I05-04"</f>
        <v>08-I05-04</v>
      </c>
      <c r="G9288">
        <v>2.4445000000000001</v>
      </c>
      <c r="H9288" t="s">
        <v>12</v>
      </c>
      <c r="I9288" t="s">
        <v>10</v>
      </c>
    </row>
    <row r="9289" spans="1:9" x14ac:dyDescent="0.25">
      <c r="A9289" t="str">
        <f t="shared" si="222"/>
        <v>89301000</v>
      </c>
      <c r="B9289" t="str">
        <f>"6306200461"</f>
        <v>6306200461</v>
      </c>
      <c r="C9289" s="1">
        <v>44974</v>
      </c>
      <c r="D9289" s="1">
        <v>44980</v>
      </c>
      <c r="E9289">
        <v>5</v>
      </c>
      <c r="F9289" t="str">
        <f>"08-I13-06"</f>
        <v>08-I13-06</v>
      </c>
      <c r="G9289">
        <v>1.9452</v>
      </c>
      <c r="H9289" t="s">
        <v>12</v>
      </c>
      <c r="I9289" t="s">
        <v>10</v>
      </c>
    </row>
    <row r="9290" spans="1:9" x14ac:dyDescent="0.25">
      <c r="A9290" t="str">
        <f t="shared" si="222"/>
        <v>89301000</v>
      </c>
      <c r="B9290" t="str">
        <f>"6306220657"</f>
        <v>6306220657</v>
      </c>
      <c r="C9290" s="1">
        <v>45051</v>
      </c>
      <c r="D9290" s="1">
        <v>45051</v>
      </c>
      <c r="E9290">
        <v>1</v>
      </c>
      <c r="F9290" t="str">
        <f>"05-M06-08"</f>
        <v>05-M06-08</v>
      </c>
      <c r="G9290">
        <v>1.1012</v>
      </c>
      <c r="H9290" t="s">
        <v>12</v>
      </c>
      <c r="I9290" t="s">
        <v>10</v>
      </c>
    </row>
    <row r="9291" spans="1:9" x14ac:dyDescent="0.25">
      <c r="A9291" t="str">
        <f t="shared" si="222"/>
        <v>89301000</v>
      </c>
      <c r="B9291" t="str">
        <f>"6306220657"</f>
        <v>6306220657</v>
      </c>
      <c r="C9291" s="1">
        <v>44984</v>
      </c>
      <c r="D9291" s="1">
        <v>44985</v>
      </c>
      <c r="E9291">
        <v>1</v>
      </c>
      <c r="F9291" t="str">
        <f>"05-M06-08"</f>
        <v>05-M06-08</v>
      </c>
      <c r="G9291">
        <v>1.4228000000000001</v>
      </c>
      <c r="H9291" t="s">
        <v>12</v>
      </c>
      <c r="I9291" t="s">
        <v>10</v>
      </c>
    </row>
    <row r="9292" spans="1:9" x14ac:dyDescent="0.25">
      <c r="A9292" t="str">
        <f t="shared" si="222"/>
        <v>89301000</v>
      </c>
      <c r="B9292" t="str">
        <f>"6306230051"</f>
        <v>6306230051</v>
      </c>
      <c r="C9292" s="1">
        <v>44924</v>
      </c>
      <c r="D9292" s="1">
        <v>44932</v>
      </c>
      <c r="E9292">
        <v>1</v>
      </c>
      <c r="F9292" t="str">
        <f>"04-K15-02"</f>
        <v>04-K15-02</v>
      </c>
      <c r="G9292">
        <v>1.1839999999999999</v>
      </c>
      <c r="H9292" t="s">
        <v>11</v>
      </c>
      <c r="I9292" t="s">
        <v>10</v>
      </c>
    </row>
    <row r="9293" spans="1:9" x14ac:dyDescent="0.25">
      <c r="A9293" t="str">
        <f t="shared" si="222"/>
        <v>89301000</v>
      </c>
      <c r="B9293" t="str">
        <f>"6306230051"</f>
        <v>6306230051</v>
      </c>
      <c r="C9293" s="1">
        <v>44953</v>
      </c>
      <c r="D9293" s="1">
        <v>44965</v>
      </c>
      <c r="E9293">
        <v>1</v>
      </c>
      <c r="F9293" t="str">
        <f>"04-K07-01"</f>
        <v>04-K07-01</v>
      </c>
      <c r="G9293">
        <v>2.0503</v>
      </c>
      <c r="H9293" t="s">
        <v>11</v>
      </c>
      <c r="I9293" t="s">
        <v>10</v>
      </c>
    </row>
    <row r="9294" spans="1:9" x14ac:dyDescent="0.25">
      <c r="A9294" t="str">
        <f t="shared" si="222"/>
        <v>89301000</v>
      </c>
      <c r="B9294" t="str">
        <f>"6306230051"</f>
        <v>6306230051</v>
      </c>
      <c r="C9294" s="1">
        <v>44978</v>
      </c>
      <c r="D9294" s="1">
        <v>44983</v>
      </c>
      <c r="E9294">
        <v>7</v>
      </c>
      <c r="F9294" t="str">
        <f>"06-K01-02"</f>
        <v>06-K01-02</v>
      </c>
      <c r="G9294">
        <v>1.4187000000000001</v>
      </c>
      <c r="H9294" t="s">
        <v>11</v>
      </c>
      <c r="I9294" t="s">
        <v>10</v>
      </c>
    </row>
    <row r="9295" spans="1:9" x14ac:dyDescent="0.25">
      <c r="A9295" t="str">
        <f t="shared" si="222"/>
        <v>89301000</v>
      </c>
      <c r="B9295" t="str">
        <f>"6306241766"</f>
        <v>6306241766</v>
      </c>
      <c r="C9295" s="1">
        <v>45168</v>
      </c>
      <c r="D9295" s="1">
        <v>45170</v>
      </c>
      <c r="E9295">
        <v>1</v>
      </c>
      <c r="F9295" t="str">
        <f>"11-M05-01"</f>
        <v>11-M05-01</v>
      </c>
      <c r="G9295">
        <v>0.83750000000000002</v>
      </c>
      <c r="H9295" t="s">
        <v>12</v>
      </c>
      <c r="I9295" t="s">
        <v>10</v>
      </c>
    </row>
    <row r="9296" spans="1:9" x14ac:dyDescent="0.25">
      <c r="A9296" t="str">
        <f t="shared" si="222"/>
        <v>89301000</v>
      </c>
      <c r="B9296" t="str">
        <f>"6306270993"</f>
        <v>6306270993</v>
      </c>
      <c r="C9296" s="1">
        <v>45076</v>
      </c>
      <c r="D9296" s="1">
        <v>45079</v>
      </c>
      <c r="E9296">
        <v>5</v>
      </c>
      <c r="F9296" t="str">
        <f>"07-M02-03"</f>
        <v>07-M02-03</v>
      </c>
      <c r="G9296">
        <v>1.9906999999999999</v>
      </c>
      <c r="H9296" t="s">
        <v>12</v>
      </c>
      <c r="I9296" t="s">
        <v>10</v>
      </c>
    </row>
    <row r="9297" spans="1:9" x14ac:dyDescent="0.25">
      <c r="A9297" t="str">
        <f t="shared" si="222"/>
        <v>89301000</v>
      </c>
      <c r="B9297" t="str">
        <f>"6306270993"</f>
        <v>6306270993</v>
      </c>
      <c r="C9297" s="1">
        <v>45120</v>
      </c>
      <c r="D9297" s="1">
        <v>45124</v>
      </c>
      <c r="E9297">
        <v>1</v>
      </c>
      <c r="F9297" t="str">
        <f>"07-M02-02"</f>
        <v>07-M02-02</v>
      </c>
      <c r="G9297">
        <v>2.0733000000000001</v>
      </c>
      <c r="H9297" t="s">
        <v>12</v>
      </c>
      <c r="I9297" t="s">
        <v>10</v>
      </c>
    </row>
    <row r="9298" spans="1:9" x14ac:dyDescent="0.25">
      <c r="A9298" t="str">
        <f t="shared" si="222"/>
        <v>89301000</v>
      </c>
      <c r="B9298" t="str">
        <f>"6307091230"</f>
        <v>6307091230</v>
      </c>
      <c r="C9298" s="1">
        <v>45019</v>
      </c>
      <c r="D9298" s="1">
        <v>45020</v>
      </c>
      <c r="E9298">
        <v>1</v>
      </c>
      <c r="F9298" t="str">
        <f>"05-M05-02"</f>
        <v>05-M05-02</v>
      </c>
      <c r="G9298">
        <v>3.4817999999999998</v>
      </c>
      <c r="H9298" t="s">
        <v>14</v>
      </c>
      <c r="I9298" t="s">
        <v>10</v>
      </c>
    </row>
    <row r="9299" spans="1:9" x14ac:dyDescent="0.25">
      <c r="A9299" t="str">
        <f t="shared" si="222"/>
        <v>89301000</v>
      </c>
      <c r="B9299" t="str">
        <f>"6307127420"</f>
        <v>6307127420</v>
      </c>
      <c r="C9299" s="1">
        <v>45103</v>
      </c>
      <c r="D9299" s="1">
        <v>45106</v>
      </c>
      <c r="E9299">
        <v>1</v>
      </c>
      <c r="F9299" t="str">
        <f>"08-M03-05"</f>
        <v>08-M03-05</v>
      </c>
      <c r="G9299">
        <v>0.46910000000000002</v>
      </c>
      <c r="H9299" t="s">
        <v>11</v>
      </c>
      <c r="I9299" t="s">
        <v>10</v>
      </c>
    </row>
    <row r="9300" spans="1:9" x14ac:dyDescent="0.25">
      <c r="A9300" t="str">
        <f t="shared" si="222"/>
        <v>89301000</v>
      </c>
      <c r="B9300" t="str">
        <f>"6307150443"</f>
        <v>6307150443</v>
      </c>
      <c r="C9300" s="1">
        <v>45120</v>
      </c>
      <c r="D9300" s="1">
        <v>45121</v>
      </c>
      <c r="E9300">
        <v>5</v>
      </c>
      <c r="F9300" t="str">
        <f>"01-K11-03"</f>
        <v>01-K11-03</v>
      </c>
      <c r="G9300">
        <v>1.1012999999999999</v>
      </c>
      <c r="H9300" t="s">
        <v>11</v>
      </c>
      <c r="I9300" t="s">
        <v>10</v>
      </c>
    </row>
    <row r="9301" spans="1:9" x14ac:dyDescent="0.25">
      <c r="A9301" t="str">
        <f t="shared" si="222"/>
        <v>89301000</v>
      </c>
      <c r="B9301" t="str">
        <f>"6307182255"</f>
        <v>6307182255</v>
      </c>
      <c r="C9301" s="1">
        <v>45267</v>
      </c>
      <c r="D9301" s="1">
        <v>45283</v>
      </c>
      <c r="E9301">
        <v>1</v>
      </c>
      <c r="F9301" t="str">
        <f>"05-I16-04"</f>
        <v>05-I16-04</v>
      </c>
      <c r="G9301">
        <v>6.2375999999999996</v>
      </c>
      <c r="H9301" t="s">
        <v>14</v>
      </c>
      <c r="I9301" t="s">
        <v>10</v>
      </c>
    </row>
    <row r="9302" spans="1:9" x14ac:dyDescent="0.25">
      <c r="A9302" t="str">
        <f t="shared" si="222"/>
        <v>89301000</v>
      </c>
      <c r="B9302" t="str">
        <f>"6307201307"</f>
        <v>6307201307</v>
      </c>
      <c r="C9302" s="1">
        <v>45259</v>
      </c>
      <c r="D9302" s="1">
        <v>45272</v>
      </c>
      <c r="E9302">
        <v>1</v>
      </c>
      <c r="F9302" t="str">
        <f>"07-K02-03"</f>
        <v>07-K02-03</v>
      </c>
      <c r="G9302">
        <v>0.78139999999999998</v>
      </c>
      <c r="H9302" t="s">
        <v>11</v>
      </c>
      <c r="I9302" t="s">
        <v>10</v>
      </c>
    </row>
    <row r="9303" spans="1:9" x14ac:dyDescent="0.25">
      <c r="A9303" t="str">
        <f t="shared" si="222"/>
        <v>89301000</v>
      </c>
      <c r="B9303" t="str">
        <f>"6307240456"</f>
        <v>6307240456</v>
      </c>
      <c r="C9303" s="1">
        <v>45253</v>
      </c>
      <c r="D9303" s="1">
        <v>45256</v>
      </c>
      <c r="E9303">
        <v>1</v>
      </c>
      <c r="F9303" t="str">
        <f>"08-I22-02"</f>
        <v>08-I22-02</v>
      </c>
      <c r="G9303">
        <v>1.131</v>
      </c>
      <c r="H9303" t="s">
        <v>12</v>
      </c>
      <c r="I9303" t="s">
        <v>10</v>
      </c>
    </row>
    <row r="9304" spans="1:9" x14ac:dyDescent="0.25">
      <c r="A9304" t="str">
        <f t="shared" si="222"/>
        <v>89301000</v>
      </c>
      <c r="B9304" t="str">
        <f>"6307242656"</f>
        <v>6307242656</v>
      </c>
      <c r="C9304" s="1">
        <v>45245</v>
      </c>
      <c r="D9304" s="1">
        <v>45250</v>
      </c>
      <c r="E9304">
        <v>1</v>
      </c>
      <c r="F9304" t="str">
        <f>"23-K05-01"</f>
        <v>23-K05-01</v>
      </c>
      <c r="G9304">
        <v>0.56269999999999998</v>
      </c>
      <c r="H9304" t="s">
        <v>11</v>
      </c>
      <c r="I9304" t="s">
        <v>10</v>
      </c>
    </row>
    <row r="9305" spans="1:9" x14ac:dyDescent="0.25">
      <c r="A9305" t="str">
        <f t="shared" si="222"/>
        <v>89301000</v>
      </c>
      <c r="B9305" t="str">
        <f>"6307301550"</f>
        <v>6307301550</v>
      </c>
      <c r="C9305" s="1">
        <v>45041</v>
      </c>
      <c r="D9305" s="1">
        <v>45044</v>
      </c>
      <c r="E9305">
        <v>1</v>
      </c>
      <c r="F9305" t="str">
        <f>"09-I13-03"</f>
        <v>09-I13-03</v>
      </c>
      <c r="G9305">
        <v>0.79510000000000003</v>
      </c>
      <c r="H9305" t="s">
        <v>11</v>
      </c>
      <c r="I9305" t="s">
        <v>10</v>
      </c>
    </row>
    <row r="9306" spans="1:9" x14ac:dyDescent="0.25">
      <c r="A9306" t="str">
        <f t="shared" si="222"/>
        <v>89301000</v>
      </c>
      <c r="B9306" t="str">
        <f>"6308022281"</f>
        <v>6308022281</v>
      </c>
      <c r="C9306" s="1">
        <v>45259</v>
      </c>
      <c r="D9306" s="1">
        <v>45261</v>
      </c>
      <c r="E9306">
        <v>1</v>
      </c>
      <c r="F9306" t="str">
        <f>"08-I26-03"</f>
        <v>08-I26-03</v>
      </c>
      <c r="G9306">
        <v>0.47699999999999998</v>
      </c>
      <c r="H9306" t="s">
        <v>11</v>
      </c>
      <c r="I9306" t="s">
        <v>10</v>
      </c>
    </row>
    <row r="9307" spans="1:9" x14ac:dyDescent="0.25">
      <c r="A9307" t="str">
        <f t="shared" si="222"/>
        <v>89301000</v>
      </c>
      <c r="B9307" t="str">
        <f>"6308030399"</f>
        <v>6308030399</v>
      </c>
      <c r="C9307" s="1">
        <v>45097</v>
      </c>
      <c r="D9307" s="1">
        <v>45104</v>
      </c>
      <c r="E9307">
        <v>1</v>
      </c>
      <c r="F9307" t="str">
        <f>"05-I24-02"</f>
        <v>05-I24-02</v>
      </c>
      <c r="G9307">
        <v>3.9392</v>
      </c>
      <c r="H9307" t="s">
        <v>12</v>
      </c>
      <c r="I9307" t="s">
        <v>10</v>
      </c>
    </row>
    <row r="9308" spans="1:9" x14ac:dyDescent="0.25">
      <c r="A9308" t="str">
        <f t="shared" si="222"/>
        <v>89301000</v>
      </c>
      <c r="B9308" t="str">
        <f>"6308092054"</f>
        <v>6308092054</v>
      </c>
      <c r="C9308" s="1">
        <v>45008</v>
      </c>
      <c r="D9308" s="1">
        <v>45013</v>
      </c>
      <c r="E9308">
        <v>1</v>
      </c>
      <c r="F9308" t="str">
        <f>"07-I10-05"</f>
        <v>07-I10-05</v>
      </c>
      <c r="G9308">
        <v>1.3592</v>
      </c>
      <c r="H9308" t="s">
        <v>12</v>
      </c>
      <c r="I9308" t="s">
        <v>10</v>
      </c>
    </row>
    <row r="9309" spans="1:9" x14ac:dyDescent="0.25">
      <c r="A9309" t="str">
        <f t="shared" si="222"/>
        <v>89301000</v>
      </c>
      <c r="B9309" t="str">
        <f>"6308092054"</f>
        <v>6308092054</v>
      </c>
      <c r="C9309" s="1">
        <v>44947</v>
      </c>
      <c r="D9309" s="1">
        <v>44954</v>
      </c>
      <c r="E9309">
        <v>1</v>
      </c>
      <c r="F9309" t="str">
        <f>"07-M02-04"</f>
        <v>07-M02-04</v>
      </c>
      <c r="G9309">
        <v>0.77339999999999998</v>
      </c>
      <c r="H9309" t="s">
        <v>12</v>
      </c>
      <c r="I9309" t="s">
        <v>10</v>
      </c>
    </row>
    <row r="9310" spans="1:9" x14ac:dyDescent="0.25">
      <c r="A9310" t="str">
        <f t="shared" si="222"/>
        <v>89301000</v>
      </c>
      <c r="B9310" t="str">
        <f>"6308121930"</f>
        <v>6308121930</v>
      </c>
      <c r="C9310" s="1">
        <v>45215</v>
      </c>
      <c r="D9310" s="1">
        <v>45217</v>
      </c>
      <c r="E9310">
        <v>1</v>
      </c>
      <c r="F9310" t="str">
        <f>"08-M03-05"</f>
        <v>08-M03-05</v>
      </c>
      <c r="G9310">
        <v>0.46810000000000002</v>
      </c>
      <c r="H9310" t="s">
        <v>11</v>
      </c>
      <c r="I9310" t="s">
        <v>10</v>
      </c>
    </row>
    <row r="9311" spans="1:9" x14ac:dyDescent="0.25">
      <c r="A9311" t="str">
        <f t="shared" si="222"/>
        <v>89301000</v>
      </c>
      <c r="B9311" t="str">
        <f>"6308146790"</f>
        <v>6308146790</v>
      </c>
      <c r="C9311" s="1">
        <v>45084</v>
      </c>
      <c r="D9311" s="1">
        <v>45086</v>
      </c>
      <c r="E9311">
        <v>6</v>
      </c>
      <c r="F9311" t="str">
        <f>"01-K18-03"</f>
        <v>01-K18-03</v>
      </c>
      <c r="G9311">
        <v>0.93169999999999997</v>
      </c>
      <c r="H9311" t="s">
        <v>11</v>
      </c>
      <c r="I9311" t="s">
        <v>10</v>
      </c>
    </row>
    <row r="9312" spans="1:9" x14ac:dyDescent="0.25">
      <c r="A9312" t="str">
        <f t="shared" si="222"/>
        <v>89301000</v>
      </c>
      <c r="B9312" t="str">
        <f>"6308171815"</f>
        <v>6308171815</v>
      </c>
      <c r="C9312" s="1">
        <v>45089</v>
      </c>
      <c r="D9312" s="1">
        <v>45090</v>
      </c>
      <c r="E9312">
        <v>1</v>
      </c>
      <c r="F9312" t="str">
        <f>"04-K08-04"</f>
        <v>04-K08-04</v>
      </c>
      <c r="G9312">
        <v>0.88160000000000005</v>
      </c>
      <c r="H9312" t="s">
        <v>11</v>
      </c>
      <c r="I9312" t="s">
        <v>10</v>
      </c>
    </row>
    <row r="9313" spans="1:9" x14ac:dyDescent="0.25">
      <c r="A9313" t="str">
        <f t="shared" si="222"/>
        <v>89301000</v>
      </c>
      <c r="B9313" t="str">
        <f t="shared" ref="B9313:B9318" si="223">"6308181011"</f>
        <v>6308181011</v>
      </c>
      <c r="C9313" s="1">
        <v>45261</v>
      </c>
      <c r="D9313" s="1">
        <v>45266</v>
      </c>
      <c r="E9313">
        <v>1</v>
      </c>
      <c r="F9313" t="str">
        <f>"00-M10-02"</f>
        <v>00-M10-02</v>
      </c>
      <c r="G9313">
        <v>0.99629999999999996</v>
      </c>
      <c r="H9313" t="s">
        <v>14</v>
      </c>
      <c r="I9313" t="s">
        <v>10</v>
      </c>
    </row>
    <row r="9314" spans="1:9" x14ac:dyDescent="0.25">
      <c r="A9314" t="str">
        <f t="shared" si="222"/>
        <v>89301000</v>
      </c>
      <c r="B9314" t="str">
        <f t="shared" si="223"/>
        <v>6308181011</v>
      </c>
      <c r="C9314" s="1">
        <v>45243</v>
      </c>
      <c r="D9314" s="1">
        <v>45251</v>
      </c>
      <c r="E9314">
        <v>1</v>
      </c>
      <c r="F9314" t="str">
        <f>"00-M10-02"</f>
        <v>00-M10-02</v>
      </c>
      <c r="G9314">
        <v>1.1321000000000001</v>
      </c>
      <c r="H9314" t="s">
        <v>14</v>
      </c>
      <c r="I9314" t="s">
        <v>10</v>
      </c>
    </row>
    <row r="9315" spans="1:9" x14ac:dyDescent="0.25">
      <c r="A9315" t="str">
        <f t="shared" si="222"/>
        <v>89301000</v>
      </c>
      <c r="B9315" t="str">
        <f t="shared" si="223"/>
        <v>6308181011</v>
      </c>
      <c r="C9315" s="1">
        <v>45236</v>
      </c>
      <c r="D9315" s="1">
        <v>45237</v>
      </c>
      <c r="E9315">
        <v>1</v>
      </c>
      <c r="F9315" t="str">
        <f>"17-C05-05"</f>
        <v>17-C05-05</v>
      </c>
      <c r="G9315">
        <v>0.66069999999999995</v>
      </c>
      <c r="H9315" t="s">
        <v>11</v>
      </c>
      <c r="I9315" t="s">
        <v>10</v>
      </c>
    </row>
    <row r="9316" spans="1:9" x14ac:dyDescent="0.25">
      <c r="A9316" t="str">
        <f t="shared" si="222"/>
        <v>89301000</v>
      </c>
      <c r="B9316" t="str">
        <f t="shared" si="223"/>
        <v>6308181011</v>
      </c>
      <c r="C9316" s="1">
        <v>45187</v>
      </c>
      <c r="D9316" s="1">
        <v>45204</v>
      </c>
      <c r="E9316">
        <v>1</v>
      </c>
      <c r="F9316" t="str">
        <f>"17-C05-02"</f>
        <v>17-C05-02</v>
      </c>
      <c r="G9316">
        <v>2.3085</v>
      </c>
      <c r="H9316" t="s">
        <v>11</v>
      </c>
      <c r="I9316" t="s">
        <v>10</v>
      </c>
    </row>
    <row r="9317" spans="1:9" x14ac:dyDescent="0.25">
      <c r="A9317" t="str">
        <f t="shared" si="222"/>
        <v>89301000</v>
      </c>
      <c r="B9317" t="str">
        <f t="shared" si="223"/>
        <v>6308181011</v>
      </c>
      <c r="C9317" s="1">
        <v>45120</v>
      </c>
      <c r="D9317" s="1">
        <v>45139</v>
      </c>
      <c r="E9317">
        <v>1</v>
      </c>
      <c r="F9317" t="str">
        <f>"17-C05-02"</f>
        <v>17-C05-02</v>
      </c>
      <c r="G9317">
        <v>2.3085</v>
      </c>
      <c r="H9317" t="s">
        <v>11</v>
      </c>
      <c r="I9317" t="s">
        <v>10</v>
      </c>
    </row>
    <row r="9318" spans="1:9" x14ac:dyDescent="0.25">
      <c r="A9318" t="str">
        <f t="shared" si="222"/>
        <v>89301000</v>
      </c>
      <c r="B9318" t="str">
        <f t="shared" si="223"/>
        <v>6308181011</v>
      </c>
      <c r="C9318" s="1">
        <v>45153</v>
      </c>
      <c r="D9318" s="1">
        <v>45177</v>
      </c>
      <c r="E9318">
        <v>1</v>
      </c>
      <c r="F9318" t="str">
        <f>"17-C05-02"</f>
        <v>17-C05-02</v>
      </c>
      <c r="G9318">
        <v>2.3085</v>
      </c>
      <c r="H9318" t="s">
        <v>11</v>
      </c>
      <c r="I9318" t="s">
        <v>10</v>
      </c>
    </row>
    <row r="9319" spans="1:9" x14ac:dyDescent="0.25">
      <c r="A9319" t="str">
        <f t="shared" si="222"/>
        <v>89301000</v>
      </c>
      <c r="B9319" t="str">
        <f>"6308271068"</f>
        <v>6308271068</v>
      </c>
      <c r="C9319" s="1">
        <v>44984</v>
      </c>
      <c r="D9319" s="1">
        <v>44985</v>
      </c>
      <c r="E9319">
        <v>1</v>
      </c>
      <c r="F9319" t="str">
        <f>"03-I13-00"</f>
        <v>03-I13-00</v>
      </c>
      <c r="G9319">
        <v>1.2643</v>
      </c>
      <c r="H9319" t="s">
        <v>9</v>
      </c>
      <c r="I9319" t="s">
        <v>10</v>
      </c>
    </row>
    <row r="9320" spans="1:9" x14ac:dyDescent="0.25">
      <c r="A9320" t="str">
        <f t="shared" si="222"/>
        <v>89301000</v>
      </c>
      <c r="B9320" t="str">
        <f>"6308271068"</f>
        <v>6308271068</v>
      </c>
      <c r="C9320" s="1">
        <v>45175</v>
      </c>
      <c r="D9320" s="1">
        <v>45177</v>
      </c>
      <c r="E9320">
        <v>1</v>
      </c>
      <c r="F9320" t="str">
        <f>"03-I13-00"</f>
        <v>03-I13-00</v>
      </c>
      <c r="G9320">
        <v>1.2201</v>
      </c>
      <c r="H9320" t="s">
        <v>9</v>
      </c>
      <c r="I9320" t="s">
        <v>10</v>
      </c>
    </row>
    <row r="9321" spans="1:9" x14ac:dyDescent="0.25">
      <c r="A9321" t="str">
        <f t="shared" si="222"/>
        <v>89301000</v>
      </c>
      <c r="B9321" t="str">
        <f>"6309011654"</f>
        <v>6309011654</v>
      </c>
      <c r="C9321" s="1">
        <v>44973</v>
      </c>
      <c r="D9321" s="1">
        <v>44995</v>
      </c>
      <c r="E9321">
        <v>1</v>
      </c>
      <c r="F9321" t="str">
        <f>"06-I07-03"</f>
        <v>06-I07-03</v>
      </c>
      <c r="G9321">
        <v>5.3734999999999999</v>
      </c>
      <c r="H9321" t="s">
        <v>12</v>
      </c>
      <c r="I9321" t="s">
        <v>10</v>
      </c>
    </row>
    <row r="9322" spans="1:9" x14ac:dyDescent="0.25">
      <c r="A9322" t="str">
        <f t="shared" si="222"/>
        <v>89301000</v>
      </c>
      <c r="B9322" t="str">
        <f>"6309092152"</f>
        <v>6309092152</v>
      </c>
      <c r="C9322" s="1">
        <v>45214</v>
      </c>
      <c r="D9322" s="1">
        <v>45225</v>
      </c>
      <c r="E9322">
        <v>1</v>
      </c>
      <c r="F9322" t="str">
        <f>"11-R01-08"</f>
        <v>11-R01-08</v>
      </c>
      <c r="G9322">
        <v>1.4602999999999999</v>
      </c>
      <c r="H9322" t="s">
        <v>11</v>
      </c>
      <c r="I9322" t="s">
        <v>10</v>
      </c>
    </row>
    <row r="9323" spans="1:9" x14ac:dyDescent="0.25">
      <c r="A9323" t="str">
        <f t="shared" si="222"/>
        <v>89301000</v>
      </c>
      <c r="B9323" t="str">
        <f>"6309092152"</f>
        <v>6309092152</v>
      </c>
      <c r="C9323" s="1">
        <v>45250</v>
      </c>
      <c r="D9323" s="1">
        <v>45254</v>
      </c>
      <c r="E9323">
        <v>1</v>
      </c>
      <c r="F9323" t="str">
        <f>"11-K07-02"</f>
        <v>11-K07-02</v>
      </c>
      <c r="G9323">
        <v>0.55010000000000003</v>
      </c>
      <c r="H9323" t="s">
        <v>11</v>
      </c>
      <c r="I9323" t="s">
        <v>10</v>
      </c>
    </row>
    <row r="9324" spans="1:9" x14ac:dyDescent="0.25">
      <c r="A9324" t="str">
        <f t="shared" si="222"/>
        <v>89301000</v>
      </c>
      <c r="B9324" t="str">
        <f>"6309131202"</f>
        <v>6309131202</v>
      </c>
      <c r="C9324" s="1">
        <v>45238</v>
      </c>
      <c r="D9324" s="1">
        <v>45241</v>
      </c>
      <c r="E9324">
        <v>1</v>
      </c>
      <c r="F9324" t="str">
        <f>"08-M03-02"</f>
        <v>08-M03-02</v>
      </c>
      <c r="G9324">
        <v>0.91359999999999997</v>
      </c>
      <c r="H9324" t="s">
        <v>11</v>
      </c>
      <c r="I9324" t="s">
        <v>10</v>
      </c>
    </row>
    <row r="9325" spans="1:9" x14ac:dyDescent="0.25">
      <c r="A9325" t="str">
        <f t="shared" si="222"/>
        <v>89301000</v>
      </c>
      <c r="B9325" t="str">
        <f>"6309161177"</f>
        <v>6309161177</v>
      </c>
      <c r="C9325" s="1">
        <v>45140</v>
      </c>
      <c r="D9325" s="1">
        <v>45142</v>
      </c>
      <c r="E9325">
        <v>1</v>
      </c>
      <c r="F9325" t="str">
        <f>"01-K01-02"</f>
        <v>01-K01-02</v>
      </c>
      <c r="G9325">
        <v>0.442</v>
      </c>
      <c r="H9325" t="s">
        <v>11</v>
      </c>
      <c r="I9325" t="s">
        <v>10</v>
      </c>
    </row>
    <row r="9326" spans="1:9" x14ac:dyDescent="0.25">
      <c r="A9326" t="str">
        <f t="shared" ref="A9326:A9388" si="224">"89301000"</f>
        <v>89301000</v>
      </c>
      <c r="B9326" t="str">
        <f>"6309161177"</f>
        <v>6309161177</v>
      </c>
      <c r="C9326" s="1">
        <v>45231</v>
      </c>
      <c r="D9326" s="1">
        <v>45233</v>
      </c>
      <c r="E9326">
        <v>1</v>
      </c>
      <c r="F9326" t="str">
        <f>"01-K01-02"</f>
        <v>01-K01-02</v>
      </c>
      <c r="G9326">
        <v>0.442</v>
      </c>
      <c r="H9326" t="s">
        <v>11</v>
      </c>
      <c r="I9326" t="s">
        <v>10</v>
      </c>
    </row>
    <row r="9327" spans="1:9" x14ac:dyDescent="0.25">
      <c r="A9327" t="str">
        <f t="shared" si="224"/>
        <v>89301000</v>
      </c>
      <c r="B9327" t="str">
        <f>"6309181285"</f>
        <v>6309181285</v>
      </c>
      <c r="C9327" s="1">
        <v>45019</v>
      </c>
      <c r="D9327" s="1">
        <v>45021</v>
      </c>
      <c r="E9327">
        <v>1</v>
      </c>
      <c r="F9327" t="str">
        <f>"03-I24-00"</f>
        <v>03-I24-00</v>
      </c>
      <c r="G9327">
        <v>0.40899999999999997</v>
      </c>
      <c r="H9327" t="s">
        <v>11</v>
      </c>
      <c r="I9327" t="s">
        <v>10</v>
      </c>
    </row>
    <row r="9328" spans="1:9" x14ac:dyDescent="0.25">
      <c r="A9328" t="str">
        <f t="shared" si="224"/>
        <v>89301000</v>
      </c>
      <c r="B9328" t="str">
        <f>"6309181285"</f>
        <v>6309181285</v>
      </c>
      <c r="C9328" s="1">
        <v>45062</v>
      </c>
      <c r="D9328" s="1">
        <v>45062</v>
      </c>
      <c r="E9328">
        <v>1</v>
      </c>
      <c r="F9328" t="str">
        <f>"05-D01-02"</f>
        <v>05-D01-02</v>
      </c>
      <c r="G9328">
        <v>0.1414</v>
      </c>
      <c r="H9328" t="s">
        <v>11</v>
      </c>
      <c r="I9328" t="s">
        <v>10</v>
      </c>
    </row>
    <row r="9329" spans="1:9" x14ac:dyDescent="0.25">
      <c r="A9329" t="str">
        <f t="shared" si="224"/>
        <v>89301000</v>
      </c>
      <c r="B9329" t="str">
        <f>"6309191636"</f>
        <v>6309191636</v>
      </c>
      <c r="C9329" s="1">
        <v>45093</v>
      </c>
      <c r="D9329" s="1">
        <v>45096</v>
      </c>
      <c r="E9329">
        <v>1</v>
      </c>
      <c r="F9329" t="str">
        <f>"10-K15-02"</f>
        <v>10-K15-02</v>
      </c>
      <c r="G9329">
        <v>0.66379999999999995</v>
      </c>
      <c r="H9329" t="s">
        <v>11</v>
      </c>
      <c r="I9329" t="s">
        <v>10</v>
      </c>
    </row>
    <row r="9330" spans="1:9" x14ac:dyDescent="0.25">
      <c r="A9330" t="str">
        <f t="shared" si="224"/>
        <v>89301000</v>
      </c>
      <c r="B9330" t="str">
        <f>"6309191636"</f>
        <v>6309191636</v>
      </c>
      <c r="C9330" s="1">
        <v>45043</v>
      </c>
      <c r="D9330" s="1">
        <v>45044</v>
      </c>
      <c r="E9330">
        <v>1</v>
      </c>
      <c r="F9330" t="str">
        <f>"10-K15-02"</f>
        <v>10-K15-02</v>
      </c>
      <c r="G9330">
        <v>0.66379999999999995</v>
      </c>
      <c r="H9330" t="s">
        <v>11</v>
      </c>
      <c r="I9330" t="s">
        <v>10</v>
      </c>
    </row>
    <row r="9331" spans="1:9" x14ac:dyDescent="0.25">
      <c r="A9331" t="str">
        <f t="shared" si="224"/>
        <v>89301000</v>
      </c>
      <c r="B9331" t="str">
        <f>"6309202152"</f>
        <v>6309202152</v>
      </c>
      <c r="C9331" s="1">
        <v>44935</v>
      </c>
      <c r="D9331" s="1">
        <v>44936</v>
      </c>
      <c r="E9331">
        <v>1</v>
      </c>
      <c r="F9331" t="str">
        <f>"05-D01-08"</f>
        <v>05-D01-08</v>
      </c>
      <c r="G9331">
        <v>0.43159999999999998</v>
      </c>
      <c r="H9331" t="s">
        <v>11</v>
      </c>
      <c r="I9331" t="s">
        <v>10</v>
      </c>
    </row>
    <row r="9332" spans="1:9" x14ac:dyDescent="0.25">
      <c r="A9332" t="str">
        <f t="shared" si="224"/>
        <v>89301000</v>
      </c>
      <c r="B9332" t="str">
        <f>"6309270044"</f>
        <v>6309270044</v>
      </c>
      <c r="C9332" s="1">
        <v>45013</v>
      </c>
      <c r="D9332" s="1">
        <v>45021</v>
      </c>
      <c r="E9332">
        <v>1</v>
      </c>
      <c r="F9332" t="str">
        <f>"05-K07-05"</f>
        <v>05-K07-05</v>
      </c>
      <c r="G9332">
        <v>0.75819999999999999</v>
      </c>
      <c r="H9332" t="s">
        <v>11</v>
      </c>
      <c r="I9332" t="s">
        <v>10</v>
      </c>
    </row>
    <row r="9333" spans="1:9" x14ac:dyDescent="0.25">
      <c r="A9333" t="str">
        <f t="shared" si="224"/>
        <v>89301000</v>
      </c>
      <c r="B9333" t="str">
        <f>"6310011202"</f>
        <v>6310011202</v>
      </c>
      <c r="C9333" s="1">
        <v>44935</v>
      </c>
      <c r="D9333" s="1">
        <v>44937</v>
      </c>
      <c r="E9333">
        <v>1</v>
      </c>
      <c r="F9333" t="str">
        <f>"01-K04-02"</f>
        <v>01-K04-02</v>
      </c>
      <c r="G9333">
        <v>0.79990000000000006</v>
      </c>
      <c r="H9333" t="s">
        <v>11</v>
      </c>
      <c r="I9333" t="s">
        <v>10</v>
      </c>
    </row>
    <row r="9334" spans="1:9" x14ac:dyDescent="0.25">
      <c r="A9334" t="str">
        <f t="shared" si="224"/>
        <v>89301000</v>
      </c>
      <c r="B9334" t="str">
        <f>"6310030661"</f>
        <v>6310030661</v>
      </c>
      <c r="C9334" s="1">
        <v>45080</v>
      </c>
      <c r="D9334" s="1">
        <v>45084</v>
      </c>
      <c r="E9334">
        <v>1</v>
      </c>
      <c r="F9334" t="str">
        <f>"09-K01-03"</f>
        <v>09-K01-03</v>
      </c>
      <c r="G9334">
        <v>0.85919999999999996</v>
      </c>
      <c r="H9334" t="s">
        <v>11</v>
      </c>
      <c r="I9334" t="s">
        <v>10</v>
      </c>
    </row>
    <row r="9335" spans="1:9" x14ac:dyDescent="0.25">
      <c r="A9335" t="str">
        <f t="shared" si="224"/>
        <v>89301000</v>
      </c>
      <c r="B9335" t="str">
        <f>"6310131377"</f>
        <v>6310131377</v>
      </c>
      <c r="C9335" s="1">
        <v>44963</v>
      </c>
      <c r="D9335" s="1">
        <v>44965</v>
      </c>
      <c r="E9335">
        <v>1</v>
      </c>
      <c r="F9335" t="str">
        <f>"09-I13-05"</f>
        <v>09-I13-05</v>
      </c>
      <c r="G9335">
        <v>0.4279</v>
      </c>
      <c r="H9335" t="s">
        <v>11</v>
      </c>
      <c r="I9335" t="s">
        <v>10</v>
      </c>
    </row>
    <row r="9336" spans="1:9" x14ac:dyDescent="0.25">
      <c r="A9336" t="str">
        <f t="shared" si="224"/>
        <v>89301000</v>
      </c>
      <c r="B9336" t="str">
        <f>"6310141299"</f>
        <v>6310141299</v>
      </c>
      <c r="C9336" s="1">
        <v>44929</v>
      </c>
      <c r="D9336" s="1">
        <v>44936</v>
      </c>
      <c r="E9336">
        <v>1</v>
      </c>
      <c r="F9336" t="str">
        <f>"05-I12-03"</f>
        <v>05-I12-03</v>
      </c>
      <c r="G9336">
        <v>6.7502000000000004</v>
      </c>
      <c r="H9336" t="s">
        <v>14</v>
      </c>
      <c r="I9336" t="s">
        <v>10</v>
      </c>
    </row>
    <row r="9337" spans="1:9" x14ac:dyDescent="0.25">
      <c r="A9337" t="str">
        <f t="shared" si="224"/>
        <v>89301000</v>
      </c>
      <c r="B9337" t="str">
        <f>"6311031188"</f>
        <v>6311031188</v>
      </c>
      <c r="C9337" s="1">
        <v>45212</v>
      </c>
      <c r="D9337" s="1">
        <v>45213</v>
      </c>
      <c r="E9337">
        <v>1</v>
      </c>
      <c r="F9337" t="str">
        <f>"05-D01-06"</f>
        <v>05-D01-06</v>
      </c>
      <c r="G9337">
        <v>0.7571</v>
      </c>
      <c r="H9337" t="s">
        <v>11</v>
      </c>
      <c r="I9337" t="s">
        <v>10</v>
      </c>
    </row>
    <row r="9338" spans="1:9" x14ac:dyDescent="0.25">
      <c r="A9338" t="str">
        <f t="shared" si="224"/>
        <v>89301000</v>
      </c>
      <c r="B9338" t="str">
        <f>"6311060349"</f>
        <v>6311060349</v>
      </c>
      <c r="C9338" s="1">
        <v>45015</v>
      </c>
      <c r="D9338" s="1">
        <v>45020</v>
      </c>
      <c r="E9338">
        <v>1</v>
      </c>
      <c r="F9338" t="str">
        <f>"07-M02-02"</f>
        <v>07-M02-02</v>
      </c>
      <c r="G9338">
        <v>2.0733000000000001</v>
      </c>
      <c r="H9338" t="s">
        <v>12</v>
      </c>
      <c r="I9338" t="s">
        <v>10</v>
      </c>
    </row>
    <row r="9339" spans="1:9" x14ac:dyDescent="0.25">
      <c r="A9339" t="str">
        <f t="shared" si="224"/>
        <v>89301000</v>
      </c>
      <c r="B9339" t="str">
        <f>"6311072295"</f>
        <v>6311072295</v>
      </c>
      <c r="C9339" s="1">
        <v>44944</v>
      </c>
      <c r="D9339" s="1">
        <v>44947</v>
      </c>
      <c r="E9339">
        <v>1</v>
      </c>
      <c r="F9339" t="str">
        <f>"05-M06-06"</f>
        <v>05-M06-06</v>
      </c>
      <c r="G9339">
        <v>1.8264</v>
      </c>
      <c r="H9339" t="s">
        <v>12</v>
      </c>
      <c r="I9339" t="s">
        <v>10</v>
      </c>
    </row>
    <row r="9340" spans="1:9" x14ac:dyDescent="0.25">
      <c r="A9340" t="str">
        <f t="shared" si="224"/>
        <v>89301000</v>
      </c>
      <c r="B9340" t="str">
        <f>"6311080446"</f>
        <v>6311080446</v>
      </c>
      <c r="C9340" s="1">
        <v>45191</v>
      </c>
      <c r="D9340" s="1">
        <v>45201</v>
      </c>
      <c r="E9340">
        <v>1</v>
      </c>
      <c r="F9340" t="str">
        <f>"05-I16-04"</f>
        <v>05-I16-04</v>
      </c>
      <c r="G9340">
        <v>6.2375999999999996</v>
      </c>
      <c r="H9340" t="s">
        <v>14</v>
      </c>
      <c r="I9340" t="s">
        <v>10</v>
      </c>
    </row>
    <row r="9341" spans="1:9" x14ac:dyDescent="0.25">
      <c r="A9341" t="str">
        <f t="shared" si="224"/>
        <v>89301000</v>
      </c>
      <c r="B9341" t="str">
        <f>"6311130716"</f>
        <v>6311130716</v>
      </c>
      <c r="C9341" s="1">
        <v>45126</v>
      </c>
      <c r="D9341" s="1">
        <v>45127</v>
      </c>
      <c r="E9341">
        <v>1</v>
      </c>
      <c r="F9341" t="str">
        <f>"10-K15-02"</f>
        <v>10-K15-02</v>
      </c>
      <c r="G9341">
        <v>0.66379999999999995</v>
      </c>
      <c r="H9341" t="s">
        <v>11</v>
      </c>
      <c r="I9341" t="s">
        <v>10</v>
      </c>
    </row>
    <row r="9342" spans="1:9" x14ac:dyDescent="0.25">
      <c r="A9342" t="str">
        <f t="shared" si="224"/>
        <v>89301000</v>
      </c>
      <c r="B9342" t="str">
        <f>"6311131057"</f>
        <v>6311131057</v>
      </c>
      <c r="C9342" s="1">
        <v>45131</v>
      </c>
      <c r="D9342" s="1">
        <v>45140</v>
      </c>
      <c r="E9342">
        <v>5</v>
      </c>
      <c r="F9342" t="str">
        <f>"01-I06-02"</f>
        <v>01-I06-02</v>
      </c>
      <c r="G9342">
        <v>5.1349</v>
      </c>
      <c r="H9342" t="s">
        <v>12</v>
      </c>
      <c r="I9342" t="s">
        <v>10</v>
      </c>
    </row>
    <row r="9343" spans="1:9" x14ac:dyDescent="0.25">
      <c r="A9343" t="str">
        <f t="shared" si="224"/>
        <v>89301000</v>
      </c>
      <c r="B9343" t="str">
        <f>"6311161230"</f>
        <v>6311161230</v>
      </c>
      <c r="C9343" s="1">
        <v>44979</v>
      </c>
      <c r="D9343" s="1">
        <v>44981</v>
      </c>
      <c r="E9343">
        <v>1</v>
      </c>
      <c r="F9343" t="str">
        <f>"08-M03-02"</f>
        <v>08-M03-02</v>
      </c>
      <c r="G9343">
        <v>0.91359999999999997</v>
      </c>
      <c r="H9343" t="s">
        <v>11</v>
      </c>
      <c r="I9343" t="s">
        <v>10</v>
      </c>
    </row>
    <row r="9344" spans="1:9" x14ac:dyDescent="0.25">
      <c r="A9344" t="str">
        <f t="shared" si="224"/>
        <v>89301000</v>
      </c>
      <c r="B9344" t="str">
        <f>"6311171284"</f>
        <v>6311171284</v>
      </c>
      <c r="C9344" s="1">
        <v>45229</v>
      </c>
      <c r="D9344" s="1">
        <v>45230</v>
      </c>
      <c r="E9344">
        <v>1</v>
      </c>
      <c r="F9344" t="str">
        <f>"02-I08-02"</f>
        <v>02-I08-02</v>
      </c>
      <c r="G9344">
        <v>0.60729999999999995</v>
      </c>
      <c r="H9344" t="s">
        <v>12</v>
      </c>
      <c r="I9344" t="s">
        <v>10</v>
      </c>
    </row>
    <row r="9345" spans="1:9" x14ac:dyDescent="0.25">
      <c r="A9345" t="str">
        <f t="shared" si="224"/>
        <v>89301000</v>
      </c>
      <c r="B9345" t="str">
        <f>"6311247140"</f>
        <v>6311247140</v>
      </c>
      <c r="C9345" s="1">
        <v>44992</v>
      </c>
      <c r="D9345" s="1">
        <v>44999</v>
      </c>
      <c r="E9345">
        <v>3</v>
      </c>
      <c r="F9345" t="str">
        <f>"08-I06-04"</f>
        <v>08-I06-04</v>
      </c>
      <c r="G9345">
        <v>2.4180000000000001</v>
      </c>
      <c r="H9345" t="s">
        <v>9</v>
      </c>
      <c r="I9345" t="s">
        <v>10</v>
      </c>
    </row>
    <row r="9346" spans="1:9" x14ac:dyDescent="0.25">
      <c r="A9346" t="str">
        <f t="shared" si="224"/>
        <v>89301000</v>
      </c>
      <c r="B9346" t="str">
        <f>"6311247140"</f>
        <v>6311247140</v>
      </c>
      <c r="C9346" s="1">
        <v>44999</v>
      </c>
      <c r="D9346" s="1">
        <v>45016</v>
      </c>
      <c r="E9346">
        <v>1</v>
      </c>
      <c r="F9346" t="str">
        <f>"24-M07-02"</f>
        <v>24-M07-02</v>
      </c>
      <c r="G9346">
        <v>1.5729</v>
      </c>
      <c r="H9346" t="s">
        <v>11</v>
      </c>
      <c r="I9346" t="s">
        <v>10</v>
      </c>
    </row>
    <row r="9347" spans="1:9" x14ac:dyDescent="0.25">
      <c r="A9347" t="str">
        <f t="shared" si="224"/>
        <v>89301000</v>
      </c>
      <c r="B9347" t="str">
        <f>"6311261132"</f>
        <v>6311261132</v>
      </c>
      <c r="C9347" s="1">
        <v>45230</v>
      </c>
      <c r="D9347" s="1">
        <v>45234</v>
      </c>
      <c r="E9347">
        <v>1</v>
      </c>
      <c r="F9347" t="str">
        <f>"10-I11-00"</f>
        <v>10-I11-00</v>
      </c>
      <c r="G9347">
        <v>2.0297000000000001</v>
      </c>
      <c r="H9347" t="s">
        <v>9</v>
      </c>
      <c r="I9347" t="s">
        <v>10</v>
      </c>
    </row>
    <row r="9348" spans="1:9" x14ac:dyDescent="0.25">
      <c r="A9348" t="str">
        <f t="shared" si="224"/>
        <v>89301000</v>
      </c>
      <c r="B9348" t="str">
        <f>"6312030670"</f>
        <v>6312030670</v>
      </c>
      <c r="C9348" s="1">
        <v>45090</v>
      </c>
      <c r="D9348" s="1">
        <v>45091</v>
      </c>
      <c r="E9348">
        <v>1</v>
      </c>
      <c r="F9348" t="str">
        <f>"01-D01-03"</f>
        <v>01-D01-03</v>
      </c>
      <c r="G9348">
        <v>0.16200000000000001</v>
      </c>
      <c r="H9348" t="s">
        <v>11</v>
      </c>
      <c r="I9348" t="s">
        <v>10</v>
      </c>
    </row>
    <row r="9349" spans="1:9" x14ac:dyDescent="0.25">
      <c r="A9349" t="str">
        <f t="shared" si="224"/>
        <v>89301000</v>
      </c>
      <c r="B9349" t="str">
        <f>"6312030670"</f>
        <v>6312030670</v>
      </c>
      <c r="C9349" s="1">
        <v>45149</v>
      </c>
      <c r="D9349" s="1">
        <v>45152</v>
      </c>
      <c r="E9349">
        <v>1</v>
      </c>
      <c r="F9349" t="str">
        <f>"10-K15-02"</f>
        <v>10-K15-02</v>
      </c>
      <c r="G9349">
        <v>0.66379999999999995</v>
      </c>
      <c r="H9349" t="s">
        <v>11</v>
      </c>
      <c r="I9349" t="s">
        <v>10</v>
      </c>
    </row>
    <row r="9350" spans="1:9" x14ac:dyDescent="0.25">
      <c r="A9350" t="str">
        <f t="shared" si="224"/>
        <v>89301000</v>
      </c>
      <c r="B9350" t="str">
        <f>"6312090367"</f>
        <v>6312090367</v>
      </c>
      <c r="C9350" s="1">
        <v>45071</v>
      </c>
      <c r="D9350" s="1">
        <v>45075</v>
      </c>
      <c r="E9350">
        <v>1</v>
      </c>
      <c r="F9350" t="str">
        <f>"08-I03-04"</f>
        <v>08-I03-04</v>
      </c>
      <c r="G9350">
        <v>4.7615999999999996</v>
      </c>
      <c r="H9350" t="s">
        <v>9</v>
      </c>
      <c r="I9350" t="s">
        <v>10</v>
      </c>
    </row>
    <row r="9351" spans="1:9" x14ac:dyDescent="0.25">
      <c r="A9351" t="str">
        <f t="shared" si="224"/>
        <v>89301000</v>
      </c>
      <c r="B9351" t="str">
        <f>"6312090367"</f>
        <v>6312090367</v>
      </c>
      <c r="C9351" s="1">
        <v>45249</v>
      </c>
      <c r="D9351" s="1">
        <v>45252</v>
      </c>
      <c r="E9351">
        <v>1</v>
      </c>
      <c r="F9351" t="str">
        <f>"08-M03-05"</f>
        <v>08-M03-05</v>
      </c>
      <c r="G9351">
        <v>0.46810000000000002</v>
      </c>
      <c r="H9351" t="s">
        <v>11</v>
      </c>
      <c r="I9351" t="s">
        <v>10</v>
      </c>
    </row>
    <row r="9352" spans="1:9" x14ac:dyDescent="0.25">
      <c r="A9352" t="str">
        <f t="shared" si="224"/>
        <v>89301000</v>
      </c>
      <c r="B9352" t="str">
        <f>"6312170854"</f>
        <v>6312170854</v>
      </c>
      <c r="C9352" s="1">
        <v>45275</v>
      </c>
      <c r="D9352" s="1">
        <v>45276</v>
      </c>
      <c r="E9352">
        <v>1</v>
      </c>
      <c r="F9352" t="str">
        <f>"05-D01-08"</f>
        <v>05-D01-08</v>
      </c>
      <c r="G9352">
        <v>0.43159999999999998</v>
      </c>
      <c r="H9352" t="s">
        <v>11</v>
      </c>
      <c r="I9352" t="s">
        <v>10</v>
      </c>
    </row>
    <row r="9353" spans="1:9" x14ac:dyDescent="0.25">
      <c r="A9353" t="str">
        <f t="shared" si="224"/>
        <v>89301000</v>
      </c>
      <c r="B9353" t="str">
        <f>"6312171371"</f>
        <v>6312171371</v>
      </c>
      <c r="C9353" s="1">
        <v>45263</v>
      </c>
      <c r="D9353" s="1">
        <v>45269</v>
      </c>
      <c r="E9353">
        <v>1</v>
      </c>
      <c r="F9353" t="str">
        <f>"11-I07-01"</f>
        <v>11-I07-01</v>
      </c>
      <c r="G9353">
        <v>2.7482000000000002</v>
      </c>
      <c r="H9353" t="s">
        <v>9</v>
      </c>
      <c r="I9353" t="s">
        <v>10</v>
      </c>
    </row>
    <row r="9354" spans="1:9" x14ac:dyDescent="0.25">
      <c r="A9354" t="str">
        <f t="shared" si="224"/>
        <v>89301000</v>
      </c>
      <c r="B9354" t="str">
        <f>"6312301270"</f>
        <v>6312301270</v>
      </c>
      <c r="C9354" s="1">
        <v>44955</v>
      </c>
      <c r="D9354" s="1">
        <v>44961</v>
      </c>
      <c r="E9354">
        <v>1</v>
      </c>
      <c r="F9354" t="str">
        <f>"12-I03-01"</f>
        <v>12-I03-01</v>
      </c>
      <c r="G9354">
        <v>2.6934999999999998</v>
      </c>
      <c r="H9354" t="s">
        <v>9</v>
      </c>
      <c r="I9354" t="s">
        <v>10</v>
      </c>
    </row>
    <row r="9355" spans="1:9" x14ac:dyDescent="0.25">
      <c r="A9355" t="str">
        <f t="shared" si="224"/>
        <v>89301000</v>
      </c>
      <c r="B9355" t="str">
        <f>"6351056118"</f>
        <v>6351056118</v>
      </c>
      <c r="C9355" s="1">
        <v>45225</v>
      </c>
      <c r="D9355" s="1">
        <v>45226</v>
      </c>
      <c r="E9355">
        <v>1</v>
      </c>
      <c r="F9355" t="str">
        <f>"02-I06-04"</f>
        <v>02-I06-04</v>
      </c>
      <c r="G9355">
        <v>0.79630000000000001</v>
      </c>
      <c r="H9355" t="s">
        <v>12</v>
      </c>
      <c r="I9355" t="s">
        <v>10</v>
      </c>
    </row>
    <row r="9356" spans="1:9" x14ac:dyDescent="0.25">
      <c r="A9356" t="str">
        <f t="shared" si="224"/>
        <v>89301000</v>
      </c>
      <c r="B9356" t="str">
        <f>"6351070099"</f>
        <v>6351070099</v>
      </c>
      <c r="C9356" s="1">
        <v>45251</v>
      </c>
      <c r="D9356" s="1">
        <v>45253</v>
      </c>
      <c r="E9356">
        <v>1</v>
      </c>
      <c r="F9356" t="str">
        <f>"08-M03-05"</f>
        <v>08-M03-05</v>
      </c>
      <c r="G9356">
        <v>0.46910000000000002</v>
      </c>
      <c r="H9356" t="s">
        <v>11</v>
      </c>
      <c r="I9356" t="s">
        <v>10</v>
      </c>
    </row>
    <row r="9357" spans="1:9" x14ac:dyDescent="0.25">
      <c r="A9357" t="str">
        <f t="shared" si="224"/>
        <v>89301000</v>
      </c>
      <c r="B9357" t="str">
        <f>"6351140048"</f>
        <v>6351140048</v>
      </c>
      <c r="C9357" s="1">
        <v>45091</v>
      </c>
      <c r="D9357" s="1">
        <v>45092</v>
      </c>
      <c r="E9357">
        <v>7</v>
      </c>
      <c r="F9357" t="str">
        <f>"18-K01-04"</f>
        <v>18-K01-04</v>
      </c>
      <c r="G9357">
        <v>1.3061</v>
      </c>
      <c r="H9357" t="s">
        <v>11</v>
      </c>
      <c r="I9357" t="s">
        <v>10</v>
      </c>
    </row>
    <row r="9358" spans="1:9" x14ac:dyDescent="0.25">
      <c r="A9358" t="str">
        <f t="shared" si="224"/>
        <v>89301000</v>
      </c>
      <c r="B9358" t="str">
        <f>"6351180275"</f>
        <v>6351180275</v>
      </c>
      <c r="C9358" s="1">
        <v>44951</v>
      </c>
      <c r="D9358" s="1">
        <v>44956</v>
      </c>
      <c r="E9358">
        <v>1</v>
      </c>
      <c r="F9358" t="str">
        <f>"03-I17-00"</f>
        <v>03-I17-00</v>
      </c>
      <c r="G9358">
        <v>0.83489999999999998</v>
      </c>
      <c r="H9358" t="s">
        <v>9</v>
      </c>
      <c r="I9358" t="s">
        <v>10</v>
      </c>
    </row>
    <row r="9359" spans="1:9" x14ac:dyDescent="0.25">
      <c r="A9359" t="str">
        <f t="shared" si="224"/>
        <v>89301000</v>
      </c>
      <c r="B9359" t="str">
        <f>"6351220271"</f>
        <v>6351220271</v>
      </c>
      <c r="C9359" s="1">
        <v>45203</v>
      </c>
      <c r="D9359" s="1">
        <v>45204</v>
      </c>
      <c r="E9359">
        <v>1</v>
      </c>
      <c r="F9359" t="str">
        <f>"13-I19-00"</f>
        <v>13-I19-00</v>
      </c>
      <c r="G9359">
        <v>0.28249999999999997</v>
      </c>
      <c r="H9359" t="s">
        <v>11</v>
      </c>
      <c r="I9359" t="s">
        <v>10</v>
      </c>
    </row>
    <row r="9360" spans="1:9" x14ac:dyDescent="0.25">
      <c r="A9360" t="str">
        <f t="shared" si="224"/>
        <v>89301000</v>
      </c>
      <c r="B9360" t="str">
        <f>"6351220590"</f>
        <v>6351220590</v>
      </c>
      <c r="C9360" s="1">
        <v>45145</v>
      </c>
      <c r="D9360" s="1">
        <v>45151</v>
      </c>
      <c r="E9360">
        <v>1</v>
      </c>
      <c r="F9360" t="str">
        <f>"05-I21-01"</f>
        <v>05-I21-01</v>
      </c>
      <c r="G9360">
        <v>3.6871999999999998</v>
      </c>
      <c r="H9360" t="s">
        <v>12</v>
      </c>
      <c r="I9360" t="s">
        <v>10</v>
      </c>
    </row>
    <row r="9361" spans="1:9" x14ac:dyDescent="0.25">
      <c r="A9361" t="str">
        <f t="shared" si="224"/>
        <v>89301000</v>
      </c>
      <c r="B9361" t="str">
        <f>"6351220590"</f>
        <v>6351220590</v>
      </c>
      <c r="C9361" s="1">
        <v>45042</v>
      </c>
      <c r="D9361" s="1">
        <v>45043</v>
      </c>
      <c r="E9361">
        <v>1</v>
      </c>
      <c r="F9361" t="str">
        <f>"05-D01-06"</f>
        <v>05-D01-06</v>
      </c>
      <c r="G9361">
        <v>0.7571</v>
      </c>
      <c r="H9361" t="s">
        <v>11</v>
      </c>
      <c r="I9361" t="s">
        <v>10</v>
      </c>
    </row>
    <row r="9362" spans="1:9" x14ac:dyDescent="0.25">
      <c r="A9362" t="str">
        <f t="shared" si="224"/>
        <v>89301000</v>
      </c>
      <c r="B9362" t="str">
        <f>"6351220590"</f>
        <v>6351220590</v>
      </c>
      <c r="C9362" s="1">
        <v>45102</v>
      </c>
      <c r="D9362" s="1">
        <v>45104</v>
      </c>
      <c r="E9362">
        <v>1</v>
      </c>
      <c r="F9362" t="str">
        <f>"05-I14-03"</f>
        <v>05-I14-03</v>
      </c>
      <c r="G9362">
        <v>6.0362</v>
      </c>
      <c r="H9362" t="s">
        <v>12</v>
      </c>
      <c r="I9362" t="s">
        <v>10</v>
      </c>
    </row>
    <row r="9363" spans="1:9" x14ac:dyDescent="0.25">
      <c r="A9363" t="str">
        <f t="shared" si="224"/>
        <v>89301000</v>
      </c>
      <c r="B9363" t="str">
        <f>"6351260179"</f>
        <v>6351260179</v>
      </c>
      <c r="C9363" s="1">
        <v>45065</v>
      </c>
      <c r="D9363" s="1">
        <v>45069</v>
      </c>
      <c r="E9363">
        <v>1</v>
      </c>
      <c r="F9363" t="str">
        <f>"16-K02-03"</f>
        <v>16-K02-03</v>
      </c>
      <c r="G9363">
        <v>0.58299999999999996</v>
      </c>
      <c r="H9363" t="s">
        <v>11</v>
      </c>
      <c r="I9363" t="s">
        <v>10</v>
      </c>
    </row>
    <row r="9364" spans="1:9" x14ac:dyDescent="0.25">
      <c r="A9364" t="str">
        <f t="shared" si="224"/>
        <v>89301000</v>
      </c>
      <c r="B9364" t="str">
        <f>"6351281013"</f>
        <v>6351281013</v>
      </c>
      <c r="C9364" s="1">
        <v>44969</v>
      </c>
      <c r="D9364" s="1">
        <v>44973</v>
      </c>
      <c r="E9364">
        <v>1</v>
      </c>
      <c r="F9364" t="str">
        <f>"06-I22-01"</f>
        <v>06-I22-01</v>
      </c>
      <c r="G9364">
        <v>0.68120000000000003</v>
      </c>
      <c r="H9364" t="s">
        <v>12</v>
      </c>
      <c r="I9364" t="s">
        <v>10</v>
      </c>
    </row>
    <row r="9365" spans="1:9" x14ac:dyDescent="0.25">
      <c r="A9365" t="str">
        <f t="shared" si="224"/>
        <v>89301000</v>
      </c>
      <c r="B9365" t="str">
        <f>"6351300098"</f>
        <v>6351300098</v>
      </c>
      <c r="C9365" s="1">
        <v>45106</v>
      </c>
      <c r="D9365" s="1">
        <v>45108</v>
      </c>
      <c r="E9365">
        <v>1</v>
      </c>
      <c r="F9365" t="str">
        <f>"08-I15-03"</f>
        <v>08-I15-03</v>
      </c>
      <c r="G9365">
        <v>0.94059999999999999</v>
      </c>
      <c r="H9365" t="s">
        <v>12</v>
      </c>
      <c r="I9365" t="s">
        <v>10</v>
      </c>
    </row>
    <row r="9366" spans="1:9" x14ac:dyDescent="0.25">
      <c r="A9366" t="str">
        <f t="shared" si="224"/>
        <v>89301000</v>
      </c>
      <c r="B9366" t="str">
        <f>"6351311131"</f>
        <v>6351311131</v>
      </c>
      <c r="C9366" s="1">
        <v>44964</v>
      </c>
      <c r="D9366" s="1">
        <v>44998</v>
      </c>
      <c r="E9366">
        <v>1</v>
      </c>
      <c r="F9366" t="str">
        <f>"06-I07-01"</f>
        <v>06-I07-01</v>
      </c>
      <c r="G9366">
        <v>8.7090999999999994</v>
      </c>
      <c r="H9366" t="s">
        <v>12</v>
      </c>
      <c r="I9366" t="s">
        <v>10</v>
      </c>
    </row>
    <row r="9367" spans="1:9" x14ac:dyDescent="0.25">
      <c r="A9367" t="str">
        <f t="shared" si="224"/>
        <v>89301000</v>
      </c>
      <c r="B9367" t="str">
        <f>"6351311131"</f>
        <v>6351311131</v>
      </c>
      <c r="C9367" s="1">
        <v>44937</v>
      </c>
      <c r="D9367" s="1">
        <v>44939</v>
      </c>
      <c r="E9367">
        <v>1</v>
      </c>
      <c r="F9367" t="str">
        <f>"13-I19-00"</f>
        <v>13-I19-00</v>
      </c>
      <c r="G9367">
        <v>0.28249999999999997</v>
      </c>
      <c r="H9367" t="s">
        <v>11</v>
      </c>
      <c r="I9367" t="s">
        <v>10</v>
      </c>
    </row>
    <row r="9368" spans="1:9" x14ac:dyDescent="0.25">
      <c r="A9368" t="str">
        <f t="shared" si="224"/>
        <v>89301000</v>
      </c>
      <c r="B9368" t="str">
        <f>"6352140069"</f>
        <v>6352140069</v>
      </c>
      <c r="C9368" s="1">
        <v>45229</v>
      </c>
      <c r="D9368" s="1">
        <v>45234</v>
      </c>
      <c r="E9368">
        <v>1</v>
      </c>
      <c r="F9368" t="str">
        <f>"08-I19-01"</f>
        <v>08-I19-01</v>
      </c>
      <c r="G9368">
        <v>0.91039999999999999</v>
      </c>
      <c r="H9368" t="s">
        <v>12</v>
      </c>
      <c r="I9368" t="s">
        <v>10</v>
      </c>
    </row>
    <row r="9369" spans="1:9" x14ac:dyDescent="0.25">
      <c r="A9369" t="str">
        <f t="shared" si="224"/>
        <v>89301000</v>
      </c>
      <c r="B9369" t="str">
        <f>"6352160067"</f>
        <v>6352160067</v>
      </c>
      <c r="C9369" s="1">
        <v>45035</v>
      </c>
      <c r="D9369" s="1">
        <v>45040</v>
      </c>
      <c r="E9369">
        <v>1</v>
      </c>
      <c r="F9369" t="str">
        <f>"05-D01-06"</f>
        <v>05-D01-06</v>
      </c>
      <c r="G9369">
        <v>0.7571</v>
      </c>
      <c r="H9369" t="s">
        <v>11</v>
      </c>
      <c r="I9369" t="s">
        <v>10</v>
      </c>
    </row>
    <row r="9370" spans="1:9" x14ac:dyDescent="0.25">
      <c r="A9370" t="str">
        <f t="shared" si="224"/>
        <v>89301000</v>
      </c>
      <c r="B9370" t="str">
        <f>"6352160067"</f>
        <v>6352160067</v>
      </c>
      <c r="C9370" s="1">
        <v>45279</v>
      </c>
      <c r="D9370" s="1">
        <v>45282</v>
      </c>
      <c r="E9370">
        <v>1</v>
      </c>
      <c r="F9370" t="str">
        <f>"21-K06-02"</f>
        <v>21-K06-02</v>
      </c>
      <c r="G9370">
        <v>0.55720000000000003</v>
      </c>
      <c r="H9370" t="s">
        <v>11</v>
      </c>
      <c r="I9370" t="s">
        <v>10</v>
      </c>
    </row>
    <row r="9371" spans="1:9" x14ac:dyDescent="0.25">
      <c r="A9371" t="str">
        <f t="shared" si="224"/>
        <v>89301000</v>
      </c>
      <c r="B9371" t="str">
        <f>"6352160144"</f>
        <v>6352160144</v>
      </c>
      <c r="C9371" s="1">
        <v>45233</v>
      </c>
      <c r="D9371" s="1">
        <v>45233</v>
      </c>
      <c r="E9371">
        <v>1</v>
      </c>
      <c r="F9371" t="str">
        <f>"05-D01-08"</f>
        <v>05-D01-08</v>
      </c>
      <c r="G9371">
        <v>0.2303</v>
      </c>
      <c r="H9371" t="s">
        <v>11</v>
      </c>
      <c r="I9371" t="s">
        <v>10</v>
      </c>
    </row>
    <row r="9372" spans="1:9" x14ac:dyDescent="0.25">
      <c r="A9372" t="str">
        <f t="shared" si="224"/>
        <v>89301000</v>
      </c>
      <c r="B9372" t="str">
        <f>"6352170099"</f>
        <v>6352170099</v>
      </c>
      <c r="C9372" s="1">
        <v>45174</v>
      </c>
      <c r="D9372" s="1">
        <v>45176</v>
      </c>
      <c r="E9372">
        <v>1</v>
      </c>
      <c r="F9372" t="str">
        <f>"08-I25-02"</f>
        <v>08-I25-02</v>
      </c>
      <c r="G9372">
        <v>0.55279999999999996</v>
      </c>
      <c r="H9372" t="s">
        <v>11</v>
      </c>
      <c r="I9372" t="s">
        <v>10</v>
      </c>
    </row>
    <row r="9373" spans="1:9" x14ac:dyDescent="0.25">
      <c r="A9373" t="str">
        <f t="shared" si="224"/>
        <v>89301000</v>
      </c>
      <c r="B9373" t="str">
        <f>"6352210711"</f>
        <v>6352210711</v>
      </c>
      <c r="C9373" s="1">
        <v>45015</v>
      </c>
      <c r="D9373" s="1">
        <v>45017</v>
      </c>
      <c r="E9373">
        <v>1</v>
      </c>
      <c r="F9373" t="str">
        <f>"06-M01-02"</f>
        <v>06-M01-02</v>
      </c>
      <c r="G9373">
        <v>1.2371000000000001</v>
      </c>
      <c r="H9373" t="s">
        <v>11</v>
      </c>
      <c r="I9373" t="s">
        <v>10</v>
      </c>
    </row>
    <row r="9374" spans="1:9" x14ac:dyDescent="0.25">
      <c r="A9374" t="str">
        <f t="shared" si="224"/>
        <v>89301000</v>
      </c>
      <c r="B9374" t="str">
        <f>"6352216992"</f>
        <v>6352216992</v>
      </c>
      <c r="C9374" s="1">
        <v>45041</v>
      </c>
      <c r="D9374" s="1">
        <v>45048</v>
      </c>
      <c r="E9374">
        <v>5</v>
      </c>
      <c r="F9374" t="str">
        <f>"07-K04-02"</f>
        <v>07-K04-02</v>
      </c>
      <c r="G9374">
        <v>1.5216000000000001</v>
      </c>
      <c r="H9374" t="s">
        <v>11</v>
      </c>
      <c r="I9374" t="s">
        <v>10</v>
      </c>
    </row>
    <row r="9375" spans="1:9" x14ac:dyDescent="0.25">
      <c r="A9375" t="str">
        <f t="shared" si="224"/>
        <v>89301000</v>
      </c>
      <c r="B9375" t="str">
        <f>"6352220138"</f>
        <v>6352220138</v>
      </c>
      <c r="C9375" s="1">
        <v>45236</v>
      </c>
      <c r="D9375" s="1">
        <v>45240</v>
      </c>
      <c r="E9375">
        <v>1</v>
      </c>
      <c r="F9375" t="str">
        <f>"06-I22-02"</f>
        <v>06-I22-02</v>
      </c>
      <c r="G9375">
        <v>0.41810000000000003</v>
      </c>
      <c r="H9375" t="s">
        <v>12</v>
      </c>
      <c r="I9375" t="s">
        <v>10</v>
      </c>
    </row>
    <row r="9376" spans="1:9" x14ac:dyDescent="0.25">
      <c r="A9376" t="str">
        <f t="shared" si="224"/>
        <v>89301000</v>
      </c>
      <c r="B9376" t="str">
        <f>"6352270210"</f>
        <v>6352270210</v>
      </c>
      <c r="C9376" s="1">
        <v>44942</v>
      </c>
      <c r="D9376" s="1">
        <v>44944</v>
      </c>
      <c r="E9376">
        <v>1</v>
      </c>
      <c r="F9376" t="str">
        <f>"09-I09-02"</f>
        <v>09-I09-02</v>
      </c>
      <c r="G9376">
        <v>0.76900000000000002</v>
      </c>
      <c r="H9376" t="s">
        <v>12</v>
      </c>
      <c r="I9376" t="s">
        <v>10</v>
      </c>
    </row>
    <row r="9377" spans="1:9" x14ac:dyDescent="0.25">
      <c r="A9377" t="str">
        <f t="shared" si="224"/>
        <v>89301000</v>
      </c>
      <c r="B9377" t="str">
        <f>"6353010939"</f>
        <v>6353010939</v>
      </c>
      <c r="C9377" s="1">
        <v>45189</v>
      </c>
      <c r="D9377" s="1">
        <v>45191</v>
      </c>
      <c r="E9377">
        <v>1</v>
      </c>
      <c r="F9377" t="str">
        <f>"03-I19-03"</f>
        <v>03-I19-03</v>
      </c>
      <c r="G9377">
        <v>0.53249999999999997</v>
      </c>
      <c r="H9377" t="s">
        <v>11</v>
      </c>
      <c r="I9377" t="s">
        <v>10</v>
      </c>
    </row>
    <row r="9378" spans="1:9" x14ac:dyDescent="0.25">
      <c r="A9378" t="str">
        <f t="shared" si="224"/>
        <v>89301000</v>
      </c>
      <c r="B9378" t="str">
        <f>"6353080954"</f>
        <v>6353080954</v>
      </c>
      <c r="C9378" s="1">
        <v>45154</v>
      </c>
      <c r="D9378" s="1">
        <v>45156</v>
      </c>
      <c r="E9378">
        <v>1</v>
      </c>
      <c r="F9378" t="str">
        <f>"08-I03-05"</f>
        <v>08-I03-05</v>
      </c>
      <c r="G9378">
        <v>2.3673999999999999</v>
      </c>
      <c r="H9378" t="s">
        <v>9</v>
      </c>
      <c r="I9378" t="s">
        <v>10</v>
      </c>
    </row>
    <row r="9379" spans="1:9" x14ac:dyDescent="0.25">
      <c r="A9379" t="str">
        <f t="shared" si="224"/>
        <v>89301000</v>
      </c>
      <c r="B9379" t="str">
        <f>"6353100281"</f>
        <v>6353100281</v>
      </c>
      <c r="C9379" s="1">
        <v>45192</v>
      </c>
      <c r="D9379" s="1">
        <v>45193</v>
      </c>
      <c r="E9379">
        <v>6</v>
      </c>
      <c r="F9379" t="str">
        <f>"08-I18-02"</f>
        <v>08-I18-02</v>
      </c>
      <c r="G9379">
        <v>0.62509999999999999</v>
      </c>
      <c r="H9379" t="s">
        <v>12</v>
      </c>
      <c r="I9379" t="s">
        <v>10</v>
      </c>
    </row>
    <row r="9380" spans="1:9" x14ac:dyDescent="0.25">
      <c r="A9380" t="str">
        <f t="shared" si="224"/>
        <v>89301000</v>
      </c>
      <c r="B9380" t="str">
        <f>"6353160121"</f>
        <v>6353160121</v>
      </c>
      <c r="C9380" s="1">
        <v>45131</v>
      </c>
      <c r="D9380" s="1">
        <v>45132</v>
      </c>
      <c r="E9380">
        <v>1</v>
      </c>
      <c r="F9380" t="str">
        <f>"11-K03-02"</f>
        <v>11-K03-02</v>
      </c>
      <c r="G9380">
        <v>0.622</v>
      </c>
      <c r="H9380" t="s">
        <v>11</v>
      </c>
      <c r="I9380" t="s">
        <v>10</v>
      </c>
    </row>
    <row r="9381" spans="1:9" x14ac:dyDescent="0.25">
      <c r="A9381" t="str">
        <f t="shared" si="224"/>
        <v>89301000</v>
      </c>
      <c r="B9381" t="str">
        <f>"6353160121"</f>
        <v>6353160121</v>
      </c>
      <c r="C9381" s="1">
        <v>45166</v>
      </c>
      <c r="D9381" s="1">
        <v>45167</v>
      </c>
      <c r="E9381">
        <v>1</v>
      </c>
      <c r="F9381" t="str">
        <f>"05-D01-08"</f>
        <v>05-D01-08</v>
      </c>
      <c r="G9381">
        <v>0.43890000000000001</v>
      </c>
      <c r="H9381" t="s">
        <v>11</v>
      </c>
      <c r="I9381" t="s">
        <v>10</v>
      </c>
    </row>
    <row r="9382" spans="1:9" x14ac:dyDescent="0.25">
      <c r="A9382" t="str">
        <f t="shared" si="224"/>
        <v>89301000</v>
      </c>
      <c r="B9382" t="str">
        <f>"6353160275"</f>
        <v>6353160275</v>
      </c>
      <c r="C9382" s="1">
        <v>45222</v>
      </c>
      <c r="D9382" s="1">
        <v>45225</v>
      </c>
      <c r="E9382">
        <v>1</v>
      </c>
      <c r="F9382" t="str">
        <f>"13-I14-03"</f>
        <v>13-I14-03</v>
      </c>
      <c r="G9382">
        <v>0.87760000000000005</v>
      </c>
      <c r="H9382" t="s">
        <v>9</v>
      </c>
      <c r="I9382" t="s">
        <v>10</v>
      </c>
    </row>
    <row r="9383" spans="1:9" x14ac:dyDescent="0.25">
      <c r="A9383" t="str">
        <f t="shared" si="224"/>
        <v>89301000</v>
      </c>
      <c r="B9383" t="str">
        <f>"6353160671"</f>
        <v>6353160671</v>
      </c>
      <c r="C9383" s="1">
        <v>45071</v>
      </c>
      <c r="D9383" s="1">
        <v>45075</v>
      </c>
      <c r="E9383">
        <v>1</v>
      </c>
      <c r="F9383" t="str">
        <f>"02-I09-03"</f>
        <v>02-I09-03</v>
      </c>
      <c r="G9383">
        <v>0.89090000000000003</v>
      </c>
      <c r="H9383" t="s">
        <v>11</v>
      </c>
      <c r="I9383" t="s">
        <v>10</v>
      </c>
    </row>
    <row r="9384" spans="1:9" x14ac:dyDescent="0.25">
      <c r="A9384" t="str">
        <f t="shared" si="224"/>
        <v>89301000</v>
      </c>
      <c r="B9384" t="str">
        <f>"6353170857"</f>
        <v>6353170857</v>
      </c>
      <c r="C9384" s="1">
        <v>44932</v>
      </c>
      <c r="D9384" s="1">
        <v>44935</v>
      </c>
      <c r="E9384">
        <v>1</v>
      </c>
      <c r="F9384" t="str">
        <f>"01-D01-03"</f>
        <v>01-D01-03</v>
      </c>
      <c r="G9384">
        <v>0.21060000000000001</v>
      </c>
      <c r="H9384" t="s">
        <v>11</v>
      </c>
      <c r="I9384" t="s">
        <v>10</v>
      </c>
    </row>
    <row r="9385" spans="1:9" x14ac:dyDescent="0.25">
      <c r="A9385" t="str">
        <f t="shared" si="224"/>
        <v>89301000</v>
      </c>
      <c r="B9385" t="str">
        <f>"6353230477"</f>
        <v>6353230477</v>
      </c>
      <c r="C9385" s="1">
        <v>45110</v>
      </c>
      <c r="D9385" s="1">
        <v>45116</v>
      </c>
      <c r="E9385">
        <v>1</v>
      </c>
      <c r="F9385" t="str">
        <f>"08-I03-06"</f>
        <v>08-I03-06</v>
      </c>
      <c r="G9385">
        <v>3.2523</v>
      </c>
      <c r="H9385" t="s">
        <v>9</v>
      </c>
      <c r="I9385" t="s">
        <v>10</v>
      </c>
    </row>
    <row r="9386" spans="1:9" x14ac:dyDescent="0.25">
      <c r="A9386" t="str">
        <f t="shared" si="224"/>
        <v>89301000</v>
      </c>
      <c r="B9386" t="str">
        <f>"6353232446"</f>
        <v>6353232446</v>
      </c>
      <c r="C9386" s="1">
        <v>45066</v>
      </c>
      <c r="D9386" s="1">
        <v>45069</v>
      </c>
      <c r="E9386">
        <v>1</v>
      </c>
      <c r="F9386" t="str">
        <f>"06-K14-02"</f>
        <v>06-K14-02</v>
      </c>
      <c r="G9386">
        <v>0.61380000000000001</v>
      </c>
      <c r="H9386" t="s">
        <v>11</v>
      </c>
      <c r="I9386" t="s">
        <v>10</v>
      </c>
    </row>
    <row r="9387" spans="1:9" x14ac:dyDescent="0.25">
      <c r="A9387" t="str">
        <f t="shared" si="224"/>
        <v>89301000</v>
      </c>
      <c r="B9387" t="str">
        <f>"6353232446"</f>
        <v>6353232446</v>
      </c>
      <c r="C9387" s="1">
        <v>45104</v>
      </c>
      <c r="D9387" s="1">
        <v>45105</v>
      </c>
      <c r="E9387">
        <v>1</v>
      </c>
      <c r="F9387" t="str">
        <f>"05-K13-02"</f>
        <v>05-K13-02</v>
      </c>
      <c r="G9387">
        <v>0.57220000000000004</v>
      </c>
      <c r="H9387" t="s">
        <v>11</v>
      </c>
      <c r="I9387" t="s">
        <v>10</v>
      </c>
    </row>
    <row r="9388" spans="1:9" x14ac:dyDescent="0.25">
      <c r="A9388" t="str">
        <f t="shared" si="224"/>
        <v>89301000</v>
      </c>
      <c r="B9388" t="str">
        <f>"6353240124"</f>
        <v>6353240124</v>
      </c>
      <c r="C9388" s="1">
        <v>45011</v>
      </c>
      <c r="D9388" s="1">
        <v>45014</v>
      </c>
      <c r="E9388">
        <v>1</v>
      </c>
      <c r="F9388" t="str">
        <f>"06-I16-04"</f>
        <v>06-I16-04</v>
      </c>
      <c r="G9388">
        <v>0.68920000000000003</v>
      </c>
      <c r="H9388" t="s">
        <v>9</v>
      </c>
      <c r="I9388" t="s">
        <v>10</v>
      </c>
    </row>
    <row r="9389" spans="1:9" x14ac:dyDescent="0.25">
      <c r="A9389" t="str">
        <f t="shared" ref="A9389:A9452" si="225">"89301000"</f>
        <v>89301000</v>
      </c>
      <c r="B9389" t="str">
        <f>"6353240663"</f>
        <v>6353240663</v>
      </c>
      <c r="C9389" s="1">
        <v>45068</v>
      </c>
      <c r="D9389" s="1">
        <v>45069</v>
      </c>
      <c r="E9389">
        <v>1</v>
      </c>
      <c r="F9389" t="str">
        <f>"05-D01-08"</f>
        <v>05-D01-08</v>
      </c>
      <c r="G9389">
        <v>0.43159999999999998</v>
      </c>
      <c r="H9389" t="s">
        <v>11</v>
      </c>
      <c r="I9389" t="s">
        <v>10</v>
      </c>
    </row>
    <row r="9390" spans="1:9" x14ac:dyDescent="0.25">
      <c r="A9390" t="str">
        <f t="shared" si="225"/>
        <v>89301000</v>
      </c>
      <c r="B9390" t="str">
        <f>"6353250596"</f>
        <v>6353250596</v>
      </c>
      <c r="C9390" s="1">
        <v>45074</v>
      </c>
      <c r="D9390" s="1">
        <v>45076</v>
      </c>
      <c r="E9390">
        <v>1</v>
      </c>
      <c r="F9390" t="str">
        <f>"02-I11-02"</f>
        <v>02-I11-02</v>
      </c>
      <c r="G9390">
        <v>0.67259999999999998</v>
      </c>
      <c r="H9390" t="s">
        <v>12</v>
      </c>
      <c r="I9390" t="s">
        <v>10</v>
      </c>
    </row>
    <row r="9391" spans="1:9" x14ac:dyDescent="0.25">
      <c r="A9391" t="str">
        <f t="shared" si="225"/>
        <v>89301000</v>
      </c>
      <c r="B9391" t="str">
        <f>"6353250607"</f>
        <v>6353250607</v>
      </c>
      <c r="C9391" s="1">
        <v>45161</v>
      </c>
      <c r="D9391" s="1">
        <v>45163</v>
      </c>
      <c r="E9391">
        <v>1</v>
      </c>
      <c r="F9391" t="str">
        <f>"05-I14-03"</f>
        <v>05-I14-03</v>
      </c>
      <c r="G9391">
        <v>6.0362</v>
      </c>
      <c r="H9391" t="s">
        <v>12</v>
      </c>
      <c r="I9391" t="s">
        <v>10</v>
      </c>
    </row>
    <row r="9392" spans="1:9" x14ac:dyDescent="0.25">
      <c r="A9392" t="str">
        <f t="shared" si="225"/>
        <v>89301000</v>
      </c>
      <c r="B9392" t="str">
        <f>"6353310117"</f>
        <v>6353310117</v>
      </c>
      <c r="C9392" s="1">
        <v>45096</v>
      </c>
      <c r="D9392" s="1">
        <v>45100</v>
      </c>
      <c r="E9392">
        <v>1</v>
      </c>
      <c r="F9392" t="str">
        <f>"13-R02-01"</f>
        <v>13-R02-01</v>
      </c>
      <c r="G9392">
        <v>1.7144999999999999</v>
      </c>
      <c r="H9392" t="s">
        <v>11</v>
      </c>
      <c r="I9392" t="s">
        <v>10</v>
      </c>
    </row>
    <row r="9393" spans="1:9" x14ac:dyDescent="0.25">
      <c r="A9393" t="str">
        <f t="shared" si="225"/>
        <v>89301000</v>
      </c>
      <c r="B9393" t="str">
        <f>"6353310117"</f>
        <v>6353310117</v>
      </c>
      <c r="C9393" s="1">
        <v>45089</v>
      </c>
      <c r="D9393" s="1">
        <v>45093</v>
      </c>
      <c r="E9393">
        <v>1</v>
      </c>
      <c r="F9393" t="str">
        <f>"13-R02-01"</f>
        <v>13-R02-01</v>
      </c>
      <c r="G9393">
        <v>1.7144999999999999</v>
      </c>
      <c r="H9393" t="s">
        <v>11</v>
      </c>
      <c r="I9393" t="s">
        <v>10</v>
      </c>
    </row>
    <row r="9394" spans="1:9" x14ac:dyDescent="0.25">
      <c r="A9394" t="str">
        <f t="shared" si="225"/>
        <v>89301000</v>
      </c>
      <c r="B9394" t="str">
        <f>"6353310117"</f>
        <v>6353310117</v>
      </c>
      <c r="C9394" s="1">
        <v>45084</v>
      </c>
      <c r="D9394" s="1">
        <v>45086</v>
      </c>
      <c r="E9394">
        <v>1</v>
      </c>
      <c r="F9394" t="str">
        <f>"13-R01-08"</f>
        <v>13-R01-08</v>
      </c>
      <c r="G9394">
        <v>0.8387</v>
      </c>
      <c r="H9394" t="s">
        <v>11</v>
      </c>
      <c r="I9394" t="s">
        <v>10</v>
      </c>
    </row>
    <row r="9395" spans="1:9" x14ac:dyDescent="0.25">
      <c r="A9395" t="str">
        <f t="shared" si="225"/>
        <v>89301000</v>
      </c>
      <c r="B9395" t="str">
        <f>"6353310117"</f>
        <v>6353310117</v>
      </c>
      <c r="C9395" s="1">
        <v>45006</v>
      </c>
      <c r="D9395" s="1">
        <v>45007</v>
      </c>
      <c r="E9395">
        <v>1</v>
      </c>
      <c r="F9395" t="str">
        <f>"13-I19-00"</f>
        <v>13-I19-00</v>
      </c>
      <c r="G9395">
        <v>0.28249999999999997</v>
      </c>
      <c r="H9395" t="s">
        <v>11</v>
      </c>
      <c r="I9395" t="s">
        <v>10</v>
      </c>
    </row>
    <row r="9396" spans="1:9" x14ac:dyDescent="0.25">
      <c r="A9396" t="str">
        <f t="shared" si="225"/>
        <v>89301000</v>
      </c>
      <c r="B9396" t="str">
        <f>"6353316244"</f>
        <v>6353316244</v>
      </c>
      <c r="C9396" s="1">
        <v>45027</v>
      </c>
      <c r="D9396" s="1">
        <v>45028</v>
      </c>
      <c r="E9396">
        <v>1</v>
      </c>
      <c r="F9396" t="str">
        <f>"02-I13-02"</f>
        <v>02-I13-02</v>
      </c>
      <c r="G9396">
        <v>0.4259</v>
      </c>
      <c r="H9396" t="s">
        <v>11</v>
      </c>
      <c r="I9396" t="s">
        <v>10</v>
      </c>
    </row>
    <row r="9397" spans="1:9" x14ac:dyDescent="0.25">
      <c r="A9397" t="str">
        <f t="shared" si="225"/>
        <v>89301000</v>
      </c>
      <c r="B9397" t="str">
        <f>"6354090534"</f>
        <v>6354090534</v>
      </c>
      <c r="C9397" s="1">
        <v>44998</v>
      </c>
      <c r="D9397" s="1">
        <v>45006</v>
      </c>
      <c r="E9397">
        <v>1</v>
      </c>
      <c r="F9397" t="str">
        <f>"09-K04-02"</f>
        <v>09-K04-02</v>
      </c>
      <c r="G9397">
        <v>0.64849999999999997</v>
      </c>
      <c r="H9397" t="s">
        <v>11</v>
      </c>
      <c r="I9397" t="s">
        <v>10</v>
      </c>
    </row>
    <row r="9398" spans="1:9" x14ac:dyDescent="0.25">
      <c r="A9398" t="str">
        <f t="shared" si="225"/>
        <v>89301000</v>
      </c>
      <c r="B9398" t="str">
        <f>"6354131289"</f>
        <v>6354131289</v>
      </c>
      <c r="C9398" s="1">
        <v>45081</v>
      </c>
      <c r="D9398" s="1">
        <v>45085</v>
      </c>
      <c r="E9398">
        <v>1</v>
      </c>
      <c r="F9398" t="str">
        <f>"10-I13-02"</f>
        <v>10-I13-02</v>
      </c>
      <c r="G9398">
        <v>1.1124000000000001</v>
      </c>
      <c r="H9398" t="s">
        <v>9</v>
      </c>
      <c r="I9398" t="s">
        <v>10</v>
      </c>
    </row>
    <row r="9399" spans="1:9" x14ac:dyDescent="0.25">
      <c r="A9399" t="str">
        <f t="shared" si="225"/>
        <v>89301000</v>
      </c>
      <c r="B9399" t="str">
        <f>"6354181328"</f>
        <v>6354181328</v>
      </c>
      <c r="C9399" s="1">
        <v>45091</v>
      </c>
      <c r="D9399" s="1">
        <v>45094</v>
      </c>
      <c r="E9399">
        <v>1</v>
      </c>
      <c r="F9399" t="str">
        <f>"01-K07-03"</f>
        <v>01-K07-03</v>
      </c>
      <c r="G9399">
        <v>0.48680000000000001</v>
      </c>
      <c r="H9399" t="s">
        <v>11</v>
      </c>
      <c r="I9399" t="s">
        <v>10</v>
      </c>
    </row>
    <row r="9400" spans="1:9" x14ac:dyDescent="0.25">
      <c r="A9400" t="str">
        <f t="shared" si="225"/>
        <v>89301000</v>
      </c>
      <c r="B9400" t="str">
        <f>"6354191283"</f>
        <v>6354191283</v>
      </c>
      <c r="C9400" s="1">
        <v>45203</v>
      </c>
      <c r="D9400" s="1">
        <v>45205</v>
      </c>
      <c r="E9400">
        <v>1</v>
      </c>
      <c r="F9400" t="str">
        <f>"08-I32-00"</f>
        <v>08-I32-00</v>
      </c>
      <c r="G9400">
        <v>0.4093</v>
      </c>
      <c r="H9400" t="s">
        <v>11</v>
      </c>
      <c r="I9400" t="s">
        <v>10</v>
      </c>
    </row>
    <row r="9401" spans="1:9" x14ac:dyDescent="0.25">
      <c r="A9401" t="str">
        <f t="shared" si="225"/>
        <v>89301000</v>
      </c>
      <c r="B9401" t="str">
        <f>"6354221093"</f>
        <v>6354221093</v>
      </c>
      <c r="C9401" s="1">
        <v>45239</v>
      </c>
      <c r="D9401" s="1">
        <v>45243</v>
      </c>
      <c r="E9401">
        <v>1</v>
      </c>
      <c r="F9401" t="str">
        <f>"09-I06-04"</f>
        <v>09-I06-04</v>
      </c>
      <c r="G9401">
        <v>0.95069999999999999</v>
      </c>
      <c r="H9401" t="s">
        <v>12</v>
      </c>
      <c r="I9401" t="s">
        <v>10</v>
      </c>
    </row>
    <row r="9402" spans="1:9" x14ac:dyDescent="0.25">
      <c r="A9402" t="str">
        <f t="shared" si="225"/>
        <v>89301000</v>
      </c>
      <c r="B9402" t="str">
        <f>"6354270494"</f>
        <v>6354270494</v>
      </c>
      <c r="C9402" s="1">
        <v>45197</v>
      </c>
      <c r="D9402" s="1">
        <v>45199</v>
      </c>
      <c r="E9402">
        <v>1</v>
      </c>
      <c r="F9402" t="str">
        <f>"08-M03-05"</f>
        <v>08-M03-05</v>
      </c>
      <c r="G9402">
        <v>0.46810000000000002</v>
      </c>
      <c r="H9402" t="s">
        <v>11</v>
      </c>
      <c r="I9402" t="s">
        <v>10</v>
      </c>
    </row>
    <row r="9403" spans="1:9" x14ac:dyDescent="0.25">
      <c r="A9403" t="str">
        <f t="shared" si="225"/>
        <v>89301000</v>
      </c>
      <c r="B9403" t="str">
        <f>"6354281769"</f>
        <v>6354281769</v>
      </c>
      <c r="C9403" s="1">
        <v>45222</v>
      </c>
      <c r="D9403" s="1">
        <v>45227</v>
      </c>
      <c r="E9403">
        <v>1</v>
      </c>
      <c r="F9403" t="str">
        <f>"08-I04-01"</f>
        <v>08-I04-01</v>
      </c>
      <c r="G9403">
        <v>2.7970000000000002</v>
      </c>
      <c r="H9403" t="s">
        <v>14</v>
      </c>
      <c r="I9403" t="s">
        <v>10</v>
      </c>
    </row>
    <row r="9404" spans="1:9" x14ac:dyDescent="0.25">
      <c r="A9404" t="str">
        <f t="shared" si="225"/>
        <v>89301000</v>
      </c>
      <c r="B9404" t="str">
        <f>"6355070832"</f>
        <v>6355070832</v>
      </c>
      <c r="C9404" s="1">
        <v>45128</v>
      </c>
      <c r="D9404" s="1">
        <v>45131</v>
      </c>
      <c r="E9404">
        <v>1</v>
      </c>
      <c r="F9404" t="str">
        <f>"01-D01-03"</f>
        <v>01-D01-03</v>
      </c>
      <c r="G9404">
        <v>0.21060000000000001</v>
      </c>
      <c r="H9404" t="s">
        <v>11</v>
      </c>
      <c r="I9404" t="s">
        <v>10</v>
      </c>
    </row>
    <row r="9405" spans="1:9" x14ac:dyDescent="0.25">
      <c r="A9405" t="str">
        <f t="shared" si="225"/>
        <v>89301000</v>
      </c>
      <c r="B9405" t="str">
        <f>"6355070832"</f>
        <v>6355070832</v>
      </c>
      <c r="C9405" s="1">
        <v>45124</v>
      </c>
      <c r="D9405" s="1">
        <v>45125</v>
      </c>
      <c r="E9405">
        <v>1</v>
      </c>
      <c r="F9405" t="str">
        <f>"01-D01-03"</f>
        <v>01-D01-03</v>
      </c>
      <c r="G9405">
        <v>0.16200000000000001</v>
      </c>
      <c r="H9405" t="s">
        <v>11</v>
      </c>
      <c r="I9405" t="s">
        <v>10</v>
      </c>
    </row>
    <row r="9406" spans="1:9" x14ac:dyDescent="0.25">
      <c r="A9406" t="str">
        <f t="shared" si="225"/>
        <v>89301000</v>
      </c>
      <c r="B9406" t="str">
        <f>"6355080622"</f>
        <v>6355080622</v>
      </c>
      <c r="C9406" s="1">
        <v>45053</v>
      </c>
      <c r="D9406" s="1">
        <v>45057</v>
      </c>
      <c r="E9406">
        <v>1</v>
      </c>
      <c r="F9406" t="str">
        <f>"08-K08-00"</f>
        <v>08-K08-00</v>
      </c>
      <c r="G9406">
        <v>0.5272</v>
      </c>
      <c r="H9406" t="s">
        <v>11</v>
      </c>
      <c r="I9406" t="s">
        <v>10</v>
      </c>
    </row>
    <row r="9407" spans="1:9" x14ac:dyDescent="0.25">
      <c r="A9407" t="str">
        <f t="shared" si="225"/>
        <v>89301000</v>
      </c>
      <c r="B9407" t="str">
        <f>"6355091600"</f>
        <v>6355091600</v>
      </c>
      <c r="C9407" s="1">
        <v>45105</v>
      </c>
      <c r="D9407" s="1">
        <v>45107</v>
      </c>
      <c r="E9407">
        <v>1</v>
      </c>
      <c r="F9407" t="str">
        <f>"11-K03-02"</f>
        <v>11-K03-02</v>
      </c>
      <c r="G9407">
        <v>0.63990000000000002</v>
      </c>
      <c r="H9407" t="s">
        <v>11</v>
      </c>
      <c r="I9407" t="s">
        <v>10</v>
      </c>
    </row>
    <row r="9408" spans="1:9" x14ac:dyDescent="0.25">
      <c r="A9408" t="str">
        <f t="shared" si="225"/>
        <v>89301000</v>
      </c>
      <c r="B9408" t="str">
        <f>"6355120827"</f>
        <v>6355120827</v>
      </c>
      <c r="C9408" s="1">
        <v>44957</v>
      </c>
      <c r="D9408" s="1">
        <v>44960</v>
      </c>
      <c r="E9408">
        <v>1</v>
      </c>
      <c r="F9408" t="str">
        <f>"08-I23-02"</f>
        <v>08-I23-02</v>
      </c>
      <c r="G9408">
        <v>0.91059999999999997</v>
      </c>
      <c r="H9408" t="s">
        <v>12</v>
      </c>
      <c r="I9408" t="s">
        <v>10</v>
      </c>
    </row>
    <row r="9409" spans="1:9" x14ac:dyDescent="0.25">
      <c r="A9409" t="str">
        <f t="shared" si="225"/>
        <v>89301000</v>
      </c>
      <c r="B9409" t="str">
        <f>"6355121201"</f>
        <v>6355121201</v>
      </c>
      <c r="C9409" s="1">
        <v>45223</v>
      </c>
      <c r="D9409" s="1">
        <v>45226</v>
      </c>
      <c r="E9409">
        <v>1</v>
      </c>
      <c r="F9409" t="str">
        <f>"08-I23-02"</f>
        <v>08-I23-02</v>
      </c>
      <c r="G9409">
        <v>0.91059999999999997</v>
      </c>
      <c r="H9409" t="s">
        <v>12</v>
      </c>
      <c r="I9409" t="s">
        <v>10</v>
      </c>
    </row>
    <row r="9410" spans="1:9" x14ac:dyDescent="0.25">
      <c r="A9410" t="str">
        <f t="shared" si="225"/>
        <v>89301000</v>
      </c>
      <c r="B9410" t="str">
        <f>"6355121201"</f>
        <v>6355121201</v>
      </c>
      <c r="C9410" s="1">
        <v>45048</v>
      </c>
      <c r="D9410" s="1">
        <v>45049</v>
      </c>
      <c r="E9410">
        <v>1</v>
      </c>
      <c r="F9410" t="str">
        <f>"02-I13-02"</f>
        <v>02-I13-02</v>
      </c>
      <c r="G9410">
        <v>0.4259</v>
      </c>
      <c r="H9410" t="s">
        <v>11</v>
      </c>
      <c r="I9410" t="s">
        <v>10</v>
      </c>
    </row>
    <row r="9411" spans="1:9" x14ac:dyDescent="0.25">
      <c r="A9411" t="str">
        <f t="shared" si="225"/>
        <v>89301000</v>
      </c>
      <c r="B9411" t="str">
        <f>"6355151715"</f>
        <v>6355151715</v>
      </c>
      <c r="C9411" s="1">
        <v>45092</v>
      </c>
      <c r="D9411" s="1">
        <v>45095</v>
      </c>
      <c r="E9411">
        <v>1</v>
      </c>
      <c r="F9411" t="str">
        <f>"06-I21-03"</f>
        <v>06-I21-03</v>
      </c>
      <c r="G9411">
        <v>0.4572</v>
      </c>
      <c r="H9411" t="s">
        <v>12</v>
      </c>
      <c r="I9411" t="s">
        <v>10</v>
      </c>
    </row>
    <row r="9412" spans="1:9" x14ac:dyDescent="0.25">
      <c r="A9412" t="str">
        <f t="shared" si="225"/>
        <v>89301000</v>
      </c>
      <c r="B9412" t="str">
        <f>"6355180799"</f>
        <v>6355180799</v>
      </c>
      <c r="C9412" s="1">
        <v>45167</v>
      </c>
      <c r="D9412" s="1">
        <v>45170</v>
      </c>
      <c r="E9412">
        <v>1</v>
      </c>
      <c r="F9412" t="str">
        <f>"06-M01-02"</f>
        <v>06-M01-02</v>
      </c>
      <c r="G9412">
        <v>1.335</v>
      </c>
      <c r="H9412" t="s">
        <v>11</v>
      </c>
      <c r="I9412" t="s">
        <v>10</v>
      </c>
    </row>
    <row r="9413" spans="1:9" x14ac:dyDescent="0.25">
      <c r="A9413" t="str">
        <f t="shared" si="225"/>
        <v>89301000</v>
      </c>
      <c r="B9413" t="str">
        <f>"6355202051"</f>
        <v>6355202051</v>
      </c>
      <c r="C9413" s="1">
        <v>45047</v>
      </c>
      <c r="D9413" s="1">
        <v>45049</v>
      </c>
      <c r="E9413">
        <v>1</v>
      </c>
      <c r="F9413" t="str">
        <f>"05-M05-02"</f>
        <v>05-M05-02</v>
      </c>
      <c r="G9413">
        <v>3.4817999999999998</v>
      </c>
      <c r="H9413" t="s">
        <v>14</v>
      </c>
      <c r="I9413" t="s">
        <v>10</v>
      </c>
    </row>
    <row r="9414" spans="1:9" x14ac:dyDescent="0.25">
      <c r="A9414" t="str">
        <f t="shared" si="225"/>
        <v>89301000</v>
      </c>
      <c r="B9414" t="str">
        <f>"6355212072"</f>
        <v>6355212072</v>
      </c>
      <c r="C9414" s="1">
        <v>45133</v>
      </c>
      <c r="D9414" s="1">
        <v>45136</v>
      </c>
      <c r="E9414">
        <v>1</v>
      </c>
      <c r="F9414" t="str">
        <f>"08-I23-02"</f>
        <v>08-I23-02</v>
      </c>
      <c r="G9414">
        <v>0.91059999999999997</v>
      </c>
      <c r="H9414" t="s">
        <v>12</v>
      </c>
      <c r="I9414" t="s">
        <v>10</v>
      </c>
    </row>
    <row r="9415" spans="1:9" x14ac:dyDescent="0.25">
      <c r="A9415" t="str">
        <f t="shared" si="225"/>
        <v>89301000</v>
      </c>
      <c r="B9415" t="str">
        <f>"6355221895"</f>
        <v>6355221895</v>
      </c>
      <c r="C9415" s="1">
        <v>45025</v>
      </c>
      <c r="D9415" s="1">
        <v>45030</v>
      </c>
      <c r="E9415">
        <v>1</v>
      </c>
      <c r="F9415" t="str">
        <f>"09-K04-02"</f>
        <v>09-K04-02</v>
      </c>
      <c r="G9415">
        <v>0.64849999999999997</v>
      </c>
      <c r="H9415" t="s">
        <v>11</v>
      </c>
      <c r="I9415" t="s">
        <v>10</v>
      </c>
    </row>
    <row r="9416" spans="1:9" x14ac:dyDescent="0.25">
      <c r="A9416" t="str">
        <f t="shared" si="225"/>
        <v>89301000</v>
      </c>
      <c r="B9416" t="str">
        <f>"6355221895"</f>
        <v>6355221895</v>
      </c>
      <c r="C9416" s="1">
        <v>44970</v>
      </c>
      <c r="D9416" s="1">
        <v>44976</v>
      </c>
      <c r="E9416">
        <v>1</v>
      </c>
      <c r="F9416" t="str">
        <f>"13-I11-03"</f>
        <v>13-I11-03</v>
      </c>
      <c r="G9416">
        <v>1.7073</v>
      </c>
      <c r="H9416" t="s">
        <v>9</v>
      </c>
      <c r="I9416" t="s">
        <v>10</v>
      </c>
    </row>
    <row r="9417" spans="1:9" x14ac:dyDescent="0.25">
      <c r="A9417" t="str">
        <f t="shared" si="225"/>
        <v>89301000</v>
      </c>
      <c r="B9417" t="str">
        <f>"6355261561"</f>
        <v>6355261561</v>
      </c>
      <c r="C9417" s="1">
        <v>45249</v>
      </c>
      <c r="D9417" s="1">
        <v>45257</v>
      </c>
      <c r="E9417">
        <v>1</v>
      </c>
      <c r="F9417" t="str">
        <f>"04-I02-03"</f>
        <v>04-I02-03</v>
      </c>
      <c r="G9417">
        <v>3.6791</v>
      </c>
      <c r="H9417" t="s">
        <v>14</v>
      </c>
      <c r="I9417" t="s">
        <v>10</v>
      </c>
    </row>
    <row r="9418" spans="1:9" x14ac:dyDescent="0.25">
      <c r="A9418" t="str">
        <f t="shared" si="225"/>
        <v>89301000</v>
      </c>
      <c r="B9418" t="str">
        <f>"6355261572"</f>
        <v>6355261572</v>
      </c>
      <c r="C9418" s="1">
        <v>44964</v>
      </c>
      <c r="D9418" s="1">
        <v>44966</v>
      </c>
      <c r="E9418">
        <v>1</v>
      </c>
      <c r="F9418" t="str">
        <f>"08-M03-05"</f>
        <v>08-M03-05</v>
      </c>
      <c r="G9418">
        <v>0.46810000000000002</v>
      </c>
      <c r="H9418" t="s">
        <v>11</v>
      </c>
      <c r="I9418" t="s">
        <v>10</v>
      </c>
    </row>
    <row r="9419" spans="1:9" x14ac:dyDescent="0.25">
      <c r="A9419" t="str">
        <f t="shared" si="225"/>
        <v>89301000</v>
      </c>
      <c r="B9419" t="str">
        <f>"6355281042"</f>
        <v>6355281042</v>
      </c>
      <c r="C9419" s="1">
        <v>45172</v>
      </c>
      <c r="D9419" s="1">
        <v>45174</v>
      </c>
      <c r="E9419">
        <v>1</v>
      </c>
      <c r="F9419" t="str">
        <f>"03-I14-02"</f>
        <v>03-I14-02</v>
      </c>
      <c r="G9419">
        <v>1.0793999999999999</v>
      </c>
      <c r="H9419" t="s">
        <v>11</v>
      </c>
      <c r="I9419" t="s">
        <v>10</v>
      </c>
    </row>
    <row r="9420" spans="1:9" x14ac:dyDescent="0.25">
      <c r="A9420" t="str">
        <f t="shared" si="225"/>
        <v>89301000</v>
      </c>
      <c r="B9420" t="str">
        <f>"6355292097"</f>
        <v>6355292097</v>
      </c>
      <c r="C9420" s="1">
        <v>45178</v>
      </c>
      <c r="D9420" s="1">
        <v>45180</v>
      </c>
      <c r="E9420">
        <v>1</v>
      </c>
      <c r="F9420" t="str">
        <f>"05-D01-06"</f>
        <v>05-D01-06</v>
      </c>
      <c r="G9420">
        <v>0.7571</v>
      </c>
      <c r="H9420" t="s">
        <v>11</v>
      </c>
      <c r="I9420" t="s">
        <v>10</v>
      </c>
    </row>
    <row r="9421" spans="1:9" x14ac:dyDescent="0.25">
      <c r="A9421" t="str">
        <f t="shared" si="225"/>
        <v>89301000</v>
      </c>
      <c r="B9421" t="str">
        <f>"6356010540"</f>
        <v>6356010540</v>
      </c>
      <c r="C9421" s="1">
        <v>44977</v>
      </c>
      <c r="D9421" s="1">
        <v>44995</v>
      </c>
      <c r="E9421">
        <v>1</v>
      </c>
      <c r="F9421" t="str">
        <f>"08-I31-03"</f>
        <v>08-I31-03</v>
      </c>
      <c r="G9421">
        <v>1.5924</v>
      </c>
      <c r="H9421" t="s">
        <v>11</v>
      </c>
      <c r="I9421" t="s">
        <v>10</v>
      </c>
    </row>
    <row r="9422" spans="1:9" x14ac:dyDescent="0.25">
      <c r="A9422" t="str">
        <f t="shared" si="225"/>
        <v>89301000</v>
      </c>
      <c r="B9422" t="str">
        <f>"6356031187"</f>
        <v>6356031187</v>
      </c>
      <c r="C9422" s="1">
        <v>45042</v>
      </c>
      <c r="D9422" s="1">
        <v>45057</v>
      </c>
      <c r="E9422">
        <v>4</v>
      </c>
      <c r="F9422" t="str">
        <f>"08-I03-04"</f>
        <v>08-I03-04</v>
      </c>
      <c r="G9422">
        <v>4.1086999999999998</v>
      </c>
      <c r="H9422" t="s">
        <v>9</v>
      </c>
      <c r="I9422" t="s">
        <v>10</v>
      </c>
    </row>
    <row r="9423" spans="1:9" x14ac:dyDescent="0.25">
      <c r="A9423" t="str">
        <f t="shared" si="225"/>
        <v>89301000</v>
      </c>
      <c r="B9423" t="str">
        <f>"6356040867"</f>
        <v>6356040867</v>
      </c>
      <c r="C9423" s="1">
        <v>45176</v>
      </c>
      <c r="D9423" s="1">
        <v>45182</v>
      </c>
      <c r="E9423">
        <v>4</v>
      </c>
      <c r="F9423" t="str">
        <f>"08-I05-04"</f>
        <v>08-I05-04</v>
      </c>
      <c r="G9423">
        <v>2.4445000000000001</v>
      </c>
      <c r="H9423" t="s">
        <v>12</v>
      </c>
      <c r="I9423" t="s">
        <v>10</v>
      </c>
    </row>
    <row r="9424" spans="1:9" x14ac:dyDescent="0.25">
      <c r="A9424" t="str">
        <f t="shared" si="225"/>
        <v>89301000</v>
      </c>
      <c r="B9424" t="str">
        <f>"6356051944"</f>
        <v>6356051944</v>
      </c>
      <c r="C9424" s="1">
        <v>44948</v>
      </c>
      <c r="D9424" s="1">
        <v>44952</v>
      </c>
      <c r="E9424">
        <v>1</v>
      </c>
      <c r="F9424" t="str">
        <f>"10-I13-02"</f>
        <v>10-I13-02</v>
      </c>
      <c r="G9424">
        <v>1.1124000000000001</v>
      </c>
      <c r="H9424" t="s">
        <v>9</v>
      </c>
      <c r="I9424" t="s">
        <v>10</v>
      </c>
    </row>
    <row r="9425" spans="1:9" x14ac:dyDescent="0.25">
      <c r="A9425" t="str">
        <f t="shared" si="225"/>
        <v>89301000</v>
      </c>
      <c r="B9425" t="str">
        <f>"6356080159"</f>
        <v>6356080159</v>
      </c>
      <c r="C9425" s="1">
        <v>45060</v>
      </c>
      <c r="D9425" s="1">
        <v>45063</v>
      </c>
      <c r="E9425">
        <v>1</v>
      </c>
      <c r="F9425" t="str">
        <f>"08-M03-05"</f>
        <v>08-M03-05</v>
      </c>
      <c r="G9425">
        <v>0.46910000000000002</v>
      </c>
      <c r="H9425" t="s">
        <v>11</v>
      </c>
      <c r="I9425" t="s">
        <v>10</v>
      </c>
    </row>
    <row r="9426" spans="1:9" x14ac:dyDescent="0.25">
      <c r="A9426" t="str">
        <f t="shared" si="225"/>
        <v>89301000</v>
      </c>
      <c r="B9426" t="str">
        <f>"6356091742"</f>
        <v>6356091742</v>
      </c>
      <c r="C9426" s="1">
        <v>45016</v>
      </c>
      <c r="D9426" s="1">
        <v>45017</v>
      </c>
      <c r="E9426">
        <v>1</v>
      </c>
      <c r="F9426" t="str">
        <f>"05-M05-03"</f>
        <v>05-M05-03</v>
      </c>
      <c r="G9426">
        <v>2.0312999999999999</v>
      </c>
      <c r="H9426" t="s">
        <v>14</v>
      </c>
      <c r="I9426" t="s">
        <v>10</v>
      </c>
    </row>
    <row r="9427" spans="1:9" x14ac:dyDescent="0.25">
      <c r="A9427" t="str">
        <f t="shared" si="225"/>
        <v>89301000</v>
      </c>
      <c r="B9427" t="str">
        <f>"6356121695"</f>
        <v>6356121695</v>
      </c>
      <c r="C9427" s="1">
        <v>45061</v>
      </c>
      <c r="D9427" s="1">
        <v>45064</v>
      </c>
      <c r="E9427">
        <v>1</v>
      </c>
      <c r="F9427" t="str">
        <f>"08-M03-05"</f>
        <v>08-M03-05</v>
      </c>
      <c r="G9427">
        <v>0.46810000000000002</v>
      </c>
      <c r="H9427" t="s">
        <v>11</v>
      </c>
      <c r="I9427" t="s">
        <v>10</v>
      </c>
    </row>
    <row r="9428" spans="1:9" x14ac:dyDescent="0.25">
      <c r="A9428" t="str">
        <f t="shared" si="225"/>
        <v>89301000</v>
      </c>
      <c r="B9428" t="str">
        <f>"6356131639"</f>
        <v>6356131639</v>
      </c>
      <c r="C9428" s="1">
        <v>45164</v>
      </c>
      <c r="D9428" s="1">
        <v>45166</v>
      </c>
      <c r="E9428">
        <v>1</v>
      </c>
      <c r="F9428" t="str">
        <f>"05-M06-06"</f>
        <v>05-M06-06</v>
      </c>
      <c r="G9428">
        <v>1.8264</v>
      </c>
      <c r="H9428" t="s">
        <v>12</v>
      </c>
      <c r="I9428" t="s">
        <v>10</v>
      </c>
    </row>
    <row r="9429" spans="1:9" x14ac:dyDescent="0.25">
      <c r="A9429" t="str">
        <f t="shared" si="225"/>
        <v>89301000</v>
      </c>
      <c r="B9429" t="str">
        <f>"6356221575"</f>
        <v>6356221575</v>
      </c>
      <c r="C9429" s="1">
        <v>45070</v>
      </c>
      <c r="D9429" s="1">
        <v>45073</v>
      </c>
      <c r="E9429">
        <v>1</v>
      </c>
      <c r="F9429" t="str">
        <f>"03-I18-01"</f>
        <v>03-I18-01</v>
      </c>
      <c r="G9429">
        <v>1.1439999999999999</v>
      </c>
      <c r="H9429" t="s">
        <v>9</v>
      </c>
      <c r="I9429" t="s">
        <v>10</v>
      </c>
    </row>
    <row r="9430" spans="1:9" x14ac:dyDescent="0.25">
      <c r="A9430" t="str">
        <f t="shared" si="225"/>
        <v>89301000</v>
      </c>
      <c r="B9430" t="str">
        <f>"6356221575"</f>
        <v>6356221575</v>
      </c>
      <c r="C9430" s="1">
        <v>45210</v>
      </c>
      <c r="D9430" s="1">
        <v>45212</v>
      </c>
      <c r="E9430">
        <v>1</v>
      </c>
      <c r="F9430" t="str">
        <f>"08-I25-02"</f>
        <v>08-I25-02</v>
      </c>
      <c r="G9430">
        <v>0.55279999999999996</v>
      </c>
      <c r="H9430" t="s">
        <v>11</v>
      </c>
      <c r="I9430" t="s">
        <v>10</v>
      </c>
    </row>
    <row r="9431" spans="1:9" x14ac:dyDescent="0.25">
      <c r="A9431" t="str">
        <f t="shared" si="225"/>
        <v>89301000</v>
      </c>
      <c r="B9431" t="str">
        <f>"6356230672"</f>
        <v>6356230672</v>
      </c>
      <c r="C9431" s="1">
        <v>45195</v>
      </c>
      <c r="D9431" s="1">
        <v>45198</v>
      </c>
      <c r="E9431">
        <v>1</v>
      </c>
      <c r="F9431" t="str">
        <f>"08-I23-02"</f>
        <v>08-I23-02</v>
      </c>
      <c r="G9431">
        <v>1.0628</v>
      </c>
      <c r="H9431" t="s">
        <v>12</v>
      </c>
      <c r="I9431" t="s">
        <v>10</v>
      </c>
    </row>
    <row r="9432" spans="1:9" x14ac:dyDescent="0.25">
      <c r="A9432" t="str">
        <f t="shared" si="225"/>
        <v>89301000</v>
      </c>
      <c r="B9432" t="str">
        <f>"6356260603"</f>
        <v>6356260603</v>
      </c>
      <c r="C9432" s="1">
        <v>44970</v>
      </c>
      <c r="D9432" s="1">
        <v>44988</v>
      </c>
      <c r="E9432">
        <v>1</v>
      </c>
      <c r="F9432" t="str">
        <f>"24-M08-02"</f>
        <v>24-M08-02</v>
      </c>
      <c r="G9432">
        <v>2.0236999999999998</v>
      </c>
      <c r="H9432" t="s">
        <v>11</v>
      </c>
      <c r="I9432" t="s">
        <v>10</v>
      </c>
    </row>
    <row r="9433" spans="1:9" x14ac:dyDescent="0.25">
      <c r="A9433" t="str">
        <f t="shared" si="225"/>
        <v>89301000</v>
      </c>
      <c r="B9433" t="str">
        <f>"6356260603"</f>
        <v>6356260603</v>
      </c>
      <c r="C9433" s="1">
        <v>45078</v>
      </c>
      <c r="D9433" s="1">
        <v>45080</v>
      </c>
      <c r="E9433">
        <v>1</v>
      </c>
      <c r="F9433" t="str">
        <f>"08-M03-03"</f>
        <v>08-M03-03</v>
      </c>
      <c r="G9433">
        <v>0.56640000000000001</v>
      </c>
      <c r="H9433" t="s">
        <v>11</v>
      </c>
      <c r="I9433" t="s">
        <v>10</v>
      </c>
    </row>
    <row r="9434" spans="1:9" x14ac:dyDescent="0.25">
      <c r="A9434" t="str">
        <f t="shared" si="225"/>
        <v>89301000</v>
      </c>
      <c r="B9434" t="str">
        <f>"6356260603"</f>
        <v>6356260603</v>
      </c>
      <c r="C9434" s="1">
        <v>44966</v>
      </c>
      <c r="D9434" s="1">
        <v>44970</v>
      </c>
      <c r="E9434">
        <v>3</v>
      </c>
      <c r="F9434" t="str">
        <f>"08-M03-05"</f>
        <v>08-M03-05</v>
      </c>
      <c r="G9434">
        <v>0.46810000000000002</v>
      </c>
      <c r="H9434" t="s">
        <v>11</v>
      </c>
      <c r="I9434" t="s">
        <v>10</v>
      </c>
    </row>
    <row r="9435" spans="1:9" x14ac:dyDescent="0.25">
      <c r="A9435" t="str">
        <f t="shared" si="225"/>
        <v>89301000</v>
      </c>
      <c r="B9435" t="str">
        <f>"6356261857"</f>
        <v>6356261857</v>
      </c>
      <c r="C9435" s="1">
        <v>45048</v>
      </c>
      <c r="D9435" s="1">
        <v>45051</v>
      </c>
      <c r="E9435">
        <v>1</v>
      </c>
      <c r="F9435" t="str">
        <f>"09-I13-05"</f>
        <v>09-I13-05</v>
      </c>
      <c r="G9435">
        <v>0.42509999999999998</v>
      </c>
      <c r="H9435" t="s">
        <v>11</v>
      </c>
      <c r="I9435" t="s">
        <v>10</v>
      </c>
    </row>
    <row r="9436" spans="1:9" x14ac:dyDescent="0.25">
      <c r="A9436" t="str">
        <f t="shared" si="225"/>
        <v>89301000</v>
      </c>
      <c r="B9436" t="str">
        <f>"6357031659"</f>
        <v>6357031659</v>
      </c>
      <c r="C9436" s="1">
        <v>45250</v>
      </c>
      <c r="D9436" s="1">
        <v>45252</v>
      </c>
      <c r="E9436">
        <v>1</v>
      </c>
      <c r="F9436" t="str">
        <f>"13-I17-00"</f>
        <v>13-I17-00</v>
      </c>
      <c r="G9436">
        <v>0.80579999999999996</v>
      </c>
      <c r="H9436" t="s">
        <v>9</v>
      </c>
      <c r="I9436" t="s">
        <v>10</v>
      </c>
    </row>
    <row r="9437" spans="1:9" x14ac:dyDescent="0.25">
      <c r="A9437" t="str">
        <f t="shared" si="225"/>
        <v>89301000</v>
      </c>
      <c r="B9437" t="str">
        <f>"6357031659"</f>
        <v>6357031659</v>
      </c>
      <c r="C9437" s="1">
        <v>45245</v>
      </c>
      <c r="D9437" s="1">
        <v>45247</v>
      </c>
      <c r="E9437">
        <v>1</v>
      </c>
      <c r="F9437" t="str">
        <f>"13-I14-03"</f>
        <v>13-I14-03</v>
      </c>
      <c r="G9437">
        <v>0.87760000000000005</v>
      </c>
      <c r="H9437" t="s">
        <v>9</v>
      </c>
      <c r="I9437" t="s">
        <v>10</v>
      </c>
    </row>
    <row r="9438" spans="1:9" x14ac:dyDescent="0.25">
      <c r="A9438" t="str">
        <f t="shared" si="225"/>
        <v>89301000</v>
      </c>
      <c r="B9438" t="str">
        <f>"6357070962"</f>
        <v>6357070962</v>
      </c>
      <c r="C9438" s="1">
        <v>45249</v>
      </c>
      <c r="D9438" s="1">
        <v>45254</v>
      </c>
      <c r="E9438">
        <v>1</v>
      </c>
      <c r="F9438" t="str">
        <f>"09-K01-03"</f>
        <v>09-K01-03</v>
      </c>
      <c r="G9438">
        <v>0.85919999999999996</v>
      </c>
      <c r="H9438" t="s">
        <v>11</v>
      </c>
      <c r="I9438" t="s">
        <v>10</v>
      </c>
    </row>
    <row r="9439" spans="1:9" x14ac:dyDescent="0.25">
      <c r="A9439" t="str">
        <f t="shared" si="225"/>
        <v>89301000</v>
      </c>
      <c r="B9439" t="str">
        <f>"6357117074"</f>
        <v>6357117074</v>
      </c>
      <c r="C9439" s="1">
        <v>45035</v>
      </c>
      <c r="D9439" s="1">
        <v>45039</v>
      </c>
      <c r="E9439">
        <v>1</v>
      </c>
      <c r="F9439" t="str">
        <f>"06-I18-05"</f>
        <v>06-I18-05</v>
      </c>
      <c r="G9439">
        <v>0.82420000000000004</v>
      </c>
      <c r="H9439" t="s">
        <v>9</v>
      </c>
      <c r="I9439" t="s">
        <v>10</v>
      </c>
    </row>
    <row r="9440" spans="1:9" x14ac:dyDescent="0.25">
      <c r="A9440" t="str">
        <f t="shared" si="225"/>
        <v>89301000</v>
      </c>
      <c r="B9440" t="str">
        <f>"6357121683"</f>
        <v>6357121683</v>
      </c>
      <c r="C9440" s="1">
        <v>45174</v>
      </c>
      <c r="D9440" s="1">
        <v>45180</v>
      </c>
      <c r="E9440">
        <v>1</v>
      </c>
      <c r="F9440" t="str">
        <f>"08-I03-06"</f>
        <v>08-I03-06</v>
      </c>
      <c r="G9440">
        <v>3.2523</v>
      </c>
      <c r="H9440" t="s">
        <v>9</v>
      </c>
      <c r="I9440" t="s">
        <v>10</v>
      </c>
    </row>
    <row r="9441" spans="1:9" x14ac:dyDescent="0.25">
      <c r="A9441" t="str">
        <f t="shared" si="225"/>
        <v>89301000</v>
      </c>
      <c r="B9441" t="str">
        <f>"6357130560"</f>
        <v>6357130560</v>
      </c>
      <c r="C9441" s="1">
        <v>45253</v>
      </c>
      <c r="D9441" s="1">
        <v>45259</v>
      </c>
      <c r="E9441">
        <v>1</v>
      </c>
      <c r="F9441" t="str">
        <f>"23-K04-02"</f>
        <v>23-K04-02</v>
      </c>
      <c r="G9441">
        <v>0.38150000000000001</v>
      </c>
      <c r="H9441" t="s">
        <v>11</v>
      </c>
      <c r="I9441" t="s">
        <v>10</v>
      </c>
    </row>
    <row r="9442" spans="1:9" x14ac:dyDescent="0.25">
      <c r="A9442" t="str">
        <f t="shared" si="225"/>
        <v>89301000</v>
      </c>
      <c r="B9442" t="str">
        <f>"6357130725"</f>
        <v>6357130725</v>
      </c>
      <c r="C9442" s="1">
        <v>45082</v>
      </c>
      <c r="D9442" s="1">
        <v>45085</v>
      </c>
      <c r="E9442">
        <v>1</v>
      </c>
      <c r="F9442" t="str">
        <f>"08-I26-02"</f>
        <v>08-I26-02</v>
      </c>
      <c r="G9442">
        <v>0.83779999999999999</v>
      </c>
      <c r="H9442" t="s">
        <v>11</v>
      </c>
      <c r="I9442" t="s">
        <v>10</v>
      </c>
    </row>
    <row r="9443" spans="1:9" x14ac:dyDescent="0.25">
      <c r="A9443" t="str">
        <f t="shared" si="225"/>
        <v>89301000</v>
      </c>
      <c r="B9443" t="str">
        <f>"6357140625"</f>
        <v>6357140625</v>
      </c>
      <c r="C9443" s="1">
        <v>45119</v>
      </c>
      <c r="D9443" s="1">
        <v>45125</v>
      </c>
      <c r="E9443">
        <v>1</v>
      </c>
      <c r="F9443" t="str">
        <f>"06-K10-03"</f>
        <v>06-K10-03</v>
      </c>
      <c r="G9443">
        <v>0.43519999999999998</v>
      </c>
      <c r="H9443" t="s">
        <v>11</v>
      </c>
      <c r="I9443" t="s">
        <v>10</v>
      </c>
    </row>
    <row r="9444" spans="1:9" x14ac:dyDescent="0.25">
      <c r="A9444" t="str">
        <f t="shared" si="225"/>
        <v>89301000</v>
      </c>
      <c r="B9444" t="str">
        <f>"6357170754"</f>
        <v>6357170754</v>
      </c>
      <c r="C9444" s="1">
        <v>45173</v>
      </c>
      <c r="D9444" s="1">
        <v>45175</v>
      </c>
      <c r="E9444">
        <v>1</v>
      </c>
      <c r="F9444" t="str">
        <f>"09-I06-04"</f>
        <v>09-I06-04</v>
      </c>
      <c r="G9444">
        <v>0.95069999999999999</v>
      </c>
      <c r="H9444" t="s">
        <v>12</v>
      </c>
      <c r="I9444" t="s">
        <v>10</v>
      </c>
    </row>
    <row r="9445" spans="1:9" x14ac:dyDescent="0.25">
      <c r="A9445" t="str">
        <f t="shared" si="225"/>
        <v>89301000</v>
      </c>
      <c r="B9445" t="str">
        <f>"6357171931"</f>
        <v>6357171931</v>
      </c>
      <c r="C9445" s="1">
        <v>45228</v>
      </c>
      <c r="D9445" s="1">
        <v>45230</v>
      </c>
      <c r="E9445">
        <v>1</v>
      </c>
      <c r="F9445" t="str">
        <f>"08-I25-02"</f>
        <v>08-I25-02</v>
      </c>
      <c r="G9445">
        <v>0.55279999999999996</v>
      </c>
      <c r="H9445" t="s">
        <v>11</v>
      </c>
      <c r="I9445" t="s">
        <v>10</v>
      </c>
    </row>
    <row r="9446" spans="1:9" x14ac:dyDescent="0.25">
      <c r="A9446" t="str">
        <f t="shared" si="225"/>
        <v>89301000</v>
      </c>
      <c r="B9446" t="str">
        <f>"6357242078"</f>
        <v>6357242078</v>
      </c>
      <c r="C9446" s="1">
        <v>45029</v>
      </c>
      <c r="D9446" s="1">
        <v>45030</v>
      </c>
      <c r="E9446">
        <v>1</v>
      </c>
      <c r="F9446" t="str">
        <f>"02-I06-03"</f>
        <v>02-I06-03</v>
      </c>
      <c r="G9446">
        <v>0.99260000000000004</v>
      </c>
      <c r="H9446" t="s">
        <v>12</v>
      </c>
      <c r="I9446" t="s">
        <v>10</v>
      </c>
    </row>
    <row r="9447" spans="1:9" x14ac:dyDescent="0.25">
      <c r="A9447" t="str">
        <f t="shared" si="225"/>
        <v>89301000</v>
      </c>
      <c r="B9447" t="str">
        <f>"6357300664"</f>
        <v>6357300664</v>
      </c>
      <c r="C9447" s="1">
        <v>45193</v>
      </c>
      <c r="D9447" s="1">
        <v>45196</v>
      </c>
      <c r="E9447">
        <v>1</v>
      </c>
      <c r="F9447" t="str">
        <f>"08-I17-01"</f>
        <v>08-I17-01</v>
      </c>
      <c r="G9447">
        <v>1.6462000000000001</v>
      </c>
      <c r="H9447" t="s">
        <v>11</v>
      </c>
      <c r="I9447" t="s">
        <v>10</v>
      </c>
    </row>
    <row r="9448" spans="1:9" x14ac:dyDescent="0.25">
      <c r="A9448" t="str">
        <f t="shared" si="225"/>
        <v>89301000</v>
      </c>
      <c r="B9448" t="str">
        <f>"6357311972"</f>
        <v>6357311972</v>
      </c>
      <c r="C9448" s="1">
        <v>44959</v>
      </c>
      <c r="D9448" s="1">
        <v>44964</v>
      </c>
      <c r="E9448">
        <v>1</v>
      </c>
      <c r="F9448" t="str">
        <f>"16-K04-01"</f>
        <v>16-K04-01</v>
      </c>
      <c r="G9448">
        <v>1.4339</v>
      </c>
      <c r="H9448" t="s">
        <v>11</v>
      </c>
      <c r="I9448" t="s">
        <v>10</v>
      </c>
    </row>
    <row r="9449" spans="1:9" x14ac:dyDescent="0.25">
      <c r="A9449" t="str">
        <f t="shared" si="225"/>
        <v>89301000</v>
      </c>
      <c r="B9449" t="str">
        <f>"6358041426"</f>
        <v>6358041426</v>
      </c>
      <c r="C9449" s="1">
        <v>45149</v>
      </c>
      <c r="D9449" s="1">
        <v>45163</v>
      </c>
      <c r="E9449">
        <v>1</v>
      </c>
      <c r="F9449" t="str">
        <f>"08-I04-02"</f>
        <v>08-I04-02</v>
      </c>
      <c r="G9449">
        <v>1.6229</v>
      </c>
      <c r="H9449" t="s">
        <v>14</v>
      </c>
      <c r="I9449" t="s">
        <v>10</v>
      </c>
    </row>
    <row r="9450" spans="1:9" x14ac:dyDescent="0.25">
      <c r="A9450" t="str">
        <f t="shared" si="225"/>
        <v>89301000</v>
      </c>
      <c r="B9450" t="str">
        <f>"6358110539"</f>
        <v>6358110539</v>
      </c>
      <c r="C9450" s="1">
        <v>44985</v>
      </c>
      <c r="D9450" s="1">
        <v>44986</v>
      </c>
      <c r="E9450">
        <v>1</v>
      </c>
      <c r="F9450" t="str">
        <f>"23-I10-00"</f>
        <v>23-I10-00</v>
      </c>
      <c r="G9450">
        <v>0.57330000000000003</v>
      </c>
      <c r="H9450" t="s">
        <v>11</v>
      </c>
      <c r="I9450" t="s">
        <v>10</v>
      </c>
    </row>
    <row r="9451" spans="1:9" x14ac:dyDescent="0.25">
      <c r="A9451" t="str">
        <f t="shared" si="225"/>
        <v>89301000</v>
      </c>
      <c r="B9451" t="str">
        <f>"6358110539"</f>
        <v>6358110539</v>
      </c>
      <c r="C9451" s="1">
        <v>45145</v>
      </c>
      <c r="D9451" s="1">
        <v>45163</v>
      </c>
      <c r="E9451">
        <v>1</v>
      </c>
      <c r="F9451" t="str">
        <f>"08-I17-01"</f>
        <v>08-I17-01</v>
      </c>
      <c r="G9451">
        <v>1.7499</v>
      </c>
      <c r="H9451" t="s">
        <v>11</v>
      </c>
      <c r="I9451" t="s">
        <v>10</v>
      </c>
    </row>
    <row r="9452" spans="1:9" x14ac:dyDescent="0.25">
      <c r="A9452" t="str">
        <f t="shared" si="225"/>
        <v>89301000</v>
      </c>
      <c r="B9452" t="str">
        <f>"6358110539"</f>
        <v>6358110539</v>
      </c>
      <c r="C9452" s="1">
        <v>45173</v>
      </c>
      <c r="D9452" s="1">
        <v>45176</v>
      </c>
      <c r="E9452">
        <v>1</v>
      </c>
      <c r="F9452" t="str">
        <f>"09-I13-04"</f>
        <v>09-I13-04</v>
      </c>
      <c r="G9452">
        <v>0.53610000000000002</v>
      </c>
      <c r="H9452" t="s">
        <v>11</v>
      </c>
      <c r="I9452" t="s">
        <v>10</v>
      </c>
    </row>
    <row r="9453" spans="1:9" x14ac:dyDescent="0.25">
      <c r="A9453" t="str">
        <f t="shared" ref="A9453:A9516" si="226">"89301000"</f>
        <v>89301000</v>
      </c>
      <c r="B9453" t="str">
        <f>"6358150711"</f>
        <v>6358150711</v>
      </c>
      <c r="C9453" s="1">
        <v>45143</v>
      </c>
      <c r="D9453" s="1">
        <v>45147</v>
      </c>
      <c r="E9453">
        <v>1</v>
      </c>
      <c r="F9453" t="str">
        <f>"06-I18-05"</f>
        <v>06-I18-05</v>
      </c>
      <c r="G9453">
        <v>0.82420000000000004</v>
      </c>
      <c r="H9453" t="s">
        <v>9</v>
      </c>
      <c r="I9453" t="s">
        <v>10</v>
      </c>
    </row>
    <row r="9454" spans="1:9" x14ac:dyDescent="0.25">
      <c r="A9454" t="str">
        <f t="shared" si="226"/>
        <v>89301000</v>
      </c>
      <c r="B9454" t="str">
        <f>"6358211178"</f>
        <v>6358211178</v>
      </c>
      <c r="C9454" s="1">
        <v>45005</v>
      </c>
      <c r="D9454" s="1">
        <v>45016</v>
      </c>
      <c r="E9454">
        <v>1</v>
      </c>
      <c r="F9454" t="str">
        <f>"24-M06-02"</f>
        <v>24-M06-02</v>
      </c>
      <c r="G9454">
        <v>1.0699000000000001</v>
      </c>
      <c r="H9454" t="s">
        <v>11</v>
      </c>
      <c r="I9454" t="s">
        <v>10</v>
      </c>
    </row>
    <row r="9455" spans="1:9" x14ac:dyDescent="0.25">
      <c r="A9455" t="str">
        <f t="shared" si="226"/>
        <v>89301000</v>
      </c>
      <c r="B9455" t="str">
        <f>"6358211178"</f>
        <v>6358211178</v>
      </c>
      <c r="C9455" s="1">
        <v>44977</v>
      </c>
      <c r="D9455" s="1">
        <v>44989</v>
      </c>
      <c r="E9455">
        <v>1</v>
      </c>
      <c r="F9455" t="str">
        <f>"24-M07-02"</f>
        <v>24-M07-02</v>
      </c>
      <c r="G9455">
        <v>1.5729</v>
      </c>
      <c r="H9455" t="s">
        <v>11</v>
      </c>
      <c r="I9455" t="s">
        <v>10</v>
      </c>
    </row>
    <row r="9456" spans="1:9" x14ac:dyDescent="0.25">
      <c r="A9456" t="str">
        <f t="shared" si="226"/>
        <v>89301000</v>
      </c>
      <c r="B9456" t="str">
        <f>"6358220220"</f>
        <v>6358220220</v>
      </c>
      <c r="C9456" s="1">
        <v>45231</v>
      </c>
      <c r="D9456" s="1">
        <v>45236</v>
      </c>
      <c r="E9456">
        <v>1</v>
      </c>
      <c r="F9456" t="str">
        <f>"13-I11-03"</f>
        <v>13-I11-03</v>
      </c>
      <c r="G9456">
        <v>2.0973999999999999</v>
      </c>
      <c r="H9456" t="s">
        <v>9</v>
      </c>
      <c r="I9456" t="s">
        <v>10</v>
      </c>
    </row>
    <row r="9457" spans="1:9" x14ac:dyDescent="0.25">
      <c r="A9457" t="str">
        <f t="shared" si="226"/>
        <v>89301000</v>
      </c>
      <c r="B9457" t="str">
        <f>"6358231649"</f>
        <v>6358231649</v>
      </c>
      <c r="C9457" s="1">
        <v>45278</v>
      </c>
      <c r="D9457" s="1">
        <v>45289</v>
      </c>
      <c r="E9457">
        <v>1</v>
      </c>
      <c r="F9457" t="str">
        <f>"07-M02-03"</f>
        <v>07-M02-03</v>
      </c>
      <c r="G9457">
        <v>1.2942</v>
      </c>
      <c r="H9457" t="s">
        <v>12</v>
      </c>
      <c r="I9457" t="s">
        <v>10</v>
      </c>
    </row>
    <row r="9458" spans="1:9" x14ac:dyDescent="0.25">
      <c r="A9458" t="str">
        <f t="shared" si="226"/>
        <v>89301000</v>
      </c>
      <c r="B9458" t="str">
        <f>"6358250690"</f>
        <v>6358250690</v>
      </c>
      <c r="C9458" s="1">
        <v>45078</v>
      </c>
      <c r="D9458" s="1">
        <v>45089</v>
      </c>
      <c r="E9458">
        <v>1</v>
      </c>
      <c r="F9458" t="str">
        <f>"08-I05-04"</f>
        <v>08-I05-04</v>
      </c>
      <c r="G9458">
        <v>2.4445000000000001</v>
      </c>
      <c r="H9458" t="s">
        <v>12</v>
      </c>
      <c r="I9458" t="s">
        <v>10</v>
      </c>
    </row>
    <row r="9459" spans="1:9" x14ac:dyDescent="0.25">
      <c r="A9459" t="str">
        <f t="shared" si="226"/>
        <v>89301000</v>
      </c>
      <c r="B9459" t="str">
        <f>"6358260854"</f>
        <v>6358260854</v>
      </c>
      <c r="C9459" s="1">
        <v>45081</v>
      </c>
      <c r="D9459" s="1">
        <v>45086</v>
      </c>
      <c r="E9459">
        <v>1</v>
      </c>
      <c r="F9459" t="str">
        <f>"08-I04-03"</f>
        <v>08-I04-03</v>
      </c>
      <c r="G9459">
        <v>1.3045</v>
      </c>
      <c r="H9459" t="s">
        <v>14</v>
      </c>
      <c r="I9459" t="s">
        <v>10</v>
      </c>
    </row>
    <row r="9460" spans="1:9" x14ac:dyDescent="0.25">
      <c r="A9460" t="str">
        <f t="shared" si="226"/>
        <v>89301000</v>
      </c>
      <c r="B9460" t="str">
        <f>"6359070487"</f>
        <v>6359070487</v>
      </c>
      <c r="C9460" s="1">
        <v>45096</v>
      </c>
      <c r="D9460" s="1">
        <v>45099</v>
      </c>
      <c r="E9460">
        <v>1</v>
      </c>
      <c r="F9460" t="str">
        <f>"08-M03-05"</f>
        <v>08-M03-05</v>
      </c>
      <c r="G9460">
        <v>0.46810000000000002</v>
      </c>
      <c r="H9460" t="s">
        <v>11</v>
      </c>
      <c r="I9460" t="s">
        <v>10</v>
      </c>
    </row>
    <row r="9461" spans="1:9" x14ac:dyDescent="0.25">
      <c r="A9461" t="str">
        <f t="shared" si="226"/>
        <v>89301000</v>
      </c>
      <c r="B9461" t="str">
        <f>"6359112034"</f>
        <v>6359112034</v>
      </c>
      <c r="C9461" s="1">
        <v>44980</v>
      </c>
      <c r="D9461" s="1">
        <v>44982</v>
      </c>
      <c r="E9461">
        <v>1</v>
      </c>
      <c r="F9461" t="str">
        <f>"01-K07-02"</f>
        <v>01-K07-02</v>
      </c>
      <c r="G9461">
        <v>0.6341</v>
      </c>
      <c r="H9461" t="s">
        <v>11</v>
      </c>
      <c r="I9461" t="s">
        <v>10</v>
      </c>
    </row>
    <row r="9462" spans="1:9" x14ac:dyDescent="0.25">
      <c r="A9462" t="str">
        <f t="shared" si="226"/>
        <v>89301000</v>
      </c>
      <c r="B9462" t="str">
        <f>"6359120669"</f>
        <v>6359120669</v>
      </c>
      <c r="C9462" s="1">
        <v>45215</v>
      </c>
      <c r="D9462" s="1">
        <v>45226</v>
      </c>
      <c r="E9462">
        <v>1</v>
      </c>
      <c r="F9462" t="str">
        <f>"24-M06-02"</f>
        <v>24-M06-02</v>
      </c>
      <c r="G9462">
        <v>1.0699000000000001</v>
      </c>
      <c r="H9462" t="s">
        <v>11</v>
      </c>
      <c r="I9462" t="s">
        <v>10</v>
      </c>
    </row>
    <row r="9463" spans="1:9" x14ac:dyDescent="0.25">
      <c r="A9463" t="str">
        <f t="shared" si="226"/>
        <v>89301000</v>
      </c>
      <c r="B9463" t="str">
        <f>"6359120669"</f>
        <v>6359120669</v>
      </c>
      <c r="C9463" s="1">
        <v>45190</v>
      </c>
      <c r="D9463" s="1">
        <v>45196</v>
      </c>
      <c r="E9463">
        <v>1</v>
      </c>
      <c r="F9463" t="str">
        <f>"08-I03-04"</f>
        <v>08-I03-04</v>
      </c>
      <c r="G9463">
        <v>4.2352999999999996</v>
      </c>
      <c r="H9463" t="s">
        <v>9</v>
      </c>
      <c r="I9463" t="s">
        <v>10</v>
      </c>
    </row>
    <row r="9464" spans="1:9" x14ac:dyDescent="0.25">
      <c r="A9464" t="str">
        <f t="shared" si="226"/>
        <v>89301000</v>
      </c>
      <c r="B9464" t="str">
        <f>"6359121879"</f>
        <v>6359121879</v>
      </c>
      <c r="C9464" s="1">
        <v>45210</v>
      </c>
      <c r="D9464" s="1">
        <v>45213</v>
      </c>
      <c r="E9464">
        <v>1</v>
      </c>
      <c r="F9464" t="str">
        <f>"03-I18-01"</f>
        <v>03-I18-01</v>
      </c>
      <c r="G9464">
        <v>1.1496999999999999</v>
      </c>
      <c r="H9464" t="s">
        <v>9</v>
      </c>
      <c r="I9464" t="s">
        <v>10</v>
      </c>
    </row>
    <row r="9465" spans="1:9" x14ac:dyDescent="0.25">
      <c r="A9465" t="str">
        <f t="shared" si="226"/>
        <v>89301000</v>
      </c>
      <c r="B9465" t="str">
        <f>"6359130525"</f>
        <v>6359130525</v>
      </c>
      <c r="C9465" s="1">
        <v>45229</v>
      </c>
      <c r="D9465" s="1">
        <v>45237</v>
      </c>
      <c r="E9465">
        <v>1</v>
      </c>
      <c r="F9465" t="str">
        <f>"06-I15-00"</f>
        <v>06-I15-00</v>
      </c>
      <c r="G9465">
        <v>1.8702000000000001</v>
      </c>
      <c r="H9465" t="s">
        <v>9</v>
      </c>
      <c r="I9465" t="s">
        <v>10</v>
      </c>
    </row>
    <row r="9466" spans="1:9" x14ac:dyDescent="0.25">
      <c r="A9466" t="str">
        <f t="shared" si="226"/>
        <v>89301000</v>
      </c>
      <c r="B9466" t="str">
        <f>"6359130547"</f>
        <v>6359130547</v>
      </c>
      <c r="C9466" s="1">
        <v>44987</v>
      </c>
      <c r="D9466" s="1">
        <v>44988</v>
      </c>
      <c r="E9466">
        <v>1</v>
      </c>
      <c r="F9466" t="str">
        <f>"23-I10-00"</f>
        <v>23-I10-00</v>
      </c>
      <c r="G9466">
        <v>0.57010000000000005</v>
      </c>
      <c r="H9466" t="s">
        <v>11</v>
      </c>
      <c r="I9466" t="s">
        <v>10</v>
      </c>
    </row>
    <row r="9467" spans="1:9" x14ac:dyDescent="0.25">
      <c r="A9467" t="str">
        <f t="shared" si="226"/>
        <v>89301000</v>
      </c>
      <c r="B9467" t="str">
        <f>"6359206920"</f>
        <v>6359206920</v>
      </c>
      <c r="C9467" s="1">
        <v>45229</v>
      </c>
      <c r="D9467" s="1">
        <v>45232</v>
      </c>
      <c r="E9467">
        <v>1</v>
      </c>
      <c r="F9467" t="str">
        <f>"06-K04-02"</f>
        <v>06-K04-02</v>
      </c>
      <c r="G9467">
        <v>0.86129999999999995</v>
      </c>
      <c r="H9467" t="s">
        <v>11</v>
      </c>
      <c r="I9467" t="s">
        <v>10</v>
      </c>
    </row>
    <row r="9468" spans="1:9" x14ac:dyDescent="0.25">
      <c r="A9468" t="str">
        <f t="shared" si="226"/>
        <v>89301000</v>
      </c>
      <c r="B9468" t="str">
        <f>"6359231824"</f>
        <v>6359231824</v>
      </c>
      <c r="C9468" s="1">
        <v>44951</v>
      </c>
      <c r="D9468" s="1">
        <v>44955</v>
      </c>
      <c r="E9468">
        <v>1</v>
      </c>
      <c r="F9468" t="str">
        <f>"01-K01-01"</f>
        <v>01-K01-01</v>
      </c>
      <c r="G9468">
        <v>0.91659999999999997</v>
      </c>
      <c r="H9468" t="s">
        <v>11</v>
      </c>
      <c r="I9468" t="s">
        <v>10</v>
      </c>
    </row>
    <row r="9469" spans="1:9" x14ac:dyDescent="0.25">
      <c r="A9469" t="str">
        <f t="shared" si="226"/>
        <v>89301000</v>
      </c>
      <c r="B9469" t="str">
        <f>"6359231824"</f>
        <v>6359231824</v>
      </c>
      <c r="C9469" s="1">
        <v>45134</v>
      </c>
      <c r="D9469" s="1">
        <v>45138</v>
      </c>
      <c r="E9469">
        <v>1</v>
      </c>
      <c r="F9469" t="str">
        <f>"01-K01-02"</f>
        <v>01-K01-02</v>
      </c>
      <c r="G9469">
        <v>0.442</v>
      </c>
      <c r="H9469" t="s">
        <v>11</v>
      </c>
      <c r="I9469" t="s">
        <v>10</v>
      </c>
    </row>
    <row r="9470" spans="1:9" x14ac:dyDescent="0.25">
      <c r="A9470" t="str">
        <f t="shared" si="226"/>
        <v>89301000</v>
      </c>
      <c r="B9470" t="str">
        <f>"6359231824"</f>
        <v>6359231824</v>
      </c>
      <c r="C9470" s="1">
        <v>45249</v>
      </c>
      <c r="D9470" s="1">
        <v>45252</v>
      </c>
      <c r="E9470">
        <v>1</v>
      </c>
      <c r="F9470" t="str">
        <f>"08-I25-02"</f>
        <v>08-I25-02</v>
      </c>
      <c r="G9470">
        <v>0.55279999999999996</v>
      </c>
      <c r="H9470" t="s">
        <v>11</v>
      </c>
      <c r="I9470" t="s">
        <v>10</v>
      </c>
    </row>
    <row r="9471" spans="1:9" x14ac:dyDescent="0.25">
      <c r="A9471" t="str">
        <f t="shared" si="226"/>
        <v>89301000</v>
      </c>
      <c r="B9471" t="str">
        <f>"6359231824"</f>
        <v>6359231824</v>
      </c>
      <c r="C9471" s="1">
        <v>45042</v>
      </c>
      <c r="D9471" s="1">
        <v>45046</v>
      </c>
      <c r="E9471">
        <v>1</v>
      </c>
      <c r="F9471" t="str">
        <f>"01-K01-01"</f>
        <v>01-K01-01</v>
      </c>
      <c r="G9471">
        <v>0.91659999999999997</v>
      </c>
      <c r="H9471" t="s">
        <v>11</v>
      </c>
      <c r="I9471" t="s">
        <v>10</v>
      </c>
    </row>
    <row r="9472" spans="1:9" x14ac:dyDescent="0.25">
      <c r="A9472" t="str">
        <f t="shared" si="226"/>
        <v>89301000</v>
      </c>
      <c r="B9472" t="str">
        <f>"6359231824"</f>
        <v>6359231824</v>
      </c>
      <c r="C9472" s="1">
        <v>45229</v>
      </c>
      <c r="D9472" s="1">
        <v>45233</v>
      </c>
      <c r="E9472">
        <v>1</v>
      </c>
      <c r="F9472" t="str">
        <f>"01-K01-02"</f>
        <v>01-K01-02</v>
      </c>
      <c r="G9472">
        <v>0.442</v>
      </c>
      <c r="H9472" t="s">
        <v>11</v>
      </c>
      <c r="I9472" t="s">
        <v>10</v>
      </c>
    </row>
    <row r="9473" spans="1:9" x14ac:dyDescent="0.25">
      <c r="A9473" t="str">
        <f t="shared" si="226"/>
        <v>89301000</v>
      </c>
      <c r="B9473" t="str">
        <f>"6359250568"</f>
        <v>6359250568</v>
      </c>
      <c r="C9473" s="1">
        <v>44974</v>
      </c>
      <c r="D9473" s="1">
        <v>44978</v>
      </c>
      <c r="E9473">
        <v>1</v>
      </c>
      <c r="F9473" t="str">
        <f>"07-K02-03"</f>
        <v>07-K02-03</v>
      </c>
      <c r="G9473">
        <v>0.78139999999999998</v>
      </c>
      <c r="H9473" t="s">
        <v>11</v>
      </c>
      <c r="I9473" t="s">
        <v>10</v>
      </c>
    </row>
    <row r="9474" spans="1:9" x14ac:dyDescent="0.25">
      <c r="A9474" t="str">
        <f t="shared" si="226"/>
        <v>89301000</v>
      </c>
      <c r="B9474" t="str">
        <f>"6360140776"</f>
        <v>6360140776</v>
      </c>
      <c r="C9474" s="1">
        <v>45189</v>
      </c>
      <c r="D9474" s="1">
        <v>45191</v>
      </c>
      <c r="E9474">
        <v>1</v>
      </c>
      <c r="F9474" t="str">
        <f>"13-R01-08"</f>
        <v>13-R01-08</v>
      </c>
      <c r="G9474">
        <v>0.8387</v>
      </c>
      <c r="H9474" t="s">
        <v>11</v>
      </c>
      <c r="I9474" t="s">
        <v>10</v>
      </c>
    </row>
    <row r="9475" spans="1:9" x14ac:dyDescent="0.25">
      <c r="A9475" t="str">
        <f t="shared" si="226"/>
        <v>89301000</v>
      </c>
      <c r="B9475" t="str">
        <f>"6360140776"</f>
        <v>6360140776</v>
      </c>
      <c r="C9475" s="1">
        <v>45194</v>
      </c>
      <c r="D9475" s="1">
        <v>45196</v>
      </c>
      <c r="E9475">
        <v>1</v>
      </c>
      <c r="F9475" t="str">
        <f>"13-R01-08"</f>
        <v>13-R01-08</v>
      </c>
      <c r="G9475">
        <v>0.8387</v>
      </c>
      <c r="H9475" t="s">
        <v>11</v>
      </c>
      <c r="I9475" t="s">
        <v>10</v>
      </c>
    </row>
    <row r="9476" spans="1:9" x14ac:dyDescent="0.25">
      <c r="A9476" t="str">
        <f t="shared" si="226"/>
        <v>89301000</v>
      </c>
      <c r="B9476" t="str">
        <f>"6360140776"</f>
        <v>6360140776</v>
      </c>
      <c r="C9476" s="1">
        <v>45201</v>
      </c>
      <c r="D9476" s="1">
        <v>45205</v>
      </c>
      <c r="E9476">
        <v>1</v>
      </c>
      <c r="F9476" t="str">
        <f>"13-R01-08"</f>
        <v>13-R01-08</v>
      </c>
      <c r="G9476">
        <v>0.8387</v>
      </c>
      <c r="H9476" t="s">
        <v>11</v>
      </c>
      <c r="I9476" t="s">
        <v>10</v>
      </c>
    </row>
    <row r="9477" spans="1:9" x14ac:dyDescent="0.25">
      <c r="A9477" t="str">
        <f t="shared" si="226"/>
        <v>89301000</v>
      </c>
      <c r="B9477" t="str">
        <f>"6360140776"</f>
        <v>6360140776</v>
      </c>
      <c r="C9477" s="1">
        <v>45208</v>
      </c>
      <c r="D9477" s="1">
        <v>45210</v>
      </c>
      <c r="E9477">
        <v>1</v>
      </c>
      <c r="F9477" t="str">
        <f>"13-R02-02"</f>
        <v>13-R02-02</v>
      </c>
      <c r="G9477">
        <v>0.42320000000000002</v>
      </c>
      <c r="H9477" t="s">
        <v>11</v>
      </c>
      <c r="I9477" t="s">
        <v>10</v>
      </c>
    </row>
    <row r="9478" spans="1:9" x14ac:dyDescent="0.25">
      <c r="A9478" t="str">
        <f t="shared" si="226"/>
        <v>89301000</v>
      </c>
      <c r="B9478" t="str">
        <f>"6360180486"</f>
        <v>6360180486</v>
      </c>
      <c r="C9478" s="1">
        <v>45014</v>
      </c>
      <c r="D9478" s="1">
        <v>45021</v>
      </c>
      <c r="E9478">
        <v>1</v>
      </c>
      <c r="F9478" t="str">
        <f>"06-I07-05"</f>
        <v>06-I07-05</v>
      </c>
      <c r="G9478">
        <v>2.8067000000000002</v>
      </c>
      <c r="H9478" t="s">
        <v>12</v>
      </c>
      <c r="I9478" t="s">
        <v>10</v>
      </c>
    </row>
    <row r="9479" spans="1:9" x14ac:dyDescent="0.25">
      <c r="A9479" t="str">
        <f t="shared" si="226"/>
        <v>89301000</v>
      </c>
      <c r="B9479" t="str">
        <f>"6360180486"</f>
        <v>6360180486</v>
      </c>
      <c r="C9479" s="1">
        <v>44980</v>
      </c>
      <c r="D9479" s="1">
        <v>44981</v>
      </c>
      <c r="E9479">
        <v>1</v>
      </c>
      <c r="F9479" t="str">
        <f>"06-M01-02"</f>
        <v>06-M01-02</v>
      </c>
      <c r="G9479">
        <v>1.2206999999999999</v>
      </c>
      <c r="H9479" t="s">
        <v>11</v>
      </c>
      <c r="I9479" t="s">
        <v>10</v>
      </c>
    </row>
    <row r="9480" spans="1:9" x14ac:dyDescent="0.25">
      <c r="A9480" t="str">
        <f t="shared" si="226"/>
        <v>89301000</v>
      </c>
      <c r="B9480" t="str">
        <f>"6360181157"</f>
        <v>6360181157</v>
      </c>
      <c r="C9480" s="1">
        <v>45257</v>
      </c>
      <c r="D9480" s="1">
        <v>45261</v>
      </c>
      <c r="E9480">
        <v>4</v>
      </c>
      <c r="F9480" t="str">
        <f>"08-I06-04"</f>
        <v>08-I06-04</v>
      </c>
      <c r="G9480">
        <v>2.3614000000000002</v>
      </c>
      <c r="H9480" t="s">
        <v>9</v>
      </c>
      <c r="I9480" t="s">
        <v>10</v>
      </c>
    </row>
    <row r="9481" spans="1:9" x14ac:dyDescent="0.25">
      <c r="A9481" t="str">
        <f t="shared" si="226"/>
        <v>89301000</v>
      </c>
      <c r="B9481" t="str">
        <f>"6360220625"</f>
        <v>6360220625</v>
      </c>
      <c r="C9481" s="1">
        <v>44997</v>
      </c>
      <c r="D9481" s="1">
        <v>44999</v>
      </c>
      <c r="E9481">
        <v>1</v>
      </c>
      <c r="F9481" t="str">
        <f>"08-K11-02"</f>
        <v>08-K11-02</v>
      </c>
      <c r="G9481">
        <v>0.57040000000000002</v>
      </c>
      <c r="H9481" t="s">
        <v>11</v>
      </c>
      <c r="I9481" t="s">
        <v>10</v>
      </c>
    </row>
    <row r="9482" spans="1:9" x14ac:dyDescent="0.25">
      <c r="A9482" t="str">
        <f t="shared" si="226"/>
        <v>89301000</v>
      </c>
      <c r="B9482" t="str">
        <f>"6360220966"</f>
        <v>6360220966</v>
      </c>
      <c r="C9482" s="1">
        <v>45057</v>
      </c>
      <c r="D9482" s="1">
        <v>45064</v>
      </c>
      <c r="E9482">
        <v>1</v>
      </c>
      <c r="F9482" t="str">
        <f>"01-I06-04"</f>
        <v>01-I06-04</v>
      </c>
      <c r="G9482">
        <v>3.6478999999999999</v>
      </c>
      <c r="H9482" t="s">
        <v>12</v>
      </c>
      <c r="I9482" t="s">
        <v>10</v>
      </c>
    </row>
    <row r="9483" spans="1:9" x14ac:dyDescent="0.25">
      <c r="A9483" t="str">
        <f t="shared" si="226"/>
        <v>89301000</v>
      </c>
      <c r="B9483" t="str">
        <f>"6360220966"</f>
        <v>6360220966</v>
      </c>
      <c r="C9483" s="1">
        <v>45020</v>
      </c>
      <c r="D9483" s="1">
        <v>45025</v>
      </c>
      <c r="E9483">
        <v>1</v>
      </c>
      <c r="F9483" t="str">
        <f>"01-I06-04"</f>
        <v>01-I06-04</v>
      </c>
      <c r="G9483">
        <v>3.6478999999999999</v>
      </c>
      <c r="H9483" t="s">
        <v>12</v>
      </c>
      <c r="I9483" t="s">
        <v>10</v>
      </c>
    </row>
    <row r="9484" spans="1:9" x14ac:dyDescent="0.25">
      <c r="A9484" t="str">
        <f t="shared" si="226"/>
        <v>89301000</v>
      </c>
      <c r="B9484" t="str">
        <f>"6360290695"</f>
        <v>6360290695</v>
      </c>
      <c r="C9484" s="1">
        <v>45256</v>
      </c>
      <c r="D9484" s="1">
        <v>45281</v>
      </c>
      <c r="E9484">
        <v>1</v>
      </c>
      <c r="F9484" t="str">
        <f>"07-I10-01"</f>
        <v>07-I10-01</v>
      </c>
      <c r="G9484">
        <v>4.3311999999999999</v>
      </c>
      <c r="H9484" t="s">
        <v>12</v>
      </c>
      <c r="I9484" t="s">
        <v>10</v>
      </c>
    </row>
    <row r="9485" spans="1:9" x14ac:dyDescent="0.25">
      <c r="A9485" t="str">
        <f t="shared" si="226"/>
        <v>89301000</v>
      </c>
      <c r="B9485" t="str">
        <f>"6360311661"</f>
        <v>6360311661</v>
      </c>
      <c r="C9485" s="1">
        <v>44976</v>
      </c>
      <c r="D9485" s="1">
        <v>44980</v>
      </c>
      <c r="E9485">
        <v>1</v>
      </c>
      <c r="F9485" t="str">
        <f>"10-I13-02"</f>
        <v>10-I13-02</v>
      </c>
      <c r="G9485">
        <v>1.1124000000000001</v>
      </c>
      <c r="H9485" t="s">
        <v>9</v>
      </c>
      <c r="I9485" t="s">
        <v>10</v>
      </c>
    </row>
    <row r="9486" spans="1:9" x14ac:dyDescent="0.25">
      <c r="A9486" t="str">
        <f t="shared" si="226"/>
        <v>89301000</v>
      </c>
      <c r="B9486" t="str">
        <f>"6360311661"</f>
        <v>6360311661</v>
      </c>
      <c r="C9486" s="1">
        <v>45005</v>
      </c>
      <c r="D9486" s="1">
        <v>45014</v>
      </c>
      <c r="E9486">
        <v>1</v>
      </c>
      <c r="F9486" t="str">
        <f>"10-R02-01"</f>
        <v>10-R02-01</v>
      </c>
      <c r="G9486">
        <v>0.92279999999999995</v>
      </c>
      <c r="H9486" t="s">
        <v>9</v>
      </c>
      <c r="I9486" t="s">
        <v>10</v>
      </c>
    </row>
    <row r="9487" spans="1:9" x14ac:dyDescent="0.25">
      <c r="A9487" t="str">
        <f t="shared" si="226"/>
        <v>89301000</v>
      </c>
      <c r="B9487" t="str">
        <f>"6360311661"</f>
        <v>6360311661</v>
      </c>
      <c r="C9487" s="1">
        <v>45278</v>
      </c>
      <c r="D9487" s="1">
        <v>45281</v>
      </c>
      <c r="E9487">
        <v>1</v>
      </c>
      <c r="F9487" t="str">
        <f>"23-K05-01"</f>
        <v>23-K05-01</v>
      </c>
      <c r="G9487">
        <v>0.56269999999999998</v>
      </c>
      <c r="H9487" t="s">
        <v>11</v>
      </c>
      <c r="I9487" t="s">
        <v>10</v>
      </c>
    </row>
    <row r="9488" spans="1:9" x14ac:dyDescent="0.25">
      <c r="A9488" t="str">
        <f t="shared" si="226"/>
        <v>89301000</v>
      </c>
      <c r="B9488" t="str">
        <f>"6361011371"</f>
        <v>6361011371</v>
      </c>
      <c r="C9488" s="1">
        <v>44976</v>
      </c>
      <c r="D9488" s="1">
        <v>44984</v>
      </c>
      <c r="E9488">
        <v>4</v>
      </c>
      <c r="F9488" t="str">
        <f>"08-I05-04"</f>
        <v>08-I05-04</v>
      </c>
      <c r="G9488">
        <v>2.4445000000000001</v>
      </c>
      <c r="H9488" t="s">
        <v>12</v>
      </c>
      <c r="I9488" t="s">
        <v>10</v>
      </c>
    </row>
    <row r="9489" spans="1:9" x14ac:dyDescent="0.25">
      <c r="A9489" t="str">
        <f t="shared" si="226"/>
        <v>89301000</v>
      </c>
      <c r="B9489" t="str">
        <f>"6361030676"</f>
        <v>6361030676</v>
      </c>
      <c r="C9489" s="1">
        <v>45041</v>
      </c>
      <c r="D9489" s="1">
        <v>45044</v>
      </c>
      <c r="E9489">
        <v>1</v>
      </c>
      <c r="F9489" t="str">
        <f>"08-M03-05"</f>
        <v>08-M03-05</v>
      </c>
      <c r="G9489">
        <v>0.46810000000000002</v>
      </c>
      <c r="H9489" t="s">
        <v>11</v>
      </c>
      <c r="I9489" t="s">
        <v>10</v>
      </c>
    </row>
    <row r="9490" spans="1:9" x14ac:dyDescent="0.25">
      <c r="A9490" t="str">
        <f t="shared" si="226"/>
        <v>89301000</v>
      </c>
      <c r="B9490" t="str">
        <f>"6361241139"</f>
        <v>6361241139</v>
      </c>
      <c r="C9490" s="1">
        <v>45079</v>
      </c>
      <c r="D9490" s="1">
        <v>45091</v>
      </c>
      <c r="E9490">
        <v>1</v>
      </c>
      <c r="F9490" t="str">
        <f>"05-I14-02"</f>
        <v>05-I14-02</v>
      </c>
      <c r="G9490">
        <v>6.4595000000000002</v>
      </c>
      <c r="H9490" t="s">
        <v>12</v>
      </c>
      <c r="I9490" t="s">
        <v>10</v>
      </c>
    </row>
    <row r="9491" spans="1:9" x14ac:dyDescent="0.25">
      <c r="A9491" t="str">
        <f t="shared" si="226"/>
        <v>89301000</v>
      </c>
      <c r="B9491" t="str">
        <f>"6361241139"</f>
        <v>6361241139</v>
      </c>
      <c r="C9491" s="1">
        <v>45170</v>
      </c>
      <c r="D9491" s="1">
        <v>45171</v>
      </c>
      <c r="E9491">
        <v>1</v>
      </c>
      <c r="F9491" t="str">
        <f>"05-I14-03"</f>
        <v>05-I14-03</v>
      </c>
      <c r="G9491">
        <v>6.0362</v>
      </c>
      <c r="H9491" t="s">
        <v>12</v>
      </c>
      <c r="I9491" t="s">
        <v>10</v>
      </c>
    </row>
    <row r="9492" spans="1:9" x14ac:dyDescent="0.25">
      <c r="A9492" t="str">
        <f t="shared" si="226"/>
        <v>89301000</v>
      </c>
      <c r="B9492" t="str">
        <f>"6361251996"</f>
        <v>6361251996</v>
      </c>
      <c r="C9492" s="1">
        <v>45084</v>
      </c>
      <c r="D9492" s="1">
        <v>45089</v>
      </c>
      <c r="E9492">
        <v>1</v>
      </c>
      <c r="F9492" t="str">
        <f>"01-K04-02"</f>
        <v>01-K04-02</v>
      </c>
      <c r="G9492">
        <v>0.79990000000000006</v>
      </c>
      <c r="H9492" t="s">
        <v>11</v>
      </c>
      <c r="I9492" t="s">
        <v>10</v>
      </c>
    </row>
    <row r="9493" spans="1:9" x14ac:dyDescent="0.25">
      <c r="A9493" t="str">
        <f t="shared" si="226"/>
        <v>89301000</v>
      </c>
      <c r="B9493" t="str">
        <f>"6361270696"</f>
        <v>6361270696</v>
      </c>
      <c r="C9493" s="1">
        <v>45202</v>
      </c>
      <c r="D9493" s="1">
        <v>45212</v>
      </c>
      <c r="E9493">
        <v>1</v>
      </c>
      <c r="F9493" t="str">
        <f>"24-M06-02"</f>
        <v>24-M06-02</v>
      </c>
      <c r="G9493">
        <v>1.0699000000000001</v>
      </c>
      <c r="H9493" t="s">
        <v>11</v>
      </c>
      <c r="I9493" t="s">
        <v>10</v>
      </c>
    </row>
    <row r="9494" spans="1:9" x14ac:dyDescent="0.25">
      <c r="A9494" t="str">
        <f t="shared" si="226"/>
        <v>89301000</v>
      </c>
      <c r="B9494" t="str">
        <f>"6361291442"</f>
        <v>6361291442</v>
      </c>
      <c r="C9494" s="1">
        <v>45012</v>
      </c>
      <c r="D9494" s="1">
        <v>45021</v>
      </c>
      <c r="E9494">
        <v>1</v>
      </c>
      <c r="F9494" t="str">
        <f>"11-I10-01"</f>
        <v>11-I10-01</v>
      </c>
      <c r="G9494">
        <v>3.0842000000000001</v>
      </c>
      <c r="H9494" t="s">
        <v>12</v>
      </c>
      <c r="I9494" t="s">
        <v>10</v>
      </c>
    </row>
    <row r="9495" spans="1:9" x14ac:dyDescent="0.25">
      <c r="A9495" t="str">
        <f t="shared" si="226"/>
        <v>89301000</v>
      </c>
      <c r="B9495" t="str">
        <f>"6362081539"</f>
        <v>6362081539</v>
      </c>
      <c r="C9495" s="1">
        <v>45252</v>
      </c>
      <c r="D9495" s="1">
        <v>45258</v>
      </c>
      <c r="E9495">
        <v>1</v>
      </c>
      <c r="F9495" t="str">
        <f>"01-K18-03"</f>
        <v>01-K18-03</v>
      </c>
      <c r="G9495">
        <v>0.93169999999999997</v>
      </c>
      <c r="H9495" t="s">
        <v>11</v>
      </c>
      <c r="I9495" t="s">
        <v>10</v>
      </c>
    </row>
    <row r="9496" spans="1:9" x14ac:dyDescent="0.25">
      <c r="A9496" t="str">
        <f t="shared" si="226"/>
        <v>89301000</v>
      </c>
      <c r="B9496" t="str">
        <f>"6362081539"</f>
        <v>6362081539</v>
      </c>
      <c r="C9496" s="1">
        <v>45063</v>
      </c>
      <c r="D9496" s="1">
        <v>45070</v>
      </c>
      <c r="E9496">
        <v>1</v>
      </c>
      <c r="F9496" t="str">
        <f>"23-K04-02"</f>
        <v>23-K04-02</v>
      </c>
      <c r="G9496">
        <v>0.43869999999999998</v>
      </c>
      <c r="H9496" t="s">
        <v>11</v>
      </c>
      <c r="I9496" t="s">
        <v>10</v>
      </c>
    </row>
    <row r="9497" spans="1:9" x14ac:dyDescent="0.25">
      <c r="A9497" t="str">
        <f t="shared" si="226"/>
        <v>89301000</v>
      </c>
      <c r="B9497" t="str">
        <f>"6362261015"</f>
        <v>6362261015</v>
      </c>
      <c r="C9497" s="1">
        <v>44946</v>
      </c>
      <c r="D9497" s="1">
        <v>44948</v>
      </c>
      <c r="E9497">
        <v>1</v>
      </c>
      <c r="F9497" t="str">
        <f>"09-I13-05"</f>
        <v>09-I13-05</v>
      </c>
      <c r="G9497">
        <v>0.42570000000000002</v>
      </c>
      <c r="H9497" t="s">
        <v>11</v>
      </c>
      <c r="I9497" t="s">
        <v>10</v>
      </c>
    </row>
    <row r="9498" spans="1:9" x14ac:dyDescent="0.25">
      <c r="A9498" t="str">
        <f t="shared" si="226"/>
        <v>89301000</v>
      </c>
      <c r="B9498" t="str">
        <f>"6362291848"</f>
        <v>6362291848</v>
      </c>
      <c r="C9498" s="1">
        <v>44972</v>
      </c>
      <c r="D9498" s="1">
        <v>44973</v>
      </c>
      <c r="E9498">
        <v>1</v>
      </c>
      <c r="F9498" t="str">
        <f>"13-I19-00"</f>
        <v>13-I19-00</v>
      </c>
      <c r="G9498">
        <v>0.28249999999999997</v>
      </c>
      <c r="H9498" t="s">
        <v>11</v>
      </c>
      <c r="I9498" t="s">
        <v>10</v>
      </c>
    </row>
    <row r="9499" spans="1:9" x14ac:dyDescent="0.25">
      <c r="A9499" t="str">
        <f t="shared" si="226"/>
        <v>89301000</v>
      </c>
      <c r="B9499" t="str">
        <f>"6401086065"</f>
        <v>6401086065</v>
      </c>
      <c r="C9499" s="1">
        <v>45073</v>
      </c>
      <c r="D9499" s="1">
        <v>45076</v>
      </c>
      <c r="E9499">
        <v>1</v>
      </c>
      <c r="F9499" t="str">
        <f>"05-M06-06"</f>
        <v>05-M06-06</v>
      </c>
      <c r="G9499">
        <v>1.8264</v>
      </c>
      <c r="H9499" t="s">
        <v>12</v>
      </c>
      <c r="I9499" t="s">
        <v>10</v>
      </c>
    </row>
    <row r="9500" spans="1:9" x14ac:dyDescent="0.25">
      <c r="A9500" t="str">
        <f t="shared" si="226"/>
        <v>89301000</v>
      </c>
      <c r="B9500" t="str">
        <f>"6401111233"</f>
        <v>6401111233</v>
      </c>
      <c r="C9500" s="1">
        <v>44935</v>
      </c>
      <c r="D9500" s="1">
        <v>44939</v>
      </c>
      <c r="E9500">
        <v>1</v>
      </c>
      <c r="F9500" t="str">
        <f>"08-K08-00"</f>
        <v>08-K08-00</v>
      </c>
      <c r="G9500">
        <v>0.5272</v>
      </c>
      <c r="H9500" t="s">
        <v>11</v>
      </c>
      <c r="I9500" t="s">
        <v>10</v>
      </c>
    </row>
    <row r="9501" spans="1:9" x14ac:dyDescent="0.25">
      <c r="A9501" t="str">
        <f t="shared" si="226"/>
        <v>89301000</v>
      </c>
      <c r="B9501" t="str">
        <f>"6401131440"</f>
        <v>6401131440</v>
      </c>
      <c r="C9501" s="1">
        <v>44931</v>
      </c>
      <c r="D9501" s="1">
        <v>44933</v>
      </c>
      <c r="E9501">
        <v>1</v>
      </c>
      <c r="F9501" t="str">
        <f>"08-I03-05"</f>
        <v>08-I03-05</v>
      </c>
      <c r="G9501">
        <v>2.2360000000000002</v>
      </c>
      <c r="H9501" t="s">
        <v>9</v>
      </c>
      <c r="I9501" t="s">
        <v>10</v>
      </c>
    </row>
    <row r="9502" spans="1:9" x14ac:dyDescent="0.25">
      <c r="A9502" t="str">
        <f t="shared" si="226"/>
        <v>89301000</v>
      </c>
      <c r="B9502" t="str">
        <f>"6401131924"</f>
        <v>6401131924</v>
      </c>
      <c r="C9502" s="1">
        <v>44935</v>
      </c>
      <c r="D9502" s="1">
        <v>44937</v>
      </c>
      <c r="E9502">
        <v>1</v>
      </c>
      <c r="F9502" t="str">
        <f>"11-K03-02"</f>
        <v>11-K03-02</v>
      </c>
      <c r="G9502">
        <v>0.63990000000000002</v>
      </c>
      <c r="H9502" t="s">
        <v>11</v>
      </c>
      <c r="I9502" t="s">
        <v>10</v>
      </c>
    </row>
    <row r="9503" spans="1:9" x14ac:dyDescent="0.25">
      <c r="A9503" t="str">
        <f t="shared" si="226"/>
        <v>89301000</v>
      </c>
      <c r="B9503" t="str">
        <f>"6401131990"</f>
        <v>6401131990</v>
      </c>
      <c r="C9503" s="1">
        <v>44990</v>
      </c>
      <c r="D9503" s="1">
        <v>44996</v>
      </c>
      <c r="E9503">
        <v>1</v>
      </c>
      <c r="F9503" t="str">
        <f>"04-I02-03"</f>
        <v>04-I02-03</v>
      </c>
      <c r="G9503">
        <v>3.6791</v>
      </c>
      <c r="H9503" t="s">
        <v>14</v>
      </c>
      <c r="I9503" t="s">
        <v>10</v>
      </c>
    </row>
    <row r="9504" spans="1:9" x14ac:dyDescent="0.25">
      <c r="A9504" t="str">
        <f t="shared" si="226"/>
        <v>89301000</v>
      </c>
      <c r="B9504" t="str">
        <f>"6401261317"</f>
        <v>6401261317</v>
      </c>
      <c r="C9504" s="1">
        <v>45237</v>
      </c>
      <c r="D9504" s="1">
        <v>45239</v>
      </c>
      <c r="E9504">
        <v>1</v>
      </c>
      <c r="F9504" t="str">
        <f>"08-I23-02"</f>
        <v>08-I23-02</v>
      </c>
      <c r="G9504">
        <v>0.91310000000000002</v>
      </c>
      <c r="H9504" t="s">
        <v>12</v>
      </c>
      <c r="I9504" t="s">
        <v>10</v>
      </c>
    </row>
    <row r="9505" spans="1:9" x14ac:dyDescent="0.25">
      <c r="A9505" t="str">
        <f t="shared" si="226"/>
        <v>89301000</v>
      </c>
      <c r="B9505" t="str">
        <f>"6402061050"</f>
        <v>6402061050</v>
      </c>
      <c r="C9505" s="1">
        <v>45125</v>
      </c>
      <c r="D9505" s="1">
        <v>45128</v>
      </c>
      <c r="E9505">
        <v>1</v>
      </c>
      <c r="F9505" t="str">
        <f>"05-M07-04"</f>
        <v>05-M07-04</v>
      </c>
      <c r="G9505">
        <v>1.7763</v>
      </c>
      <c r="H9505" t="s">
        <v>12</v>
      </c>
      <c r="I9505" t="s">
        <v>10</v>
      </c>
    </row>
    <row r="9506" spans="1:9" x14ac:dyDescent="0.25">
      <c r="A9506" t="str">
        <f t="shared" si="226"/>
        <v>89301000</v>
      </c>
      <c r="B9506" t="str">
        <f>"6402181995"</f>
        <v>6402181995</v>
      </c>
      <c r="C9506" s="1">
        <v>45000</v>
      </c>
      <c r="D9506" s="1">
        <v>45014</v>
      </c>
      <c r="E9506">
        <v>1</v>
      </c>
      <c r="F9506" t="str">
        <f>"07-M02-02"</f>
        <v>07-M02-02</v>
      </c>
      <c r="G9506">
        <v>2.0733000000000001</v>
      </c>
      <c r="H9506" t="s">
        <v>12</v>
      </c>
      <c r="I9506" t="s">
        <v>10</v>
      </c>
    </row>
    <row r="9507" spans="1:9" x14ac:dyDescent="0.25">
      <c r="A9507" t="str">
        <f t="shared" si="226"/>
        <v>89301000</v>
      </c>
      <c r="B9507" t="str">
        <f>"6402181995"</f>
        <v>6402181995</v>
      </c>
      <c r="C9507" s="1">
        <v>45085</v>
      </c>
      <c r="D9507" s="1">
        <v>45087</v>
      </c>
      <c r="E9507">
        <v>1</v>
      </c>
      <c r="F9507" t="str">
        <f>"07-K07-02"</f>
        <v>07-K07-02</v>
      </c>
      <c r="G9507">
        <v>0.53069999999999995</v>
      </c>
      <c r="H9507" t="s">
        <v>11</v>
      </c>
      <c r="I9507" t="s">
        <v>10</v>
      </c>
    </row>
    <row r="9508" spans="1:9" x14ac:dyDescent="0.25">
      <c r="A9508" t="str">
        <f t="shared" si="226"/>
        <v>89301000</v>
      </c>
      <c r="B9508" t="str">
        <f>"6402181995"</f>
        <v>6402181995</v>
      </c>
      <c r="C9508" s="1">
        <v>45188</v>
      </c>
      <c r="D9508" s="1">
        <v>45190</v>
      </c>
      <c r="E9508">
        <v>1</v>
      </c>
      <c r="F9508" t="str">
        <f>"07-C01-02"</f>
        <v>07-C01-02</v>
      </c>
      <c r="G9508">
        <v>0.3483</v>
      </c>
      <c r="H9508" t="s">
        <v>11</v>
      </c>
      <c r="I9508" t="s">
        <v>10</v>
      </c>
    </row>
    <row r="9509" spans="1:9" x14ac:dyDescent="0.25">
      <c r="A9509" t="str">
        <f t="shared" si="226"/>
        <v>89301000</v>
      </c>
      <c r="B9509" t="str">
        <f>"6402181995"</f>
        <v>6402181995</v>
      </c>
      <c r="C9509" s="1">
        <v>44991</v>
      </c>
      <c r="D9509" s="1">
        <v>44992</v>
      </c>
      <c r="E9509">
        <v>1</v>
      </c>
      <c r="F9509" t="str">
        <f>"07-C01-02"</f>
        <v>07-C01-02</v>
      </c>
      <c r="G9509">
        <v>0.3483</v>
      </c>
      <c r="H9509" t="s">
        <v>11</v>
      </c>
      <c r="I9509" t="s">
        <v>10</v>
      </c>
    </row>
    <row r="9510" spans="1:9" x14ac:dyDescent="0.25">
      <c r="A9510" t="str">
        <f t="shared" si="226"/>
        <v>89301000</v>
      </c>
      <c r="B9510" t="str">
        <f>"6402181995"</f>
        <v>6402181995</v>
      </c>
      <c r="C9510" s="1">
        <v>44945</v>
      </c>
      <c r="D9510" s="1">
        <v>44960</v>
      </c>
      <c r="E9510">
        <v>5</v>
      </c>
      <c r="F9510" t="str">
        <f>"07-I01-02"</f>
        <v>07-I01-02</v>
      </c>
      <c r="G9510">
        <v>5.4336000000000002</v>
      </c>
      <c r="H9510" t="s">
        <v>14</v>
      </c>
      <c r="I9510" t="s">
        <v>10</v>
      </c>
    </row>
    <row r="9511" spans="1:9" x14ac:dyDescent="0.25">
      <c r="A9511" t="str">
        <f t="shared" si="226"/>
        <v>89301000</v>
      </c>
      <c r="B9511" t="str">
        <f>"6402191598"</f>
        <v>6402191598</v>
      </c>
      <c r="C9511" s="1">
        <v>45259</v>
      </c>
      <c r="D9511" s="1">
        <v>45261</v>
      </c>
      <c r="E9511">
        <v>1</v>
      </c>
      <c r="F9511" t="str">
        <f>"05-I30-01"</f>
        <v>05-I30-01</v>
      </c>
      <c r="G9511">
        <v>0.60309999999999997</v>
      </c>
      <c r="H9511" t="s">
        <v>12</v>
      </c>
      <c r="I9511" t="s">
        <v>10</v>
      </c>
    </row>
    <row r="9512" spans="1:9" x14ac:dyDescent="0.25">
      <c r="A9512" t="str">
        <f t="shared" si="226"/>
        <v>89301000</v>
      </c>
      <c r="B9512" t="str">
        <f>"6402192093"</f>
        <v>6402192093</v>
      </c>
      <c r="C9512" s="1">
        <v>45096</v>
      </c>
      <c r="D9512" s="1">
        <v>45103</v>
      </c>
      <c r="E9512">
        <v>1</v>
      </c>
      <c r="F9512" t="str">
        <f>"05-I24-04"</f>
        <v>05-I24-04</v>
      </c>
      <c r="G9512">
        <v>2.1032000000000002</v>
      </c>
      <c r="H9512" t="s">
        <v>12</v>
      </c>
      <c r="I9512" t="s">
        <v>10</v>
      </c>
    </row>
    <row r="9513" spans="1:9" x14ac:dyDescent="0.25">
      <c r="A9513" t="str">
        <f t="shared" si="226"/>
        <v>89301000</v>
      </c>
      <c r="B9513" t="str">
        <f>"6403090463"</f>
        <v>6403090463</v>
      </c>
      <c r="C9513" s="1">
        <v>45048</v>
      </c>
      <c r="D9513" s="1">
        <v>45056</v>
      </c>
      <c r="E9513">
        <v>1</v>
      </c>
      <c r="F9513" t="str">
        <f>"09-K01-04"</f>
        <v>09-K01-04</v>
      </c>
      <c r="G9513">
        <v>0.60570000000000002</v>
      </c>
      <c r="H9513" t="s">
        <v>11</v>
      </c>
      <c r="I9513" t="s">
        <v>10</v>
      </c>
    </row>
    <row r="9514" spans="1:9" x14ac:dyDescent="0.25">
      <c r="A9514" t="str">
        <f t="shared" si="226"/>
        <v>89301000</v>
      </c>
      <c r="B9514" t="str">
        <f>"6403092311"</f>
        <v>6403092311</v>
      </c>
      <c r="C9514" s="1">
        <v>45042</v>
      </c>
      <c r="D9514" s="1">
        <v>45044</v>
      </c>
      <c r="E9514">
        <v>1</v>
      </c>
      <c r="F9514" t="str">
        <f>"03-I19-03"</f>
        <v>03-I19-03</v>
      </c>
      <c r="G9514">
        <v>0.53420000000000001</v>
      </c>
      <c r="H9514" t="s">
        <v>11</v>
      </c>
      <c r="I9514" t="s">
        <v>10</v>
      </c>
    </row>
    <row r="9515" spans="1:9" x14ac:dyDescent="0.25">
      <c r="A9515" t="str">
        <f t="shared" si="226"/>
        <v>89301000</v>
      </c>
      <c r="B9515" t="str">
        <f>"6403226456"</f>
        <v>6403226456</v>
      </c>
      <c r="C9515" s="1">
        <v>45105</v>
      </c>
      <c r="D9515" s="1">
        <v>45108</v>
      </c>
      <c r="E9515">
        <v>1</v>
      </c>
      <c r="F9515" t="str">
        <f>"06-I18-05"</f>
        <v>06-I18-05</v>
      </c>
      <c r="G9515">
        <v>0.82420000000000004</v>
      </c>
      <c r="H9515" t="s">
        <v>9</v>
      </c>
      <c r="I9515" t="s">
        <v>10</v>
      </c>
    </row>
    <row r="9516" spans="1:9" x14ac:dyDescent="0.25">
      <c r="A9516" t="str">
        <f t="shared" si="226"/>
        <v>89301000</v>
      </c>
      <c r="B9516" t="str">
        <f>"6403260589"</f>
        <v>6403260589</v>
      </c>
      <c r="C9516" s="1">
        <v>45201</v>
      </c>
      <c r="D9516" s="1">
        <v>45207</v>
      </c>
      <c r="E9516">
        <v>1</v>
      </c>
      <c r="F9516" t="str">
        <f>"06-R01-08"</f>
        <v>06-R01-08</v>
      </c>
      <c r="G9516">
        <v>1.1831</v>
      </c>
      <c r="H9516" t="s">
        <v>11</v>
      </c>
      <c r="I9516" t="s">
        <v>10</v>
      </c>
    </row>
    <row r="9517" spans="1:9" x14ac:dyDescent="0.25">
      <c r="A9517" t="str">
        <f t="shared" ref="A9517:A9579" si="227">"89301000"</f>
        <v>89301000</v>
      </c>
      <c r="B9517" t="str">
        <f>"6403260589"</f>
        <v>6403260589</v>
      </c>
      <c r="C9517" s="1">
        <v>45230</v>
      </c>
      <c r="D9517" s="1">
        <v>45235</v>
      </c>
      <c r="E9517">
        <v>1</v>
      </c>
      <c r="F9517" t="str">
        <f>"06-R01-08"</f>
        <v>06-R01-08</v>
      </c>
      <c r="G9517">
        <v>1.1831</v>
      </c>
      <c r="H9517" t="s">
        <v>11</v>
      </c>
      <c r="I9517" t="s">
        <v>10</v>
      </c>
    </row>
    <row r="9518" spans="1:9" x14ac:dyDescent="0.25">
      <c r="A9518" t="str">
        <f t="shared" si="227"/>
        <v>89301000</v>
      </c>
      <c r="B9518" t="str">
        <f>"6403290410"</f>
        <v>6403290410</v>
      </c>
      <c r="C9518" s="1">
        <v>45155</v>
      </c>
      <c r="D9518" s="1">
        <v>45156</v>
      </c>
      <c r="E9518">
        <v>1</v>
      </c>
      <c r="F9518" t="str">
        <f>"01-D01-03"</f>
        <v>01-D01-03</v>
      </c>
      <c r="G9518">
        <v>0.16200000000000001</v>
      </c>
      <c r="H9518" t="s">
        <v>11</v>
      </c>
      <c r="I9518" t="s">
        <v>10</v>
      </c>
    </row>
    <row r="9519" spans="1:9" x14ac:dyDescent="0.25">
      <c r="A9519" t="str">
        <f t="shared" si="227"/>
        <v>89301000</v>
      </c>
      <c r="B9519" t="str">
        <f>"6403290410"</f>
        <v>6403290410</v>
      </c>
      <c r="C9519" s="1">
        <v>45233</v>
      </c>
      <c r="D9519" s="1">
        <v>45236</v>
      </c>
      <c r="E9519">
        <v>1</v>
      </c>
      <c r="F9519" t="str">
        <f>"01-D01-03"</f>
        <v>01-D01-03</v>
      </c>
      <c r="G9519">
        <v>0.21060000000000001</v>
      </c>
      <c r="H9519" t="s">
        <v>11</v>
      </c>
      <c r="I9519" t="s">
        <v>10</v>
      </c>
    </row>
    <row r="9520" spans="1:9" x14ac:dyDescent="0.25">
      <c r="A9520" t="str">
        <f t="shared" si="227"/>
        <v>89301000</v>
      </c>
      <c r="B9520" t="str">
        <f>"6403301641"</f>
        <v>6403301641</v>
      </c>
      <c r="C9520" s="1">
        <v>44966</v>
      </c>
      <c r="D9520" s="1">
        <v>44970</v>
      </c>
      <c r="E9520">
        <v>1</v>
      </c>
      <c r="F9520" t="str">
        <f>"08-I03-08"</f>
        <v>08-I03-08</v>
      </c>
      <c r="G9520">
        <v>1.9455</v>
      </c>
      <c r="H9520" t="s">
        <v>9</v>
      </c>
      <c r="I9520" t="s">
        <v>10</v>
      </c>
    </row>
    <row r="9521" spans="1:9" x14ac:dyDescent="0.25">
      <c r="A9521" t="str">
        <f t="shared" si="227"/>
        <v>89301000</v>
      </c>
      <c r="B9521" t="str">
        <f>"6404020337"</f>
        <v>6404020337</v>
      </c>
      <c r="C9521" s="1">
        <v>45075</v>
      </c>
      <c r="D9521" s="1">
        <v>45087</v>
      </c>
      <c r="E9521">
        <v>1</v>
      </c>
      <c r="F9521" t="str">
        <f>"17-K02-02"</f>
        <v>17-K02-02</v>
      </c>
      <c r="G9521">
        <v>1.1079000000000001</v>
      </c>
      <c r="H9521" t="s">
        <v>11</v>
      </c>
      <c r="I9521" t="s">
        <v>10</v>
      </c>
    </row>
    <row r="9522" spans="1:9" x14ac:dyDescent="0.25">
      <c r="A9522" t="str">
        <f t="shared" si="227"/>
        <v>89301000</v>
      </c>
      <c r="B9522" t="str">
        <f t="shared" ref="B9522:B9545" si="228">"6404031007"</f>
        <v>6404031007</v>
      </c>
      <c r="C9522" s="1">
        <v>44972</v>
      </c>
      <c r="D9522" s="1">
        <v>44974</v>
      </c>
      <c r="E9522">
        <v>1</v>
      </c>
      <c r="F9522" t="str">
        <f t="shared" ref="F9522:F9545" si="229">"06-C02-01"</f>
        <v>06-C02-01</v>
      </c>
      <c r="G9522">
        <v>0.31909999999999999</v>
      </c>
      <c r="H9522" t="s">
        <v>11</v>
      </c>
      <c r="I9522" t="s">
        <v>10</v>
      </c>
    </row>
    <row r="9523" spans="1:9" x14ac:dyDescent="0.25">
      <c r="A9523" t="str">
        <f t="shared" si="227"/>
        <v>89301000</v>
      </c>
      <c r="B9523" t="str">
        <f t="shared" si="228"/>
        <v>6404031007</v>
      </c>
      <c r="C9523" s="1">
        <v>44991</v>
      </c>
      <c r="D9523" s="1">
        <v>44993</v>
      </c>
      <c r="E9523">
        <v>1</v>
      </c>
      <c r="F9523" t="str">
        <f t="shared" si="229"/>
        <v>06-C02-01</v>
      </c>
      <c r="G9523">
        <v>0.31909999999999999</v>
      </c>
      <c r="H9523" t="s">
        <v>11</v>
      </c>
      <c r="I9523" t="s">
        <v>10</v>
      </c>
    </row>
    <row r="9524" spans="1:9" x14ac:dyDescent="0.25">
      <c r="A9524" t="str">
        <f t="shared" si="227"/>
        <v>89301000</v>
      </c>
      <c r="B9524" t="str">
        <f t="shared" si="228"/>
        <v>6404031007</v>
      </c>
      <c r="C9524" s="1">
        <v>45005</v>
      </c>
      <c r="D9524" s="1">
        <v>45007</v>
      </c>
      <c r="E9524">
        <v>1</v>
      </c>
      <c r="F9524" t="str">
        <f t="shared" si="229"/>
        <v>06-C02-01</v>
      </c>
      <c r="G9524">
        <v>0.31909999999999999</v>
      </c>
      <c r="H9524" t="s">
        <v>11</v>
      </c>
      <c r="I9524" t="s">
        <v>10</v>
      </c>
    </row>
    <row r="9525" spans="1:9" x14ac:dyDescent="0.25">
      <c r="A9525" t="str">
        <f t="shared" si="227"/>
        <v>89301000</v>
      </c>
      <c r="B9525" t="str">
        <f t="shared" si="228"/>
        <v>6404031007</v>
      </c>
      <c r="C9525" s="1">
        <v>45019</v>
      </c>
      <c r="D9525" s="1">
        <v>45021</v>
      </c>
      <c r="E9525">
        <v>1</v>
      </c>
      <c r="F9525" t="str">
        <f t="shared" si="229"/>
        <v>06-C02-01</v>
      </c>
      <c r="G9525">
        <v>0.31909999999999999</v>
      </c>
      <c r="H9525" t="s">
        <v>11</v>
      </c>
      <c r="I9525" t="s">
        <v>10</v>
      </c>
    </row>
    <row r="9526" spans="1:9" x14ac:dyDescent="0.25">
      <c r="A9526" t="str">
        <f t="shared" si="227"/>
        <v>89301000</v>
      </c>
      <c r="B9526" t="str">
        <f t="shared" si="228"/>
        <v>6404031007</v>
      </c>
      <c r="C9526" s="1">
        <v>45033</v>
      </c>
      <c r="D9526" s="1">
        <v>45035</v>
      </c>
      <c r="E9526">
        <v>1</v>
      </c>
      <c r="F9526" t="str">
        <f t="shared" si="229"/>
        <v>06-C02-01</v>
      </c>
      <c r="G9526">
        <v>0.31909999999999999</v>
      </c>
      <c r="H9526" t="s">
        <v>11</v>
      </c>
      <c r="I9526" t="s">
        <v>10</v>
      </c>
    </row>
    <row r="9527" spans="1:9" x14ac:dyDescent="0.25">
      <c r="A9527" t="str">
        <f t="shared" si="227"/>
        <v>89301000</v>
      </c>
      <c r="B9527" t="str">
        <f t="shared" si="228"/>
        <v>6404031007</v>
      </c>
      <c r="C9527" s="1">
        <v>45049</v>
      </c>
      <c r="D9527" s="1">
        <v>45051</v>
      </c>
      <c r="E9527">
        <v>1</v>
      </c>
      <c r="F9527" t="str">
        <f t="shared" si="229"/>
        <v>06-C02-01</v>
      </c>
      <c r="G9527">
        <v>0.31909999999999999</v>
      </c>
      <c r="H9527" t="s">
        <v>11</v>
      </c>
      <c r="I9527" t="s">
        <v>10</v>
      </c>
    </row>
    <row r="9528" spans="1:9" x14ac:dyDescent="0.25">
      <c r="A9528" t="str">
        <f t="shared" si="227"/>
        <v>89301000</v>
      </c>
      <c r="B9528" t="str">
        <f t="shared" si="228"/>
        <v>6404031007</v>
      </c>
      <c r="C9528" s="1">
        <v>45068</v>
      </c>
      <c r="D9528" s="1">
        <v>45070</v>
      </c>
      <c r="E9528">
        <v>1</v>
      </c>
      <c r="F9528" t="str">
        <f t="shared" si="229"/>
        <v>06-C02-01</v>
      </c>
      <c r="G9528">
        <v>0.31909999999999999</v>
      </c>
      <c r="H9528" t="s">
        <v>11</v>
      </c>
      <c r="I9528" t="s">
        <v>10</v>
      </c>
    </row>
    <row r="9529" spans="1:9" x14ac:dyDescent="0.25">
      <c r="A9529" t="str">
        <f t="shared" si="227"/>
        <v>89301000</v>
      </c>
      <c r="B9529" t="str">
        <f t="shared" si="228"/>
        <v>6404031007</v>
      </c>
      <c r="C9529" s="1">
        <v>45078</v>
      </c>
      <c r="D9529" s="1">
        <v>45084</v>
      </c>
      <c r="E9529">
        <v>1</v>
      </c>
      <c r="F9529" t="str">
        <f t="shared" si="229"/>
        <v>06-C02-01</v>
      </c>
      <c r="G9529">
        <v>0.42799999999999999</v>
      </c>
      <c r="H9529" t="s">
        <v>11</v>
      </c>
      <c r="I9529" t="s">
        <v>10</v>
      </c>
    </row>
    <row r="9530" spans="1:9" x14ac:dyDescent="0.25">
      <c r="A9530" t="str">
        <f t="shared" si="227"/>
        <v>89301000</v>
      </c>
      <c r="B9530" t="str">
        <f t="shared" si="228"/>
        <v>6404031007</v>
      </c>
      <c r="C9530" s="1">
        <v>45096</v>
      </c>
      <c r="D9530" s="1">
        <v>45098</v>
      </c>
      <c r="E9530">
        <v>1</v>
      </c>
      <c r="F9530" t="str">
        <f t="shared" si="229"/>
        <v>06-C02-01</v>
      </c>
      <c r="G9530">
        <v>0.31909999999999999</v>
      </c>
      <c r="H9530" t="s">
        <v>11</v>
      </c>
      <c r="I9530" t="s">
        <v>10</v>
      </c>
    </row>
    <row r="9531" spans="1:9" x14ac:dyDescent="0.25">
      <c r="A9531" t="str">
        <f t="shared" si="227"/>
        <v>89301000</v>
      </c>
      <c r="B9531" t="str">
        <f t="shared" si="228"/>
        <v>6404031007</v>
      </c>
      <c r="C9531" s="1">
        <v>45117</v>
      </c>
      <c r="D9531" s="1">
        <v>45119</v>
      </c>
      <c r="E9531">
        <v>1</v>
      </c>
      <c r="F9531" t="str">
        <f t="shared" si="229"/>
        <v>06-C02-01</v>
      </c>
      <c r="G9531">
        <v>0.31909999999999999</v>
      </c>
      <c r="H9531" t="s">
        <v>11</v>
      </c>
      <c r="I9531" t="s">
        <v>10</v>
      </c>
    </row>
    <row r="9532" spans="1:9" x14ac:dyDescent="0.25">
      <c r="A9532" t="str">
        <f t="shared" si="227"/>
        <v>89301000</v>
      </c>
      <c r="B9532" t="str">
        <f t="shared" si="228"/>
        <v>6404031007</v>
      </c>
      <c r="C9532" s="1">
        <v>45131</v>
      </c>
      <c r="D9532" s="1">
        <v>45133</v>
      </c>
      <c r="E9532">
        <v>1</v>
      </c>
      <c r="F9532" t="str">
        <f t="shared" si="229"/>
        <v>06-C02-01</v>
      </c>
      <c r="G9532">
        <v>0.31909999999999999</v>
      </c>
      <c r="H9532" t="s">
        <v>11</v>
      </c>
      <c r="I9532" t="s">
        <v>10</v>
      </c>
    </row>
    <row r="9533" spans="1:9" x14ac:dyDescent="0.25">
      <c r="A9533" t="str">
        <f t="shared" si="227"/>
        <v>89301000</v>
      </c>
      <c r="B9533" t="str">
        <f t="shared" si="228"/>
        <v>6404031007</v>
      </c>
      <c r="C9533" s="1">
        <v>45145</v>
      </c>
      <c r="D9533" s="1">
        <v>45147</v>
      </c>
      <c r="E9533">
        <v>1</v>
      </c>
      <c r="F9533" t="str">
        <f t="shared" si="229"/>
        <v>06-C02-01</v>
      </c>
      <c r="G9533">
        <v>0.31909999999999999</v>
      </c>
      <c r="H9533" t="s">
        <v>11</v>
      </c>
      <c r="I9533" t="s">
        <v>10</v>
      </c>
    </row>
    <row r="9534" spans="1:9" x14ac:dyDescent="0.25">
      <c r="A9534" t="str">
        <f t="shared" si="227"/>
        <v>89301000</v>
      </c>
      <c r="B9534" t="str">
        <f t="shared" si="228"/>
        <v>6404031007</v>
      </c>
      <c r="C9534" s="1">
        <v>45159</v>
      </c>
      <c r="D9534" s="1">
        <v>45161</v>
      </c>
      <c r="E9534">
        <v>1</v>
      </c>
      <c r="F9534" t="str">
        <f t="shared" si="229"/>
        <v>06-C02-01</v>
      </c>
      <c r="G9534">
        <v>0.31909999999999999</v>
      </c>
      <c r="H9534" t="s">
        <v>11</v>
      </c>
      <c r="I9534" t="s">
        <v>10</v>
      </c>
    </row>
    <row r="9535" spans="1:9" x14ac:dyDescent="0.25">
      <c r="A9535" t="str">
        <f t="shared" si="227"/>
        <v>89301000</v>
      </c>
      <c r="B9535" t="str">
        <f t="shared" si="228"/>
        <v>6404031007</v>
      </c>
      <c r="C9535" s="1">
        <v>45174</v>
      </c>
      <c r="D9535" s="1">
        <v>45176</v>
      </c>
      <c r="E9535">
        <v>1</v>
      </c>
      <c r="F9535" t="str">
        <f t="shared" si="229"/>
        <v>06-C02-01</v>
      </c>
      <c r="G9535">
        <v>0.31909999999999999</v>
      </c>
      <c r="H9535" t="s">
        <v>11</v>
      </c>
      <c r="I9535" t="s">
        <v>10</v>
      </c>
    </row>
    <row r="9536" spans="1:9" x14ac:dyDescent="0.25">
      <c r="A9536" t="str">
        <f t="shared" si="227"/>
        <v>89301000</v>
      </c>
      <c r="B9536" t="str">
        <f t="shared" si="228"/>
        <v>6404031007</v>
      </c>
      <c r="C9536" s="1">
        <v>45187</v>
      </c>
      <c r="D9536" s="1">
        <v>45189</v>
      </c>
      <c r="E9536">
        <v>1</v>
      </c>
      <c r="F9536" t="str">
        <f t="shared" si="229"/>
        <v>06-C02-01</v>
      </c>
      <c r="G9536">
        <v>0.31909999999999999</v>
      </c>
      <c r="H9536" t="s">
        <v>11</v>
      </c>
      <c r="I9536" t="s">
        <v>10</v>
      </c>
    </row>
    <row r="9537" spans="1:9" x14ac:dyDescent="0.25">
      <c r="A9537" t="str">
        <f t="shared" si="227"/>
        <v>89301000</v>
      </c>
      <c r="B9537" t="str">
        <f t="shared" si="228"/>
        <v>6404031007</v>
      </c>
      <c r="C9537" s="1">
        <v>45201</v>
      </c>
      <c r="D9537" s="1">
        <v>45203</v>
      </c>
      <c r="E9537">
        <v>1</v>
      </c>
      <c r="F9537" t="str">
        <f t="shared" si="229"/>
        <v>06-C02-01</v>
      </c>
      <c r="G9537">
        <v>0.31909999999999999</v>
      </c>
      <c r="H9537" t="s">
        <v>11</v>
      </c>
      <c r="I9537" t="s">
        <v>10</v>
      </c>
    </row>
    <row r="9538" spans="1:9" x14ac:dyDescent="0.25">
      <c r="A9538" t="str">
        <f t="shared" si="227"/>
        <v>89301000</v>
      </c>
      <c r="B9538" t="str">
        <f t="shared" si="228"/>
        <v>6404031007</v>
      </c>
      <c r="C9538" s="1">
        <v>45215</v>
      </c>
      <c r="D9538" s="1">
        <v>45217</v>
      </c>
      <c r="E9538">
        <v>1</v>
      </c>
      <c r="F9538" t="str">
        <f t="shared" si="229"/>
        <v>06-C02-01</v>
      </c>
      <c r="G9538">
        <v>0.31909999999999999</v>
      </c>
      <c r="H9538" t="s">
        <v>11</v>
      </c>
      <c r="I9538" t="s">
        <v>10</v>
      </c>
    </row>
    <row r="9539" spans="1:9" x14ac:dyDescent="0.25">
      <c r="A9539" t="str">
        <f t="shared" si="227"/>
        <v>89301000</v>
      </c>
      <c r="B9539" t="str">
        <f t="shared" si="228"/>
        <v>6404031007</v>
      </c>
      <c r="C9539" s="1">
        <v>45229</v>
      </c>
      <c r="D9539" s="1">
        <v>45231</v>
      </c>
      <c r="E9539">
        <v>1</v>
      </c>
      <c r="F9539" t="str">
        <f t="shared" si="229"/>
        <v>06-C02-01</v>
      </c>
      <c r="G9539">
        <v>0.31909999999999999</v>
      </c>
      <c r="H9539" t="s">
        <v>11</v>
      </c>
      <c r="I9539" t="s">
        <v>10</v>
      </c>
    </row>
    <row r="9540" spans="1:9" x14ac:dyDescent="0.25">
      <c r="A9540" t="str">
        <f t="shared" si="227"/>
        <v>89301000</v>
      </c>
      <c r="B9540" t="str">
        <f t="shared" si="228"/>
        <v>6404031007</v>
      </c>
      <c r="C9540" s="1">
        <v>45243</v>
      </c>
      <c r="D9540" s="1">
        <v>45245</v>
      </c>
      <c r="E9540">
        <v>1</v>
      </c>
      <c r="F9540" t="str">
        <f t="shared" si="229"/>
        <v>06-C02-01</v>
      </c>
      <c r="G9540">
        <v>0.31909999999999999</v>
      </c>
      <c r="H9540" t="s">
        <v>11</v>
      </c>
      <c r="I9540" t="s">
        <v>10</v>
      </c>
    </row>
    <row r="9541" spans="1:9" x14ac:dyDescent="0.25">
      <c r="A9541" t="str">
        <f t="shared" si="227"/>
        <v>89301000</v>
      </c>
      <c r="B9541" t="str">
        <f t="shared" si="228"/>
        <v>6404031007</v>
      </c>
      <c r="C9541" s="1">
        <v>45257</v>
      </c>
      <c r="D9541" s="1">
        <v>45259</v>
      </c>
      <c r="E9541">
        <v>1</v>
      </c>
      <c r="F9541" t="str">
        <f t="shared" si="229"/>
        <v>06-C02-01</v>
      </c>
      <c r="G9541">
        <v>0.31909999999999999</v>
      </c>
      <c r="H9541" t="s">
        <v>11</v>
      </c>
      <c r="I9541" t="s">
        <v>10</v>
      </c>
    </row>
    <row r="9542" spans="1:9" x14ac:dyDescent="0.25">
      <c r="A9542" t="str">
        <f t="shared" si="227"/>
        <v>89301000</v>
      </c>
      <c r="B9542" t="str">
        <f t="shared" si="228"/>
        <v>6404031007</v>
      </c>
      <c r="C9542" s="1">
        <v>45271</v>
      </c>
      <c r="D9542" s="1">
        <v>45273</v>
      </c>
      <c r="E9542">
        <v>1</v>
      </c>
      <c r="F9542" t="str">
        <f t="shared" si="229"/>
        <v>06-C02-01</v>
      </c>
      <c r="G9542">
        <v>0.31909999999999999</v>
      </c>
      <c r="H9542" t="s">
        <v>11</v>
      </c>
      <c r="I9542" t="s">
        <v>10</v>
      </c>
    </row>
    <row r="9543" spans="1:9" x14ac:dyDescent="0.25">
      <c r="A9543" t="str">
        <f t="shared" si="227"/>
        <v>89301000</v>
      </c>
      <c r="B9543" t="str">
        <f t="shared" si="228"/>
        <v>6404031007</v>
      </c>
      <c r="C9543" s="1">
        <v>44958</v>
      </c>
      <c r="D9543" s="1">
        <v>44960</v>
      </c>
      <c r="E9543">
        <v>1</v>
      </c>
      <c r="F9543" t="str">
        <f t="shared" si="229"/>
        <v>06-C02-01</v>
      </c>
      <c r="G9543">
        <v>0.31909999999999999</v>
      </c>
      <c r="H9543" t="s">
        <v>11</v>
      </c>
      <c r="I9543" t="s">
        <v>10</v>
      </c>
    </row>
    <row r="9544" spans="1:9" x14ac:dyDescent="0.25">
      <c r="A9544" t="str">
        <f t="shared" si="227"/>
        <v>89301000</v>
      </c>
      <c r="B9544" t="str">
        <f t="shared" si="228"/>
        <v>6404031007</v>
      </c>
      <c r="C9544" s="1">
        <v>44930</v>
      </c>
      <c r="D9544" s="1">
        <v>44932</v>
      </c>
      <c r="E9544">
        <v>1</v>
      </c>
      <c r="F9544" t="str">
        <f t="shared" si="229"/>
        <v>06-C02-01</v>
      </c>
      <c r="G9544">
        <v>0.31909999999999999</v>
      </c>
      <c r="H9544" t="s">
        <v>11</v>
      </c>
      <c r="I9544" t="s">
        <v>10</v>
      </c>
    </row>
    <row r="9545" spans="1:9" x14ac:dyDescent="0.25">
      <c r="A9545" t="str">
        <f t="shared" si="227"/>
        <v>89301000</v>
      </c>
      <c r="B9545" t="str">
        <f t="shared" si="228"/>
        <v>6404031007</v>
      </c>
      <c r="C9545" s="1">
        <v>44944</v>
      </c>
      <c r="D9545" s="1">
        <v>44946</v>
      </c>
      <c r="E9545">
        <v>1</v>
      </c>
      <c r="F9545" t="str">
        <f t="shared" si="229"/>
        <v>06-C02-01</v>
      </c>
      <c r="G9545">
        <v>0.31909999999999999</v>
      </c>
      <c r="H9545" t="s">
        <v>11</v>
      </c>
      <c r="I9545" t="s">
        <v>10</v>
      </c>
    </row>
    <row r="9546" spans="1:9" x14ac:dyDescent="0.25">
      <c r="A9546" t="str">
        <f t="shared" si="227"/>
        <v>89301000</v>
      </c>
      <c r="B9546" t="str">
        <f>"6404072763"</f>
        <v>6404072763</v>
      </c>
      <c r="C9546" s="1">
        <v>44930</v>
      </c>
      <c r="D9546" s="1">
        <v>44937</v>
      </c>
      <c r="E9546">
        <v>1</v>
      </c>
      <c r="F9546" t="str">
        <f>"20-K03-03"</f>
        <v>20-K03-03</v>
      </c>
      <c r="G9546">
        <v>0.94020000000000004</v>
      </c>
      <c r="H9546" t="s">
        <v>11</v>
      </c>
      <c r="I9546" t="s">
        <v>10</v>
      </c>
    </row>
    <row r="9547" spans="1:9" x14ac:dyDescent="0.25">
      <c r="A9547" t="str">
        <f t="shared" si="227"/>
        <v>89301000</v>
      </c>
      <c r="B9547" t="str">
        <f>"6404080298"</f>
        <v>6404080298</v>
      </c>
      <c r="C9547" s="1">
        <v>45254</v>
      </c>
      <c r="D9547" s="1">
        <v>45259</v>
      </c>
      <c r="E9547">
        <v>1</v>
      </c>
      <c r="F9547" t="str">
        <f>"12-I02-01"</f>
        <v>12-I02-01</v>
      </c>
      <c r="G9547">
        <v>3.3855</v>
      </c>
      <c r="H9547" t="s">
        <v>9</v>
      </c>
      <c r="I9547" t="s">
        <v>10</v>
      </c>
    </row>
    <row r="9548" spans="1:9" x14ac:dyDescent="0.25">
      <c r="A9548" t="str">
        <f t="shared" si="227"/>
        <v>89301000</v>
      </c>
      <c r="B9548" t="str">
        <f>"6404110361"</f>
        <v>6404110361</v>
      </c>
      <c r="C9548" s="1">
        <v>45056</v>
      </c>
      <c r="D9548" s="1">
        <v>45059</v>
      </c>
      <c r="E9548">
        <v>1</v>
      </c>
      <c r="F9548" t="str">
        <f>"05-M06-06"</f>
        <v>05-M06-06</v>
      </c>
      <c r="G9548">
        <v>1.8264</v>
      </c>
      <c r="H9548" t="s">
        <v>12</v>
      </c>
      <c r="I9548" t="s">
        <v>10</v>
      </c>
    </row>
    <row r="9549" spans="1:9" x14ac:dyDescent="0.25">
      <c r="A9549" t="str">
        <f t="shared" si="227"/>
        <v>89301000</v>
      </c>
      <c r="B9549" t="str">
        <f>"6404110900"</f>
        <v>6404110900</v>
      </c>
      <c r="C9549" s="1">
        <v>45040</v>
      </c>
      <c r="D9549" s="1">
        <v>45043</v>
      </c>
      <c r="E9549">
        <v>1</v>
      </c>
      <c r="F9549" t="str">
        <f>"08-M03-05"</f>
        <v>08-M03-05</v>
      </c>
      <c r="G9549">
        <v>0.46910000000000002</v>
      </c>
      <c r="H9549" t="s">
        <v>11</v>
      </c>
      <c r="I9549" t="s">
        <v>10</v>
      </c>
    </row>
    <row r="9550" spans="1:9" x14ac:dyDescent="0.25">
      <c r="A9550" t="str">
        <f t="shared" si="227"/>
        <v>89301000</v>
      </c>
      <c r="B9550" t="str">
        <f>"6404121119"</f>
        <v>6404121119</v>
      </c>
      <c r="C9550" s="1">
        <v>45078</v>
      </c>
      <c r="D9550" s="1">
        <v>45078</v>
      </c>
      <c r="E9550">
        <v>1</v>
      </c>
      <c r="F9550" t="str">
        <f>"05-D01-08"</f>
        <v>05-D01-08</v>
      </c>
      <c r="G9550">
        <v>0.2303</v>
      </c>
      <c r="H9550" t="s">
        <v>11</v>
      </c>
      <c r="I9550" t="s">
        <v>10</v>
      </c>
    </row>
    <row r="9551" spans="1:9" x14ac:dyDescent="0.25">
      <c r="A9551" t="str">
        <f t="shared" si="227"/>
        <v>89301000</v>
      </c>
      <c r="B9551" t="str">
        <f>"6404131679"</f>
        <v>6404131679</v>
      </c>
      <c r="C9551" s="1">
        <v>45005</v>
      </c>
      <c r="D9551" s="1">
        <v>45007</v>
      </c>
      <c r="E9551">
        <v>1</v>
      </c>
      <c r="F9551" t="str">
        <f>"08-I32-00"</f>
        <v>08-I32-00</v>
      </c>
      <c r="G9551">
        <v>0.4093</v>
      </c>
      <c r="H9551" t="s">
        <v>11</v>
      </c>
      <c r="I9551" t="s">
        <v>10</v>
      </c>
    </row>
    <row r="9552" spans="1:9" x14ac:dyDescent="0.25">
      <c r="A9552" t="str">
        <f t="shared" si="227"/>
        <v>89301000</v>
      </c>
      <c r="B9552" t="str">
        <f>"6404142327"</f>
        <v>6404142327</v>
      </c>
      <c r="C9552" s="1">
        <v>45245</v>
      </c>
      <c r="D9552" s="1">
        <v>45250</v>
      </c>
      <c r="E9552">
        <v>1</v>
      </c>
      <c r="F9552" t="str">
        <f>"08-I06-04"</f>
        <v>08-I06-04</v>
      </c>
      <c r="G9552">
        <v>2.3915000000000002</v>
      </c>
      <c r="H9552" t="s">
        <v>9</v>
      </c>
      <c r="I9552" t="s">
        <v>10</v>
      </c>
    </row>
    <row r="9553" spans="1:9" x14ac:dyDescent="0.25">
      <c r="A9553" t="str">
        <f t="shared" si="227"/>
        <v>89301000</v>
      </c>
      <c r="B9553" t="str">
        <f>"6404146617"</f>
        <v>6404146617</v>
      </c>
      <c r="C9553" s="1">
        <v>45047</v>
      </c>
      <c r="D9553" s="1">
        <v>45058</v>
      </c>
      <c r="E9553">
        <v>1</v>
      </c>
      <c r="F9553" t="str">
        <f>"20-K04-02"</f>
        <v>20-K04-02</v>
      </c>
      <c r="G9553">
        <v>1.3379000000000001</v>
      </c>
      <c r="H9553" t="s">
        <v>11</v>
      </c>
      <c r="I9553" t="s">
        <v>16</v>
      </c>
    </row>
    <row r="9554" spans="1:9" x14ac:dyDescent="0.25">
      <c r="A9554" t="str">
        <f t="shared" si="227"/>
        <v>89301000</v>
      </c>
      <c r="B9554" t="str">
        <f>"6404151347"</f>
        <v>6404151347</v>
      </c>
      <c r="C9554" s="1">
        <v>45128</v>
      </c>
      <c r="D9554" s="1">
        <v>45163</v>
      </c>
      <c r="E9554">
        <v>1</v>
      </c>
      <c r="F9554" t="str">
        <f>"17-C01-02"</f>
        <v>17-C01-02</v>
      </c>
      <c r="G9554">
        <v>15.4831</v>
      </c>
      <c r="H9554" t="s">
        <v>11</v>
      </c>
      <c r="I9554" t="s">
        <v>10</v>
      </c>
    </row>
    <row r="9555" spans="1:9" x14ac:dyDescent="0.25">
      <c r="A9555" t="str">
        <f t="shared" si="227"/>
        <v>89301000</v>
      </c>
      <c r="B9555" t="str">
        <f>"6404210428"</f>
        <v>6404210428</v>
      </c>
      <c r="C9555" s="1">
        <v>44958</v>
      </c>
      <c r="D9555" s="1">
        <v>44960</v>
      </c>
      <c r="E9555">
        <v>1</v>
      </c>
      <c r="F9555" t="str">
        <f>"08-I25-02"</f>
        <v>08-I25-02</v>
      </c>
      <c r="G9555">
        <v>0.64249999999999996</v>
      </c>
      <c r="H9555" t="s">
        <v>11</v>
      </c>
      <c r="I9555" t="s">
        <v>10</v>
      </c>
    </row>
    <row r="9556" spans="1:9" x14ac:dyDescent="0.25">
      <c r="A9556" t="str">
        <f t="shared" si="227"/>
        <v>89301000</v>
      </c>
      <c r="B9556" t="str">
        <f>"6405020193"</f>
        <v>6405020193</v>
      </c>
      <c r="C9556" s="1">
        <v>45223</v>
      </c>
      <c r="D9556" s="1">
        <v>45253</v>
      </c>
      <c r="E9556">
        <v>2</v>
      </c>
      <c r="F9556" t="str">
        <f>"08-K08-00"</f>
        <v>08-K08-00</v>
      </c>
      <c r="G9556">
        <v>1.5288999999999999</v>
      </c>
      <c r="H9556" t="s">
        <v>11</v>
      </c>
      <c r="I9556" t="s">
        <v>10</v>
      </c>
    </row>
    <row r="9557" spans="1:9" x14ac:dyDescent="0.25">
      <c r="A9557" t="str">
        <f t="shared" si="227"/>
        <v>89301000</v>
      </c>
      <c r="B9557" t="str">
        <f>"6405041654"</f>
        <v>6405041654</v>
      </c>
      <c r="C9557" s="1">
        <v>45026</v>
      </c>
      <c r="D9557" s="1">
        <v>45030</v>
      </c>
      <c r="E9557">
        <v>1</v>
      </c>
      <c r="F9557" t="str">
        <f>"03-I19-02"</f>
        <v>03-I19-02</v>
      </c>
      <c r="G9557">
        <v>0.71340000000000003</v>
      </c>
      <c r="H9557" t="s">
        <v>11</v>
      </c>
      <c r="I9557" t="s">
        <v>10</v>
      </c>
    </row>
    <row r="9558" spans="1:9" x14ac:dyDescent="0.25">
      <c r="A9558" t="str">
        <f t="shared" si="227"/>
        <v>89301000</v>
      </c>
      <c r="B9558" t="str">
        <f>"6405081056"</f>
        <v>6405081056</v>
      </c>
      <c r="C9558" s="1">
        <v>45189</v>
      </c>
      <c r="D9558" s="1">
        <v>45195</v>
      </c>
      <c r="E9558">
        <v>4</v>
      </c>
      <c r="F9558" t="str">
        <f>"08-I05-04"</f>
        <v>08-I05-04</v>
      </c>
      <c r="G9558">
        <v>2.4445000000000001</v>
      </c>
      <c r="H9558" t="s">
        <v>12</v>
      </c>
      <c r="I9558" t="s">
        <v>10</v>
      </c>
    </row>
    <row r="9559" spans="1:9" x14ac:dyDescent="0.25">
      <c r="A9559" t="str">
        <f t="shared" si="227"/>
        <v>89301000</v>
      </c>
      <c r="B9559" t="str">
        <f>"6405101197"</f>
        <v>6405101197</v>
      </c>
      <c r="C9559" s="1">
        <v>44932</v>
      </c>
      <c r="D9559" s="1">
        <v>44939</v>
      </c>
      <c r="E9559">
        <v>1</v>
      </c>
      <c r="F9559" t="str">
        <f>"04-K06-02"</f>
        <v>04-K06-02</v>
      </c>
      <c r="G9559">
        <v>0.99870000000000003</v>
      </c>
      <c r="H9559" t="s">
        <v>11</v>
      </c>
      <c r="I9559" t="s">
        <v>10</v>
      </c>
    </row>
    <row r="9560" spans="1:9" x14ac:dyDescent="0.25">
      <c r="A9560" t="str">
        <f t="shared" si="227"/>
        <v>89301000</v>
      </c>
      <c r="B9560" t="str">
        <f>"6405110954"</f>
        <v>6405110954</v>
      </c>
      <c r="C9560" s="1">
        <v>44966</v>
      </c>
      <c r="D9560" s="1">
        <v>44967</v>
      </c>
      <c r="E9560">
        <v>1</v>
      </c>
      <c r="F9560" t="str">
        <f>"03-I14-02"</f>
        <v>03-I14-02</v>
      </c>
      <c r="G9560">
        <v>1.0793999999999999</v>
      </c>
      <c r="H9560" t="s">
        <v>11</v>
      </c>
      <c r="I9560" t="s">
        <v>10</v>
      </c>
    </row>
    <row r="9561" spans="1:9" x14ac:dyDescent="0.25">
      <c r="A9561" t="str">
        <f t="shared" si="227"/>
        <v>89301000</v>
      </c>
      <c r="B9561" t="str">
        <f>"6405120436"</f>
        <v>6405120436</v>
      </c>
      <c r="C9561" s="1">
        <v>44966</v>
      </c>
      <c r="D9561" s="1">
        <v>44972</v>
      </c>
      <c r="E9561">
        <v>4</v>
      </c>
      <c r="F9561" t="str">
        <f>"08-I05-04"</f>
        <v>08-I05-04</v>
      </c>
      <c r="G9561">
        <v>2.4445000000000001</v>
      </c>
      <c r="H9561" t="s">
        <v>12</v>
      </c>
      <c r="I9561" t="s">
        <v>10</v>
      </c>
    </row>
    <row r="9562" spans="1:9" x14ac:dyDescent="0.25">
      <c r="A9562" t="str">
        <f t="shared" si="227"/>
        <v>89301000</v>
      </c>
      <c r="B9562" t="str">
        <f>"6405121195"</f>
        <v>6405121195</v>
      </c>
      <c r="C9562" s="1">
        <v>45272</v>
      </c>
      <c r="D9562" s="1">
        <v>45273</v>
      </c>
      <c r="E9562">
        <v>1</v>
      </c>
      <c r="F9562" t="str">
        <f>"02-I13-02"</f>
        <v>02-I13-02</v>
      </c>
      <c r="G9562">
        <v>0.4259</v>
      </c>
      <c r="H9562" t="s">
        <v>11</v>
      </c>
      <c r="I9562" t="s">
        <v>10</v>
      </c>
    </row>
    <row r="9563" spans="1:9" x14ac:dyDescent="0.25">
      <c r="A9563" t="str">
        <f t="shared" si="227"/>
        <v>89301000</v>
      </c>
      <c r="B9563" t="str">
        <f>"6405170068"</f>
        <v>6405170068</v>
      </c>
      <c r="C9563" s="1">
        <v>45051</v>
      </c>
      <c r="D9563" s="1">
        <v>45055</v>
      </c>
      <c r="E9563">
        <v>1</v>
      </c>
      <c r="F9563" t="str">
        <f>"02-K11-01"</f>
        <v>02-K11-01</v>
      </c>
      <c r="G9563">
        <v>0.87490000000000001</v>
      </c>
      <c r="H9563" t="s">
        <v>11</v>
      </c>
      <c r="I9563" t="s">
        <v>10</v>
      </c>
    </row>
    <row r="9564" spans="1:9" x14ac:dyDescent="0.25">
      <c r="A9564" t="str">
        <f t="shared" si="227"/>
        <v>89301000</v>
      </c>
      <c r="B9564" t="str">
        <f>"6405170068"</f>
        <v>6405170068</v>
      </c>
      <c r="C9564" s="1">
        <v>45070</v>
      </c>
      <c r="D9564" s="1">
        <v>45072</v>
      </c>
      <c r="E9564">
        <v>1</v>
      </c>
      <c r="F9564" t="str">
        <f>"02-K11-01"</f>
        <v>02-K11-01</v>
      </c>
      <c r="G9564">
        <v>0.87490000000000001</v>
      </c>
      <c r="H9564" t="s">
        <v>11</v>
      </c>
      <c r="I9564" t="s">
        <v>10</v>
      </c>
    </row>
    <row r="9565" spans="1:9" x14ac:dyDescent="0.25">
      <c r="A9565" t="str">
        <f t="shared" si="227"/>
        <v>89301000</v>
      </c>
      <c r="B9565" t="str">
        <f>"6405176943"</f>
        <v>6405176943</v>
      </c>
      <c r="C9565" s="1">
        <v>45263</v>
      </c>
      <c r="D9565" s="1">
        <v>45264</v>
      </c>
      <c r="E9565">
        <v>1</v>
      </c>
      <c r="F9565" t="str">
        <f>"05-M06-06"</f>
        <v>05-M06-06</v>
      </c>
      <c r="G9565">
        <v>1.8264</v>
      </c>
      <c r="H9565" t="s">
        <v>12</v>
      </c>
      <c r="I9565" t="s">
        <v>10</v>
      </c>
    </row>
    <row r="9566" spans="1:9" x14ac:dyDescent="0.25">
      <c r="A9566" t="str">
        <f t="shared" si="227"/>
        <v>89301000</v>
      </c>
      <c r="B9566" t="str">
        <f>"6405220668"</f>
        <v>6405220668</v>
      </c>
      <c r="C9566" s="1">
        <v>45031</v>
      </c>
      <c r="D9566" s="1">
        <v>45033</v>
      </c>
      <c r="E9566">
        <v>1</v>
      </c>
      <c r="F9566" t="str">
        <f>"05-D01-08"</f>
        <v>05-D01-08</v>
      </c>
      <c r="G9566">
        <v>0.43159999999999998</v>
      </c>
      <c r="H9566" t="s">
        <v>11</v>
      </c>
      <c r="I9566" t="s">
        <v>10</v>
      </c>
    </row>
    <row r="9567" spans="1:9" x14ac:dyDescent="0.25">
      <c r="A9567" t="str">
        <f t="shared" si="227"/>
        <v>89301000</v>
      </c>
      <c r="B9567" t="str">
        <f>"6405220668"</f>
        <v>6405220668</v>
      </c>
      <c r="C9567" s="1">
        <v>45043</v>
      </c>
      <c r="D9567" s="1">
        <v>45044</v>
      </c>
      <c r="E9567">
        <v>1</v>
      </c>
      <c r="F9567" t="str">
        <f>"05-M06-06"</f>
        <v>05-M06-06</v>
      </c>
      <c r="G9567">
        <v>1.8264</v>
      </c>
      <c r="H9567" t="s">
        <v>12</v>
      </c>
      <c r="I9567" t="s">
        <v>10</v>
      </c>
    </row>
    <row r="9568" spans="1:9" x14ac:dyDescent="0.25">
      <c r="A9568" t="str">
        <f t="shared" si="227"/>
        <v>89301000</v>
      </c>
      <c r="B9568" t="str">
        <f>"6405280684"</f>
        <v>6405280684</v>
      </c>
      <c r="C9568" s="1">
        <v>45221</v>
      </c>
      <c r="D9568" s="1">
        <v>45226</v>
      </c>
      <c r="E9568">
        <v>1</v>
      </c>
      <c r="F9568" t="str">
        <f>"08-K02-03"</f>
        <v>08-K02-03</v>
      </c>
      <c r="G9568">
        <v>0.6361</v>
      </c>
      <c r="H9568" t="s">
        <v>11</v>
      </c>
      <c r="I9568" t="s">
        <v>10</v>
      </c>
    </row>
    <row r="9569" spans="1:9" x14ac:dyDescent="0.25">
      <c r="A9569" t="str">
        <f t="shared" si="227"/>
        <v>89301000</v>
      </c>
      <c r="B9569" t="str">
        <f>"6405290100"</f>
        <v>6405290100</v>
      </c>
      <c r="C9569" s="1">
        <v>45237</v>
      </c>
      <c r="D9569" s="1">
        <v>45238</v>
      </c>
      <c r="E9569">
        <v>1</v>
      </c>
      <c r="F9569" t="str">
        <f>"02-K07-02"</f>
        <v>02-K07-02</v>
      </c>
      <c r="G9569">
        <v>0.55679999999999996</v>
      </c>
      <c r="H9569" t="s">
        <v>11</v>
      </c>
      <c r="I9569" t="s">
        <v>10</v>
      </c>
    </row>
    <row r="9570" spans="1:9" x14ac:dyDescent="0.25">
      <c r="A9570" t="str">
        <f t="shared" si="227"/>
        <v>89301000</v>
      </c>
      <c r="B9570" t="str">
        <f>"6406010941"</f>
        <v>6406010941</v>
      </c>
      <c r="C9570" s="1">
        <v>44997</v>
      </c>
      <c r="D9570" s="1">
        <v>45000</v>
      </c>
      <c r="E9570">
        <v>1</v>
      </c>
      <c r="F9570" t="str">
        <f>"08-M03-05"</f>
        <v>08-M03-05</v>
      </c>
      <c r="G9570">
        <v>0.46810000000000002</v>
      </c>
      <c r="H9570" t="s">
        <v>11</v>
      </c>
      <c r="I9570" t="s">
        <v>10</v>
      </c>
    </row>
    <row r="9571" spans="1:9" x14ac:dyDescent="0.25">
      <c r="A9571" t="str">
        <f t="shared" si="227"/>
        <v>89301000</v>
      </c>
      <c r="B9571" t="str">
        <f>"6406020159"</f>
        <v>6406020159</v>
      </c>
      <c r="C9571" s="1">
        <v>45157</v>
      </c>
      <c r="D9571" s="1">
        <v>45164</v>
      </c>
      <c r="E9571">
        <v>1</v>
      </c>
      <c r="F9571" t="str">
        <f>"12-I08-03"</f>
        <v>12-I08-03</v>
      </c>
      <c r="G9571">
        <v>0.7258</v>
      </c>
      <c r="H9571" t="s">
        <v>11</v>
      </c>
      <c r="I9571" t="s">
        <v>10</v>
      </c>
    </row>
    <row r="9572" spans="1:9" x14ac:dyDescent="0.25">
      <c r="A9572" t="str">
        <f t="shared" si="227"/>
        <v>89301000</v>
      </c>
      <c r="B9572" t="str">
        <f>"6406041631"</f>
        <v>6406041631</v>
      </c>
      <c r="C9572" s="1">
        <v>44995</v>
      </c>
      <c r="D9572" s="1">
        <v>44999</v>
      </c>
      <c r="E9572">
        <v>1</v>
      </c>
      <c r="F9572" t="str">
        <f>"02-K01-02"</f>
        <v>02-K01-02</v>
      </c>
      <c r="G9572">
        <v>0.90510000000000002</v>
      </c>
      <c r="H9572" t="s">
        <v>11</v>
      </c>
      <c r="I9572" t="s">
        <v>10</v>
      </c>
    </row>
    <row r="9573" spans="1:9" x14ac:dyDescent="0.25">
      <c r="A9573" t="str">
        <f t="shared" si="227"/>
        <v>89301000</v>
      </c>
      <c r="B9573" t="str">
        <f>"6406060166"</f>
        <v>6406060166</v>
      </c>
      <c r="C9573" s="1">
        <v>45194</v>
      </c>
      <c r="D9573" s="1">
        <v>45196</v>
      </c>
      <c r="E9573">
        <v>1</v>
      </c>
      <c r="F9573" t="str">
        <f>"08-M03-05"</f>
        <v>08-M03-05</v>
      </c>
      <c r="G9573">
        <v>0.46810000000000002</v>
      </c>
      <c r="H9573" t="s">
        <v>11</v>
      </c>
      <c r="I9573" t="s">
        <v>10</v>
      </c>
    </row>
    <row r="9574" spans="1:9" x14ac:dyDescent="0.25">
      <c r="A9574" t="str">
        <f t="shared" si="227"/>
        <v>89301000</v>
      </c>
      <c r="B9574" t="str">
        <f>"6406121029"</f>
        <v>6406121029</v>
      </c>
      <c r="C9574" s="1">
        <v>45106</v>
      </c>
      <c r="D9574" s="1">
        <v>45107</v>
      </c>
      <c r="E9574">
        <v>1</v>
      </c>
      <c r="F9574" t="str">
        <f>"03-K13-02"</f>
        <v>03-K13-02</v>
      </c>
      <c r="G9574">
        <v>0.24440000000000001</v>
      </c>
      <c r="H9574" t="s">
        <v>11</v>
      </c>
      <c r="I9574" t="s">
        <v>10</v>
      </c>
    </row>
    <row r="9575" spans="1:9" x14ac:dyDescent="0.25">
      <c r="A9575" t="str">
        <f t="shared" si="227"/>
        <v>89301000</v>
      </c>
      <c r="B9575" t="str">
        <f>"6406160156"</f>
        <v>6406160156</v>
      </c>
      <c r="C9575" s="1">
        <v>44965</v>
      </c>
      <c r="D9575" s="1">
        <v>44996</v>
      </c>
      <c r="E9575">
        <v>1</v>
      </c>
      <c r="F9575" t="str">
        <f>"07-I01-01"</f>
        <v>07-I01-01</v>
      </c>
      <c r="G9575">
        <v>8.9221000000000004</v>
      </c>
      <c r="H9575" t="s">
        <v>14</v>
      </c>
      <c r="I9575" t="s">
        <v>10</v>
      </c>
    </row>
    <row r="9576" spans="1:9" x14ac:dyDescent="0.25">
      <c r="A9576" t="str">
        <f t="shared" si="227"/>
        <v>89301000</v>
      </c>
      <c r="B9576" t="str">
        <f>"6406170595"</f>
        <v>6406170595</v>
      </c>
      <c r="C9576" s="1">
        <v>45243</v>
      </c>
      <c r="D9576" s="1">
        <v>45244</v>
      </c>
      <c r="E9576">
        <v>1</v>
      </c>
      <c r="F9576" t="str">
        <f>"01-I03-02"</f>
        <v>01-I03-02</v>
      </c>
      <c r="G9576">
        <v>0.64770000000000005</v>
      </c>
      <c r="H9576" t="s">
        <v>14</v>
      </c>
      <c r="I9576" t="s">
        <v>10</v>
      </c>
    </row>
    <row r="9577" spans="1:9" x14ac:dyDescent="0.25">
      <c r="A9577" t="str">
        <f t="shared" si="227"/>
        <v>89301000</v>
      </c>
      <c r="B9577" t="str">
        <f>"6406170595"</f>
        <v>6406170595</v>
      </c>
      <c r="C9577" s="1">
        <v>45006</v>
      </c>
      <c r="D9577" s="1">
        <v>45022</v>
      </c>
      <c r="E9577">
        <v>1</v>
      </c>
      <c r="F9577" t="str">
        <f>"01-I03-01"</f>
        <v>01-I03-01</v>
      </c>
      <c r="G9577">
        <v>9.3451000000000004</v>
      </c>
      <c r="H9577" t="s">
        <v>14</v>
      </c>
      <c r="I9577" t="s">
        <v>10</v>
      </c>
    </row>
    <row r="9578" spans="1:9" x14ac:dyDescent="0.25">
      <c r="A9578" t="str">
        <f t="shared" si="227"/>
        <v>89301000</v>
      </c>
      <c r="B9578" t="str">
        <f>"6406210998"</f>
        <v>6406210998</v>
      </c>
      <c r="C9578" s="1">
        <v>45265</v>
      </c>
      <c r="D9578" s="1">
        <v>45268</v>
      </c>
      <c r="E9578">
        <v>1</v>
      </c>
      <c r="F9578" t="str">
        <f>"03-I24-00"</f>
        <v>03-I24-00</v>
      </c>
      <c r="G9578">
        <v>0.40899999999999997</v>
      </c>
      <c r="H9578" t="s">
        <v>11</v>
      </c>
      <c r="I9578" t="s">
        <v>10</v>
      </c>
    </row>
    <row r="9579" spans="1:9" x14ac:dyDescent="0.25">
      <c r="A9579" t="str">
        <f t="shared" si="227"/>
        <v>89301000</v>
      </c>
      <c r="B9579" t="str">
        <f>"6406220997"</f>
        <v>6406220997</v>
      </c>
      <c r="C9579" s="1">
        <v>45019</v>
      </c>
      <c r="D9579" s="1">
        <v>45020</v>
      </c>
      <c r="E9579">
        <v>1</v>
      </c>
      <c r="F9579" t="str">
        <f>"05-M06-08"</f>
        <v>05-M06-08</v>
      </c>
      <c r="G9579">
        <v>1.9773000000000001</v>
      </c>
      <c r="H9579" t="s">
        <v>12</v>
      </c>
      <c r="I9579" t="s">
        <v>10</v>
      </c>
    </row>
    <row r="9580" spans="1:9" x14ac:dyDescent="0.25">
      <c r="A9580" t="str">
        <f t="shared" ref="A9580:A9643" si="230">"89301000"</f>
        <v>89301000</v>
      </c>
      <c r="B9580" t="str">
        <f>"6406271245"</f>
        <v>6406271245</v>
      </c>
      <c r="C9580" s="1">
        <v>44949</v>
      </c>
      <c r="D9580" s="1">
        <v>44952</v>
      </c>
      <c r="E9580">
        <v>1</v>
      </c>
      <c r="F9580" t="str">
        <f>"05-M07-06"</f>
        <v>05-M07-06</v>
      </c>
      <c r="G9580">
        <v>1.2264999999999999</v>
      </c>
      <c r="H9580" t="s">
        <v>12</v>
      </c>
      <c r="I9580" t="s">
        <v>10</v>
      </c>
    </row>
    <row r="9581" spans="1:9" x14ac:dyDescent="0.25">
      <c r="A9581" t="str">
        <f t="shared" si="230"/>
        <v>89301000</v>
      </c>
      <c r="B9581" t="str">
        <f>"6406290825"</f>
        <v>6406290825</v>
      </c>
      <c r="C9581" s="1">
        <v>44972</v>
      </c>
      <c r="D9581" s="1">
        <v>44978</v>
      </c>
      <c r="E9581">
        <v>1</v>
      </c>
      <c r="F9581" t="str">
        <f>"08-K08-00"</f>
        <v>08-K08-00</v>
      </c>
      <c r="G9581">
        <v>0.5272</v>
      </c>
      <c r="H9581" t="s">
        <v>11</v>
      </c>
      <c r="I9581" t="s">
        <v>10</v>
      </c>
    </row>
    <row r="9582" spans="1:9" x14ac:dyDescent="0.25">
      <c r="A9582" t="str">
        <f t="shared" si="230"/>
        <v>89301000</v>
      </c>
      <c r="B9582" t="str">
        <f>"6407070153"</f>
        <v>6407070153</v>
      </c>
      <c r="C9582" s="1">
        <v>44987</v>
      </c>
      <c r="D9582" s="1">
        <v>45000</v>
      </c>
      <c r="E9582">
        <v>1</v>
      </c>
      <c r="F9582" t="str">
        <f>"05-I16-04"</f>
        <v>05-I16-04</v>
      </c>
      <c r="G9582">
        <v>6.2375999999999996</v>
      </c>
      <c r="H9582" t="s">
        <v>14</v>
      </c>
      <c r="I9582" t="s">
        <v>10</v>
      </c>
    </row>
    <row r="9583" spans="1:9" x14ac:dyDescent="0.25">
      <c r="A9583" t="str">
        <f t="shared" si="230"/>
        <v>89301000</v>
      </c>
      <c r="B9583" t="str">
        <f>"6407070945"</f>
        <v>6407070945</v>
      </c>
      <c r="C9583" s="1">
        <v>45280</v>
      </c>
      <c r="D9583" s="1">
        <v>45283</v>
      </c>
      <c r="E9583">
        <v>1</v>
      </c>
      <c r="F9583" t="str">
        <f>"08-K08-00"</f>
        <v>08-K08-00</v>
      </c>
      <c r="G9583">
        <v>0.5272</v>
      </c>
      <c r="H9583" t="s">
        <v>11</v>
      </c>
      <c r="I9583" t="s">
        <v>10</v>
      </c>
    </row>
    <row r="9584" spans="1:9" x14ac:dyDescent="0.25">
      <c r="A9584" t="str">
        <f t="shared" si="230"/>
        <v>89301000</v>
      </c>
      <c r="B9584" t="str">
        <f>"6407151300"</f>
        <v>6407151300</v>
      </c>
      <c r="C9584" s="1">
        <v>45279</v>
      </c>
      <c r="D9584" s="1">
        <v>45281</v>
      </c>
      <c r="E9584">
        <v>1</v>
      </c>
      <c r="F9584" t="str">
        <f>"01-K06-00"</f>
        <v>01-K06-00</v>
      </c>
      <c r="G9584">
        <v>0.15359999999999999</v>
      </c>
      <c r="H9584" t="s">
        <v>11</v>
      </c>
      <c r="I9584" t="s">
        <v>10</v>
      </c>
    </row>
    <row r="9585" spans="1:9" x14ac:dyDescent="0.25">
      <c r="A9585" t="str">
        <f t="shared" si="230"/>
        <v>89301000</v>
      </c>
      <c r="B9585" t="str">
        <f>"6407210733"</f>
        <v>6407210733</v>
      </c>
      <c r="C9585" s="1">
        <v>45013</v>
      </c>
      <c r="D9585" s="1">
        <v>45020</v>
      </c>
      <c r="E9585">
        <v>1</v>
      </c>
      <c r="F9585" t="str">
        <f>"08-I06-04"</f>
        <v>08-I06-04</v>
      </c>
      <c r="G9585">
        <v>2.4180000000000001</v>
      </c>
      <c r="H9585" t="s">
        <v>9</v>
      </c>
      <c r="I9585" t="s">
        <v>10</v>
      </c>
    </row>
    <row r="9586" spans="1:9" x14ac:dyDescent="0.25">
      <c r="A9586" t="str">
        <f t="shared" si="230"/>
        <v>89301000</v>
      </c>
      <c r="B9586" t="str">
        <f>"6407240103"</f>
        <v>6407240103</v>
      </c>
      <c r="C9586" s="1">
        <v>45114</v>
      </c>
      <c r="D9586" s="1">
        <v>45117</v>
      </c>
      <c r="E9586">
        <v>1</v>
      </c>
      <c r="F9586" t="str">
        <f>"05-M06-06"</f>
        <v>05-M06-06</v>
      </c>
      <c r="G9586">
        <v>1.8264</v>
      </c>
      <c r="H9586" t="s">
        <v>12</v>
      </c>
      <c r="I9586" t="s">
        <v>10</v>
      </c>
    </row>
    <row r="9587" spans="1:9" x14ac:dyDescent="0.25">
      <c r="A9587" t="str">
        <f t="shared" si="230"/>
        <v>89301000</v>
      </c>
      <c r="B9587" t="str">
        <f>"6408030123"</f>
        <v>6408030123</v>
      </c>
      <c r="C9587" s="1">
        <v>44929</v>
      </c>
      <c r="D9587" s="1">
        <v>44951</v>
      </c>
      <c r="E9587">
        <v>1</v>
      </c>
      <c r="F9587" t="str">
        <f>"00-M01-03"</f>
        <v>00-M01-03</v>
      </c>
      <c r="G9587">
        <v>9.8780999999999999</v>
      </c>
      <c r="H9587" t="s">
        <v>11</v>
      </c>
      <c r="I9587" t="s">
        <v>10</v>
      </c>
    </row>
    <row r="9588" spans="1:9" x14ac:dyDescent="0.25">
      <c r="A9588" t="str">
        <f t="shared" si="230"/>
        <v>89301000</v>
      </c>
      <c r="B9588" t="str">
        <f>"6408070130"</f>
        <v>6408070130</v>
      </c>
      <c r="C9588" s="1">
        <v>44934</v>
      </c>
      <c r="D9588" s="1">
        <v>44937</v>
      </c>
      <c r="E9588">
        <v>1</v>
      </c>
      <c r="F9588" t="str">
        <f>"08-M03-03"</f>
        <v>08-M03-03</v>
      </c>
      <c r="G9588">
        <v>0.60040000000000004</v>
      </c>
      <c r="H9588" t="s">
        <v>11</v>
      </c>
      <c r="I9588" t="s">
        <v>10</v>
      </c>
    </row>
    <row r="9589" spans="1:9" x14ac:dyDescent="0.25">
      <c r="A9589" t="str">
        <f t="shared" si="230"/>
        <v>89301000</v>
      </c>
      <c r="B9589" t="str">
        <f>"6408171968"</f>
        <v>6408171968</v>
      </c>
      <c r="C9589" s="1">
        <v>45014</v>
      </c>
      <c r="D9589" s="1">
        <v>45016</v>
      </c>
      <c r="E9589">
        <v>1</v>
      </c>
      <c r="F9589" t="str">
        <f>"11-M05-01"</f>
        <v>11-M05-01</v>
      </c>
      <c r="G9589">
        <v>0.83750000000000002</v>
      </c>
      <c r="H9589" t="s">
        <v>12</v>
      </c>
      <c r="I9589" t="s">
        <v>10</v>
      </c>
    </row>
    <row r="9590" spans="1:9" x14ac:dyDescent="0.25">
      <c r="A9590" t="str">
        <f t="shared" si="230"/>
        <v>89301000</v>
      </c>
      <c r="B9590" t="str">
        <f>"6408171968"</f>
        <v>6408171968</v>
      </c>
      <c r="C9590" s="1">
        <v>45055</v>
      </c>
      <c r="D9590" s="1">
        <v>45062</v>
      </c>
      <c r="E9590">
        <v>1</v>
      </c>
      <c r="F9590" t="str">
        <f>"12-I03-04"</f>
        <v>12-I03-04</v>
      </c>
      <c r="G9590">
        <v>1.7813000000000001</v>
      </c>
      <c r="H9590" t="s">
        <v>9</v>
      </c>
      <c r="I9590" t="s">
        <v>10</v>
      </c>
    </row>
    <row r="9591" spans="1:9" x14ac:dyDescent="0.25">
      <c r="A9591" t="str">
        <f t="shared" si="230"/>
        <v>89301000</v>
      </c>
      <c r="B9591" t="str">
        <f>"6408210578"</f>
        <v>6408210578</v>
      </c>
      <c r="C9591" s="1">
        <v>44967</v>
      </c>
      <c r="D9591" s="1">
        <v>44969</v>
      </c>
      <c r="E9591">
        <v>1</v>
      </c>
      <c r="F9591" t="str">
        <f>"05-I30-01"</f>
        <v>05-I30-01</v>
      </c>
      <c r="G9591">
        <v>0.60350000000000004</v>
      </c>
      <c r="H9591" t="s">
        <v>12</v>
      </c>
      <c r="I9591" t="s">
        <v>10</v>
      </c>
    </row>
    <row r="9592" spans="1:9" x14ac:dyDescent="0.25">
      <c r="A9592" t="str">
        <f t="shared" si="230"/>
        <v>89301000</v>
      </c>
      <c r="B9592" t="str">
        <f>"6409030518"</f>
        <v>6409030518</v>
      </c>
      <c r="C9592" s="1">
        <v>44928</v>
      </c>
      <c r="D9592" s="1">
        <v>44932</v>
      </c>
      <c r="E9592">
        <v>1</v>
      </c>
      <c r="F9592" t="str">
        <f>"07-I10-06"</f>
        <v>07-I10-06</v>
      </c>
      <c r="G9592">
        <v>0.98419999999999996</v>
      </c>
      <c r="H9592" t="s">
        <v>12</v>
      </c>
      <c r="I9592" t="s">
        <v>10</v>
      </c>
    </row>
    <row r="9593" spans="1:9" x14ac:dyDescent="0.25">
      <c r="A9593" t="str">
        <f t="shared" si="230"/>
        <v>89301000</v>
      </c>
      <c r="B9593" t="str">
        <f>"6409040077"</f>
        <v>6409040077</v>
      </c>
      <c r="C9593" s="1">
        <v>45251</v>
      </c>
      <c r="D9593" s="1">
        <v>45261</v>
      </c>
      <c r="E9593">
        <v>1</v>
      </c>
      <c r="F9593" t="str">
        <f>"10-I08-01"</f>
        <v>10-I08-01</v>
      </c>
      <c r="G9593">
        <v>1.2454000000000001</v>
      </c>
      <c r="H9593" t="s">
        <v>11</v>
      </c>
      <c r="I9593" t="s">
        <v>10</v>
      </c>
    </row>
    <row r="9594" spans="1:9" x14ac:dyDescent="0.25">
      <c r="A9594" t="str">
        <f t="shared" si="230"/>
        <v>89301000</v>
      </c>
      <c r="B9594" t="str">
        <f>"6409040077"</f>
        <v>6409040077</v>
      </c>
      <c r="C9594" s="1">
        <v>45139</v>
      </c>
      <c r="D9594" s="1">
        <v>45149</v>
      </c>
      <c r="E9594">
        <v>1</v>
      </c>
      <c r="F9594" t="str">
        <f>"10-I08-01"</f>
        <v>10-I08-01</v>
      </c>
      <c r="G9594">
        <v>1.2454000000000001</v>
      </c>
      <c r="H9594" t="s">
        <v>11</v>
      </c>
      <c r="I9594" t="s">
        <v>10</v>
      </c>
    </row>
    <row r="9595" spans="1:9" x14ac:dyDescent="0.25">
      <c r="A9595" t="str">
        <f t="shared" si="230"/>
        <v>89301000</v>
      </c>
      <c r="B9595" t="str">
        <f>"6409061109"</f>
        <v>6409061109</v>
      </c>
      <c r="C9595" s="1">
        <v>45061</v>
      </c>
      <c r="D9595" s="1">
        <v>45063</v>
      </c>
      <c r="E9595">
        <v>1</v>
      </c>
      <c r="F9595" t="str">
        <f>"08-M03-05"</f>
        <v>08-M03-05</v>
      </c>
      <c r="G9595">
        <v>0.46810000000000002</v>
      </c>
      <c r="H9595" t="s">
        <v>11</v>
      </c>
      <c r="I9595" t="s">
        <v>10</v>
      </c>
    </row>
    <row r="9596" spans="1:9" x14ac:dyDescent="0.25">
      <c r="A9596" t="str">
        <f t="shared" si="230"/>
        <v>89301000</v>
      </c>
      <c r="B9596" t="str">
        <f>"6409066323"</f>
        <v>6409066323</v>
      </c>
      <c r="C9596" s="1">
        <v>45224</v>
      </c>
      <c r="D9596" s="1">
        <v>45228</v>
      </c>
      <c r="E9596">
        <v>1</v>
      </c>
      <c r="F9596" t="str">
        <f>"08-I04-03"</f>
        <v>08-I04-03</v>
      </c>
      <c r="G9596">
        <v>1.3045</v>
      </c>
      <c r="H9596" t="s">
        <v>14</v>
      </c>
      <c r="I9596" t="s">
        <v>10</v>
      </c>
    </row>
    <row r="9597" spans="1:9" x14ac:dyDescent="0.25">
      <c r="A9597" t="str">
        <f t="shared" si="230"/>
        <v>89301000</v>
      </c>
      <c r="B9597" t="str">
        <f>"6409080579"</f>
        <v>6409080579</v>
      </c>
      <c r="C9597" s="1">
        <v>44929</v>
      </c>
      <c r="D9597" s="1">
        <v>44932</v>
      </c>
      <c r="E9597">
        <v>1</v>
      </c>
      <c r="F9597" t="str">
        <f>"06-K13-02"</f>
        <v>06-K13-02</v>
      </c>
      <c r="G9597">
        <v>0.62629999999999997</v>
      </c>
      <c r="H9597" t="s">
        <v>11</v>
      </c>
      <c r="I9597" t="s">
        <v>10</v>
      </c>
    </row>
    <row r="9598" spans="1:9" x14ac:dyDescent="0.25">
      <c r="A9598" t="str">
        <f t="shared" si="230"/>
        <v>89301000</v>
      </c>
      <c r="B9598" t="str">
        <f>"6409091161"</f>
        <v>6409091161</v>
      </c>
      <c r="C9598" s="1">
        <v>45278</v>
      </c>
      <c r="D9598" s="1">
        <v>45282</v>
      </c>
      <c r="E9598">
        <v>1</v>
      </c>
      <c r="F9598" t="str">
        <f>"24-M05-02"</f>
        <v>24-M05-02</v>
      </c>
      <c r="G9598">
        <v>0.58660000000000001</v>
      </c>
      <c r="H9598" t="s">
        <v>11</v>
      </c>
      <c r="I9598" t="s">
        <v>10</v>
      </c>
    </row>
    <row r="9599" spans="1:9" x14ac:dyDescent="0.25">
      <c r="A9599" t="str">
        <f t="shared" si="230"/>
        <v>89301000</v>
      </c>
      <c r="B9599" t="str">
        <f>"6409091161"</f>
        <v>6409091161</v>
      </c>
      <c r="C9599" s="1">
        <v>45271</v>
      </c>
      <c r="D9599" s="1">
        <v>45278</v>
      </c>
      <c r="E9599">
        <v>3</v>
      </c>
      <c r="F9599" t="str">
        <f>"08-I05-04"</f>
        <v>08-I05-04</v>
      </c>
      <c r="G9599">
        <v>2.4445000000000001</v>
      </c>
      <c r="H9599" t="s">
        <v>12</v>
      </c>
      <c r="I9599" t="s">
        <v>10</v>
      </c>
    </row>
    <row r="9600" spans="1:9" x14ac:dyDescent="0.25">
      <c r="A9600" t="str">
        <f t="shared" si="230"/>
        <v>89301000</v>
      </c>
      <c r="B9600" t="str">
        <f>"6409121158"</f>
        <v>6409121158</v>
      </c>
      <c r="C9600" s="1">
        <v>45021</v>
      </c>
      <c r="D9600" s="1">
        <v>45036</v>
      </c>
      <c r="E9600">
        <v>1</v>
      </c>
      <c r="F9600" t="str">
        <f>"24-M07-02"</f>
        <v>24-M07-02</v>
      </c>
      <c r="G9600">
        <v>1.5729</v>
      </c>
      <c r="H9600" t="s">
        <v>11</v>
      </c>
      <c r="I9600" t="s">
        <v>10</v>
      </c>
    </row>
    <row r="9601" spans="1:9" x14ac:dyDescent="0.25">
      <c r="A9601" t="str">
        <f t="shared" si="230"/>
        <v>89301000</v>
      </c>
      <c r="B9601" t="str">
        <f>"6409121158"</f>
        <v>6409121158</v>
      </c>
      <c r="C9601" s="1">
        <v>45015</v>
      </c>
      <c r="D9601" s="1">
        <v>45021</v>
      </c>
      <c r="E9601">
        <v>3</v>
      </c>
      <c r="F9601" t="str">
        <f>"08-I05-04"</f>
        <v>08-I05-04</v>
      </c>
      <c r="G9601">
        <v>2.4445000000000001</v>
      </c>
      <c r="H9601" t="s">
        <v>12</v>
      </c>
      <c r="I9601" t="s">
        <v>10</v>
      </c>
    </row>
    <row r="9602" spans="1:9" x14ac:dyDescent="0.25">
      <c r="A9602" t="str">
        <f t="shared" si="230"/>
        <v>89301000</v>
      </c>
      <c r="B9602" t="str">
        <f>"6409132202"</f>
        <v>6409132202</v>
      </c>
      <c r="C9602" s="1">
        <v>45132</v>
      </c>
      <c r="D9602" s="1">
        <v>45135</v>
      </c>
      <c r="E9602">
        <v>1</v>
      </c>
      <c r="F9602" t="str">
        <f>"01-K12-01"</f>
        <v>01-K12-01</v>
      </c>
      <c r="G9602">
        <v>0.72709999999999997</v>
      </c>
      <c r="H9602" t="s">
        <v>11</v>
      </c>
      <c r="I9602" t="s">
        <v>10</v>
      </c>
    </row>
    <row r="9603" spans="1:9" x14ac:dyDescent="0.25">
      <c r="A9603" t="str">
        <f t="shared" si="230"/>
        <v>89301000</v>
      </c>
      <c r="B9603" t="str">
        <f>"6409260143"</f>
        <v>6409260143</v>
      </c>
      <c r="C9603" s="1">
        <v>45033</v>
      </c>
      <c r="D9603" s="1">
        <v>45037</v>
      </c>
      <c r="E9603">
        <v>2</v>
      </c>
      <c r="F9603" t="str">
        <f>"05-K07-03"</f>
        <v>05-K07-03</v>
      </c>
      <c r="G9603">
        <v>1.8048</v>
      </c>
      <c r="H9603" t="s">
        <v>11</v>
      </c>
      <c r="I9603" t="s">
        <v>10</v>
      </c>
    </row>
    <row r="9604" spans="1:9" x14ac:dyDescent="0.25">
      <c r="A9604" t="str">
        <f t="shared" si="230"/>
        <v>89301000</v>
      </c>
      <c r="B9604" t="str">
        <f>"6410040395"</f>
        <v>6410040395</v>
      </c>
      <c r="C9604" s="1">
        <v>45000</v>
      </c>
      <c r="D9604" s="1">
        <v>45006</v>
      </c>
      <c r="E9604">
        <v>4</v>
      </c>
      <c r="F9604" t="str">
        <f>"08-I05-04"</f>
        <v>08-I05-04</v>
      </c>
      <c r="G9604">
        <v>2.4445000000000001</v>
      </c>
      <c r="H9604" t="s">
        <v>12</v>
      </c>
      <c r="I9604" t="s">
        <v>10</v>
      </c>
    </row>
    <row r="9605" spans="1:9" x14ac:dyDescent="0.25">
      <c r="A9605" t="str">
        <f t="shared" si="230"/>
        <v>89301000</v>
      </c>
      <c r="B9605" t="str">
        <f>"6410090335"</f>
        <v>6410090335</v>
      </c>
      <c r="C9605" s="1">
        <v>44973</v>
      </c>
      <c r="D9605" s="1">
        <v>44977</v>
      </c>
      <c r="E9605">
        <v>1</v>
      </c>
      <c r="F9605" t="str">
        <f>"08-I22-02"</f>
        <v>08-I22-02</v>
      </c>
      <c r="G9605">
        <v>1.131</v>
      </c>
      <c r="H9605" t="s">
        <v>12</v>
      </c>
      <c r="I9605" t="s">
        <v>10</v>
      </c>
    </row>
    <row r="9606" spans="1:9" x14ac:dyDescent="0.25">
      <c r="A9606" t="str">
        <f t="shared" si="230"/>
        <v>89301000</v>
      </c>
      <c r="B9606" t="str">
        <f>"6410100235"</f>
        <v>6410100235</v>
      </c>
      <c r="C9606" s="1">
        <v>45153</v>
      </c>
      <c r="D9606" s="1">
        <v>45154</v>
      </c>
      <c r="E9606">
        <v>1</v>
      </c>
      <c r="F9606" t="str">
        <f>"10-K15-02"</f>
        <v>10-K15-02</v>
      </c>
      <c r="G9606">
        <v>0.66379999999999995</v>
      </c>
      <c r="H9606" t="s">
        <v>11</v>
      </c>
      <c r="I9606" t="s">
        <v>10</v>
      </c>
    </row>
    <row r="9607" spans="1:9" x14ac:dyDescent="0.25">
      <c r="A9607" t="str">
        <f t="shared" si="230"/>
        <v>89301000</v>
      </c>
      <c r="B9607" t="str">
        <f>"6410100235"</f>
        <v>6410100235</v>
      </c>
      <c r="C9607" s="1">
        <v>45226</v>
      </c>
      <c r="D9607" s="1">
        <v>45229</v>
      </c>
      <c r="E9607">
        <v>1</v>
      </c>
      <c r="F9607" t="str">
        <f>"10-K15-02"</f>
        <v>10-K15-02</v>
      </c>
      <c r="G9607">
        <v>0.66379999999999995</v>
      </c>
      <c r="H9607" t="s">
        <v>11</v>
      </c>
      <c r="I9607" t="s">
        <v>10</v>
      </c>
    </row>
    <row r="9608" spans="1:9" x14ac:dyDescent="0.25">
      <c r="A9608" t="str">
        <f t="shared" si="230"/>
        <v>89301000</v>
      </c>
      <c r="B9608" t="str">
        <f>"6410181019"</f>
        <v>6410181019</v>
      </c>
      <c r="C9608" s="1">
        <v>45039</v>
      </c>
      <c r="D9608" s="1">
        <v>45047</v>
      </c>
      <c r="E9608">
        <v>1</v>
      </c>
      <c r="F9608" t="str">
        <f>"07-I10-04"</f>
        <v>07-I10-04</v>
      </c>
      <c r="G9608">
        <v>1.4211</v>
      </c>
      <c r="H9608" t="s">
        <v>12</v>
      </c>
      <c r="I9608" t="s">
        <v>10</v>
      </c>
    </row>
    <row r="9609" spans="1:9" x14ac:dyDescent="0.25">
      <c r="A9609" t="str">
        <f t="shared" si="230"/>
        <v>89301000</v>
      </c>
      <c r="B9609" t="str">
        <f>"6410200291"</f>
        <v>6410200291</v>
      </c>
      <c r="C9609" s="1">
        <v>44952</v>
      </c>
      <c r="D9609" s="1">
        <v>44955</v>
      </c>
      <c r="E9609">
        <v>1</v>
      </c>
      <c r="F9609" t="str">
        <f>"08-I22-02"</f>
        <v>08-I22-02</v>
      </c>
      <c r="G9609">
        <v>1.131</v>
      </c>
      <c r="H9609" t="s">
        <v>12</v>
      </c>
      <c r="I9609" t="s">
        <v>10</v>
      </c>
    </row>
    <row r="9610" spans="1:9" x14ac:dyDescent="0.25">
      <c r="A9610" t="str">
        <f t="shared" si="230"/>
        <v>89301000</v>
      </c>
      <c r="B9610" t="str">
        <f>"6410212127"</f>
        <v>6410212127</v>
      </c>
      <c r="C9610" s="1">
        <v>45231</v>
      </c>
      <c r="D9610" s="1">
        <v>45233</v>
      </c>
      <c r="E9610">
        <v>1</v>
      </c>
      <c r="F9610" t="str">
        <f>"08-I32-00"</f>
        <v>08-I32-00</v>
      </c>
      <c r="G9610">
        <v>0.4093</v>
      </c>
      <c r="H9610" t="s">
        <v>11</v>
      </c>
      <c r="I9610" t="s">
        <v>10</v>
      </c>
    </row>
    <row r="9611" spans="1:9" x14ac:dyDescent="0.25">
      <c r="A9611" t="str">
        <f t="shared" si="230"/>
        <v>89301000</v>
      </c>
      <c r="B9611" t="str">
        <f>"6410221543"</f>
        <v>6410221543</v>
      </c>
      <c r="C9611" s="1">
        <v>44959</v>
      </c>
      <c r="D9611" s="1">
        <v>44963</v>
      </c>
      <c r="E9611">
        <v>1</v>
      </c>
      <c r="F9611" t="str">
        <f>"01-K08-02"</f>
        <v>01-K08-02</v>
      </c>
      <c r="G9611">
        <v>0.60619999999999996</v>
      </c>
      <c r="H9611" t="s">
        <v>11</v>
      </c>
      <c r="I9611" t="s">
        <v>10</v>
      </c>
    </row>
    <row r="9612" spans="1:9" x14ac:dyDescent="0.25">
      <c r="A9612" t="str">
        <f t="shared" si="230"/>
        <v>89301000</v>
      </c>
      <c r="B9612" t="str">
        <f>"6410237185"</f>
        <v>6410237185</v>
      </c>
      <c r="C9612" s="1">
        <v>45133</v>
      </c>
      <c r="D9612" s="1">
        <v>45138</v>
      </c>
      <c r="E9612">
        <v>1</v>
      </c>
      <c r="F9612" t="str">
        <f>"04-K08-02"</f>
        <v>04-K08-02</v>
      </c>
      <c r="G9612">
        <v>2.8220000000000001</v>
      </c>
      <c r="H9612" t="s">
        <v>11</v>
      </c>
      <c r="I9612" t="s">
        <v>10</v>
      </c>
    </row>
    <row r="9613" spans="1:9" x14ac:dyDescent="0.25">
      <c r="A9613" t="str">
        <f t="shared" si="230"/>
        <v>89301000</v>
      </c>
      <c r="B9613" t="str">
        <f>"6410237185"</f>
        <v>6410237185</v>
      </c>
      <c r="C9613" s="1">
        <v>44998</v>
      </c>
      <c r="D9613" s="1">
        <v>45002</v>
      </c>
      <c r="E9613">
        <v>1</v>
      </c>
      <c r="F9613" t="str">
        <f>"04-M01-06"</f>
        <v>04-M01-06</v>
      </c>
      <c r="G9613">
        <v>3.5811999999999999</v>
      </c>
      <c r="H9613" t="s">
        <v>11</v>
      </c>
      <c r="I9613" t="s">
        <v>10</v>
      </c>
    </row>
    <row r="9614" spans="1:9" x14ac:dyDescent="0.25">
      <c r="A9614" t="str">
        <f t="shared" si="230"/>
        <v>89301000</v>
      </c>
      <c r="B9614" t="str">
        <f>"6410240683"</f>
        <v>6410240683</v>
      </c>
      <c r="C9614" s="1">
        <v>45095</v>
      </c>
      <c r="D9614" s="1">
        <v>45102</v>
      </c>
      <c r="E9614">
        <v>1</v>
      </c>
      <c r="F9614" t="str">
        <f>"03-I07-02"</f>
        <v>03-I07-02</v>
      </c>
      <c r="G9614">
        <v>3.1158000000000001</v>
      </c>
      <c r="H9614" t="s">
        <v>12</v>
      </c>
      <c r="I9614" t="s">
        <v>10</v>
      </c>
    </row>
    <row r="9615" spans="1:9" x14ac:dyDescent="0.25">
      <c r="A9615" t="str">
        <f t="shared" si="230"/>
        <v>89301000</v>
      </c>
      <c r="B9615" t="str">
        <f>"6410261605"</f>
        <v>6410261605</v>
      </c>
      <c r="C9615" s="1">
        <v>45139</v>
      </c>
      <c r="D9615" s="1">
        <v>45145</v>
      </c>
      <c r="E9615">
        <v>1</v>
      </c>
      <c r="F9615" t="str">
        <f>"04-I08-03"</f>
        <v>04-I08-03</v>
      </c>
      <c r="G9615">
        <v>1.6777</v>
      </c>
      <c r="H9615" t="s">
        <v>11</v>
      </c>
      <c r="I9615" t="s">
        <v>10</v>
      </c>
    </row>
    <row r="9616" spans="1:9" x14ac:dyDescent="0.25">
      <c r="A9616" t="str">
        <f t="shared" si="230"/>
        <v>89301000</v>
      </c>
      <c r="B9616" t="str">
        <f>"6411010617"</f>
        <v>6411010617</v>
      </c>
      <c r="C9616" s="1">
        <v>45132</v>
      </c>
      <c r="D9616" s="1">
        <v>45138</v>
      </c>
      <c r="E9616">
        <v>5</v>
      </c>
      <c r="F9616" t="str">
        <f>"05-K08-02"</f>
        <v>05-K08-02</v>
      </c>
      <c r="G9616">
        <v>2.4140999999999999</v>
      </c>
      <c r="H9616" t="s">
        <v>11</v>
      </c>
      <c r="I9616" t="s">
        <v>10</v>
      </c>
    </row>
    <row r="9617" spans="1:9" x14ac:dyDescent="0.25">
      <c r="A9617" t="str">
        <f t="shared" si="230"/>
        <v>89301000</v>
      </c>
      <c r="B9617" t="str">
        <f>"6411010617"</f>
        <v>6411010617</v>
      </c>
      <c r="C9617" s="1">
        <v>45116</v>
      </c>
      <c r="D9617" s="1">
        <v>45121</v>
      </c>
      <c r="E9617">
        <v>1</v>
      </c>
      <c r="F9617" t="str">
        <f>"05-K08-02"</f>
        <v>05-K08-02</v>
      </c>
      <c r="G9617">
        <v>2.4140999999999999</v>
      </c>
      <c r="H9617" t="s">
        <v>11</v>
      </c>
      <c r="I9617" t="s">
        <v>10</v>
      </c>
    </row>
    <row r="9618" spans="1:9" x14ac:dyDescent="0.25">
      <c r="A9618" t="str">
        <f t="shared" si="230"/>
        <v>89301000</v>
      </c>
      <c r="B9618" t="str">
        <f>"6411011915"</f>
        <v>6411011915</v>
      </c>
      <c r="C9618" s="1">
        <v>45220</v>
      </c>
      <c r="D9618" s="1">
        <v>45224</v>
      </c>
      <c r="E9618">
        <v>1</v>
      </c>
      <c r="F9618" t="str">
        <f>"08-I03-07"</f>
        <v>08-I03-07</v>
      </c>
      <c r="G9618">
        <v>3.3094999999999999</v>
      </c>
      <c r="H9618" t="s">
        <v>9</v>
      </c>
      <c r="I9618" t="s">
        <v>10</v>
      </c>
    </row>
    <row r="9619" spans="1:9" x14ac:dyDescent="0.25">
      <c r="A9619" t="str">
        <f t="shared" si="230"/>
        <v>89301000</v>
      </c>
      <c r="B9619" t="str">
        <f>"6411051812"</f>
        <v>6411051812</v>
      </c>
      <c r="C9619" s="1">
        <v>45250</v>
      </c>
      <c r="D9619" s="1">
        <v>45252</v>
      </c>
      <c r="E9619">
        <v>1</v>
      </c>
      <c r="F9619" t="str">
        <f>"05-I25-03"</f>
        <v>05-I25-03</v>
      </c>
      <c r="G9619">
        <v>1.633</v>
      </c>
      <c r="H9619" t="s">
        <v>12</v>
      </c>
      <c r="I9619" t="s">
        <v>10</v>
      </c>
    </row>
    <row r="9620" spans="1:9" x14ac:dyDescent="0.25">
      <c r="A9620" t="str">
        <f t="shared" si="230"/>
        <v>89301000</v>
      </c>
      <c r="B9620" t="str">
        <f>"6411090851"</f>
        <v>6411090851</v>
      </c>
      <c r="C9620" s="1">
        <v>45237</v>
      </c>
      <c r="D9620" s="1">
        <v>45239</v>
      </c>
      <c r="E9620">
        <v>1</v>
      </c>
      <c r="F9620" t="str">
        <f>"08-M03-01"</f>
        <v>08-M03-01</v>
      </c>
      <c r="G9620">
        <v>1.1816</v>
      </c>
      <c r="H9620" t="s">
        <v>11</v>
      </c>
      <c r="I9620" t="s">
        <v>10</v>
      </c>
    </row>
    <row r="9621" spans="1:9" x14ac:dyDescent="0.25">
      <c r="A9621" t="str">
        <f t="shared" si="230"/>
        <v>89301000</v>
      </c>
      <c r="B9621" t="str">
        <f>"6411090851"</f>
        <v>6411090851</v>
      </c>
      <c r="C9621" s="1">
        <v>45287</v>
      </c>
      <c r="D9621" s="1">
        <v>45289</v>
      </c>
      <c r="E9621">
        <v>1</v>
      </c>
      <c r="F9621" t="str">
        <f>"08-M03-05"</f>
        <v>08-M03-05</v>
      </c>
      <c r="G9621">
        <v>0.46910000000000002</v>
      </c>
      <c r="H9621" t="s">
        <v>11</v>
      </c>
      <c r="I9621" t="s">
        <v>10</v>
      </c>
    </row>
    <row r="9622" spans="1:9" x14ac:dyDescent="0.25">
      <c r="A9622" t="str">
        <f t="shared" si="230"/>
        <v>89301000</v>
      </c>
      <c r="B9622" t="str">
        <f>"6411150944"</f>
        <v>6411150944</v>
      </c>
      <c r="C9622" s="1">
        <v>45097</v>
      </c>
      <c r="D9622" s="1">
        <v>45100</v>
      </c>
      <c r="E9622">
        <v>1</v>
      </c>
      <c r="F9622" t="str">
        <f>"11-K03-02"</f>
        <v>11-K03-02</v>
      </c>
      <c r="G9622">
        <v>0.622</v>
      </c>
      <c r="H9622" t="s">
        <v>11</v>
      </c>
      <c r="I9622" t="s">
        <v>10</v>
      </c>
    </row>
    <row r="9623" spans="1:9" x14ac:dyDescent="0.25">
      <c r="A9623" t="str">
        <f t="shared" si="230"/>
        <v>89301000</v>
      </c>
      <c r="B9623" t="str">
        <f>"6411150944"</f>
        <v>6411150944</v>
      </c>
      <c r="C9623" s="1">
        <v>44965</v>
      </c>
      <c r="D9623" s="1">
        <v>44967</v>
      </c>
      <c r="E9623">
        <v>1</v>
      </c>
      <c r="F9623" t="str">
        <f>"11-K03-02"</f>
        <v>11-K03-02</v>
      </c>
      <c r="G9623">
        <v>0.622</v>
      </c>
      <c r="H9623" t="s">
        <v>11</v>
      </c>
      <c r="I9623" t="s">
        <v>10</v>
      </c>
    </row>
    <row r="9624" spans="1:9" x14ac:dyDescent="0.25">
      <c r="A9624" t="str">
        <f t="shared" si="230"/>
        <v>89301000</v>
      </c>
      <c r="B9624" t="str">
        <f>"6411150944"</f>
        <v>6411150944</v>
      </c>
      <c r="C9624" s="1">
        <v>44899</v>
      </c>
      <c r="D9624" s="1">
        <v>44939</v>
      </c>
      <c r="E9624">
        <v>1</v>
      </c>
      <c r="F9624" t="str">
        <f>"00-I05-02"</f>
        <v>00-I05-02</v>
      </c>
      <c r="G9624">
        <v>12.057700000000001</v>
      </c>
      <c r="H9624" t="s">
        <v>14</v>
      </c>
      <c r="I9624" t="s">
        <v>10</v>
      </c>
    </row>
    <row r="9625" spans="1:9" x14ac:dyDescent="0.25">
      <c r="A9625" t="str">
        <f t="shared" si="230"/>
        <v>89301000</v>
      </c>
      <c r="B9625" t="str">
        <f>"6411150944"</f>
        <v>6411150944</v>
      </c>
      <c r="C9625" s="1">
        <v>45189</v>
      </c>
      <c r="D9625" s="1">
        <v>45196</v>
      </c>
      <c r="E9625">
        <v>1</v>
      </c>
      <c r="F9625" t="str">
        <f>"11-K03-02"</f>
        <v>11-K03-02</v>
      </c>
      <c r="G9625">
        <v>0.63990000000000002</v>
      </c>
      <c r="H9625" t="s">
        <v>11</v>
      </c>
      <c r="I9625" t="s">
        <v>10</v>
      </c>
    </row>
    <row r="9626" spans="1:9" x14ac:dyDescent="0.25">
      <c r="A9626" t="str">
        <f t="shared" si="230"/>
        <v>89301000</v>
      </c>
      <c r="B9626" t="str">
        <f>"6411171613"</f>
        <v>6411171613</v>
      </c>
      <c r="C9626" s="1">
        <v>45129</v>
      </c>
      <c r="D9626" s="1">
        <v>45131</v>
      </c>
      <c r="E9626">
        <v>1</v>
      </c>
      <c r="F9626" t="str">
        <f>"08-I19-03"</f>
        <v>08-I19-03</v>
      </c>
      <c r="G9626">
        <v>0.59130000000000005</v>
      </c>
      <c r="H9626" t="s">
        <v>12</v>
      </c>
      <c r="I9626" t="s">
        <v>10</v>
      </c>
    </row>
    <row r="9627" spans="1:9" x14ac:dyDescent="0.25">
      <c r="A9627" t="str">
        <f t="shared" si="230"/>
        <v>89301000</v>
      </c>
      <c r="B9627" t="str">
        <f>"6411200609"</f>
        <v>6411200609</v>
      </c>
      <c r="C9627" s="1">
        <v>45249</v>
      </c>
      <c r="D9627" s="1">
        <v>45252</v>
      </c>
      <c r="E9627">
        <v>1</v>
      </c>
      <c r="F9627" t="str">
        <f>"05-I30-01"</f>
        <v>05-I30-01</v>
      </c>
      <c r="G9627">
        <v>0.60350000000000004</v>
      </c>
      <c r="H9627" t="s">
        <v>12</v>
      </c>
      <c r="I9627" t="s">
        <v>10</v>
      </c>
    </row>
    <row r="9628" spans="1:9" x14ac:dyDescent="0.25">
      <c r="A9628" t="str">
        <f t="shared" si="230"/>
        <v>89301000</v>
      </c>
      <c r="B9628" t="str">
        <f>"6411231464"</f>
        <v>6411231464</v>
      </c>
      <c r="C9628" s="1">
        <v>45027</v>
      </c>
      <c r="D9628" s="1">
        <v>45033</v>
      </c>
      <c r="E9628">
        <v>1</v>
      </c>
      <c r="F9628" t="str">
        <f>"01-K10-03"</f>
        <v>01-K10-03</v>
      </c>
      <c r="G9628">
        <v>1.0443</v>
      </c>
      <c r="H9628" t="s">
        <v>11</v>
      </c>
      <c r="I9628" t="s">
        <v>10</v>
      </c>
    </row>
    <row r="9629" spans="1:9" x14ac:dyDescent="0.25">
      <c r="A9629" t="str">
        <f t="shared" si="230"/>
        <v>89301000</v>
      </c>
      <c r="B9629" t="str">
        <f>"6411300346"</f>
        <v>6411300346</v>
      </c>
      <c r="C9629" s="1">
        <v>45136</v>
      </c>
      <c r="D9629" s="1">
        <v>45139</v>
      </c>
      <c r="E9629">
        <v>1</v>
      </c>
      <c r="F9629" t="str">
        <f>"05-D01-08"</f>
        <v>05-D01-08</v>
      </c>
      <c r="G9629">
        <v>0.43159999999999998</v>
      </c>
      <c r="H9629" t="s">
        <v>11</v>
      </c>
      <c r="I9629" t="s">
        <v>10</v>
      </c>
    </row>
    <row r="9630" spans="1:9" x14ac:dyDescent="0.25">
      <c r="A9630" t="str">
        <f t="shared" si="230"/>
        <v>89301000</v>
      </c>
      <c r="B9630" t="str">
        <f>"6411300577"</f>
        <v>6411300577</v>
      </c>
      <c r="C9630" s="1">
        <v>45236</v>
      </c>
      <c r="D9630" s="1">
        <v>45244</v>
      </c>
      <c r="E9630">
        <v>1</v>
      </c>
      <c r="F9630" t="str">
        <f>"04-K02-03"</f>
        <v>04-K02-03</v>
      </c>
      <c r="G9630">
        <v>1.298</v>
      </c>
      <c r="H9630" t="s">
        <v>11</v>
      </c>
      <c r="I9630" t="s">
        <v>10</v>
      </c>
    </row>
    <row r="9631" spans="1:9" x14ac:dyDescent="0.25">
      <c r="A9631" t="str">
        <f t="shared" si="230"/>
        <v>89301000</v>
      </c>
      <c r="B9631" t="str">
        <f>"6411300577"</f>
        <v>6411300577</v>
      </c>
      <c r="C9631" s="1">
        <v>45154</v>
      </c>
      <c r="D9631" s="1">
        <v>45161</v>
      </c>
      <c r="E9631">
        <v>1</v>
      </c>
      <c r="F9631" t="str">
        <f>"05-I16-06"</f>
        <v>05-I16-06</v>
      </c>
      <c r="G9631">
        <v>5.6303000000000001</v>
      </c>
      <c r="H9631" t="s">
        <v>14</v>
      </c>
      <c r="I9631" t="s">
        <v>10</v>
      </c>
    </row>
    <row r="9632" spans="1:9" x14ac:dyDescent="0.25">
      <c r="A9632" t="str">
        <f t="shared" si="230"/>
        <v>89301000</v>
      </c>
      <c r="B9632" t="str">
        <f>"6411300577"</f>
        <v>6411300577</v>
      </c>
      <c r="C9632" s="1">
        <v>45104</v>
      </c>
      <c r="D9632" s="1">
        <v>45105</v>
      </c>
      <c r="E9632">
        <v>1</v>
      </c>
      <c r="F9632" t="str">
        <f>"05-D01-08"</f>
        <v>05-D01-08</v>
      </c>
      <c r="G9632">
        <v>0.43159999999999998</v>
      </c>
      <c r="H9632" t="s">
        <v>11</v>
      </c>
      <c r="I9632" t="s">
        <v>10</v>
      </c>
    </row>
    <row r="9633" spans="1:9" x14ac:dyDescent="0.25">
      <c r="A9633" t="str">
        <f t="shared" si="230"/>
        <v>89301000</v>
      </c>
      <c r="B9633" t="str">
        <f>"6411300577"</f>
        <v>6411300577</v>
      </c>
      <c r="C9633" s="1">
        <v>45062</v>
      </c>
      <c r="D9633" s="1">
        <v>45065</v>
      </c>
      <c r="E9633">
        <v>1</v>
      </c>
      <c r="F9633" t="str">
        <f>"01-I09-02"</f>
        <v>01-I09-02</v>
      </c>
      <c r="G9633">
        <v>1.5277000000000001</v>
      </c>
      <c r="H9633" t="s">
        <v>12</v>
      </c>
      <c r="I9633" t="s">
        <v>10</v>
      </c>
    </row>
    <row r="9634" spans="1:9" x14ac:dyDescent="0.25">
      <c r="A9634" t="str">
        <f t="shared" si="230"/>
        <v>89301000</v>
      </c>
      <c r="B9634" t="str">
        <f>"6411300577"</f>
        <v>6411300577</v>
      </c>
      <c r="C9634" s="1">
        <v>45056</v>
      </c>
      <c r="D9634" s="1">
        <v>45056</v>
      </c>
      <c r="E9634">
        <v>1</v>
      </c>
      <c r="F9634" t="str">
        <f>"05-I25-03"</f>
        <v>05-I25-03</v>
      </c>
      <c r="G9634">
        <v>1.3169</v>
      </c>
      <c r="H9634" t="s">
        <v>12</v>
      </c>
      <c r="I9634" t="s">
        <v>10</v>
      </c>
    </row>
    <row r="9635" spans="1:9" x14ac:dyDescent="0.25">
      <c r="A9635" t="str">
        <f t="shared" si="230"/>
        <v>89301000</v>
      </c>
      <c r="B9635" t="str">
        <f>"6412010308"</f>
        <v>6412010308</v>
      </c>
      <c r="C9635" s="1">
        <v>45002</v>
      </c>
      <c r="D9635" s="1">
        <v>45005</v>
      </c>
      <c r="E9635">
        <v>1</v>
      </c>
      <c r="F9635" t="str">
        <f>"01-K16-06"</f>
        <v>01-K16-06</v>
      </c>
      <c r="G9635">
        <v>0.27310000000000001</v>
      </c>
      <c r="H9635" t="s">
        <v>11</v>
      </c>
      <c r="I9635" t="s">
        <v>10</v>
      </c>
    </row>
    <row r="9636" spans="1:9" x14ac:dyDescent="0.25">
      <c r="A9636" t="str">
        <f t="shared" si="230"/>
        <v>89301000</v>
      </c>
      <c r="B9636" t="str">
        <f>"6412030581"</f>
        <v>6412030581</v>
      </c>
      <c r="C9636" s="1">
        <v>45223</v>
      </c>
      <c r="D9636" s="1">
        <v>45226</v>
      </c>
      <c r="E9636">
        <v>1</v>
      </c>
      <c r="F9636" t="str">
        <f>"06-M01-02"</f>
        <v>06-M01-02</v>
      </c>
      <c r="G9636">
        <v>1.2206999999999999</v>
      </c>
      <c r="H9636" t="s">
        <v>11</v>
      </c>
      <c r="I9636" t="s">
        <v>10</v>
      </c>
    </row>
    <row r="9637" spans="1:9" x14ac:dyDescent="0.25">
      <c r="A9637" t="str">
        <f t="shared" si="230"/>
        <v>89301000</v>
      </c>
      <c r="B9637" t="str">
        <f>"6412160238"</f>
        <v>6412160238</v>
      </c>
      <c r="C9637" s="1">
        <v>44953</v>
      </c>
      <c r="D9637" s="1">
        <v>44955</v>
      </c>
      <c r="E9637">
        <v>1</v>
      </c>
      <c r="F9637" t="str">
        <f>"08-I03-08"</f>
        <v>08-I03-08</v>
      </c>
      <c r="G9637">
        <v>1.9455</v>
      </c>
      <c r="H9637" t="s">
        <v>9</v>
      </c>
      <c r="I9637" t="s">
        <v>10</v>
      </c>
    </row>
    <row r="9638" spans="1:9" x14ac:dyDescent="0.25">
      <c r="A9638" t="str">
        <f t="shared" si="230"/>
        <v>89301000</v>
      </c>
      <c r="B9638" t="str">
        <f>"6412220914"</f>
        <v>6412220914</v>
      </c>
      <c r="C9638" s="1">
        <v>45028</v>
      </c>
      <c r="D9638" s="1">
        <v>45034</v>
      </c>
      <c r="E9638">
        <v>1</v>
      </c>
      <c r="F9638" t="str">
        <f>"12-C01-01"</f>
        <v>12-C01-01</v>
      </c>
      <c r="G9638">
        <v>0.66679999999999995</v>
      </c>
      <c r="H9638" t="s">
        <v>11</v>
      </c>
      <c r="I9638" t="s">
        <v>10</v>
      </c>
    </row>
    <row r="9639" spans="1:9" x14ac:dyDescent="0.25">
      <c r="A9639" t="str">
        <f t="shared" si="230"/>
        <v>89301000</v>
      </c>
      <c r="B9639" t="str">
        <f>"6412220914"</f>
        <v>6412220914</v>
      </c>
      <c r="C9639" s="1">
        <v>45050</v>
      </c>
      <c r="D9639" s="1">
        <v>45054</v>
      </c>
      <c r="E9639">
        <v>1</v>
      </c>
      <c r="F9639" t="str">
        <f>"12-C01-01"</f>
        <v>12-C01-01</v>
      </c>
      <c r="G9639">
        <v>0.66679999999999995</v>
      </c>
      <c r="H9639" t="s">
        <v>11</v>
      </c>
      <c r="I9639" t="s">
        <v>10</v>
      </c>
    </row>
    <row r="9640" spans="1:9" x14ac:dyDescent="0.25">
      <c r="A9640" t="str">
        <f t="shared" si="230"/>
        <v>89301000</v>
      </c>
      <c r="B9640" t="str">
        <f>"6412220914"</f>
        <v>6412220914</v>
      </c>
      <c r="C9640" s="1">
        <v>45071</v>
      </c>
      <c r="D9640" s="1">
        <v>45079</v>
      </c>
      <c r="E9640">
        <v>1</v>
      </c>
      <c r="F9640" t="str">
        <f>"12-C01-01"</f>
        <v>12-C01-01</v>
      </c>
      <c r="G9640">
        <v>0.66679999999999995</v>
      </c>
      <c r="H9640" t="s">
        <v>11</v>
      </c>
      <c r="I9640" t="s">
        <v>10</v>
      </c>
    </row>
    <row r="9641" spans="1:9" x14ac:dyDescent="0.25">
      <c r="A9641" t="str">
        <f t="shared" si="230"/>
        <v>89301000</v>
      </c>
      <c r="B9641" t="str">
        <f>"6412220914"</f>
        <v>6412220914</v>
      </c>
      <c r="C9641" s="1">
        <v>44988</v>
      </c>
      <c r="D9641" s="1">
        <v>44990</v>
      </c>
      <c r="E9641">
        <v>1</v>
      </c>
      <c r="F9641" t="str">
        <f>"12-I08-03"</f>
        <v>12-I08-03</v>
      </c>
      <c r="G9641">
        <v>0.71730000000000005</v>
      </c>
      <c r="H9641" t="s">
        <v>11</v>
      </c>
      <c r="I9641" t="s">
        <v>10</v>
      </c>
    </row>
    <row r="9642" spans="1:9" x14ac:dyDescent="0.25">
      <c r="A9642" t="str">
        <f t="shared" si="230"/>
        <v>89301000</v>
      </c>
      <c r="B9642" t="str">
        <f>"6412240395"</f>
        <v>6412240395</v>
      </c>
      <c r="C9642" s="1">
        <v>45268</v>
      </c>
      <c r="D9642" s="1">
        <v>45270</v>
      </c>
      <c r="E9642">
        <v>1</v>
      </c>
      <c r="F9642" t="str">
        <f>"01-D01-03"</f>
        <v>01-D01-03</v>
      </c>
      <c r="G9642">
        <v>0.16200000000000001</v>
      </c>
      <c r="H9642" t="s">
        <v>11</v>
      </c>
      <c r="I9642" t="s">
        <v>10</v>
      </c>
    </row>
    <row r="9643" spans="1:9" x14ac:dyDescent="0.25">
      <c r="A9643" t="str">
        <f t="shared" si="230"/>
        <v>89301000</v>
      </c>
      <c r="B9643" t="str">
        <f>"6451090184"</f>
        <v>6451090184</v>
      </c>
      <c r="C9643" s="1">
        <v>45020</v>
      </c>
      <c r="D9643" s="1">
        <v>45021</v>
      </c>
      <c r="E9643">
        <v>1</v>
      </c>
      <c r="F9643" t="str">
        <f>"05-D01-06"</f>
        <v>05-D01-06</v>
      </c>
      <c r="G9643">
        <v>0.7571</v>
      </c>
      <c r="H9643" t="s">
        <v>11</v>
      </c>
      <c r="I9643" t="s">
        <v>10</v>
      </c>
    </row>
    <row r="9644" spans="1:9" x14ac:dyDescent="0.25">
      <c r="A9644" t="str">
        <f t="shared" ref="A9644:A9706" si="231">"89301000"</f>
        <v>89301000</v>
      </c>
      <c r="B9644" t="str">
        <f>"6451136021"</f>
        <v>6451136021</v>
      </c>
      <c r="C9644" s="1">
        <v>44967</v>
      </c>
      <c r="D9644" s="1">
        <v>44967</v>
      </c>
      <c r="E9644">
        <v>1</v>
      </c>
      <c r="F9644" t="str">
        <f>"04-K15-03"</f>
        <v>04-K15-03</v>
      </c>
      <c r="G9644">
        <v>0.25459999999999999</v>
      </c>
      <c r="H9644" t="s">
        <v>11</v>
      </c>
      <c r="I9644" t="s">
        <v>10</v>
      </c>
    </row>
    <row r="9645" spans="1:9" x14ac:dyDescent="0.25">
      <c r="A9645" t="str">
        <f t="shared" si="231"/>
        <v>89301000</v>
      </c>
      <c r="B9645" t="str">
        <f>"6451160463"</f>
        <v>6451160463</v>
      </c>
      <c r="C9645" s="1">
        <v>45145</v>
      </c>
      <c r="D9645" s="1">
        <v>45151</v>
      </c>
      <c r="E9645">
        <v>1</v>
      </c>
      <c r="F9645" t="str">
        <f>"09-I09-02"</f>
        <v>09-I09-02</v>
      </c>
      <c r="G9645">
        <v>0.76900000000000002</v>
      </c>
      <c r="H9645" t="s">
        <v>12</v>
      </c>
      <c r="I9645" t="s">
        <v>10</v>
      </c>
    </row>
    <row r="9646" spans="1:9" x14ac:dyDescent="0.25">
      <c r="A9646" t="str">
        <f t="shared" si="231"/>
        <v>89301000</v>
      </c>
      <c r="B9646" t="str">
        <f>"6451161222"</f>
        <v>6451161222</v>
      </c>
      <c r="C9646" s="1">
        <v>45183</v>
      </c>
      <c r="D9646" s="1">
        <v>45186</v>
      </c>
      <c r="E9646">
        <v>1</v>
      </c>
      <c r="F9646" t="str">
        <f>"05-M07-04"</f>
        <v>05-M07-04</v>
      </c>
      <c r="G9646">
        <v>1.7763</v>
      </c>
      <c r="H9646" t="s">
        <v>12</v>
      </c>
      <c r="I9646" t="s">
        <v>10</v>
      </c>
    </row>
    <row r="9647" spans="1:9" x14ac:dyDescent="0.25">
      <c r="A9647" t="str">
        <f t="shared" si="231"/>
        <v>89301000</v>
      </c>
      <c r="B9647" t="str">
        <f>"6451181253"</f>
        <v>6451181253</v>
      </c>
      <c r="C9647" s="1">
        <v>45068</v>
      </c>
      <c r="D9647" s="1">
        <v>45069</v>
      </c>
      <c r="E9647">
        <v>1</v>
      </c>
      <c r="F9647" t="str">
        <f>"06-M01-02"</f>
        <v>06-M01-02</v>
      </c>
      <c r="G9647">
        <v>1.2206999999999999</v>
      </c>
      <c r="H9647" t="s">
        <v>11</v>
      </c>
      <c r="I9647" t="s">
        <v>10</v>
      </c>
    </row>
    <row r="9648" spans="1:9" x14ac:dyDescent="0.25">
      <c r="A9648" t="str">
        <f t="shared" si="231"/>
        <v>89301000</v>
      </c>
      <c r="B9648" t="str">
        <f>"6452041871"</f>
        <v>6452041871</v>
      </c>
      <c r="C9648" s="1">
        <v>44964</v>
      </c>
      <c r="D9648" s="1">
        <v>44971</v>
      </c>
      <c r="E9648">
        <v>1</v>
      </c>
      <c r="F9648" t="str">
        <f>"01-I06-01"</f>
        <v>01-I06-01</v>
      </c>
      <c r="G9648">
        <v>8.1509</v>
      </c>
      <c r="H9648" t="s">
        <v>12</v>
      </c>
      <c r="I9648" t="s">
        <v>10</v>
      </c>
    </row>
    <row r="9649" spans="1:9" x14ac:dyDescent="0.25">
      <c r="A9649" t="str">
        <f t="shared" si="231"/>
        <v>89301000</v>
      </c>
      <c r="B9649" t="str">
        <f>"6452050385"</f>
        <v>6452050385</v>
      </c>
      <c r="C9649" s="1">
        <v>45242</v>
      </c>
      <c r="D9649" s="1">
        <v>45251</v>
      </c>
      <c r="E9649">
        <v>1</v>
      </c>
      <c r="F9649" t="str">
        <f>"13-K15-02"</f>
        <v>13-K15-02</v>
      </c>
      <c r="G9649">
        <v>0.48149999999999998</v>
      </c>
      <c r="H9649" t="s">
        <v>11</v>
      </c>
      <c r="I9649" t="s">
        <v>10</v>
      </c>
    </row>
    <row r="9650" spans="1:9" x14ac:dyDescent="0.25">
      <c r="A9650" t="str">
        <f t="shared" si="231"/>
        <v>89301000</v>
      </c>
      <c r="B9650" t="str">
        <f>"6452050385"</f>
        <v>6452050385</v>
      </c>
      <c r="C9650" s="1">
        <v>45224</v>
      </c>
      <c r="D9650" s="1">
        <v>45227</v>
      </c>
      <c r="E9650">
        <v>1</v>
      </c>
      <c r="F9650" t="str">
        <f>"13-I14-03"</f>
        <v>13-I14-03</v>
      </c>
      <c r="G9650">
        <v>0.87760000000000005</v>
      </c>
      <c r="H9650" t="s">
        <v>9</v>
      </c>
      <c r="I9650" t="s">
        <v>10</v>
      </c>
    </row>
    <row r="9651" spans="1:9" x14ac:dyDescent="0.25">
      <c r="A9651" t="str">
        <f t="shared" si="231"/>
        <v>89301000</v>
      </c>
      <c r="B9651" t="str">
        <f>"6452060813"</f>
        <v>6452060813</v>
      </c>
      <c r="C9651" s="1">
        <v>44987</v>
      </c>
      <c r="D9651" s="1">
        <v>44993</v>
      </c>
      <c r="E9651">
        <v>1</v>
      </c>
      <c r="F9651" t="str">
        <f>"08-I30-01"</f>
        <v>08-I30-01</v>
      </c>
      <c r="G9651">
        <v>2.3386999999999998</v>
      </c>
      <c r="H9651" t="s">
        <v>11</v>
      </c>
      <c r="I9651" t="s">
        <v>10</v>
      </c>
    </row>
    <row r="9652" spans="1:9" x14ac:dyDescent="0.25">
      <c r="A9652" t="str">
        <f t="shared" si="231"/>
        <v>89301000</v>
      </c>
      <c r="B9652" t="str">
        <f>"6452060813"</f>
        <v>6452060813</v>
      </c>
      <c r="C9652" s="1">
        <v>44949</v>
      </c>
      <c r="D9652" s="1">
        <v>44960</v>
      </c>
      <c r="E9652">
        <v>1</v>
      </c>
      <c r="F9652" t="str">
        <f>"24-M06-02"</f>
        <v>24-M06-02</v>
      </c>
      <c r="G9652">
        <v>1.0699000000000001</v>
      </c>
      <c r="H9652" t="s">
        <v>11</v>
      </c>
      <c r="I9652" t="s">
        <v>10</v>
      </c>
    </row>
    <row r="9653" spans="1:9" x14ac:dyDescent="0.25">
      <c r="A9653" t="str">
        <f t="shared" si="231"/>
        <v>89301000</v>
      </c>
      <c r="B9653" t="str">
        <f>"6452060813"</f>
        <v>6452060813</v>
      </c>
      <c r="C9653" s="1">
        <v>44941</v>
      </c>
      <c r="D9653" s="1">
        <v>44949</v>
      </c>
      <c r="E9653">
        <v>3</v>
      </c>
      <c r="F9653" t="str">
        <f>"08-I06-04"</f>
        <v>08-I06-04</v>
      </c>
      <c r="G9653">
        <v>2.3483999999999998</v>
      </c>
      <c r="H9653" t="s">
        <v>9</v>
      </c>
      <c r="I9653" t="s">
        <v>10</v>
      </c>
    </row>
    <row r="9654" spans="1:9" x14ac:dyDescent="0.25">
      <c r="A9654" t="str">
        <f t="shared" si="231"/>
        <v>89301000</v>
      </c>
      <c r="B9654" t="str">
        <f>"6452061682"</f>
        <v>6452061682</v>
      </c>
      <c r="C9654" s="1">
        <v>44970</v>
      </c>
      <c r="D9654" s="1">
        <v>44974</v>
      </c>
      <c r="E9654">
        <v>1</v>
      </c>
      <c r="F9654" t="str">
        <f>"13-R01-08"</f>
        <v>13-R01-08</v>
      </c>
      <c r="G9654">
        <v>0.8387</v>
      </c>
      <c r="H9654" t="s">
        <v>11</v>
      </c>
      <c r="I9654" t="s">
        <v>10</v>
      </c>
    </row>
    <row r="9655" spans="1:9" x14ac:dyDescent="0.25">
      <c r="A9655" t="str">
        <f t="shared" si="231"/>
        <v>89301000</v>
      </c>
      <c r="B9655" t="str">
        <f>"6452061682"</f>
        <v>6452061682</v>
      </c>
      <c r="C9655" s="1">
        <v>44977</v>
      </c>
      <c r="D9655" s="1">
        <v>44979</v>
      </c>
      <c r="E9655">
        <v>1</v>
      </c>
      <c r="F9655" t="str">
        <f>"13-K08-02"</f>
        <v>13-K08-02</v>
      </c>
      <c r="G9655">
        <v>0.41320000000000001</v>
      </c>
      <c r="H9655" t="s">
        <v>11</v>
      </c>
      <c r="I9655" t="s">
        <v>10</v>
      </c>
    </row>
    <row r="9656" spans="1:9" x14ac:dyDescent="0.25">
      <c r="A9656" t="str">
        <f t="shared" si="231"/>
        <v>89301000</v>
      </c>
      <c r="B9656" t="str">
        <f>"6452120345"</f>
        <v>6452120345</v>
      </c>
      <c r="C9656" s="1">
        <v>45040</v>
      </c>
      <c r="D9656" s="1">
        <v>45042</v>
      </c>
      <c r="E9656">
        <v>1</v>
      </c>
      <c r="F9656" t="str">
        <f>"05-M05-02"</f>
        <v>05-M05-02</v>
      </c>
      <c r="G9656">
        <v>3.4817999999999998</v>
      </c>
      <c r="H9656" t="s">
        <v>14</v>
      </c>
      <c r="I9656" t="s">
        <v>10</v>
      </c>
    </row>
    <row r="9657" spans="1:9" x14ac:dyDescent="0.25">
      <c r="A9657" t="str">
        <f t="shared" si="231"/>
        <v>89301000</v>
      </c>
      <c r="B9657" t="str">
        <f>"6452181648"</f>
        <v>6452181648</v>
      </c>
      <c r="C9657" s="1">
        <v>44956</v>
      </c>
      <c r="D9657" s="1">
        <v>44959</v>
      </c>
      <c r="E9657">
        <v>1</v>
      </c>
      <c r="F9657" t="str">
        <f>"08-M03-02"</f>
        <v>08-M03-02</v>
      </c>
      <c r="G9657">
        <v>0.91359999999999997</v>
      </c>
      <c r="H9657" t="s">
        <v>11</v>
      </c>
      <c r="I9657" t="s">
        <v>10</v>
      </c>
    </row>
    <row r="9658" spans="1:9" x14ac:dyDescent="0.25">
      <c r="A9658" t="str">
        <f t="shared" si="231"/>
        <v>89301000</v>
      </c>
      <c r="B9658" t="str">
        <f>"6452210721"</f>
        <v>6452210721</v>
      </c>
      <c r="C9658" s="1">
        <v>45089</v>
      </c>
      <c r="D9658" s="1">
        <v>45091</v>
      </c>
      <c r="E9658">
        <v>1</v>
      </c>
      <c r="F9658" t="str">
        <f>"07-I10-06"</f>
        <v>07-I10-06</v>
      </c>
      <c r="G9658">
        <v>0.98419999999999996</v>
      </c>
      <c r="H9658" t="s">
        <v>12</v>
      </c>
      <c r="I9658" t="s">
        <v>10</v>
      </c>
    </row>
    <row r="9659" spans="1:9" x14ac:dyDescent="0.25">
      <c r="A9659" t="str">
        <f t="shared" si="231"/>
        <v>89301000</v>
      </c>
      <c r="B9659" t="str">
        <f>"6452210721"</f>
        <v>6452210721</v>
      </c>
      <c r="C9659" s="1">
        <v>44999</v>
      </c>
      <c r="D9659" s="1">
        <v>45013</v>
      </c>
      <c r="E9659">
        <v>1</v>
      </c>
      <c r="F9659" t="str">
        <f>"07-K05-01"</f>
        <v>07-K05-01</v>
      </c>
      <c r="G9659">
        <v>1.4736</v>
      </c>
      <c r="H9659" t="s">
        <v>11</v>
      </c>
      <c r="I9659" t="s">
        <v>10</v>
      </c>
    </row>
    <row r="9660" spans="1:9" x14ac:dyDescent="0.25">
      <c r="A9660" t="str">
        <f t="shared" si="231"/>
        <v>89301000</v>
      </c>
      <c r="B9660" t="str">
        <f>"6452251113"</f>
        <v>6452251113</v>
      </c>
      <c r="C9660" s="1">
        <v>45018</v>
      </c>
      <c r="D9660" s="1">
        <v>45030</v>
      </c>
      <c r="E9660">
        <v>1</v>
      </c>
      <c r="F9660" t="str">
        <f>"08-K08-00"</f>
        <v>08-K08-00</v>
      </c>
      <c r="G9660">
        <v>0.57989999999999997</v>
      </c>
      <c r="H9660" t="s">
        <v>11</v>
      </c>
      <c r="I9660" t="s">
        <v>10</v>
      </c>
    </row>
    <row r="9661" spans="1:9" x14ac:dyDescent="0.25">
      <c r="A9661" t="str">
        <f t="shared" si="231"/>
        <v>89301000</v>
      </c>
      <c r="B9661" t="str">
        <f>"6452261079"</f>
        <v>6452261079</v>
      </c>
      <c r="C9661" s="1">
        <v>45168</v>
      </c>
      <c r="D9661" s="1">
        <v>45171</v>
      </c>
      <c r="E9661">
        <v>1</v>
      </c>
      <c r="F9661" t="str">
        <f>"08-M03-02"</f>
        <v>08-M03-02</v>
      </c>
      <c r="G9661">
        <v>0.91359999999999997</v>
      </c>
      <c r="H9661" t="s">
        <v>11</v>
      </c>
      <c r="I9661" t="s">
        <v>10</v>
      </c>
    </row>
    <row r="9662" spans="1:9" x14ac:dyDescent="0.25">
      <c r="A9662" t="str">
        <f t="shared" si="231"/>
        <v>89301000</v>
      </c>
      <c r="B9662" t="str">
        <f>"6453160219"</f>
        <v>6453160219</v>
      </c>
      <c r="C9662" s="1">
        <v>45006</v>
      </c>
      <c r="D9662" s="1">
        <v>45008</v>
      </c>
      <c r="E9662">
        <v>1</v>
      </c>
      <c r="F9662" t="str">
        <f>"09-I13-04"</f>
        <v>09-I13-04</v>
      </c>
      <c r="G9662">
        <v>0.54139999999999999</v>
      </c>
      <c r="H9662" t="s">
        <v>11</v>
      </c>
      <c r="I9662" t="s">
        <v>10</v>
      </c>
    </row>
    <row r="9663" spans="1:9" x14ac:dyDescent="0.25">
      <c r="A9663" t="str">
        <f t="shared" si="231"/>
        <v>89301000</v>
      </c>
      <c r="B9663" t="str">
        <f>"6453300304"</f>
        <v>6453300304</v>
      </c>
      <c r="C9663" s="1">
        <v>45235</v>
      </c>
      <c r="D9663" s="1">
        <v>45238</v>
      </c>
      <c r="E9663">
        <v>1</v>
      </c>
      <c r="F9663" t="str">
        <f>"08-M03-05"</f>
        <v>08-M03-05</v>
      </c>
      <c r="G9663">
        <v>0.46810000000000002</v>
      </c>
      <c r="H9663" t="s">
        <v>11</v>
      </c>
      <c r="I9663" t="s">
        <v>10</v>
      </c>
    </row>
    <row r="9664" spans="1:9" x14ac:dyDescent="0.25">
      <c r="A9664" t="str">
        <f t="shared" si="231"/>
        <v>89301000</v>
      </c>
      <c r="B9664" t="str">
        <f>"6454052077"</f>
        <v>6454052077</v>
      </c>
      <c r="C9664" s="1">
        <v>45036</v>
      </c>
      <c r="D9664" s="1">
        <v>45051</v>
      </c>
      <c r="E9664">
        <v>1</v>
      </c>
      <c r="F9664" t="str">
        <f>"04-K02-04"</f>
        <v>04-K02-04</v>
      </c>
      <c r="G9664">
        <v>0.92620000000000002</v>
      </c>
      <c r="H9664" t="s">
        <v>11</v>
      </c>
      <c r="I9664" t="s">
        <v>10</v>
      </c>
    </row>
    <row r="9665" spans="1:9" x14ac:dyDescent="0.25">
      <c r="A9665" t="str">
        <f t="shared" si="231"/>
        <v>89301000</v>
      </c>
      <c r="B9665" t="str">
        <f>"6454151869"</f>
        <v>6454151869</v>
      </c>
      <c r="C9665" s="1">
        <v>44971</v>
      </c>
      <c r="D9665" s="1">
        <v>44981</v>
      </c>
      <c r="E9665">
        <v>1</v>
      </c>
      <c r="F9665" t="str">
        <f>"18-K02-04"</f>
        <v>18-K02-04</v>
      </c>
      <c r="G9665">
        <v>0.75109999999999999</v>
      </c>
      <c r="H9665" t="s">
        <v>11</v>
      </c>
      <c r="I9665" t="s">
        <v>10</v>
      </c>
    </row>
    <row r="9666" spans="1:9" x14ac:dyDescent="0.25">
      <c r="A9666" t="str">
        <f t="shared" si="231"/>
        <v>89301000</v>
      </c>
      <c r="B9666" t="str">
        <f>"6454162220"</f>
        <v>6454162220</v>
      </c>
      <c r="C9666" s="1">
        <v>45201</v>
      </c>
      <c r="D9666" s="1">
        <v>45208</v>
      </c>
      <c r="E9666">
        <v>1</v>
      </c>
      <c r="F9666" t="str">
        <f>"01-I06-04"</f>
        <v>01-I06-04</v>
      </c>
      <c r="G9666">
        <v>3.6478999999999999</v>
      </c>
      <c r="H9666" t="s">
        <v>12</v>
      </c>
      <c r="I9666" t="s">
        <v>10</v>
      </c>
    </row>
    <row r="9667" spans="1:9" x14ac:dyDescent="0.25">
      <c r="A9667" t="str">
        <f t="shared" si="231"/>
        <v>89301000</v>
      </c>
      <c r="B9667" t="str">
        <f>"6454220575"</f>
        <v>6454220575</v>
      </c>
      <c r="C9667" s="1">
        <v>44936</v>
      </c>
      <c r="D9667" s="1">
        <v>44938</v>
      </c>
      <c r="E9667">
        <v>1</v>
      </c>
      <c r="F9667" t="str">
        <f>"01-K07-02"</f>
        <v>01-K07-02</v>
      </c>
      <c r="G9667">
        <v>0.6341</v>
      </c>
      <c r="H9667" t="s">
        <v>11</v>
      </c>
      <c r="I9667" t="s">
        <v>10</v>
      </c>
    </row>
    <row r="9668" spans="1:9" x14ac:dyDescent="0.25">
      <c r="A9668" t="str">
        <f t="shared" si="231"/>
        <v>89301000</v>
      </c>
      <c r="B9668" t="str">
        <f>"6454292548"</f>
        <v>6454292548</v>
      </c>
      <c r="C9668" s="1">
        <v>44928</v>
      </c>
      <c r="D9668" s="1">
        <v>44929</v>
      </c>
      <c r="E9668">
        <v>1</v>
      </c>
      <c r="F9668" t="str">
        <f>"02-K03-00"</f>
        <v>02-K03-00</v>
      </c>
      <c r="G9668">
        <v>0.58779999999999999</v>
      </c>
      <c r="H9668" t="s">
        <v>11</v>
      </c>
      <c r="I9668" t="s">
        <v>10</v>
      </c>
    </row>
    <row r="9669" spans="1:9" x14ac:dyDescent="0.25">
      <c r="A9669" t="str">
        <f t="shared" si="231"/>
        <v>89301000</v>
      </c>
      <c r="B9669" t="str">
        <f>"6455020429"</f>
        <v>6455020429</v>
      </c>
      <c r="C9669" s="1">
        <v>45000</v>
      </c>
      <c r="D9669" s="1">
        <v>45005</v>
      </c>
      <c r="E9669">
        <v>1</v>
      </c>
      <c r="F9669" t="str">
        <f>"10-K06-00"</f>
        <v>10-K06-00</v>
      </c>
      <c r="G9669">
        <v>0.50290000000000001</v>
      </c>
      <c r="H9669" t="s">
        <v>11</v>
      </c>
      <c r="I9669" t="s">
        <v>10</v>
      </c>
    </row>
    <row r="9670" spans="1:9" x14ac:dyDescent="0.25">
      <c r="A9670" t="str">
        <f t="shared" si="231"/>
        <v>89301000</v>
      </c>
      <c r="B9670" t="str">
        <f>"6455200158"</f>
        <v>6455200158</v>
      </c>
      <c r="C9670" s="1">
        <v>45147</v>
      </c>
      <c r="D9670" s="1">
        <v>45148</v>
      </c>
      <c r="E9670">
        <v>1</v>
      </c>
      <c r="F9670" t="str">
        <f>"08-M03-04"</f>
        <v>08-M03-04</v>
      </c>
      <c r="G9670">
        <v>0.87760000000000005</v>
      </c>
      <c r="H9670" t="s">
        <v>11</v>
      </c>
      <c r="I9670" t="s">
        <v>10</v>
      </c>
    </row>
    <row r="9671" spans="1:9" x14ac:dyDescent="0.25">
      <c r="A9671" t="str">
        <f t="shared" si="231"/>
        <v>89301000</v>
      </c>
      <c r="B9671" t="str">
        <f>"6455230804"</f>
        <v>6455230804</v>
      </c>
      <c r="C9671" s="1">
        <v>45231</v>
      </c>
      <c r="D9671" s="1">
        <v>45236</v>
      </c>
      <c r="E9671">
        <v>1</v>
      </c>
      <c r="F9671" t="str">
        <f>"07-M02-03"</f>
        <v>07-M02-03</v>
      </c>
      <c r="G9671">
        <v>1.2942</v>
      </c>
      <c r="H9671" t="s">
        <v>12</v>
      </c>
      <c r="I9671" t="s">
        <v>10</v>
      </c>
    </row>
    <row r="9672" spans="1:9" x14ac:dyDescent="0.25">
      <c r="A9672" t="str">
        <f t="shared" si="231"/>
        <v>89301000</v>
      </c>
      <c r="B9672" t="str">
        <f>"6455231706"</f>
        <v>6455231706</v>
      </c>
      <c r="C9672" s="1">
        <v>45152</v>
      </c>
      <c r="D9672" s="1">
        <v>45155</v>
      </c>
      <c r="E9672">
        <v>1</v>
      </c>
      <c r="F9672" t="str">
        <f>"03-K03-02"</f>
        <v>03-K03-02</v>
      </c>
      <c r="G9672">
        <v>0.51949999999999996</v>
      </c>
      <c r="H9672" t="s">
        <v>11</v>
      </c>
      <c r="I9672" t="s">
        <v>10</v>
      </c>
    </row>
    <row r="9673" spans="1:9" x14ac:dyDescent="0.25">
      <c r="A9673" t="str">
        <f t="shared" si="231"/>
        <v>89301000</v>
      </c>
      <c r="B9673" t="str">
        <f>"6455270833"</f>
        <v>6455270833</v>
      </c>
      <c r="C9673" s="1">
        <v>44965</v>
      </c>
      <c r="D9673" s="1">
        <v>44966</v>
      </c>
      <c r="E9673">
        <v>1</v>
      </c>
      <c r="F9673" t="str">
        <f>"04-K09-03"</f>
        <v>04-K09-03</v>
      </c>
      <c r="G9673">
        <v>0.629</v>
      </c>
      <c r="H9673" t="s">
        <v>11</v>
      </c>
      <c r="I9673" t="s">
        <v>10</v>
      </c>
    </row>
    <row r="9674" spans="1:9" x14ac:dyDescent="0.25">
      <c r="A9674" t="str">
        <f t="shared" si="231"/>
        <v>89301000</v>
      </c>
      <c r="B9674" t="str">
        <f>"6455280436"</f>
        <v>6455280436</v>
      </c>
      <c r="C9674" s="1">
        <v>45179</v>
      </c>
      <c r="D9674" s="1">
        <v>45181</v>
      </c>
      <c r="E9674">
        <v>1</v>
      </c>
      <c r="F9674" t="str">
        <f>"03-I14-02"</f>
        <v>03-I14-02</v>
      </c>
      <c r="G9674">
        <v>1.0793999999999999</v>
      </c>
      <c r="H9674" t="s">
        <v>11</v>
      </c>
      <c r="I9674" t="s">
        <v>10</v>
      </c>
    </row>
    <row r="9675" spans="1:9" x14ac:dyDescent="0.25">
      <c r="A9675" t="str">
        <f t="shared" si="231"/>
        <v>89301000</v>
      </c>
      <c r="B9675" t="str">
        <f>"6456010693"</f>
        <v>6456010693</v>
      </c>
      <c r="C9675" s="1">
        <v>45061</v>
      </c>
      <c r="D9675" s="1">
        <v>45063</v>
      </c>
      <c r="E9675">
        <v>1</v>
      </c>
      <c r="F9675" t="str">
        <f>"08-I10-01"</f>
        <v>08-I10-01</v>
      </c>
      <c r="G9675">
        <v>1.1986000000000001</v>
      </c>
      <c r="H9675" t="s">
        <v>12</v>
      </c>
      <c r="I9675" t="s">
        <v>10</v>
      </c>
    </row>
    <row r="9676" spans="1:9" x14ac:dyDescent="0.25">
      <c r="A9676" t="str">
        <f t="shared" si="231"/>
        <v>89301000</v>
      </c>
      <c r="B9676" t="str">
        <f>"6456070258"</f>
        <v>6456070258</v>
      </c>
      <c r="C9676" s="1">
        <v>45000</v>
      </c>
      <c r="D9676" s="1">
        <v>45002</v>
      </c>
      <c r="E9676">
        <v>1</v>
      </c>
      <c r="F9676" t="str">
        <f>"23-K04-02"</f>
        <v>23-K04-02</v>
      </c>
      <c r="G9676">
        <v>0.38150000000000001</v>
      </c>
      <c r="H9676" t="s">
        <v>11</v>
      </c>
      <c r="I9676" t="s">
        <v>10</v>
      </c>
    </row>
    <row r="9677" spans="1:9" x14ac:dyDescent="0.25">
      <c r="A9677" t="str">
        <f t="shared" si="231"/>
        <v>89301000</v>
      </c>
      <c r="B9677" t="str">
        <f>"6456091400"</f>
        <v>6456091400</v>
      </c>
      <c r="C9677" s="1">
        <v>45260</v>
      </c>
      <c r="D9677" s="1">
        <v>45261</v>
      </c>
      <c r="E9677">
        <v>1</v>
      </c>
      <c r="F9677" t="str">
        <f>"01-I11-01"</f>
        <v>01-I11-01</v>
      </c>
      <c r="G9677">
        <v>0.96399999999999997</v>
      </c>
      <c r="H9677" t="s">
        <v>12</v>
      </c>
      <c r="I9677" t="s">
        <v>10</v>
      </c>
    </row>
    <row r="9678" spans="1:9" x14ac:dyDescent="0.25">
      <c r="A9678" t="str">
        <f t="shared" si="231"/>
        <v>89301000</v>
      </c>
      <c r="B9678" t="str">
        <f>"6456091400"</f>
        <v>6456091400</v>
      </c>
      <c r="C9678" s="1">
        <v>44998</v>
      </c>
      <c r="D9678" s="1">
        <v>44999</v>
      </c>
      <c r="E9678">
        <v>1</v>
      </c>
      <c r="F9678" t="str">
        <f>"01-D01-03"</f>
        <v>01-D01-03</v>
      </c>
      <c r="G9678">
        <v>0.16200000000000001</v>
      </c>
      <c r="H9678" t="s">
        <v>11</v>
      </c>
      <c r="I9678" t="s">
        <v>10</v>
      </c>
    </row>
    <row r="9679" spans="1:9" x14ac:dyDescent="0.25">
      <c r="A9679" t="str">
        <f t="shared" si="231"/>
        <v>89301000</v>
      </c>
      <c r="B9679" t="str">
        <f>"6456101168"</f>
        <v>6456101168</v>
      </c>
      <c r="C9679" s="1">
        <v>45257</v>
      </c>
      <c r="D9679" s="1">
        <v>45259</v>
      </c>
      <c r="E9679">
        <v>1</v>
      </c>
      <c r="F9679" t="str">
        <f>"09-I04-02"</f>
        <v>09-I04-02</v>
      </c>
      <c r="G9679">
        <v>1.0899000000000001</v>
      </c>
      <c r="H9679" t="s">
        <v>12</v>
      </c>
      <c r="I9679" t="s">
        <v>10</v>
      </c>
    </row>
    <row r="9680" spans="1:9" x14ac:dyDescent="0.25">
      <c r="A9680" t="str">
        <f t="shared" si="231"/>
        <v>89301000</v>
      </c>
      <c r="B9680" t="str">
        <f>"6456101168"</f>
        <v>6456101168</v>
      </c>
      <c r="C9680" s="1">
        <v>45055</v>
      </c>
      <c r="D9680" s="1">
        <v>45056</v>
      </c>
      <c r="E9680">
        <v>1</v>
      </c>
      <c r="F9680" t="str">
        <f>"09-I04-02"</f>
        <v>09-I04-02</v>
      </c>
      <c r="G9680">
        <v>1.0899000000000001</v>
      </c>
      <c r="H9680" t="s">
        <v>12</v>
      </c>
      <c r="I9680" t="s">
        <v>10</v>
      </c>
    </row>
    <row r="9681" spans="1:9" x14ac:dyDescent="0.25">
      <c r="A9681" t="str">
        <f t="shared" si="231"/>
        <v>89301000</v>
      </c>
      <c r="B9681" t="str">
        <f>"6456112278"</f>
        <v>6456112278</v>
      </c>
      <c r="C9681" s="1">
        <v>45253</v>
      </c>
      <c r="D9681" s="1">
        <v>45255</v>
      </c>
      <c r="E9681">
        <v>1</v>
      </c>
      <c r="F9681" t="str">
        <f>"11-K08-02"</f>
        <v>11-K08-02</v>
      </c>
      <c r="G9681">
        <v>0.50570000000000004</v>
      </c>
      <c r="H9681" t="s">
        <v>11</v>
      </c>
      <c r="I9681" t="s">
        <v>10</v>
      </c>
    </row>
    <row r="9682" spans="1:9" x14ac:dyDescent="0.25">
      <c r="A9682" t="str">
        <f t="shared" si="231"/>
        <v>89301000</v>
      </c>
      <c r="B9682" t="str">
        <f>"6456112278"</f>
        <v>6456112278</v>
      </c>
      <c r="C9682" s="1">
        <v>45279</v>
      </c>
      <c r="D9682" s="1">
        <v>45284</v>
      </c>
      <c r="E9682">
        <v>1</v>
      </c>
      <c r="F9682" t="str">
        <f>"13-I08-01"</f>
        <v>13-I08-01</v>
      </c>
      <c r="G9682">
        <v>1.7029000000000001</v>
      </c>
      <c r="H9682" t="s">
        <v>14</v>
      </c>
      <c r="I9682" t="s">
        <v>10</v>
      </c>
    </row>
    <row r="9683" spans="1:9" x14ac:dyDescent="0.25">
      <c r="A9683" t="str">
        <f t="shared" si="231"/>
        <v>89301000</v>
      </c>
      <c r="B9683" t="str">
        <f>"6456150426"</f>
        <v>6456150426</v>
      </c>
      <c r="C9683" s="1">
        <v>45196</v>
      </c>
      <c r="D9683" s="1">
        <v>45210</v>
      </c>
      <c r="E9683">
        <v>1</v>
      </c>
      <c r="F9683" t="str">
        <f>"08-K08-00"</f>
        <v>08-K08-00</v>
      </c>
      <c r="G9683">
        <v>0.68540000000000001</v>
      </c>
      <c r="H9683" t="s">
        <v>11</v>
      </c>
      <c r="I9683" t="s">
        <v>10</v>
      </c>
    </row>
    <row r="9684" spans="1:9" x14ac:dyDescent="0.25">
      <c r="A9684" t="str">
        <f t="shared" si="231"/>
        <v>89301000</v>
      </c>
      <c r="B9684" t="str">
        <f>"6456151801"</f>
        <v>6456151801</v>
      </c>
      <c r="C9684" s="1">
        <v>44937</v>
      </c>
      <c r="D9684" s="1">
        <v>44942</v>
      </c>
      <c r="E9684">
        <v>1</v>
      </c>
      <c r="F9684" t="str">
        <f>"08-I03-04"</f>
        <v>08-I03-04</v>
      </c>
      <c r="G9684">
        <v>4.1180000000000003</v>
      </c>
      <c r="H9684" t="s">
        <v>9</v>
      </c>
      <c r="I9684" t="s">
        <v>10</v>
      </c>
    </row>
    <row r="9685" spans="1:9" x14ac:dyDescent="0.25">
      <c r="A9685" t="str">
        <f t="shared" si="231"/>
        <v>89301000</v>
      </c>
      <c r="B9685" t="str">
        <f>"6456151801"</f>
        <v>6456151801</v>
      </c>
      <c r="C9685" s="1">
        <v>44984</v>
      </c>
      <c r="D9685" s="1">
        <v>44985</v>
      </c>
      <c r="E9685">
        <v>1</v>
      </c>
      <c r="F9685" t="str">
        <f>"01-D01-03"</f>
        <v>01-D01-03</v>
      </c>
      <c r="G9685">
        <v>0.16200000000000001</v>
      </c>
      <c r="H9685" t="s">
        <v>11</v>
      </c>
      <c r="I9685" t="s">
        <v>10</v>
      </c>
    </row>
    <row r="9686" spans="1:9" x14ac:dyDescent="0.25">
      <c r="A9686" t="str">
        <f t="shared" si="231"/>
        <v>89301000</v>
      </c>
      <c r="B9686" t="str">
        <f>"6456151801"</f>
        <v>6456151801</v>
      </c>
      <c r="C9686" s="1">
        <v>45040</v>
      </c>
      <c r="D9686" s="1">
        <v>45042</v>
      </c>
      <c r="E9686">
        <v>1</v>
      </c>
      <c r="F9686" t="str">
        <f>"01-D01-03"</f>
        <v>01-D01-03</v>
      </c>
      <c r="G9686">
        <v>0.16200000000000001</v>
      </c>
      <c r="H9686" t="s">
        <v>11</v>
      </c>
      <c r="I9686" t="s">
        <v>10</v>
      </c>
    </row>
    <row r="9687" spans="1:9" x14ac:dyDescent="0.25">
      <c r="A9687" t="str">
        <f t="shared" si="231"/>
        <v>89301000</v>
      </c>
      <c r="B9687" t="str">
        <f>"6456161536"</f>
        <v>6456161536</v>
      </c>
      <c r="C9687" s="1">
        <v>45118</v>
      </c>
      <c r="D9687" s="1">
        <v>45122</v>
      </c>
      <c r="E9687">
        <v>1</v>
      </c>
      <c r="F9687" t="str">
        <f>"10-I13-02"</f>
        <v>10-I13-02</v>
      </c>
      <c r="G9687">
        <v>1.1227</v>
      </c>
      <c r="H9687" t="s">
        <v>9</v>
      </c>
      <c r="I9687" t="s">
        <v>10</v>
      </c>
    </row>
    <row r="9688" spans="1:9" x14ac:dyDescent="0.25">
      <c r="A9688" t="str">
        <f t="shared" si="231"/>
        <v>89301000</v>
      </c>
      <c r="B9688" t="str">
        <f>"6456201268"</f>
        <v>6456201268</v>
      </c>
      <c r="C9688" s="1">
        <v>45146</v>
      </c>
      <c r="D9688" s="1">
        <v>45152</v>
      </c>
      <c r="E9688">
        <v>1</v>
      </c>
      <c r="F9688" t="str">
        <f>"04-K02-04"</f>
        <v>04-K02-04</v>
      </c>
      <c r="G9688">
        <v>0.82099999999999995</v>
      </c>
      <c r="H9688" t="s">
        <v>11</v>
      </c>
      <c r="I9688" t="s">
        <v>10</v>
      </c>
    </row>
    <row r="9689" spans="1:9" x14ac:dyDescent="0.25">
      <c r="A9689" t="str">
        <f t="shared" si="231"/>
        <v>89301000</v>
      </c>
      <c r="B9689" t="str">
        <f>"6457011836"</f>
        <v>6457011836</v>
      </c>
      <c r="C9689" s="1">
        <v>45103</v>
      </c>
      <c r="D9689" s="1">
        <v>45111</v>
      </c>
      <c r="E9689">
        <v>4</v>
      </c>
      <c r="F9689" t="str">
        <f>"08-I05-04"</f>
        <v>08-I05-04</v>
      </c>
      <c r="G9689">
        <v>2.4445000000000001</v>
      </c>
      <c r="H9689" t="s">
        <v>12</v>
      </c>
      <c r="I9689" t="s">
        <v>10</v>
      </c>
    </row>
    <row r="9690" spans="1:9" x14ac:dyDescent="0.25">
      <c r="A9690" t="str">
        <f t="shared" si="231"/>
        <v>89301000</v>
      </c>
      <c r="B9690" t="str">
        <f>"6457061578"</f>
        <v>6457061578</v>
      </c>
      <c r="C9690" s="1">
        <v>44936</v>
      </c>
      <c r="D9690" s="1">
        <v>44937</v>
      </c>
      <c r="E9690">
        <v>1</v>
      </c>
      <c r="F9690" t="str">
        <f>"02-I13-02"</f>
        <v>02-I13-02</v>
      </c>
      <c r="G9690">
        <v>0.4259</v>
      </c>
      <c r="H9690" t="s">
        <v>11</v>
      </c>
      <c r="I9690" t="s">
        <v>10</v>
      </c>
    </row>
    <row r="9691" spans="1:9" x14ac:dyDescent="0.25">
      <c r="A9691" t="str">
        <f t="shared" si="231"/>
        <v>89301000</v>
      </c>
      <c r="B9691" t="str">
        <f>"6457080751"</f>
        <v>6457080751</v>
      </c>
      <c r="C9691" s="1">
        <v>45091</v>
      </c>
      <c r="D9691" s="1">
        <v>45094</v>
      </c>
      <c r="E9691">
        <v>1</v>
      </c>
      <c r="F9691" t="str">
        <f>"11-M06-03"</f>
        <v>11-M06-03</v>
      </c>
      <c r="G9691">
        <v>0.62009999999999998</v>
      </c>
      <c r="H9691" t="s">
        <v>12</v>
      </c>
      <c r="I9691" t="s">
        <v>10</v>
      </c>
    </row>
    <row r="9692" spans="1:9" x14ac:dyDescent="0.25">
      <c r="A9692" t="str">
        <f t="shared" si="231"/>
        <v>89301000</v>
      </c>
      <c r="B9692" t="str">
        <f>"6457080751"</f>
        <v>6457080751</v>
      </c>
      <c r="C9692" s="1">
        <v>45215</v>
      </c>
      <c r="D9692" s="1">
        <v>45218</v>
      </c>
      <c r="E9692">
        <v>5</v>
      </c>
      <c r="F9692" t="str">
        <f>"05-K06-01"</f>
        <v>05-K06-01</v>
      </c>
      <c r="G9692">
        <v>3.1059000000000001</v>
      </c>
      <c r="H9692" t="s">
        <v>11</v>
      </c>
      <c r="I9692" t="s">
        <v>10</v>
      </c>
    </row>
    <row r="9693" spans="1:9" x14ac:dyDescent="0.25">
      <c r="A9693" t="str">
        <f t="shared" si="231"/>
        <v>89301000</v>
      </c>
      <c r="B9693" t="str">
        <f>"6457180521"</f>
        <v>6457180521</v>
      </c>
      <c r="C9693" s="1">
        <v>45180</v>
      </c>
      <c r="D9693" s="1">
        <v>45181</v>
      </c>
      <c r="E9693">
        <v>1</v>
      </c>
      <c r="F9693" t="str">
        <f>"05-D01-08"</f>
        <v>05-D01-08</v>
      </c>
      <c r="G9693">
        <v>0.43159999999999998</v>
      </c>
      <c r="H9693" t="s">
        <v>11</v>
      </c>
      <c r="I9693" t="s">
        <v>10</v>
      </c>
    </row>
    <row r="9694" spans="1:9" x14ac:dyDescent="0.25">
      <c r="A9694" t="str">
        <f t="shared" si="231"/>
        <v>89301000</v>
      </c>
      <c r="B9694" t="str">
        <f>"6457180521"</f>
        <v>6457180521</v>
      </c>
      <c r="C9694" s="1">
        <v>45120</v>
      </c>
      <c r="D9694" s="1">
        <v>45120</v>
      </c>
      <c r="E9694">
        <v>1</v>
      </c>
      <c r="F9694" t="str">
        <f>"05-I14-04"</f>
        <v>05-I14-04</v>
      </c>
      <c r="G9694">
        <v>4.9752000000000001</v>
      </c>
      <c r="H9694" t="s">
        <v>12</v>
      </c>
      <c r="I9694" t="s">
        <v>10</v>
      </c>
    </row>
    <row r="9695" spans="1:9" x14ac:dyDescent="0.25">
      <c r="A9695" t="str">
        <f t="shared" si="231"/>
        <v>89301000</v>
      </c>
      <c r="B9695" t="str">
        <f>"6457180521"</f>
        <v>6457180521</v>
      </c>
      <c r="C9695" s="1">
        <v>45022</v>
      </c>
      <c r="D9695" s="1">
        <v>45022</v>
      </c>
      <c r="E9695">
        <v>1</v>
      </c>
      <c r="F9695" t="str">
        <f>"01-K18-04"</f>
        <v>01-K18-04</v>
      </c>
      <c r="G9695">
        <v>1.0386</v>
      </c>
      <c r="H9695" t="s">
        <v>11</v>
      </c>
      <c r="I9695" t="s">
        <v>10</v>
      </c>
    </row>
    <row r="9696" spans="1:9" x14ac:dyDescent="0.25">
      <c r="A9696" t="str">
        <f t="shared" si="231"/>
        <v>89301000</v>
      </c>
      <c r="B9696" t="str">
        <f>"6457180521"</f>
        <v>6457180521</v>
      </c>
      <c r="C9696" s="1">
        <v>45077</v>
      </c>
      <c r="D9696" s="1">
        <v>45084</v>
      </c>
      <c r="E9696">
        <v>1</v>
      </c>
      <c r="F9696" t="str">
        <f>"01-K12-01"</f>
        <v>01-K12-01</v>
      </c>
      <c r="G9696">
        <v>0.73780000000000001</v>
      </c>
      <c r="H9696" t="s">
        <v>11</v>
      </c>
      <c r="I9696" t="s">
        <v>10</v>
      </c>
    </row>
    <row r="9697" spans="1:9" x14ac:dyDescent="0.25">
      <c r="A9697" t="str">
        <f t="shared" si="231"/>
        <v>89301000</v>
      </c>
      <c r="B9697" t="str">
        <f>"6457201850"</f>
        <v>6457201850</v>
      </c>
      <c r="C9697" s="1">
        <v>45161</v>
      </c>
      <c r="D9697" s="1">
        <v>45167</v>
      </c>
      <c r="E9697">
        <v>1</v>
      </c>
      <c r="F9697" t="str">
        <f>"05-K02-02"</f>
        <v>05-K02-02</v>
      </c>
      <c r="G9697">
        <v>0.76439999999999997</v>
      </c>
      <c r="H9697" t="s">
        <v>11</v>
      </c>
      <c r="I9697" t="s">
        <v>10</v>
      </c>
    </row>
    <row r="9698" spans="1:9" x14ac:dyDescent="0.25">
      <c r="A9698" t="str">
        <f t="shared" si="231"/>
        <v>89301000</v>
      </c>
      <c r="B9698" t="str">
        <f>"6457201850"</f>
        <v>6457201850</v>
      </c>
      <c r="C9698" s="1">
        <v>45133</v>
      </c>
      <c r="D9698" s="1">
        <v>45134</v>
      </c>
      <c r="E9698">
        <v>1</v>
      </c>
      <c r="F9698" t="str">
        <f>"05-K02-02"</f>
        <v>05-K02-02</v>
      </c>
      <c r="G9698">
        <v>0.76439999999999997</v>
      </c>
      <c r="H9698" t="s">
        <v>11</v>
      </c>
      <c r="I9698" t="s">
        <v>10</v>
      </c>
    </row>
    <row r="9699" spans="1:9" x14ac:dyDescent="0.25">
      <c r="A9699" t="str">
        <f t="shared" si="231"/>
        <v>89301000</v>
      </c>
      <c r="B9699" t="str">
        <f>"6457251119"</f>
        <v>6457251119</v>
      </c>
      <c r="C9699" s="1">
        <v>44964</v>
      </c>
      <c r="D9699" s="1">
        <v>44967</v>
      </c>
      <c r="E9699">
        <v>1</v>
      </c>
      <c r="F9699" t="str">
        <f>"16-K01-02"</f>
        <v>16-K01-02</v>
      </c>
      <c r="G9699">
        <v>0.47449999999999998</v>
      </c>
      <c r="H9699" t="s">
        <v>11</v>
      </c>
      <c r="I9699" t="s">
        <v>10</v>
      </c>
    </row>
    <row r="9700" spans="1:9" x14ac:dyDescent="0.25">
      <c r="A9700" t="str">
        <f t="shared" si="231"/>
        <v>89301000</v>
      </c>
      <c r="B9700" t="str">
        <f>"6457291104"</f>
        <v>6457291104</v>
      </c>
      <c r="C9700" s="1">
        <v>44958</v>
      </c>
      <c r="D9700" s="1">
        <v>44960</v>
      </c>
      <c r="E9700">
        <v>1</v>
      </c>
      <c r="F9700" t="str">
        <f>"08-I25-01"</f>
        <v>08-I25-01</v>
      </c>
      <c r="G9700">
        <v>0.99329999999999996</v>
      </c>
      <c r="H9700" t="s">
        <v>11</v>
      </c>
      <c r="I9700" t="s">
        <v>10</v>
      </c>
    </row>
    <row r="9701" spans="1:9" x14ac:dyDescent="0.25">
      <c r="A9701" t="str">
        <f t="shared" si="231"/>
        <v>89301000</v>
      </c>
      <c r="B9701" t="str">
        <f>"6458020690"</f>
        <v>6458020690</v>
      </c>
      <c r="C9701" s="1">
        <v>45281</v>
      </c>
      <c r="D9701" s="1">
        <v>45283</v>
      </c>
      <c r="E9701">
        <v>1</v>
      </c>
      <c r="F9701" t="str">
        <f>"08-I17-02"</f>
        <v>08-I17-02</v>
      </c>
      <c r="G9701">
        <v>0.89680000000000004</v>
      </c>
      <c r="H9701" t="s">
        <v>11</v>
      </c>
      <c r="I9701" t="s">
        <v>10</v>
      </c>
    </row>
    <row r="9702" spans="1:9" x14ac:dyDescent="0.25">
      <c r="A9702" t="str">
        <f t="shared" si="231"/>
        <v>89301000</v>
      </c>
      <c r="B9702" t="str">
        <f>"6458160852"</f>
        <v>6458160852</v>
      </c>
      <c r="C9702" s="1">
        <v>45091</v>
      </c>
      <c r="D9702" s="1">
        <v>45093</v>
      </c>
      <c r="E9702">
        <v>1</v>
      </c>
      <c r="F9702" t="str">
        <f>"09-I04-02"</f>
        <v>09-I04-02</v>
      </c>
      <c r="G9702">
        <v>1.0899000000000001</v>
      </c>
      <c r="H9702" t="s">
        <v>12</v>
      </c>
      <c r="I9702" t="s">
        <v>10</v>
      </c>
    </row>
    <row r="9703" spans="1:9" x14ac:dyDescent="0.25">
      <c r="A9703" t="str">
        <f t="shared" si="231"/>
        <v>89301000</v>
      </c>
      <c r="B9703" t="str">
        <f>"6458160852"</f>
        <v>6458160852</v>
      </c>
      <c r="C9703" s="1">
        <v>45070</v>
      </c>
      <c r="D9703" s="1">
        <v>45071</v>
      </c>
      <c r="E9703">
        <v>1</v>
      </c>
      <c r="F9703" t="str">
        <f>"21-K06-02"</f>
        <v>21-K06-02</v>
      </c>
      <c r="G9703">
        <v>0.52149999999999996</v>
      </c>
      <c r="H9703" t="s">
        <v>11</v>
      </c>
      <c r="I9703" t="s">
        <v>10</v>
      </c>
    </row>
    <row r="9704" spans="1:9" x14ac:dyDescent="0.25">
      <c r="A9704" t="str">
        <f t="shared" si="231"/>
        <v>89301000</v>
      </c>
      <c r="B9704" t="str">
        <f>"6458160852"</f>
        <v>6458160852</v>
      </c>
      <c r="C9704" s="1">
        <v>45035</v>
      </c>
      <c r="D9704" s="1">
        <v>45038</v>
      </c>
      <c r="E9704">
        <v>1</v>
      </c>
      <c r="F9704" t="str">
        <f>"23-I08-00"</f>
        <v>23-I08-00</v>
      </c>
      <c r="G9704">
        <v>0.81740000000000002</v>
      </c>
      <c r="H9704" t="s">
        <v>9</v>
      </c>
      <c r="I9704" t="s">
        <v>10</v>
      </c>
    </row>
    <row r="9705" spans="1:9" x14ac:dyDescent="0.25">
      <c r="A9705" t="str">
        <f t="shared" si="231"/>
        <v>89301000</v>
      </c>
      <c r="B9705" t="str">
        <f>"6458191410"</f>
        <v>6458191410</v>
      </c>
      <c r="C9705" s="1">
        <v>44970</v>
      </c>
      <c r="D9705" s="1">
        <v>44974</v>
      </c>
      <c r="E9705">
        <v>1</v>
      </c>
      <c r="F9705" t="str">
        <f>"01-K01-02"</f>
        <v>01-K01-02</v>
      </c>
      <c r="G9705">
        <v>0.442</v>
      </c>
      <c r="H9705" t="s">
        <v>11</v>
      </c>
      <c r="I9705" t="s">
        <v>10</v>
      </c>
    </row>
    <row r="9706" spans="1:9" x14ac:dyDescent="0.25">
      <c r="A9706" t="str">
        <f t="shared" si="231"/>
        <v>89301000</v>
      </c>
      <c r="B9706" t="str">
        <f>"6458191410"</f>
        <v>6458191410</v>
      </c>
      <c r="C9706" s="1">
        <v>45049</v>
      </c>
      <c r="D9706" s="1">
        <v>45053</v>
      </c>
      <c r="E9706">
        <v>1</v>
      </c>
      <c r="F9706" t="str">
        <f>"01-K01-02"</f>
        <v>01-K01-02</v>
      </c>
      <c r="G9706">
        <v>0.442</v>
      </c>
      <c r="H9706" t="s">
        <v>11</v>
      </c>
      <c r="I9706" t="s">
        <v>10</v>
      </c>
    </row>
    <row r="9707" spans="1:9" x14ac:dyDescent="0.25">
      <c r="A9707" t="str">
        <f t="shared" ref="A9707:A9770" si="232">"89301000"</f>
        <v>89301000</v>
      </c>
      <c r="B9707" t="str">
        <f>"6458241856"</f>
        <v>6458241856</v>
      </c>
      <c r="C9707" s="1">
        <v>44993</v>
      </c>
      <c r="D9707" s="1">
        <v>44998</v>
      </c>
      <c r="E9707">
        <v>1</v>
      </c>
      <c r="F9707" t="str">
        <f>"13-I04-01"</f>
        <v>13-I04-01</v>
      </c>
      <c r="G9707">
        <v>2.8856000000000002</v>
      </c>
      <c r="H9707" t="s">
        <v>14</v>
      </c>
      <c r="I9707" t="s">
        <v>10</v>
      </c>
    </row>
    <row r="9708" spans="1:9" x14ac:dyDescent="0.25">
      <c r="A9708" t="str">
        <f t="shared" si="232"/>
        <v>89301000</v>
      </c>
      <c r="B9708" t="str">
        <f>"6458291631"</f>
        <v>6458291631</v>
      </c>
      <c r="C9708" s="1">
        <v>45253</v>
      </c>
      <c r="D9708" s="1">
        <v>45257</v>
      </c>
      <c r="E9708">
        <v>1</v>
      </c>
      <c r="F9708" t="str">
        <f>"09-I13-05"</f>
        <v>09-I13-05</v>
      </c>
      <c r="G9708">
        <v>0.42570000000000002</v>
      </c>
      <c r="H9708" t="s">
        <v>11</v>
      </c>
      <c r="I9708" t="s">
        <v>10</v>
      </c>
    </row>
    <row r="9709" spans="1:9" x14ac:dyDescent="0.25">
      <c r="A9709" t="str">
        <f t="shared" si="232"/>
        <v>89301000</v>
      </c>
      <c r="B9709" t="str">
        <f>"6458316865"</f>
        <v>6458316865</v>
      </c>
      <c r="C9709" s="1">
        <v>44980</v>
      </c>
      <c r="D9709" s="1">
        <v>44983</v>
      </c>
      <c r="E9709">
        <v>1</v>
      </c>
      <c r="F9709" t="str">
        <f>"08-M03-05"</f>
        <v>08-M03-05</v>
      </c>
      <c r="G9709">
        <v>0.46810000000000002</v>
      </c>
      <c r="H9709" t="s">
        <v>11</v>
      </c>
      <c r="I9709" t="s">
        <v>10</v>
      </c>
    </row>
    <row r="9710" spans="1:9" x14ac:dyDescent="0.25">
      <c r="A9710" t="str">
        <f t="shared" si="232"/>
        <v>89301000</v>
      </c>
      <c r="B9710" t="str">
        <f>"6459091760"</f>
        <v>6459091760</v>
      </c>
      <c r="C9710" s="1">
        <v>45112</v>
      </c>
      <c r="D9710" s="1">
        <v>45126</v>
      </c>
      <c r="E9710">
        <v>4</v>
      </c>
      <c r="F9710" t="str">
        <f>"11-M02-03"</f>
        <v>11-M02-03</v>
      </c>
      <c r="G9710">
        <v>2.6562000000000001</v>
      </c>
      <c r="H9710" t="s">
        <v>11</v>
      </c>
      <c r="I9710" t="s">
        <v>10</v>
      </c>
    </row>
    <row r="9711" spans="1:9" x14ac:dyDescent="0.25">
      <c r="A9711" t="str">
        <f t="shared" si="232"/>
        <v>89301000</v>
      </c>
      <c r="B9711" t="str">
        <f>"6459091760"</f>
        <v>6459091760</v>
      </c>
      <c r="C9711" s="1">
        <v>45152</v>
      </c>
      <c r="D9711" s="1">
        <v>45160</v>
      </c>
      <c r="E9711">
        <v>4</v>
      </c>
      <c r="F9711" t="str">
        <f>"06-K02-02"</f>
        <v>06-K02-02</v>
      </c>
      <c r="G9711">
        <v>0.86660000000000004</v>
      </c>
      <c r="H9711" t="s">
        <v>11</v>
      </c>
      <c r="I9711" t="s">
        <v>10</v>
      </c>
    </row>
    <row r="9712" spans="1:9" x14ac:dyDescent="0.25">
      <c r="A9712" t="str">
        <f t="shared" si="232"/>
        <v>89301000</v>
      </c>
      <c r="B9712" t="str">
        <f>"6459091760"</f>
        <v>6459091760</v>
      </c>
      <c r="C9712" s="1">
        <v>44930</v>
      </c>
      <c r="D9712" s="1">
        <v>44939</v>
      </c>
      <c r="E9712">
        <v>1</v>
      </c>
      <c r="F9712" t="str">
        <f>"04-K02-03"</f>
        <v>04-K02-03</v>
      </c>
      <c r="G9712">
        <v>1.298</v>
      </c>
      <c r="H9712" t="s">
        <v>11</v>
      </c>
      <c r="I9712" t="s">
        <v>10</v>
      </c>
    </row>
    <row r="9713" spans="1:9" x14ac:dyDescent="0.25">
      <c r="A9713" t="str">
        <f t="shared" si="232"/>
        <v>89301000</v>
      </c>
      <c r="B9713" t="str">
        <f>"6459091760"</f>
        <v>6459091760</v>
      </c>
      <c r="C9713" s="1">
        <v>44973</v>
      </c>
      <c r="D9713" s="1">
        <v>45001</v>
      </c>
      <c r="E9713">
        <v>1</v>
      </c>
      <c r="F9713" t="str">
        <f>"04-K05-03"</f>
        <v>04-K05-03</v>
      </c>
      <c r="G9713">
        <v>1.7981</v>
      </c>
      <c r="H9713" t="s">
        <v>11</v>
      </c>
      <c r="I9713" t="s">
        <v>10</v>
      </c>
    </row>
    <row r="9714" spans="1:9" x14ac:dyDescent="0.25">
      <c r="A9714" t="str">
        <f t="shared" si="232"/>
        <v>89301000</v>
      </c>
      <c r="B9714" t="str">
        <f>"6459222198"</f>
        <v>6459222198</v>
      </c>
      <c r="C9714" s="1">
        <v>45259</v>
      </c>
      <c r="D9714" s="1">
        <v>45259</v>
      </c>
      <c r="E9714">
        <v>5</v>
      </c>
      <c r="F9714" t="str">
        <f>"19-K01-03"</f>
        <v>19-K01-03</v>
      </c>
      <c r="G9714">
        <v>0.27850000000000003</v>
      </c>
      <c r="H9714" t="s">
        <v>15</v>
      </c>
      <c r="I9714" t="s">
        <v>10</v>
      </c>
    </row>
    <row r="9715" spans="1:9" x14ac:dyDescent="0.25">
      <c r="A9715" t="str">
        <f t="shared" si="232"/>
        <v>89301000</v>
      </c>
      <c r="B9715" t="str">
        <f>"6460021678"</f>
        <v>6460021678</v>
      </c>
      <c r="C9715" s="1">
        <v>45117</v>
      </c>
      <c r="D9715" s="1">
        <v>45118</v>
      </c>
      <c r="E9715">
        <v>1</v>
      </c>
      <c r="F9715" t="str">
        <f>"08-I32-00"</f>
        <v>08-I32-00</v>
      </c>
      <c r="G9715">
        <v>0.40870000000000001</v>
      </c>
      <c r="H9715" t="s">
        <v>11</v>
      </c>
      <c r="I9715" t="s">
        <v>10</v>
      </c>
    </row>
    <row r="9716" spans="1:9" x14ac:dyDescent="0.25">
      <c r="A9716" t="str">
        <f t="shared" si="232"/>
        <v>89301000</v>
      </c>
      <c r="B9716" t="str">
        <f>"6460130952"</f>
        <v>6460130952</v>
      </c>
      <c r="C9716" s="1">
        <v>45125</v>
      </c>
      <c r="D9716" s="1">
        <v>45127</v>
      </c>
      <c r="E9716">
        <v>1</v>
      </c>
      <c r="F9716" t="str">
        <f>"06-K20-02"</f>
        <v>06-K20-02</v>
      </c>
      <c r="G9716">
        <v>0.82389999999999997</v>
      </c>
      <c r="H9716" t="s">
        <v>11</v>
      </c>
      <c r="I9716" t="s">
        <v>10</v>
      </c>
    </row>
    <row r="9717" spans="1:9" x14ac:dyDescent="0.25">
      <c r="A9717" t="str">
        <f t="shared" si="232"/>
        <v>89301000</v>
      </c>
      <c r="B9717" t="str">
        <f>"6460141314"</f>
        <v>6460141314</v>
      </c>
      <c r="C9717" s="1">
        <v>45236</v>
      </c>
      <c r="D9717" s="1">
        <v>45251</v>
      </c>
      <c r="E9717">
        <v>2</v>
      </c>
      <c r="F9717" t="str">
        <f>"01-K04-02"</f>
        <v>01-K04-02</v>
      </c>
      <c r="G9717">
        <v>0.79990000000000006</v>
      </c>
      <c r="H9717" t="s">
        <v>11</v>
      </c>
      <c r="I9717" t="s">
        <v>10</v>
      </c>
    </row>
    <row r="9718" spans="1:9" x14ac:dyDescent="0.25">
      <c r="A9718" t="str">
        <f t="shared" si="232"/>
        <v>89301000</v>
      </c>
      <c r="B9718" t="str">
        <f>"6460141314"</f>
        <v>6460141314</v>
      </c>
      <c r="C9718" s="1">
        <v>45035</v>
      </c>
      <c r="D9718" s="1">
        <v>45040</v>
      </c>
      <c r="E9718">
        <v>1</v>
      </c>
      <c r="F9718" t="str">
        <f>"01-K04-02"</f>
        <v>01-K04-02</v>
      </c>
      <c r="G9718">
        <v>0.79990000000000006</v>
      </c>
      <c r="H9718" t="s">
        <v>11</v>
      </c>
      <c r="I9718" t="s">
        <v>10</v>
      </c>
    </row>
    <row r="9719" spans="1:9" x14ac:dyDescent="0.25">
      <c r="A9719" t="str">
        <f t="shared" si="232"/>
        <v>89301000</v>
      </c>
      <c r="B9719" t="str">
        <f>"6460141314"</f>
        <v>6460141314</v>
      </c>
      <c r="C9719" s="1">
        <v>44945</v>
      </c>
      <c r="D9719" s="1">
        <v>44970</v>
      </c>
      <c r="E9719">
        <v>1</v>
      </c>
      <c r="F9719" t="str">
        <f>"01-K04-02"</f>
        <v>01-K04-02</v>
      </c>
      <c r="G9719">
        <v>1.3997999999999999</v>
      </c>
      <c r="H9719" t="s">
        <v>11</v>
      </c>
      <c r="I9719" t="s">
        <v>10</v>
      </c>
    </row>
    <row r="9720" spans="1:9" x14ac:dyDescent="0.25">
      <c r="A9720" t="str">
        <f t="shared" si="232"/>
        <v>89301000</v>
      </c>
      <c r="B9720" t="str">
        <f>"6460161741"</f>
        <v>6460161741</v>
      </c>
      <c r="C9720" s="1">
        <v>45194</v>
      </c>
      <c r="D9720" s="1">
        <v>45196</v>
      </c>
      <c r="E9720">
        <v>1</v>
      </c>
      <c r="F9720" t="str">
        <f>"06-I17-04"</f>
        <v>06-I17-04</v>
      </c>
      <c r="G9720">
        <v>0.49869999999999998</v>
      </c>
      <c r="H9720" t="s">
        <v>12</v>
      </c>
      <c r="I9720" t="s">
        <v>10</v>
      </c>
    </row>
    <row r="9721" spans="1:9" x14ac:dyDescent="0.25">
      <c r="A9721" t="str">
        <f t="shared" si="232"/>
        <v>89301000</v>
      </c>
      <c r="B9721" t="str">
        <f>"6460310450"</f>
        <v>6460310450</v>
      </c>
      <c r="C9721" s="1">
        <v>45132</v>
      </c>
      <c r="D9721" s="1">
        <v>45138</v>
      </c>
      <c r="E9721">
        <v>1</v>
      </c>
      <c r="F9721" t="str">
        <f>"08-I14-01"</f>
        <v>08-I14-01</v>
      </c>
      <c r="G9721">
        <v>3.5514999999999999</v>
      </c>
      <c r="H9721" t="s">
        <v>12</v>
      </c>
      <c r="I9721" t="s">
        <v>10</v>
      </c>
    </row>
    <row r="9722" spans="1:9" x14ac:dyDescent="0.25">
      <c r="A9722" t="str">
        <f t="shared" si="232"/>
        <v>89301000</v>
      </c>
      <c r="B9722" t="str">
        <f>"6461021149"</f>
        <v>6461021149</v>
      </c>
      <c r="C9722" s="1">
        <v>45264</v>
      </c>
      <c r="D9722" s="1">
        <v>45266</v>
      </c>
      <c r="E9722">
        <v>1</v>
      </c>
      <c r="F9722" t="str">
        <f>"09-I13-04"</f>
        <v>09-I13-04</v>
      </c>
      <c r="G9722">
        <v>0.54139999999999999</v>
      </c>
      <c r="H9722" t="s">
        <v>11</v>
      </c>
      <c r="I9722" t="s">
        <v>10</v>
      </c>
    </row>
    <row r="9723" spans="1:9" x14ac:dyDescent="0.25">
      <c r="A9723" t="str">
        <f t="shared" si="232"/>
        <v>89301000</v>
      </c>
      <c r="B9723" t="str">
        <f>"6461021479"</f>
        <v>6461021479</v>
      </c>
      <c r="C9723" s="1">
        <v>45273</v>
      </c>
      <c r="D9723" s="1">
        <v>45278</v>
      </c>
      <c r="E9723">
        <v>1</v>
      </c>
      <c r="F9723" t="str">
        <f>"02-I06-03"</f>
        <v>02-I06-03</v>
      </c>
      <c r="G9723">
        <v>0.99260000000000004</v>
      </c>
      <c r="H9723" t="s">
        <v>12</v>
      </c>
      <c r="I9723" t="s">
        <v>10</v>
      </c>
    </row>
    <row r="9724" spans="1:9" x14ac:dyDescent="0.25">
      <c r="A9724" t="str">
        <f t="shared" si="232"/>
        <v>89301000</v>
      </c>
      <c r="B9724" t="str">
        <f>"6461111580"</f>
        <v>6461111580</v>
      </c>
      <c r="C9724" s="1">
        <v>44942</v>
      </c>
      <c r="D9724" s="1">
        <v>44944</v>
      </c>
      <c r="E9724">
        <v>1</v>
      </c>
      <c r="F9724" t="str">
        <f>"08-K10-00"</f>
        <v>08-K10-00</v>
      </c>
      <c r="G9724">
        <v>0.74099999999999999</v>
      </c>
      <c r="H9724" t="s">
        <v>11</v>
      </c>
      <c r="I9724" t="s">
        <v>10</v>
      </c>
    </row>
    <row r="9725" spans="1:9" x14ac:dyDescent="0.25">
      <c r="A9725" t="str">
        <f t="shared" si="232"/>
        <v>89301000</v>
      </c>
      <c r="B9725" t="str">
        <f>"6461111591"</f>
        <v>6461111591</v>
      </c>
      <c r="C9725" s="1">
        <v>45008</v>
      </c>
      <c r="D9725" s="1">
        <v>45009</v>
      </c>
      <c r="E9725">
        <v>1</v>
      </c>
      <c r="F9725" t="str">
        <f>"13-I19-00"</f>
        <v>13-I19-00</v>
      </c>
      <c r="G9725">
        <v>0.28249999999999997</v>
      </c>
      <c r="H9725" t="s">
        <v>11</v>
      </c>
      <c r="I9725" t="s">
        <v>10</v>
      </c>
    </row>
    <row r="9726" spans="1:9" x14ac:dyDescent="0.25">
      <c r="A9726" t="str">
        <f t="shared" si="232"/>
        <v>89301000</v>
      </c>
      <c r="B9726" t="str">
        <f>"6461116244"</f>
        <v>6461116244</v>
      </c>
      <c r="C9726" s="1">
        <v>45221</v>
      </c>
      <c r="D9726" s="1">
        <v>45226</v>
      </c>
      <c r="E9726">
        <v>1</v>
      </c>
      <c r="F9726" t="str">
        <f>"01-K10-03"</f>
        <v>01-K10-03</v>
      </c>
      <c r="G9726">
        <v>1.0443</v>
      </c>
      <c r="H9726" t="s">
        <v>11</v>
      </c>
      <c r="I9726" t="s">
        <v>10</v>
      </c>
    </row>
    <row r="9727" spans="1:9" x14ac:dyDescent="0.25">
      <c r="A9727" t="str">
        <f t="shared" si="232"/>
        <v>89301000</v>
      </c>
      <c r="B9727" t="str">
        <f>"6461120699"</f>
        <v>6461120699</v>
      </c>
      <c r="C9727" s="1">
        <v>45090</v>
      </c>
      <c r="D9727" s="1">
        <v>45091</v>
      </c>
      <c r="E9727">
        <v>1</v>
      </c>
      <c r="F9727" t="str">
        <f>"11-I14-02"</f>
        <v>11-I14-02</v>
      </c>
      <c r="G9727">
        <v>0.61839999999999995</v>
      </c>
      <c r="H9727" t="s">
        <v>9</v>
      </c>
      <c r="I9727" t="s">
        <v>10</v>
      </c>
    </row>
    <row r="9728" spans="1:9" x14ac:dyDescent="0.25">
      <c r="A9728" t="str">
        <f t="shared" si="232"/>
        <v>89301000</v>
      </c>
      <c r="B9728" t="str">
        <f>"6461131435"</f>
        <v>6461131435</v>
      </c>
      <c r="C9728" s="1">
        <v>45252</v>
      </c>
      <c r="D9728" s="1">
        <v>45258</v>
      </c>
      <c r="E9728">
        <v>4</v>
      </c>
      <c r="F9728" t="str">
        <f>"08-I05-04"</f>
        <v>08-I05-04</v>
      </c>
      <c r="G9728">
        <v>2.4445000000000001</v>
      </c>
      <c r="H9728" t="s">
        <v>12</v>
      </c>
      <c r="I9728" t="s">
        <v>10</v>
      </c>
    </row>
    <row r="9729" spans="1:9" x14ac:dyDescent="0.25">
      <c r="A9729" t="str">
        <f t="shared" si="232"/>
        <v>89301000</v>
      </c>
      <c r="B9729" t="str">
        <f>"6461240951"</f>
        <v>6461240951</v>
      </c>
      <c r="C9729" s="1">
        <v>45215</v>
      </c>
      <c r="D9729" s="1">
        <v>45218</v>
      </c>
      <c r="E9729">
        <v>1</v>
      </c>
      <c r="F9729" t="str">
        <f>"08-M03-05"</f>
        <v>08-M03-05</v>
      </c>
      <c r="G9729">
        <v>0.46810000000000002</v>
      </c>
      <c r="H9729" t="s">
        <v>11</v>
      </c>
      <c r="I9729" t="s">
        <v>10</v>
      </c>
    </row>
    <row r="9730" spans="1:9" x14ac:dyDescent="0.25">
      <c r="A9730" t="str">
        <f t="shared" si="232"/>
        <v>89301000</v>
      </c>
      <c r="B9730" t="str">
        <f>"6461291100"</f>
        <v>6461291100</v>
      </c>
      <c r="C9730" s="1">
        <v>44931</v>
      </c>
      <c r="D9730" s="1">
        <v>44951</v>
      </c>
      <c r="E9730">
        <v>1</v>
      </c>
      <c r="F9730" t="str">
        <f>"24-M08-02"</f>
        <v>24-M08-02</v>
      </c>
      <c r="G9730">
        <v>2.0387</v>
      </c>
      <c r="H9730" t="s">
        <v>11</v>
      </c>
      <c r="I9730" t="s">
        <v>10</v>
      </c>
    </row>
    <row r="9731" spans="1:9" x14ac:dyDescent="0.25">
      <c r="A9731" t="str">
        <f t="shared" si="232"/>
        <v>89301000</v>
      </c>
      <c r="B9731" t="str">
        <f>"6462020708"</f>
        <v>6462020708</v>
      </c>
      <c r="C9731" s="1">
        <v>45006</v>
      </c>
      <c r="D9731" s="1">
        <v>45009</v>
      </c>
      <c r="E9731">
        <v>1</v>
      </c>
      <c r="F9731" t="str">
        <f>"08-K01-01"</f>
        <v>08-K01-01</v>
      </c>
      <c r="G9731">
        <v>1.4881</v>
      </c>
      <c r="H9731" t="s">
        <v>11</v>
      </c>
      <c r="I9731" t="s">
        <v>10</v>
      </c>
    </row>
    <row r="9732" spans="1:9" x14ac:dyDescent="0.25">
      <c r="A9732" t="str">
        <f t="shared" si="232"/>
        <v>89301000</v>
      </c>
      <c r="B9732" t="str">
        <f>"6462121919"</f>
        <v>6462121919</v>
      </c>
      <c r="C9732" s="1">
        <v>44980</v>
      </c>
      <c r="D9732" s="1">
        <v>44981</v>
      </c>
      <c r="E9732">
        <v>1</v>
      </c>
      <c r="F9732" t="str">
        <f>"03-K13-02"</f>
        <v>03-K13-02</v>
      </c>
      <c r="G9732">
        <v>0.24440000000000001</v>
      </c>
      <c r="H9732" t="s">
        <v>11</v>
      </c>
      <c r="I9732" t="s">
        <v>10</v>
      </c>
    </row>
    <row r="9733" spans="1:9" x14ac:dyDescent="0.25">
      <c r="A9733" t="str">
        <f t="shared" si="232"/>
        <v>89301000</v>
      </c>
      <c r="B9733" t="str">
        <f>"6462191362"</f>
        <v>6462191362</v>
      </c>
      <c r="C9733" s="1">
        <v>45263</v>
      </c>
      <c r="D9733" s="1">
        <v>45268</v>
      </c>
      <c r="E9733">
        <v>3</v>
      </c>
      <c r="F9733" t="str">
        <f>"08-I06-05"</f>
        <v>08-I06-05</v>
      </c>
      <c r="G9733">
        <v>2.1507000000000001</v>
      </c>
      <c r="H9733" t="s">
        <v>9</v>
      </c>
      <c r="I9733" t="s">
        <v>10</v>
      </c>
    </row>
    <row r="9734" spans="1:9" x14ac:dyDescent="0.25">
      <c r="A9734" t="str">
        <f t="shared" si="232"/>
        <v>89301000</v>
      </c>
      <c r="B9734" t="str">
        <f>"6462191362"</f>
        <v>6462191362</v>
      </c>
      <c r="C9734" s="1">
        <v>45268</v>
      </c>
      <c r="D9734" s="1">
        <v>45279</v>
      </c>
      <c r="E9734">
        <v>1</v>
      </c>
      <c r="F9734" t="str">
        <f>"24-M06-02"</f>
        <v>24-M06-02</v>
      </c>
      <c r="G9734">
        <v>1.0699000000000001</v>
      </c>
      <c r="H9734" t="s">
        <v>11</v>
      </c>
      <c r="I9734" t="s">
        <v>10</v>
      </c>
    </row>
    <row r="9735" spans="1:9" x14ac:dyDescent="0.25">
      <c r="A9735" t="str">
        <f t="shared" si="232"/>
        <v>89301000</v>
      </c>
      <c r="B9735" t="str">
        <f>"6462220633"</f>
        <v>6462220633</v>
      </c>
      <c r="C9735" s="1">
        <v>44970</v>
      </c>
      <c r="D9735" s="1">
        <v>44972</v>
      </c>
      <c r="E9735">
        <v>1</v>
      </c>
      <c r="F9735" t="str">
        <f>"08-I10-01"</f>
        <v>08-I10-01</v>
      </c>
      <c r="G9735">
        <v>1.9841</v>
      </c>
      <c r="H9735" t="s">
        <v>12</v>
      </c>
      <c r="I9735" t="s">
        <v>10</v>
      </c>
    </row>
    <row r="9736" spans="1:9" x14ac:dyDescent="0.25">
      <c r="A9736" t="str">
        <f t="shared" si="232"/>
        <v>89301000</v>
      </c>
      <c r="B9736" t="str">
        <f>"6462220633"</f>
        <v>6462220633</v>
      </c>
      <c r="C9736" s="1">
        <v>45229</v>
      </c>
      <c r="D9736" s="1">
        <v>45231</v>
      </c>
      <c r="E9736">
        <v>1</v>
      </c>
      <c r="F9736" t="str">
        <f>"08-I10-01"</f>
        <v>08-I10-01</v>
      </c>
      <c r="G9736">
        <v>1.2114</v>
      </c>
      <c r="H9736" t="s">
        <v>12</v>
      </c>
      <c r="I9736" t="s">
        <v>10</v>
      </c>
    </row>
    <row r="9737" spans="1:9" x14ac:dyDescent="0.25">
      <c r="A9737" t="str">
        <f t="shared" si="232"/>
        <v>89301000</v>
      </c>
      <c r="B9737" t="str">
        <f>"6501051029"</f>
        <v>6501051029</v>
      </c>
      <c r="C9737" s="1">
        <v>45017</v>
      </c>
      <c r="D9737" s="1">
        <v>45027</v>
      </c>
      <c r="E9737">
        <v>1</v>
      </c>
      <c r="F9737" t="str">
        <f>"01-K16-02"</f>
        <v>01-K16-02</v>
      </c>
      <c r="G9737">
        <v>1.0049999999999999</v>
      </c>
      <c r="H9737" t="s">
        <v>11</v>
      </c>
      <c r="I9737" t="s">
        <v>10</v>
      </c>
    </row>
    <row r="9738" spans="1:9" x14ac:dyDescent="0.25">
      <c r="A9738" t="str">
        <f t="shared" si="232"/>
        <v>89301000</v>
      </c>
      <c r="B9738" t="str">
        <f>"6501070268"</f>
        <v>6501070268</v>
      </c>
      <c r="C9738" s="1">
        <v>45274</v>
      </c>
      <c r="D9738" s="1">
        <v>45280</v>
      </c>
      <c r="E9738">
        <v>1</v>
      </c>
      <c r="F9738" t="str">
        <f>"17-K10-01"</f>
        <v>17-K10-01</v>
      </c>
      <c r="G9738">
        <v>1.6243000000000001</v>
      </c>
      <c r="H9738" t="s">
        <v>11</v>
      </c>
      <c r="I9738" t="s">
        <v>10</v>
      </c>
    </row>
    <row r="9739" spans="1:9" x14ac:dyDescent="0.25">
      <c r="A9739" t="str">
        <f t="shared" si="232"/>
        <v>89301000</v>
      </c>
      <c r="B9739" t="str">
        <f>"6501080157"</f>
        <v>6501080157</v>
      </c>
      <c r="C9739" s="1">
        <v>45227</v>
      </c>
      <c r="D9739" s="1">
        <v>45232</v>
      </c>
      <c r="E9739">
        <v>1</v>
      </c>
      <c r="F9739" t="str">
        <f>"07-K04-03"</f>
        <v>07-K04-03</v>
      </c>
      <c r="G9739">
        <v>0.93859999999999999</v>
      </c>
      <c r="H9739" t="s">
        <v>11</v>
      </c>
      <c r="I9739" t="s">
        <v>10</v>
      </c>
    </row>
    <row r="9740" spans="1:9" x14ac:dyDescent="0.25">
      <c r="A9740" t="str">
        <f t="shared" si="232"/>
        <v>89301000</v>
      </c>
      <c r="B9740" t="str">
        <f>"6501140844"</f>
        <v>6501140844</v>
      </c>
      <c r="C9740" s="1">
        <v>45089</v>
      </c>
      <c r="D9740" s="1">
        <v>45094</v>
      </c>
      <c r="E9740">
        <v>1</v>
      </c>
      <c r="F9740" t="str">
        <f>"17-C05-05"</f>
        <v>17-C05-05</v>
      </c>
      <c r="G9740">
        <v>0.66069999999999995</v>
      </c>
      <c r="H9740" t="s">
        <v>11</v>
      </c>
      <c r="I9740" t="s">
        <v>10</v>
      </c>
    </row>
    <row r="9741" spans="1:9" x14ac:dyDescent="0.25">
      <c r="A9741" t="str">
        <f t="shared" si="232"/>
        <v>89301000</v>
      </c>
      <c r="B9741" t="str">
        <f>"6501161953"</f>
        <v>6501161953</v>
      </c>
      <c r="C9741" s="1">
        <v>45260</v>
      </c>
      <c r="D9741" s="1">
        <v>45273</v>
      </c>
      <c r="E9741">
        <v>1</v>
      </c>
      <c r="F9741" t="str">
        <f>"24-M07-02"</f>
        <v>24-M07-02</v>
      </c>
      <c r="G9741">
        <v>1.5729</v>
      </c>
      <c r="H9741" t="s">
        <v>11</v>
      </c>
      <c r="I9741" t="s">
        <v>10</v>
      </c>
    </row>
    <row r="9742" spans="1:9" x14ac:dyDescent="0.25">
      <c r="A9742" t="str">
        <f t="shared" si="232"/>
        <v>89301000</v>
      </c>
      <c r="B9742" t="str">
        <f>"6501161953"</f>
        <v>6501161953</v>
      </c>
      <c r="C9742" s="1">
        <v>45256</v>
      </c>
      <c r="D9742" s="1">
        <v>45260</v>
      </c>
      <c r="E9742">
        <v>3</v>
      </c>
      <c r="F9742" t="str">
        <f>"08-I06-04"</f>
        <v>08-I06-04</v>
      </c>
      <c r="G9742">
        <v>2.4033000000000002</v>
      </c>
      <c r="H9742" t="s">
        <v>9</v>
      </c>
      <c r="I9742" t="s">
        <v>10</v>
      </c>
    </row>
    <row r="9743" spans="1:9" x14ac:dyDescent="0.25">
      <c r="A9743" t="str">
        <f t="shared" si="232"/>
        <v>89301000</v>
      </c>
      <c r="B9743" t="str">
        <f>"6501270336"</f>
        <v>6501270336</v>
      </c>
      <c r="C9743" s="1">
        <v>44906</v>
      </c>
      <c r="D9743" s="1">
        <v>44936</v>
      </c>
      <c r="E9743">
        <v>2</v>
      </c>
      <c r="F9743" t="str">
        <f>"17-K10-02"</f>
        <v>17-K10-02</v>
      </c>
      <c r="G9743">
        <v>2.5194000000000001</v>
      </c>
      <c r="H9743" t="s">
        <v>11</v>
      </c>
      <c r="I9743" t="s">
        <v>10</v>
      </c>
    </row>
    <row r="9744" spans="1:9" x14ac:dyDescent="0.25">
      <c r="A9744" t="str">
        <f t="shared" si="232"/>
        <v>89301000</v>
      </c>
      <c r="B9744" t="str">
        <f>"6502091134"</f>
        <v>6502091134</v>
      </c>
      <c r="C9744" s="1">
        <v>45264</v>
      </c>
      <c r="D9744" s="1">
        <v>45267</v>
      </c>
      <c r="E9744">
        <v>1</v>
      </c>
      <c r="F9744" t="str">
        <f>"08-I16-02"</f>
        <v>08-I16-02</v>
      </c>
      <c r="G9744">
        <v>1.8476999999999999</v>
      </c>
      <c r="H9744" t="s">
        <v>12</v>
      </c>
      <c r="I9744" t="s">
        <v>10</v>
      </c>
    </row>
    <row r="9745" spans="1:9" x14ac:dyDescent="0.25">
      <c r="A9745" t="str">
        <f t="shared" si="232"/>
        <v>89301000</v>
      </c>
      <c r="B9745" t="str">
        <f>"6502091134"</f>
        <v>6502091134</v>
      </c>
      <c r="C9745" s="1">
        <v>45271</v>
      </c>
      <c r="D9745" s="1">
        <v>45273</v>
      </c>
      <c r="E9745">
        <v>1</v>
      </c>
      <c r="F9745" t="str">
        <f>"08-I16-02"</f>
        <v>08-I16-02</v>
      </c>
      <c r="G9745">
        <v>1.8476999999999999</v>
      </c>
      <c r="H9745" t="s">
        <v>12</v>
      </c>
      <c r="I9745" t="s">
        <v>10</v>
      </c>
    </row>
    <row r="9746" spans="1:9" x14ac:dyDescent="0.25">
      <c r="A9746" t="str">
        <f t="shared" si="232"/>
        <v>89301000</v>
      </c>
      <c r="B9746" t="str">
        <f>"6502120999"</f>
        <v>6502120999</v>
      </c>
      <c r="C9746" s="1">
        <v>45167</v>
      </c>
      <c r="D9746" s="1">
        <v>45173</v>
      </c>
      <c r="E9746">
        <v>1</v>
      </c>
      <c r="F9746" t="str">
        <f>"10-K04-04"</f>
        <v>10-K04-04</v>
      </c>
      <c r="G9746">
        <v>0.54720000000000002</v>
      </c>
      <c r="H9746" t="s">
        <v>11</v>
      </c>
      <c r="I9746" t="s">
        <v>10</v>
      </c>
    </row>
    <row r="9747" spans="1:9" x14ac:dyDescent="0.25">
      <c r="A9747" t="str">
        <f t="shared" si="232"/>
        <v>89301000</v>
      </c>
      <c r="B9747" t="str">
        <f>"6502161061"</f>
        <v>6502161061</v>
      </c>
      <c r="C9747" s="1">
        <v>45232</v>
      </c>
      <c r="D9747" s="1">
        <v>45232</v>
      </c>
      <c r="E9747">
        <v>1</v>
      </c>
      <c r="F9747" t="str">
        <f>"05-D01-02"</f>
        <v>05-D01-02</v>
      </c>
      <c r="G9747">
        <v>1.5137</v>
      </c>
      <c r="H9747" t="s">
        <v>11</v>
      </c>
      <c r="I9747" t="s">
        <v>10</v>
      </c>
    </row>
    <row r="9748" spans="1:9" x14ac:dyDescent="0.25">
      <c r="A9748" t="str">
        <f t="shared" si="232"/>
        <v>89301000</v>
      </c>
      <c r="B9748" t="str">
        <f>"6502220340"</f>
        <v>6502220340</v>
      </c>
      <c r="C9748" s="1">
        <v>45070</v>
      </c>
      <c r="D9748" s="1">
        <v>45070</v>
      </c>
      <c r="E9748">
        <v>1</v>
      </c>
      <c r="F9748" t="str">
        <f>"05-D01-08"</f>
        <v>05-D01-08</v>
      </c>
      <c r="G9748">
        <v>0.2303</v>
      </c>
      <c r="H9748" t="s">
        <v>11</v>
      </c>
      <c r="I9748" t="s">
        <v>10</v>
      </c>
    </row>
    <row r="9749" spans="1:9" x14ac:dyDescent="0.25">
      <c r="A9749" t="str">
        <f t="shared" si="232"/>
        <v>89301000</v>
      </c>
      <c r="B9749" t="str">
        <f>"6502220340"</f>
        <v>6502220340</v>
      </c>
      <c r="C9749" s="1">
        <v>45074</v>
      </c>
      <c r="D9749" s="1">
        <v>45076</v>
      </c>
      <c r="E9749">
        <v>1</v>
      </c>
      <c r="F9749" t="str">
        <f>"05-I14-04"</f>
        <v>05-I14-04</v>
      </c>
      <c r="G9749">
        <v>5.2220000000000004</v>
      </c>
      <c r="H9749" t="s">
        <v>12</v>
      </c>
      <c r="I9749" t="s">
        <v>10</v>
      </c>
    </row>
    <row r="9750" spans="1:9" x14ac:dyDescent="0.25">
      <c r="A9750" t="str">
        <f t="shared" si="232"/>
        <v>89301000</v>
      </c>
      <c r="B9750" t="str">
        <f>"6502250491"</f>
        <v>6502250491</v>
      </c>
      <c r="C9750" s="1">
        <v>45162</v>
      </c>
      <c r="D9750" s="1">
        <v>45168</v>
      </c>
      <c r="E9750">
        <v>1</v>
      </c>
      <c r="F9750" t="str">
        <f>"08-K08-00"</f>
        <v>08-K08-00</v>
      </c>
      <c r="G9750">
        <v>0.5272</v>
      </c>
      <c r="H9750" t="s">
        <v>11</v>
      </c>
      <c r="I9750" t="s">
        <v>10</v>
      </c>
    </row>
    <row r="9751" spans="1:9" x14ac:dyDescent="0.25">
      <c r="A9751" t="str">
        <f t="shared" si="232"/>
        <v>89301000</v>
      </c>
      <c r="B9751" t="str">
        <f>"6503092442"</f>
        <v>6503092442</v>
      </c>
      <c r="C9751" s="1">
        <v>45067</v>
      </c>
      <c r="D9751" s="1">
        <v>45069</v>
      </c>
      <c r="E9751">
        <v>1</v>
      </c>
      <c r="F9751" t="str">
        <f>"08-M03-05"</f>
        <v>08-M03-05</v>
      </c>
      <c r="G9751">
        <v>0.46910000000000002</v>
      </c>
      <c r="H9751" t="s">
        <v>11</v>
      </c>
      <c r="I9751" t="s">
        <v>10</v>
      </c>
    </row>
    <row r="9752" spans="1:9" x14ac:dyDescent="0.25">
      <c r="A9752" t="str">
        <f t="shared" si="232"/>
        <v>89301000</v>
      </c>
      <c r="B9752" t="str">
        <f>"6503100593"</f>
        <v>6503100593</v>
      </c>
      <c r="C9752" s="1">
        <v>45107</v>
      </c>
      <c r="D9752" s="1">
        <v>45108</v>
      </c>
      <c r="E9752">
        <v>1</v>
      </c>
      <c r="F9752" t="str">
        <f>"05-D01-08"</f>
        <v>05-D01-08</v>
      </c>
      <c r="G9752">
        <v>0.43159999999999998</v>
      </c>
      <c r="H9752" t="s">
        <v>11</v>
      </c>
      <c r="I9752" t="s">
        <v>10</v>
      </c>
    </row>
    <row r="9753" spans="1:9" x14ac:dyDescent="0.25">
      <c r="A9753" t="str">
        <f t="shared" si="232"/>
        <v>89301000</v>
      </c>
      <c r="B9753" t="str">
        <f>"6503110383"</f>
        <v>6503110383</v>
      </c>
      <c r="C9753" s="1">
        <v>44953</v>
      </c>
      <c r="D9753" s="1">
        <v>44955</v>
      </c>
      <c r="E9753">
        <v>1</v>
      </c>
      <c r="F9753" t="str">
        <f>"05-I30-01"</f>
        <v>05-I30-01</v>
      </c>
      <c r="G9753">
        <v>0.60350000000000004</v>
      </c>
      <c r="H9753" t="s">
        <v>12</v>
      </c>
      <c r="I9753" t="s">
        <v>10</v>
      </c>
    </row>
    <row r="9754" spans="1:9" x14ac:dyDescent="0.25">
      <c r="A9754" t="str">
        <f t="shared" si="232"/>
        <v>89301000</v>
      </c>
      <c r="B9754" t="str">
        <f>"6503201353"</f>
        <v>6503201353</v>
      </c>
      <c r="C9754" s="1">
        <v>45070</v>
      </c>
      <c r="D9754" s="1">
        <v>45073</v>
      </c>
      <c r="E9754">
        <v>1</v>
      </c>
      <c r="F9754" t="str">
        <f>"08-M03-05"</f>
        <v>08-M03-05</v>
      </c>
      <c r="G9754">
        <v>0.46810000000000002</v>
      </c>
      <c r="H9754" t="s">
        <v>11</v>
      </c>
      <c r="I9754" t="s">
        <v>10</v>
      </c>
    </row>
    <row r="9755" spans="1:9" x14ac:dyDescent="0.25">
      <c r="A9755" t="str">
        <f t="shared" si="232"/>
        <v>89301000</v>
      </c>
      <c r="B9755" t="str">
        <f>"6503302157"</f>
        <v>6503302157</v>
      </c>
      <c r="C9755" s="1">
        <v>45168</v>
      </c>
      <c r="D9755" s="1">
        <v>45173</v>
      </c>
      <c r="E9755">
        <v>3</v>
      </c>
      <c r="F9755" t="str">
        <f>"08-I05-04"</f>
        <v>08-I05-04</v>
      </c>
      <c r="G9755">
        <v>2.4445000000000001</v>
      </c>
      <c r="H9755" t="s">
        <v>12</v>
      </c>
      <c r="I9755" t="s">
        <v>10</v>
      </c>
    </row>
    <row r="9756" spans="1:9" x14ac:dyDescent="0.25">
      <c r="A9756" t="str">
        <f t="shared" si="232"/>
        <v>89301000</v>
      </c>
      <c r="B9756" t="str">
        <f>"6503302157"</f>
        <v>6503302157</v>
      </c>
      <c r="C9756" s="1">
        <v>45173</v>
      </c>
      <c r="D9756" s="1">
        <v>45184</v>
      </c>
      <c r="E9756">
        <v>1</v>
      </c>
      <c r="F9756" t="str">
        <f>"24-M06-02"</f>
        <v>24-M06-02</v>
      </c>
      <c r="G9756">
        <v>1.0699000000000001</v>
      </c>
      <c r="H9756" t="s">
        <v>11</v>
      </c>
      <c r="I9756" t="s">
        <v>10</v>
      </c>
    </row>
    <row r="9757" spans="1:9" x14ac:dyDescent="0.25">
      <c r="A9757" t="str">
        <f t="shared" si="232"/>
        <v>89301000</v>
      </c>
      <c r="B9757" t="str">
        <f>"6503311177"</f>
        <v>6503311177</v>
      </c>
      <c r="C9757" s="1">
        <v>45032</v>
      </c>
      <c r="D9757" s="1">
        <v>45037</v>
      </c>
      <c r="E9757">
        <v>1</v>
      </c>
      <c r="F9757" t="str">
        <f>"11-I12-00"</f>
        <v>11-I12-00</v>
      </c>
      <c r="G9757">
        <v>1.302</v>
      </c>
      <c r="H9757" t="s">
        <v>12</v>
      </c>
      <c r="I9757" t="s">
        <v>10</v>
      </c>
    </row>
    <row r="9758" spans="1:9" x14ac:dyDescent="0.25">
      <c r="A9758" t="str">
        <f t="shared" si="232"/>
        <v>89301000</v>
      </c>
      <c r="B9758" t="str">
        <f>"6504032161"</f>
        <v>6504032161</v>
      </c>
      <c r="C9758" s="1">
        <v>45069</v>
      </c>
      <c r="D9758" s="1">
        <v>45072</v>
      </c>
      <c r="E9758">
        <v>1</v>
      </c>
      <c r="F9758" t="str">
        <f>"11-M06-03"</f>
        <v>11-M06-03</v>
      </c>
      <c r="G9758">
        <v>0.62009999999999998</v>
      </c>
      <c r="H9758" t="s">
        <v>12</v>
      </c>
      <c r="I9758" t="s">
        <v>10</v>
      </c>
    </row>
    <row r="9759" spans="1:9" x14ac:dyDescent="0.25">
      <c r="A9759" t="str">
        <f t="shared" si="232"/>
        <v>89301000</v>
      </c>
      <c r="B9759" t="str">
        <f>"6504032161"</f>
        <v>6504032161</v>
      </c>
      <c r="C9759" s="1">
        <v>45202</v>
      </c>
      <c r="D9759" s="1">
        <v>45204</v>
      </c>
      <c r="E9759">
        <v>1</v>
      </c>
      <c r="F9759" t="str">
        <f>"11-K08-02"</f>
        <v>11-K08-02</v>
      </c>
      <c r="G9759">
        <v>0.51959999999999995</v>
      </c>
      <c r="H9759" t="s">
        <v>11</v>
      </c>
      <c r="I9759" t="s">
        <v>10</v>
      </c>
    </row>
    <row r="9760" spans="1:9" x14ac:dyDescent="0.25">
      <c r="A9760" t="str">
        <f t="shared" si="232"/>
        <v>89301000</v>
      </c>
      <c r="B9760" t="str">
        <f>"6504032161"</f>
        <v>6504032161</v>
      </c>
      <c r="C9760" s="1">
        <v>45026</v>
      </c>
      <c r="D9760" s="1">
        <v>45029</v>
      </c>
      <c r="E9760">
        <v>1</v>
      </c>
      <c r="F9760" t="str">
        <f>"11-M06-03"</f>
        <v>11-M06-03</v>
      </c>
      <c r="G9760">
        <v>0.62009999999999998</v>
      </c>
      <c r="H9760" t="s">
        <v>12</v>
      </c>
      <c r="I9760" t="s">
        <v>10</v>
      </c>
    </row>
    <row r="9761" spans="1:9" x14ac:dyDescent="0.25">
      <c r="A9761" t="str">
        <f t="shared" si="232"/>
        <v>89301000</v>
      </c>
      <c r="B9761" t="str">
        <f>"6504042226"</f>
        <v>6504042226</v>
      </c>
      <c r="C9761" s="1">
        <v>45055</v>
      </c>
      <c r="D9761" s="1">
        <v>45056</v>
      </c>
      <c r="E9761">
        <v>1</v>
      </c>
      <c r="F9761" t="str">
        <f>"06-M01-02"</f>
        <v>06-M01-02</v>
      </c>
      <c r="G9761">
        <v>1.5759000000000001</v>
      </c>
      <c r="H9761" t="s">
        <v>11</v>
      </c>
      <c r="I9761" t="s">
        <v>10</v>
      </c>
    </row>
    <row r="9762" spans="1:9" x14ac:dyDescent="0.25">
      <c r="A9762" t="str">
        <f t="shared" si="232"/>
        <v>89301000</v>
      </c>
      <c r="B9762" t="str">
        <f>"6504212264"</f>
        <v>6504212264</v>
      </c>
      <c r="C9762" s="1">
        <v>44929</v>
      </c>
      <c r="D9762" s="1">
        <v>44932</v>
      </c>
      <c r="E9762">
        <v>1</v>
      </c>
      <c r="F9762" t="str">
        <f>"08-I25-02"</f>
        <v>08-I25-02</v>
      </c>
      <c r="G9762">
        <v>0.55279999999999996</v>
      </c>
      <c r="H9762" t="s">
        <v>11</v>
      </c>
      <c r="I9762" t="s">
        <v>10</v>
      </c>
    </row>
    <row r="9763" spans="1:9" x14ac:dyDescent="0.25">
      <c r="A9763" t="str">
        <f t="shared" si="232"/>
        <v>89301000</v>
      </c>
      <c r="B9763" t="str">
        <f>"6504270388"</f>
        <v>6504270388</v>
      </c>
      <c r="C9763" s="1">
        <v>45139</v>
      </c>
      <c r="D9763" s="1">
        <v>45147</v>
      </c>
      <c r="E9763">
        <v>1</v>
      </c>
      <c r="F9763" t="str">
        <f>"09-K01-04"</f>
        <v>09-K01-04</v>
      </c>
      <c r="G9763">
        <v>0.60570000000000002</v>
      </c>
      <c r="H9763" t="s">
        <v>11</v>
      </c>
      <c r="I9763" t="s">
        <v>10</v>
      </c>
    </row>
    <row r="9764" spans="1:9" x14ac:dyDescent="0.25">
      <c r="A9764" t="str">
        <f t="shared" si="232"/>
        <v>89301000</v>
      </c>
      <c r="B9764" t="str">
        <f>"6504292377"</f>
        <v>6504292377</v>
      </c>
      <c r="C9764" s="1">
        <v>45228</v>
      </c>
      <c r="D9764" s="1">
        <v>45231</v>
      </c>
      <c r="E9764">
        <v>1</v>
      </c>
      <c r="F9764" t="str">
        <f>"06-I22-01"</f>
        <v>06-I22-01</v>
      </c>
      <c r="G9764">
        <v>0.68120000000000003</v>
      </c>
      <c r="H9764" t="s">
        <v>12</v>
      </c>
      <c r="I9764" t="s">
        <v>10</v>
      </c>
    </row>
    <row r="9765" spans="1:9" x14ac:dyDescent="0.25">
      <c r="A9765" t="str">
        <f t="shared" si="232"/>
        <v>89301000</v>
      </c>
      <c r="B9765" t="str">
        <f>"6505022469"</f>
        <v>6505022469</v>
      </c>
      <c r="C9765" s="1">
        <v>45148</v>
      </c>
      <c r="D9765" s="1">
        <v>45150</v>
      </c>
      <c r="E9765">
        <v>1</v>
      </c>
      <c r="F9765" t="str">
        <f>"08-M03-05"</f>
        <v>08-M03-05</v>
      </c>
      <c r="G9765">
        <v>0.46810000000000002</v>
      </c>
      <c r="H9765" t="s">
        <v>11</v>
      </c>
      <c r="I9765" t="s">
        <v>10</v>
      </c>
    </row>
    <row r="9766" spans="1:9" x14ac:dyDescent="0.25">
      <c r="A9766" t="str">
        <f t="shared" si="232"/>
        <v>89301000</v>
      </c>
      <c r="B9766" t="str">
        <f>"6505072090"</f>
        <v>6505072090</v>
      </c>
      <c r="C9766" s="1">
        <v>45074</v>
      </c>
      <c r="D9766" s="1">
        <v>45077</v>
      </c>
      <c r="E9766">
        <v>1</v>
      </c>
      <c r="F9766" t="str">
        <f>"08-M03-02"</f>
        <v>08-M03-02</v>
      </c>
      <c r="G9766">
        <v>0.91359999999999997</v>
      </c>
      <c r="H9766" t="s">
        <v>11</v>
      </c>
      <c r="I9766" t="s">
        <v>10</v>
      </c>
    </row>
    <row r="9767" spans="1:9" x14ac:dyDescent="0.25">
      <c r="A9767" t="str">
        <f t="shared" si="232"/>
        <v>89301000</v>
      </c>
      <c r="B9767" t="str">
        <f>"6505072200"</f>
        <v>6505072200</v>
      </c>
      <c r="C9767" s="1">
        <v>45070</v>
      </c>
      <c r="D9767" s="1">
        <v>45074</v>
      </c>
      <c r="E9767">
        <v>1</v>
      </c>
      <c r="F9767" t="str">
        <f>"10-K04-04"</f>
        <v>10-K04-04</v>
      </c>
      <c r="G9767">
        <v>0.53949999999999998</v>
      </c>
      <c r="H9767" t="s">
        <v>11</v>
      </c>
      <c r="I9767" t="s">
        <v>10</v>
      </c>
    </row>
    <row r="9768" spans="1:9" x14ac:dyDescent="0.25">
      <c r="A9768" t="str">
        <f t="shared" si="232"/>
        <v>89301000</v>
      </c>
      <c r="B9768" t="str">
        <f>"6505132502"</f>
        <v>6505132502</v>
      </c>
      <c r="C9768" s="1">
        <v>44987</v>
      </c>
      <c r="D9768" s="1">
        <v>44989</v>
      </c>
      <c r="E9768">
        <v>1</v>
      </c>
      <c r="F9768" t="str">
        <f>"16-K02-03"</f>
        <v>16-K02-03</v>
      </c>
      <c r="G9768">
        <v>0.58299999999999996</v>
      </c>
      <c r="H9768" t="s">
        <v>11</v>
      </c>
      <c r="I9768" t="s">
        <v>10</v>
      </c>
    </row>
    <row r="9769" spans="1:9" x14ac:dyDescent="0.25">
      <c r="A9769" t="str">
        <f t="shared" si="232"/>
        <v>89301000</v>
      </c>
      <c r="B9769" t="str">
        <f>"6505240357"</f>
        <v>6505240357</v>
      </c>
      <c r="C9769" s="1">
        <v>45029</v>
      </c>
      <c r="D9769" s="1">
        <v>45032</v>
      </c>
      <c r="E9769">
        <v>1</v>
      </c>
      <c r="F9769" t="str">
        <f>"06-K11-00"</f>
        <v>06-K11-00</v>
      </c>
      <c r="G9769">
        <v>0.34200000000000003</v>
      </c>
      <c r="H9769" t="s">
        <v>11</v>
      </c>
      <c r="I9769" t="s">
        <v>10</v>
      </c>
    </row>
    <row r="9770" spans="1:9" x14ac:dyDescent="0.25">
      <c r="A9770" t="str">
        <f t="shared" si="232"/>
        <v>89301000</v>
      </c>
      <c r="B9770" t="str">
        <f>"6505250301"</f>
        <v>6505250301</v>
      </c>
      <c r="C9770" s="1">
        <v>45175</v>
      </c>
      <c r="D9770" s="1">
        <v>45184</v>
      </c>
      <c r="E9770">
        <v>1</v>
      </c>
      <c r="F9770" t="str">
        <f>"05-I06-04"</f>
        <v>05-I06-04</v>
      </c>
      <c r="G9770">
        <v>8.2180999999999997</v>
      </c>
      <c r="H9770" t="s">
        <v>14</v>
      </c>
      <c r="I9770" t="s">
        <v>10</v>
      </c>
    </row>
    <row r="9771" spans="1:9" x14ac:dyDescent="0.25">
      <c r="A9771" t="str">
        <f t="shared" ref="A9771:A9834" si="233">"89301000"</f>
        <v>89301000</v>
      </c>
      <c r="B9771" t="str">
        <f>"6505272279"</f>
        <v>6505272279</v>
      </c>
      <c r="C9771" s="1">
        <v>45210</v>
      </c>
      <c r="D9771" s="1">
        <v>45210</v>
      </c>
      <c r="E9771">
        <v>1</v>
      </c>
      <c r="F9771" t="str">
        <f>"05-D01-06"</f>
        <v>05-D01-06</v>
      </c>
      <c r="G9771">
        <v>0.4037</v>
      </c>
      <c r="H9771" t="s">
        <v>11</v>
      </c>
      <c r="I9771" t="s">
        <v>10</v>
      </c>
    </row>
    <row r="9772" spans="1:9" x14ac:dyDescent="0.25">
      <c r="A9772" t="str">
        <f t="shared" si="233"/>
        <v>89301000</v>
      </c>
      <c r="B9772" t="str">
        <f>"6505272279"</f>
        <v>6505272279</v>
      </c>
      <c r="C9772" s="1">
        <v>45245</v>
      </c>
      <c r="D9772" s="1">
        <v>45245</v>
      </c>
      <c r="E9772">
        <v>1</v>
      </c>
      <c r="F9772" t="str">
        <f>"05-K09-03"</f>
        <v>05-K09-03</v>
      </c>
      <c r="G9772">
        <v>0.19839999999999999</v>
      </c>
      <c r="H9772" t="s">
        <v>11</v>
      </c>
      <c r="I9772" t="s">
        <v>10</v>
      </c>
    </row>
    <row r="9773" spans="1:9" x14ac:dyDescent="0.25">
      <c r="A9773" t="str">
        <f t="shared" si="233"/>
        <v>89301000</v>
      </c>
      <c r="B9773" t="str">
        <f>"6505272279"</f>
        <v>6505272279</v>
      </c>
      <c r="C9773" s="1">
        <v>45250</v>
      </c>
      <c r="D9773" s="1">
        <v>45259</v>
      </c>
      <c r="E9773">
        <v>4</v>
      </c>
      <c r="F9773" t="str">
        <f>"05-I12-03"</f>
        <v>05-I12-03</v>
      </c>
      <c r="G9773">
        <v>6.7502000000000004</v>
      </c>
      <c r="H9773" t="s">
        <v>14</v>
      </c>
      <c r="I9773" t="s">
        <v>10</v>
      </c>
    </row>
    <row r="9774" spans="1:9" x14ac:dyDescent="0.25">
      <c r="A9774" t="str">
        <f t="shared" si="233"/>
        <v>89301000</v>
      </c>
      <c r="B9774" t="str">
        <f>"6506072375"</f>
        <v>6506072375</v>
      </c>
      <c r="C9774" s="1">
        <v>44938</v>
      </c>
      <c r="D9774" s="1">
        <v>44940</v>
      </c>
      <c r="E9774">
        <v>1</v>
      </c>
      <c r="F9774" t="str">
        <f>"08-M03-05"</f>
        <v>08-M03-05</v>
      </c>
      <c r="G9774">
        <v>0.46810000000000002</v>
      </c>
      <c r="H9774" t="s">
        <v>11</v>
      </c>
      <c r="I9774" t="s">
        <v>10</v>
      </c>
    </row>
    <row r="9775" spans="1:9" x14ac:dyDescent="0.25">
      <c r="A9775" t="str">
        <f t="shared" si="233"/>
        <v>89301000</v>
      </c>
      <c r="B9775" t="str">
        <f>"6506151278"</f>
        <v>6506151278</v>
      </c>
      <c r="C9775" s="1">
        <v>45212</v>
      </c>
      <c r="D9775" s="1">
        <v>45215</v>
      </c>
      <c r="E9775">
        <v>1</v>
      </c>
      <c r="F9775" t="str">
        <f>"05-M10-00"</f>
        <v>05-M10-00</v>
      </c>
      <c r="G9775">
        <v>0.2036</v>
      </c>
      <c r="H9775" t="s">
        <v>11</v>
      </c>
      <c r="I9775" t="s">
        <v>10</v>
      </c>
    </row>
    <row r="9776" spans="1:9" x14ac:dyDescent="0.25">
      <c r="A9776" t="str">
        <f t="shared" si="233"/>
        <v>89301000</v>
      </c>
      <c r="B9776" t="str">
        <f>"6506151278"</f>
        <v>6506151278</v>
      </c>
      <c r="C9776" s="1">
        <v>45258</v>
      </c>
      <c r="D9776" s="1">
        <v>45260</v>
      </c>
      <c r="E9776">
        <v>1</v>
      </c>
      <c r="F9776" t="str">
        <f>"05-M05-02"</f>
        <v>05-M05-02</v>
      </c>
      <c r="G9776">
        <v>3.5577000000000001</v>
      </c>
      <c r="H9776" t="s">
        <v>14</v>
      </c>
      <c r="I9776" t="s">
        <v>10</v>
      </c>
    </row>
    <row r="9777" spans="1:9" x14ac:dyDescent="0.25">
      <c r="A9777" t="str">
        <f t="shared" si="233"/>
        <v>89301000</v>
      </c>
      <c r="B9777" t="str">
        <f>"6506151278"</f>
        <v>6506151278</v>
      </c>
      <c r="C9777" s="1">
        <v>45184</v>
      </c>
      <c r="D9777" s="1">
        <v>45189</v>
      </c>
      <c r="E9777">
        <v>1</v>
      </c>
      <c r="F9777" t="str">
        <f>"01-M02-00"</f>
        <v>01-M02-00</v>
      </c>
      <c r="G9777">
        <v>5.3973000000000004</v>
      </c>
      <c r="H9777" t="s">
        <v>12</v>
      </c>
      <c r="I9777" t="s">
        <v>10</v>
      </c>
    </row>
    <row r="9778" spans="1:9" x14ac:dyDescent="0.25">
      <c r="A9778" t="str">
        <f t="shared" si="233"/>
        <v>89301000</v>
      </c>
      <c r="B9778" t="str">
        <f>"6506160276"</f>
        <v>6506160276</v>
      </c>
      <c r="C9778" s="1">
        <v>44967</v>
      </c>
      <c r="D9778" s="1">
        <v>44967</v>
      </c>
      <c r="E9778">
        <v>1</v>
      </c>
      <c r="F9778" t="str">
        <f>"05-D01-08"</f>
        <v>05-D01-08</v>
      </c>
      <c r="G9778">
        <v>0.2303</v>
      </c>
      <c r="H9778" t="s">
        <v>11</v>
      </c>
      <c r="I9778" t="s">
        <v>10</v>
      </c>
    </row>
    <row r="9779" spans="1:9" x14ac:dyDescent="0.25">
      <c r="A9779" t="str">
        <f t="shared" si="233"/>
        <v>89301000</v>
      </c>
      <c r="B9779" t="str">
        <f>"6506210227"</f>
        <v>6506210227</v>
      </c>
      <c r="C9779" s="1">
        <v>44971</v>
      </c>
      <c r="D9779" s="1">
        <v>44979</v>
      </c>
      <c r="E9779">
        <v>1</v>
      </c>
      <c r="F9779" t="str">
        <f>"06-I17-02"</f>
        <v>06-I17-02</v>
      </c>
      <c r="G9779">
        <v>1.0106999999999999</v>
      </c>
      <c r="H9779" t="s">
        <v>12</v>
      </c>
      <c r="I9779" t="s">
        <v>10</v>
      </c>
    </row>
    <row r="9780" spans="1:9" x14ac:dyDescent="0.25">
      <c r="A9780" t="str">
        <f t="shared" si="233"/>
        <v>89301000</v>
      </c>
      <c r="B9780" t="str">
        <f>"6507012237"</f>
        <v>6507012237</v>
      </c>
      <c r="C9780" s="1">
        <v>45106</v>
      </c>
      <c r="D9780" s="1">
        <v>45109</v>
      </c>
      <c r="E9780">
        <v>1</v>
      </c>
      <c r="F9780" t="str">
        <f>"05-M07-06"</f>
        <v>05-M07-06</v>
      </c>
      <c r="G9780">
        <v>1.2264999999999999</v>
      </c>
      <c r="H9780" t="s">
        <v>12</v>
      </c>
      <c r="I9780" t="s">
        <v>10</v>
      </c>
    </row>
    <row r="9781" spans="1:9" x14ac:dyDescent="0.25">
      <c r="A9781" t="str">
        <f t="shared" si="233"/>
        <v>89301000</v>
      </c>
      <c r="B9781" t="str">
        <f>"6507071791"</f>
        <v>6507071791</v>
      </c>
      <c r="C9781" s="1">
        <v>44962</v>
      </c>
      <c r="D9781" s="1">
        <v>44981</v>
      </c>
      <c r="E9781">
        <v>1</v>
      </c>
      <c r="F9781" t="str">
        <f>"19-K05-02"</f>
        <v>19-K05-02</v>
      </c>
      <c r="G9781">
        <v>1.7688999999999999</v>
      </c>
      <c r="H9781" t="s">
        <v>15</v>
      </c>
      <c r="I9781" t="s">
        <v>10</v>
      </c>
    </row>
    <row r="9782" spans="1:9" x14ac:dyDescent="0.25">
      <c r="A9782" t="str">
        <f t="shared" si="233"/>
        <v>89301000</v>
      </c>
      <c r="B9782" t="str">
        <f>"6507092075"</f>
        <v>6507092075</v>
      </c>
      <c r="C9782" s="1">
        <v>45187</v>
      </c>
      <c r="D9782" s="1">
        <v>45190</v>
      </c>
      <c r="E9782">
        <v>1</v>
      </c>
      <c r="F9782" t="str">
        <f>"08-M03-05"</f>
        <v>08-M03-05</v>
      </c>
      <c r="G9782">
        <v>0.46810000000000002</v>
      </c>
      <c r="H9782" t="s">
        <v>11</v>
      </c>
      <c r="I9782" t="s">
        <v>10</v>
      </c>
    </row>
    <row r="9783" spans="1:9" x14ac:dyDescent="0.25">
      <c r="A9783" t="str">
        <f t="shared" si="233"/>
        <v>89301000</v>
      </c>
      <c r="B9783" t="str">
        <f>"6507141630"</f>
        <v>6507141630</v>
      </c>
      <c r="C9783" s="1">
        <v>45074</v>
      </c>
      <c r="D9783" s="1">
        <v>45106</v>
      </c>
      <c r="E9783">
        <v>1</v>
      </c>
      <c r="F9783" t="str">
        <f>"19-K08-02"</f>
        <v>19-K08-02</v>
      </c>
      <c r="G9783">
        <v>4.4416000000000002</v>
      </c>
      <c r="H9783" t="s">
        <v>15</v>
      </c>
      <c r="I9783" t="s">
        <v>10</v>
      </c>
    </row>
    <row r="9784" spans="1:9" x14ac:dyDescent="0.25">
      <c r="A9784" t="str">
        <f t="shared" si="233"/>
        <v>89301000</v>
      </c>
      <c r="B9784" t="str">
        <f>"6507200722"</f>
        <v>6507200722</v>
      </c>
      <c r="C9784" s="1">
        <v>44945</v>
      </c>
      <c r="D9784" s="1">
        <v>44948</v>
      </c>
      <c r="E9784">
        <v>1</v>
      </c>
      <c r="F9784" t="str">
        <f>"05-M07-06"</f>
        <v>05-M07-06</v>
      </c>
      <c r="G9784">
        <v>1.2264999999999999</v>
      </c>
      <c r="H9784" t="s">
        <v>12</v>
      </c>
      <c r="I9784" t="s">
        <v>10</v>
      </c>
    </row>
    <row r="9785" spans="1:9" x14ac:dyDescent="0.25">
      <c r="A9785" t="str">
        <f t="shared" si="233"/>
        <v>89301000</v>
      </c>
      <c r="B9785" t="str">
        <f>"6507220885"</f>
        <v>6507220885</v>
      </c>
      <c r="C9785" s="1">
        <v>45000</v>
      </c>
      <c r="D9785" s="1">
        <v>45003</v>
      </c>
      <c r="E9785">
        <v>1</v>
      </c>
      <c r="F9785" t="str">
        <f>"08-I26-02"</f>
        <v>08-I26-02</v>
      </c>
      <c r="G9785">
        <v>0.83779999999999999</v>
      </c>
      <c r="H9785" t="s">
        <v>11</v>
      </c>
      <c r="I9785" t="s">
        <v>10</v>
      </c>
    </row>
    <row r="9786" spans="1:9" x14ac:dyDescent="0.25">
      <c r="A9786" t="str">
        <f t="shared" si="233"/>
        <v>89301000</v>
      </c>
      <c r="B9786" t="str">
        <f>"6507261046"</f>
        <v>6507261046</v>
      </c>
      <c r="C9786" s="1">
        <v>45021</v>
      </c>
      <c r="D9786" s="1">
        <v>45027</v>
      </c>
      <c r="E9786">
        <v>1</v>
      </c>
      <c r="F9786" t="str">
        <f>"08-I03-06"</f>
        <v>08-I03-06</v>
      </c>
      <c r="G9786">
        <v>1.9185000000000001</v>
      </c>
      <c r="H9786" t="s">
        <v>9</v>
      </c>
      <c r="I9786" t="s">
        <v>10</v>
      </c>
    </row>
    <row r="9787" spans="1:9" x14ac:dyDescent="0.25">
      <c r="A9787" t="str">
        <f t="shared" si="233"/>
        <v>89301000</v>
      </c>
      <c r="B9787" t="str">
        <f>"6507261816"</f>
        <v>6507261816</v>
      </c>
      <c r="C9787" s="1">
        <v>45030</v>
      </c>
      <c r="D9787" s="1">
        <v>45031</v>
      </c>
      <c r="E9787">
        <v>1</v>
      </c>
      <c r="F9787" t="str">
        <f>"04-K15-03"</f>
        <v>04-K15-03</v>
      </c>
      <c r="G9787">
        <v>0.49790000000000001</v>
      </c>
      <c r="H9787" t="s">
        <v>11</v>
      </c>
      <c r="I9787" t="s">
        <v>10</v>
      </c>
    </row>
    <row r="9788" spans="1:9" x14ac:dyDescent="0.25">
      <c r="A9788" t="str">
        <f t="shared" si="233"/>
        <v>89301000</v>
      </c>
      <c r="B9788" t="str">
        <f>"6507301911"</f>
        <v>6507301911</v>
      </c>
      <c r="C9788" s="1">
        <v>44964</v>
      </c>
      <c r="D9788" s="1">
        <v>44965</v>
      </c>
      <c r="E9788">
        <v>1</v>
      </c>
      <c r="F9788" t="str">
        <f>"17-K02-02"</f>
        <v>17-K02-02</v>
      </c>
      <c r="G9788">
        <v>0.91110000000000002</v>
      </c>
      <c r="H9788" t="s">
        <v>11</v>
      </c>
      <c r="I9788" t="s">
        <v>10</v>
      </c>
    </row>
    <row r="9789" spans="1:9" x14ac:dyDescent="0.25">
      <c r="A9789" t="str">
        <f t="shared" si="233"/>
        <v>89301000</v>
      </c>
      <c r="B9789" t="str">
        <f>"6508030683"</f>
        <v>6508030683</v>
      </c>
      <c r="C9789" s="1">
        <v>45082</v>
      </c>
      <c r="D9789" s="1">
        <v>45096</v>
      </c>
      <c r="E9789">
        <v>5</v>
      </c>
      <c r="F9789" t="str">
        <f>"24-M07-02"</f>
        <v>24-M07-02</v>
      </c>
      <c r="G9789">
        <v>1.5729</v>
      </c>
      <c r="H9789" t="s">
        <v>11</v>
      </c>
      <c r="I9789" t="s">
        <v>10</v>
      </c>
    </row>
    <row r="9790" spans="1:9" x14ac:dyDescent="0.25">
      <c r="A9790" t="str">
        <f t="shared" si="233"/>
        <v>89301000</v>
      </c>
      <c r="B9790" t="str">
        <f>"6508030683"</f>
        <v>6508030683</v>
      </c>
      <c r="C9790" s="1">
        <v>45074</v>
      </c>
      <c r="D9790" s="1">
        <v>45082</v>
      </c>
      <c r="E9790">
        <v>3</v>
      </c>
      <c r="F9790" t="str">
        <f>"08-I05-04"</f>
        <v>08-I05-04</v>
      </c>
      <c r="G9790">
        <v>2.4445000000000001</v>
      </c>
      <c r="H9790" t="s">
        <v>12</v>
      </c>
      <c r="I9790" t="s">
        <v>10</v>
      </c>
    </row>
    <row r="9791" spans="1:9" x14ac:dyDescent="0.25">
      <c r="A9791" t="str">
        <f t="shared" si="233"/>
        <v>89301000</v>
      </c>
      <c r="B9791" t="str">
        <f>"6508161539"</f>
        <v>6508161539</v>
      </c>
      <c r="C9791" s="1">
        <v>44935</v>
      </c>
      <c r="D9791" s="1">
        <v>44937</v>
      </c>
      <c r="E9791">
        <v>1</v>
      </c>
      <c r="F9791" t="str">
        <f>"08-I32-00"</f>
        <v>08-I32-00</v>
      </c>
      <c r="G9791">
        <v>0.4093</v>
      </c>
      <c r="H9791" t="s">
        <v>11</v>
      </c>
      <c r="I9791" t="s">
        <v>10</v>
      </c>
    </row>
    <row r="9792" spans="1:9" x14ac:dyDescent="0.25">
      <c r="A9792" t="str">
        <f t="shared" si="233"/>
        <v>89301000</v>
      </c>
      <c r="B9792" t="str">
        <f>"6508171417"</f>
        <v>6508171417</v>
      </c>
      <c r="C9792" s="1">
        <v>45146</v>
      </c>
      <c r="D9792" s="1">
        <v>45146</v>
      </c>
      <c r="E9792">
        <v>1</v>
      </c>
      <c r="F9792" t="str">
        <f>"05-D01-08"</f>
        <v>05-D01-08</v>
      </c>
      <c r="G9792">
        <v>0.46939999999999998</v>
      </c>
      <c r="H9792" t="s">
        <v>11</v>
      </c>
      <c r="I9792" t="s">
        <v>10</v>
      </c>
    </row>
    <row r="9793" spans="1:9" x14ac:dyDescent="0.25">
      <c r="A9793" t="str">
        <f t="shared" si="233"/>
        <v>89301000</v>
      </c>
      <c r="B9793" t="str">
        <f>"6508201513"</f>
        <v>6508201513</v>
      </c>
      <c r="C9793" s="1">
        <v>44919</v>
      </c>
      <c r="D9793" s="1">
        <v>44932</v>
      </c>
      <c r="E9793">
        <v>1</v>
      </c>
      <c r="F9793" t="str">
        <f>"06-I18-01"</f>
        <v>06-I18-01</v>
      </c>
      <c r="G9793">
        <v>2.7831999999999999</v>
      </c>
      <c r="H9793" t="s">
        <v>9</v>
      </c>
      <c r="I9793" t="s">
        <v>10</v>
      </c>
    </row>
    <row r="9794" spans="1:9" x14ac:dyDescent="0.25">
      <c r="A9794" t="str">
        <f t="shared" si="233"/>
        <v>89301000</v>
      </c>
      <c r="B9794" t="str">
        <f>"6508201524"</f>
        <v>6508201524</v>
      </c>
      <c r="C9794" s="1">
        <v>45111</v>
      </c>
      <c r="D9794" s="1">
        <v>45117</v>
      </c>
      <c r="E9794">
        <v>5</v>
      </c>
      <c r="F9794" t="str">
        <f>"07-K02-03"</f>
        <v>07-K02-03</v>
      </c>
      <c r="G9794">
        <v>0.78139999999999998</v>
      </c>
      <c r="H9794" t="s">
        <v>11</v>
      </c>
      <c r="I9794" t="s">
        <v>10</v>
      </c>
    </row>
    <row r="9795" spans="1:9" x14ac:dyDescent="0.25">
      <c r="A9795" t="str">
        <f t="shared" si="233"/>
        <v>89301000</v>
      </c>
      <c r="B9795" t="str">
        <f>"6508221577"</f>
        <v>6508221577</v>
      </c>
      <c r="C9795" s="1">
        <v>45170</v>
      </c>
      <c r="D9795" s="1">
        <v>45195</v>
      </c>
      <c r="E9795">
        <v>4</v>
      </c>
      <c r="F9795" t="str">
        <f>"24-M09-01"</f>
        <v>24-M09-01</v>
      </c>
      <c r="G9795">
        <v>3.2307999999999999</v>
      </c>
      <c r="H9795" t="s">
        <v>11</v>
      </c>
      <c r="I9795" t="s">
        <v>10</v>
      </c>
    </row>
    <row r="9796" spans="1:9" x14ac:dyDescent="0.25">
      <c r="A9796" t="str">
        <f t="shared" si="233"/>
        <v>89301000</v>
      </c>
      <c r="B9796" t="str">
        <f>"6508221577"</f>
        <v>6508221577</v>
      </c>
      <c r="C9796" s="1">
        <v>45162</v>
      </c>
      <c r="D9796" s="1">
        <v>45170</v>
      </c>
      <c r="E9796">
        <v>3</v>
      </c>
      <c r="F9796" t="str">
        <f>"01-M02-00"</f>
        <v>01-M02-00</v>
      </c>
      <c r="G9796">
        <v>4.1859000000000002</v>
      </c>
      <c r="H9796" t="s">
        <v>12</v>
      </c>
      <c r="I9796" t="s">
        <v>10</v>
      </c>
    </row>
    <row r="9797" spans="1:9" x14ac:dyDescent="0.25">
      <c r="A9797" t="str">
        <f t="shared" si="233"/>
        <v>89301000</v>
      </c>
      <c r="B9797" t="str">
        <f>"6508290910"</f>
        <v>6508290910</v>
      </c>
      <c r="C9797" s="1">
        <v>44949</v>
      </c>
      <c r="D9797" s="1">
        <v>44953</v>
      </c>
      <c r="E9797">
        <v>1</v>
      </c>
      <c r="F9797" t="str">
        <f>"01-C02-02"</f>
        <v>01-C02-02</v>
      </c>
      <c r="G9797">
        <v>1.6685000000000001</v>
      </c>
      <c r="H9797" t="s">
        <v>11</v>
      </c>
      <c r="I9797" t="s">
        <v>10</v>
      </c>
    </row>
    <row r="9798" spans="1:9" x14ac:dyDescent="0.25">
      <c r="A9798" t="str">
        <f t="shared" si="233"/>
        <v>89301000</v>
      </c>
      <c r="B9798" t="str">
        <f>"6509010343"</f>
        <v>6509010343</v>
      </c>
      <c r="C9798" s="1">
        <v>45214</v>
      </c>
      <c r="D9798" s="1">
        <v>45217</v>
      </c>
      <c r="E9798">
        <v>2</v>
      </c>
      <c r="F9798" t="str">
        <f>"03-I18-01"</f>
        <v>03-I18-01</v>
      </c>
      <c r="G9798">
        <v>1.1439999999999999</v>
      </c>
      <c r="H9798" t="s">
        <v>9</v>
      </c>
      <c r="I9798" t="s">
        <v>10</v>
      </c>
    </row>
    <row r="9799" spans="1:9" x14ac:dyDescent="0.25">
      <c r="A9799" t="str">
        <f t="shared" si="233"/>
        <v>89301000</v>
      </c>
      <c r="B9799" t="str">
        <f>"6509050427"</f>
        <v>6509050427</v>
      </c>
      <c r="C9799" s="1">
        <v>45186</v>
      </c>
      <c r="D9799" s="1">
        <v>45191</v>
      </c>
      <c r="E9799">
        <v>1</v>
      </c>
      <c r="F9799" t="str">
        <f>"12-I03-01"</f>
        <v>12-I03-01</v>
      </c>
      <c r="G9799">
        <v>2.6934999999999998</v>
      </c>
      <c r="H9799" t="s">
        <v>9</v>
      </c>
      <c r="I9799" t="s">
        <v>10</v>
      </c>
    </row>
    <row r="9800" spans="1:9" x14ac:dyDescent="0.25">
      <c r="A9800" t="str">
        <f t="shared" si="233"/>
        <v>89301000</v>
      </c>
      <c r="B9800" t="str">
        <f>"6509060591"</f>
        <v>6509060591</v>
      </c>
      <c r="C9800" s="1">
        <v>44981</v>
      </c>
      <c r="D9800" s="1">
        <v>44982</v>
      </c>
      <c r="E9800">
        <v>1</v>
      </c>
      <c r="F9800" t="str">
        <f>"04-K15-03"</f>
        <v>04-K15-03</v>
      </c>
      <c r="G9800">
        <v>0.49790000000000001</v>
      </c>
      <c r="H9800" t="s">
        <v>11</v>
      </c>
      <c r="I9800" t="s">
        <v>10</v>
      </c>
    </row>
    <row r="9801" spans="1:9" x14ac:dyDescent="0.25">
      <c r="A9801" t="str">
        <f t="shared" si="233"/>
        <v>89301000</v>
      </c>
      <c r="B9801" t="str">
        <f>"6509151583"</f>
        <v>6509151583</v>
      </c>
      <c r="C9801" s="1">
        <v>44976</v>
      </c>
      <c r="D9801" s="1">
        <v>44979</v>
      </c>
      <c r="E9801">
        <v>1</v>
      </c>
      <c r="F9801" t="str">
        <f>"08-M03-05"</f>
        <v>08-M03-05</v>
      </c>
      <c r="G9801">
        <v>0.46810000000000002</v>
      </c>
      <c r="H9801" t="s">
        <v>11</v>
      </c>
      <c r="I9801" t="s">
        <v>10</v>
      </c>
    </row>
    <row r="9802" spans="1:9" x14ac:dyDescent="0.25">
      <c r="A9802" t="str">
        <f t="shared" si="233"/>
        <v>89301000</v>
      </c>
      <c r="B9802" t="str">
        <f>"6509161384"</f>
        <v>6509161384</v>
      </c>
      <c r="C9802" s="1">
        <v>45116</v>
      </c>
      <c r="D9802" s="1">
        <v>45120</v>
      </c>
      <c r="E9802">
        <v>1</v>
      </c>
      <c r="F9802" t="str">
        <f>"08-I06-04"</f>
        <v>08-I06-04</v>
      </c>
      <c r="G9802">
        <v>2.4049</v>
      </c>
      <c r="H9802" t="s">
        <v>9</v>
      </c>
      <c r="I9802" t="s">
        <v>10</v>
      </c>
    </row>
    <row r="9803" spans="1:9" x14ac:dyDescent="0.25">
      <c r="A9803" t="str">
        <f t="shared" si="233"/>
        <v>89301000</v>
      </c>
      <c r="B9803" t="str">
        <f>"6509192316"</f>
        <v>6509192316</v>
      </c>
      <c r="C9803" s="1">
        <v>45250</v>
      </c>
      <c r="D9803" s="1">
        <v>45268</v>
      </c>
      <c r="E9803">
        <v>1</v>
      </c>
      <c r="F9803" t="str">
        <f>"20-K05-02"</f>
        <v>20-K05-02</v>
      </c>
      <c r="G9803">
        <v>1.7688999999999999</v>
      </c>
      <c r="H9803" t="s">
        <v>11</v>
      </c>
      <c r="I9803" t="s">
        <v>10</v>
      </c>
    </row>
    <row r="9804" spans="1:9" x14ac:dyDescent="0.25">
      <c r="A9804" t="str">
        <f t="shared" si="233"/>
        <v>89301000</v>
      </c>
      <c r="B9804" t="str">
        <f>"6509200467"</f>
        <v>6509200467</v>
      </c>
      <c r="C9804" s="1">
        <v>45183</v>
      </c>
      <c r="D9804" s="1">
        <v>45189</v>
      </c>
      <c r="E9804">
        <v>1</v>
      </c>
      <c r="F9804" t="str">
        <f>"11-K08-01"</f>
        <v>11-K08-01</v>
      </c>
      <c r="G9804">
        <v>1.1573</v>
      </c>
      <c r="H9804" t="s">
        <v>11</v>
      </c>
      <c r="I9804" t="s">
        <v>10</v>
      </c>
    </row>
    <row r="9805" spans="1:9" x14ac:dyDescent="0.25">
      <c r="A9805" t="str">
        <f t="shared" si="233"/>
        <v>89301000</v>
      </c>
      <c r="B9805" t="str">
        <f>"6509241805"</f>
        <v>6509241805</v>
      </c>
      <c r="C9805" s="1">
        <v>45024</v>
      </c>
      <c r="D9805" s="1">
        <v>45028</v>
      </c>
      <c r="E9805">
        <v>1</v>
      </c>
      <c r="F9805" t="str">
        <f>"05-I14-02"</f>
        <v>05-I14-02</v>
      </c>
      <c r="G9805">
        <v>6.4595000000000002</v>
      </c>
      <c r="H9805" t="s">
        <v>12</v>
      </c>
      <c r="I9805" t="s">
        <v>10</v>
      </c>
    </row>
    <row r="9806" spans="1:9" x14ac:dyDescent="0.25">
      <c r="A9806" t="str">
        <f t="shared" si="233"/>
        <v>89301000</v>
      </c>
      <c r="B9806" t="str">
        <f>"6509291459"</f>
        <v>6509291459</v>
      </c>
      <c r="C9806" s="1">
        <v>45059</v>
      </c>
      <c r="D9806" s="1">
        <v>45065</v>
      </c>
      <c r="E9806">
        <v>1</v>
      </c>
      <c r="F9806" t="str">
        <f>"08-K08-00"</f>
        <v>08-K08-00</v>
      </c>
      <c r="G9806">
        <v>0.5272</v>
      </c>
      <c r="H9806" t="s">
        <v>11</v>
      </c>
      <c r="I9806" t="s">
        <v>10</v>
      </c>
    </row>
    <row r="9807" spans="1:9" x14ac:dyDescent="0.25">
      <c r="A9807" t="str">
        <f t="shared" si="233"/>
        <v>89301000</v>
      </c>
      <c r="B9807" t="str">
        <f>"6510041978"</f>
        <v>6510041978</v>
      </c>
      <c r="C9807" s="1">
        <v>45162</v>
      </c>
      <c r="D9807" s="1">
        <v>45169</v>
      </c>
      <c r="E9807">
        <v>4</v>
      </c>
      <c r="F9807" t="str">
        <f>"04-K15-03"</f>
        <v>04-K15-03</v>
      </c>
      <c r="G9807">
        <v>0.62819999999999998</v>
      </c>
      <c r="H9807" t="s">
        <v>11</v>
      </c>
      <c r="I9807" t="s">
        <v>10</v>
      </c>
    </row>
    <row r="9808" spans="1:9" x14ac:dyDescent="0.25">
      <c r="A9808" t="str">
        <f t="shared" si="233"/>
        <v>89301000</v>
      </c>
      <c r="B9808" t="str">
        <f>"6510060392"</f>
        <v>6510060392</v>
      </c>
      <c r="C9808" s="1">
        <v>45194</v>
      </c>
      <c r="D9808" s="1">
        <v>45201</v>
      </c>
      <c r="E9808">
        <v>4</v>
      </c>
      <c r="F9808" t="str">
        <f>"08-I05-04"</f>
        <v>08-I05-04</v>
      </c>
      <c r="G9808">
        <v>2.4445000000000001</v>
      </c>
      <c r="H9808" t="s">
        <v>12</v>
      </c>
      <c r="I9808" t="s">
        <v>10</v>
      </c>
    </row>
    <row r="9809" spans="1:9" x14ac:dyDescent="0.25">
      <c r="A9809" t="str">
        <f t="shared" si="233"/>
        <v>89301000</v>
      </c>
      <c r="B9809" t="str">
        <f>"6510090928"</f>
        <v>6510090928</v>
      </c>
      <c r="C9809" s="1">
        <v>44936</v>
      </c>
      <c r="D9809" s="1">
        <v>44971</v>
      </c>
      <c r="E9809">
        <v>1</v>
      </c>
      <c r="F9809" t="str">
        <f>"19-K08-02"</f>
        <v>19-K08-02</v>
      </c>
      <c r="G9809">
        <v>4.4416000000000002</v>
      </c>
      <c r="H9809" t="s">
        <v>15</v>
      </c>
      <c r="I9809" t="s">
        <v>10</v>
      </c>
    </row>
    <row r="9810" spans="1:9" x14ac:dyDescent="0.25">
      <c r="A9810" t="str">
        <f t="shared" si="233"/>
        <v>89301000</v>
      </c>
      <c r="B9810" t="str">
        <f>"6510090928"</f>
        <v>6510090928</v>
      </c>
      <c r="C9810" s="1">
        <v>45237</v>
      </c>
      <c r="D9810" s="1">
        <v>45266</v>
      </c>
      <c r="E9810">
        <v>1</v>
      </c>
      <c r="F9810" t="str">
        <f>"19-K07-02"</f>
        <v>19-K07-02</v>
      </c>
      <c r="G9810">
        <v>2.5350000000000001</v>
      </c>
      <c r="H9810" t="s">
        <v>15</v>
      </c>
      <c r="I9810" t="s">
        <v>10</v>
      </c>
    </row>
    <row r="9811" spans="1:9" x14ac:dyDescent="0.25">
      <c r="A9811" t="str">
        <f t="shared" si="233"/>
        <v>89301000</v>
      </c>
      <c r="B9811" t="str">
        <f>"6510111069"</f>
        <v>6510111069</v>
      </c>
      <c r="C9811" s="1">
        <v>45226</v>
      </c>
      <c r="D9811" s="1">
        <v>45232</v>
      </c>
      <c r="E9811">
        <v>1</v>
      </c>
      <c r="F9811" t="str">
        <f>"06-K06-01"</f>
        <v>06-K06-01</v>
      </c>
      <c r="G9811">
        <v>1.1567000000000001</v>
      </c>
      <c r="H9811" t="s">
        <v>11</v>
      </c>
      <c r="I9811" t="s">
        <v>10</v>
      </c>
    </row>
    <row r="9812" spans="1:9" x14ac:dyDescent="0.25">
      <c r="A9812" t="str">
        <f t="shared" si="233"/>
        <v>89301000</v>
      </c>
      <c r="B9812" t="str">
        <f>"6510290391"</f>
        <v>6510290391</v>
      </c>
      <c r="C9812" s="1">
        <v>45272</v>
      </c>
      <c r="D9812" s="1">
        <v>45276</v>
      </c>
      <c r="E9812">
        <v>1</v>
      </c>
      <c r="F9812" t="str">
        <f>"03-I12-04"</f>
        <v>03-I12-04</v>
      </c>
      <c r="G9812">
        <v>0.87470000000000003</v>
      </c>
      <c r="H9812" t="s">
        <v>12</v>
      </c>
      <c r="I9812" t="s">
        <v>10</v>
      </c>
    </row>
    <row r="9813" spans="1:9" x14ac:dyDescent="0.25">
      <c r="A9813" t="str">
        <f t="shared" si="233"/>
        <v>89301000</v>
      </c>
      <c r="B9813" t="str">
        <f>"6511030669"</f>
        <v>6511030669</v>
      </c>
      <c r="C9813" s="1">
        <v>44970</v>
      </c>
      <c r="D9813" s="1">
        <v>44972</v>
      </c>
      <c r="E9813">
        <v>1</v>
      </c>
      <c r="F9813" t="str">
        <f>"06-K07-02"</f>
        <v>06-K07-02</v>
      </c>
      <c r="G9813">
        <v>0.42059999999999997</v>
      </c>
      <c r="H9813" t="s">
        <v>11</v>
      </c>
      <c r="I9813" t="s">
        <v>10</v>
      </c>
    </row>
    <row r="9814" spans="1:9" x14ac:dyDescent="0.25">
      <c r="A9814" t="str">
        <f t="shared" si="233"/>
        <v>89301000</v>
      </c>
      <c r="B9814" t="str">
        <f>"6511050689"</f>
        <v>6511050689</v>
      </c>
      <c r="C9814" s="1">
        <v>45009</v>
      </c>
      <c r="D9814" s="1">
        <v>45013</v>
      </c>
      <c r="E9814">
        <v>1</v>
      </c>
      <c r="F9814" t="str">
        <f>"04-K07-03"</f>
        <v>04-K07-03</v>
      </c>
      <c r="G9814">
        <v>0.61119999999999997</v>
      </c>
      <c r="H9814" t="s">
        <v>11</v>
      </c>
      <c r="I9814" t="s">
        <v>10</v>
      </c>
    </row>
    <row r="9815" spans="1:9" x14ac:dyDescent="0.25">
      <c r="A9815" t="str">
        <f t="shared" si="233"/>
        <v>89301000</v>
      </c>
      <c r="B9815" t="str">
        <f>"6511050689"</f>
        <v>6511050689</v>
      </c>
      <c r="C9815" s="1">
        <v>44993</v>
      </c>
      <c r="D9815" s="1">
        <v>44999</v>
      </c>
      <c r="E9815">
        <v>1</v>
      </c>
      <c r="F9815" t="str">
        <f>"04-K07-03"</f>
        <v>04-K07-03</v>
      </c>
      <c r="G9815">
        <v>0.61119999999999997</v>
      </c>
      <c r="H9815" t="s">
        <v>11</v>
      </c>
      <c r="I9815" t="s">
        <v>10</v>
      </c>
    </row>
    <row r="9816" spans="1:9" x14ac:dyDescent="0.25">
      <c r="A9816" t="str">
        <f t="shared" si="233"/>
        <v>89301000</v>
      </c>
      <c r="B9816" t="str">
        <f>"6511060963"</f>
        <v>6511060963</v>
      </c>
      <c r="C9816" s="1">
        <v>45230</v>
      </c>
      <c r="D9816" s="1">
        <v>45231</v>
      </c>
      <c r="E9816">
        <v>1</v>
      </c>
      <c r="F9816" t="str">
        <f>"01-I13-00"</f>
        <v>01-I13-00</v>
      </c>
      <c r="G9816">
        <v>0.38400000000000001</v>
      </c>
      <c r="H9816" t="s">
        <v>11</v>
      </c>
      <c r="I9816" t="s">
        <v>10</v>
      </c>
    </row>
    <row r="9817" spans="1:9" x14ac:dyDescent="0.25">
      <c r="A9817" t="str">
        <f t="shared" si="233"/>
        <v>89301000</v>
      </c>
      <c r="B9817" t="str">
        <f>"6511111607"</f>
        <v>6511111607</v>
      </c>
      <c r="C9817" s="1">
        <v>45257</v>
      </c>
      <c r="D9817" s="1">
        <v>45262</v>
      </c>
      <c r="E9817">
        <v>1</v>
      </c>
      <c r="F9817" t="str">
        <f>"07-I10-06"</f>
        <v>07-I10-06</v>
      </c>
      <c r="G9817">
        <v>0.98419999999999996</v>
      </c>
      <c r="H9817" t="s">
        <v>12</v>
      </c>
      <c r="I9817" t="s">
        <v>10</v>
      </c>
    </row>
    <row r="9818" spans="1:9" x14ac:dyDescent="0.25">
      <c r="A9818" t="str">
        <f t="shared" si="233"/>
        <v>89301000</v>
      </c>
      <c r="B9818" t="str">
        <f>"6511111607"</f>
        <v>6511111607</v>
      </c>
      <c r="C9818" s="1">
        <v>45179</v>
      </c>
      <c r="D9818" s="1">
        <v>45185</v>
      </c>
      <c r="E9818">
        <v>1</v>
      </c>
      <c r="F9818" t="str">
        <f>"07-M02-04"</f>
        <v>07-M02-04</v>
      </c>
      <c r="G9818">
        <v>0.77339999999999998</v>
      </c>
      <c r="H9818" t="s">
        <v>12</v>
      </c>
      <c r="I9818" t="s">
        <v>10</v>
      </c>
    </row>
    <row r="9819" spans="1:9" x14ac:dyDescent="0.25">
      <c r="A9819" t="str">
        <f t="shared" si="233"/>
        <v>89301000</v>
      </c>
      <c r="B9819" t="str">
        <f>"6511240714"</f>
        <v>6511240714</v>
      </c>
      <c r="C9819" s="1">
        <v>45041</v>
      </c>
      <c r="D9819" s="1">
        <v>45044</v>
      </c>
      <c r="E9819">
        <v>1</v>
      </c>
      <c r="F9819" t="str">
        <f>"09-K14-02"</f>
        <v>09-K14-02</v>
      </c>
      <c r="G9819">
        <v>0.5</v>
      </c>
      <c r="H9819" t="s">
        <v>11</v>
      </c>
      <c r="I9819" t="s">
        <v>10</v>
      </c>
    </row>
    <row r="9820" spans="1:9" x14ac:dyDescent="0.25">
      <c r="A9820" t="str">
        <f t="shared" si="233"/>
        <v>89301000</v>
      </c>
      <c r="B9820" t="str">
        <f>"6511241132"</f>
        <v>6511241132</v>
      </c>
      <c r="C9820" s="1">
        <v>45215</v>
      </c>
      <c r="D9820" s="1">
        <v>45216</v>
      </c>
      <c r="E9820">
        <v>1</v>
      </c>
      <c r="F9820" t="str">
        <f>"12-I14-00"</f>
        <v>12-I14-00</v>
      </c>
      <c r="G9820">
        <v>0.42920000000000003</v>
      </c>
      <c r="H9820" t="s">
        <v>11</v>
      </c>
      <c r="I9820" t="s">
        <v>10</v>
      </c>
    </row>
    <row r="9821" spans="1:9" x14ac:dyDescent="0.25">
      <c r="A9821" t="str">
        <f t="shared" si="233"/>
        <v>89301000</v>
      </c>
      <c r="B9821" t="str">
        <f>"6512011462"</f>
        <v>6512011462</v>
      </c>
      <c r="C9821" s="1">
        <v>44984</v>
      </c>
      <c r="D9821" s="1">
        <v>44985</v>
      </c>
      <c r="E9821">
        <v>1</v>
      </c>
      <c r="F9821" t="str">
        <f>"23-K04-02"</f>
        <v>23-K04-02</v>
      </c>
      <c r="G9821">
        <v>0.38150000000000001</v>
      </c>
      <c r="H9821" t="s">
        <v>11</v>
      </c>
      <c r="I9821" t="s">
        <v>10</v>
      </c>
    </row>
    <row r="9822" spans="1:9" x14ac:dyDescent="0.25">
      <c r="A9822" t="str">
        <f t="shared" si="233"/>
        <v>89301000</v>
      </c>
      <c r="B9822" t="str">
        <f>"6512011462"</f>
        <v>6512011462</v>
      </c>
      <c r="C9822" s="1">
        <v>45215</v>
      </c>
      <c r="D9822" s="1">
        <v>45230</v>
      </c>
      <c r="E9822">
        <v>1</v>
      </c>
      <c r="F9822" t="str">
        <f>"07-I02-01"</f>
        <v>07-I02-01</v>
      </c>
      <c r="G9822">
        <v>7.9503000000000004</v>
      </c>
      <c r="H9822" t="s">
        <v>14</v>
      </c>
      <c r="I9822" t="s">
        <v>10</v>
      </c>
    </row>
    <row r="9823" spans="1:9" x14ac:dyDescent="0.25">
      <c r="A9823" t="str">
        <f t="shared" si="233"/>
        <v>89301000</v>
      </c>
      <c r="B9823" t="str">
        <f>"6512011462"</f>
        <v>6512011462</v>
      </c>
      <c r="C9823" s="1">
        <v>45236</v>
      </c>
      <c r="D9823" s="1">
        <v>45281</v>
      </c>
      <c r="E9823">
        <v>5</v>
      </c>
      <c r="F9823" t="str">
        <f>"00-M02-01"</f>
        <v>00-M02-01</v>
      </c>
      <c r="G9823">
        <v>24.463699999999999</v>
      </c>
      <c r="H9823" t="s">
        <v>11</v>
      </c>
      <c r="I9823" t="s">
        <v>10</v>
      </c>
    </row>
    <row r="9824" spans="1:9" x14ac:dyDescent="0.25">
      <c r="A9824" t="str">
        <f t="shared" si="233"/>
        <v>89301000</v>
      </c>
      <c r="B9824" t="str">
        <f>"6512061424"</f>
        <v>6512061424</v>
      </c>
      <c r="C9824" s="1">
        <v>45238</v>
      </c>
      <c r="D9824" s="1">
        <v>45239</v>
      </c>
      <c r="E9824">
        <v>1</v>
      </c>
      <c r="F9824" t="str">
        <f>"03-K13-02"</f>
        <v>03-K13-02</v>
      </c>
      <c r="G9824">
        <v>0.24440000000000001</v>
      </c>
      <c r="H9824" t="s">
        <v>11</v>
      </c>
      <c r="I9824" t="s">
        <v>16</v>
      </c>
    </row>
    <row r="9825" spans="1:9" x14ac:dyDescent="0.25">
      <c r="A9825" t="str">
        <f t="shared" si="233"/>
        <v>89301000</v>
      </c>
      <c r="B9825" t="str">
        <f>"6512061424"</f>
        <v>6512061424</v>
      </c>
      <c r="C9825" s="1">
        <v>45149</v>
      </c>
      <c r="D9825" s="1">
        <v>45149</v>
      </c>
      <c r="E9825">
        <v>1</v>
      </c>
      <c r="F9825" t="str">
        <f>"05-D01-08"</f>
        <v>05-D01-08</v>
      </c>
      <c r="G9825">
        <v>0.2303</v>
      </c>
      <c r="H9825" t="s">
        <v>11</v>
      </c>
      <c r="I9825" t="s">
        <v>16</v>
      </c>
    </row>
    <row r="9826" spans="1:9" x14ac:dyDescent="0.25">
      <c r="A9826" t="str">
        <f t="shared" si="233"/>
        <v>89301000</v>
      </c>
      <c r="B9826" t="str">
        <f>"6512281776"</f>
        <v>6512281776</v>
      </c>
      <c r="C9826" s="1">
        <v>44941</v>
      </c>
      <c r="D9826" s="1">
        <v>44944</v>
      </c>
      <c r="E9826">
        <v>1</v>
      </c>
      <c r="F9826" t="str">
        <f>"08-M03-05"</f>
        <v>08-M03-05</v>
      </c>
      <c r="G9826">
        <v>0.46810000000000002</v>
      </c>
      <c r="H9826" t="s">
        <v>11</v>
      </c>
      <c r="I9826" t="s">
        <v>10</v>
      </c>
    </row>
    <row r="9827" spans="1:9" x14ac:dyDescent="0.25">
      <c r="A9827" t="str">
        <f t="shared" si="233"/>
        <v>89301000</v>
      </c>
      <c r="B9827" t="str">
        <f>"6551010972"</f>
        <v>6551010972</v>
      </c>
      <c r="C9827" s="1">
        <v>44964</v>
      </c>
      <c r="D9827" s="1">
        <v>44968</v>
      </c>
      <c r="E9827">
        <v>1</v>
      </c>
      <c r="F9827" t="str">
        <f>"13-I11-03"</f>
        <v>13-I11-03</v>
      </c>
      <c r="G9827">
        <v>1.4332</v>
      </c>
      <c r="H9827" t="s">
        <v>9</v>
      </c>
      <c r="I9827" t="s">
        <v>10</v>
      </c>
    </row>
    <row r="9828" spans="1:9" x14ac:dyDescent="0.25">
      <c r="A9828" t="str">
        <f t="shared" si="233"/>
        <v>89301000</v>
      </c>
      <c r="B9828" t="str">
        <f>"6551010983"</f>
        <v>6551010983</v>
      </c>
      <c r="C9828" s="1">
        <v>44951</v>
      </c>
      <c r="D9828" s="1">
        <v>44953</v>
      </c>
      <c r="E9828">
        <v>1</v>
      </c>
      <c r="F9828" t="str">
        <f>"06-M01-02"</f>
        <v>06-M01-02</v>
      </c>
      <c r="G9828">
        <v>1.2206999999999999</v>
      </c>
      <c r="H9828" t="s">
        <v>11</v>
      </c>
      <c r="I9828" t="s">
        <v>10</v>
      </c>
    </row>
    <row r="9829" spans="1:9" x14ac:dyDescent="0.25">
      <c r="A9829" t="str">
        <f t="shared" si="233"/>
        <v>89301000</v>
      </c>
      <c r="B9829" t="str">
        <f>"6551020993"</f>
        <v>6551020993</v>
      </c>
      <c r="C9829" s="1">
        <v>45104</v>
      </c>
      <c r="D9829" s="1">
        <v>45106</v>
      </c>
      <c r="E9829">
        <v>1</v>
      </c>
      <c r="F9829" t="str">
        <f>"13-I19-00"</f>
        <v>13-I19-00</v>
      </c>
      <c r="G9829">
        <v>0.28249999999999997</v>
      </c>
      <c r="H9829" t="s">
        <v>11</v>
      </c>
      <c r="I9829" t="s">
        <v>10</v>
      </c>
    </row>
    <row r="9830" spans="1:9" x14ac:dyDescent="0.25">
      <c r="A9830" t="str">
        <f t="shared" si="233"/>
        <v>89301000</v>
      </c>
      <c r="B9830" t="str">
        <f>"6551090975"</f>
        <v>6551090975</v>
      </c>
      <c r="C9830" s="1">
        <v>45240</v>
      </c>
      <c r="D9830" s="1">
        <v>45243</v>
      </c>
      <c r="E9830">
        <v>1</v>
      </c>
      <c r="F9830" t="str">
        <f>"08-I16-02"</f>
        <v>08-I16-02</v>
      </c>
      <c r="G9830">
        <v>1.8476999999999999</v>
      </c>
      <c r="H9830" t="s">
        <v>12</v>
      </c>
      <c r="I9830" t="s">
        <v>10</v>
      </c>
    </row>
    <row r="9831" spans="1:9" x14ac:dyDescent="0.25">
      <c r="A9831" t="str">
        <f t="shared" si="233"/>
        <v>89301000</v>
      </c>
      <c r="B9831" t="str">
        <f>"6551150298"</f>
        <v>6551150298</v>
      </c>
      <c r="C9831" s="1">
        <v>45274</v>
      </c>
      <c r="D9831" s="1">
        <v>45275</v>
      </c>
      <c r="E9831">
        <v>1</v>
      </c>
      <c r="F9831" t="str">
        <f>"01-D01-03"</f>
        <v>01-D01-03</v>
      </c>
      <c r="G9831">
        <v>0.16200000000000001</v>
      </c>
      <c r="H9831" t="s">
        <v>11</v>
      </c>
      <c r="I9831" t="s">
        <v>10</v>
      </c>
    </row>
    <row r="9832" spans="1:9" x14ac:dyDescent="0.25">
      <c r="A9832" t="str">
        <f t="shared" si="233"/>
        <v>89301000</v>
      </c>
      <c r="B9832" t="str">
        <f>"6551151420"</f>
        <v>6551151420</v>
      </c>
      <c r="C9832" s="1">
        <v>45131</v>
      </c>
      <c r="D9832" s="1">
        <v>45133</v>
      </c>
      <c r="E9832">
        <v>1</v>
      </c>
      <c r="F9832" t="str">
        <f>"09-I09-02"</f>
        <v>09-I09-02</v>
      </c>
      <c r="G9832">
        <v>0.76900000000000002</v>
      </c>
      <c r="H9832" t="s">
        <v>12</v>
      </c>
      <c r="I9832" t="s">
        <v>10</v>
      </c>
    </row>
    <row r="9833" spans="1:9" x14ac:dyDescent="0.25">
      <c r="A9833" t="str">
        <f t="shared" si="233"/>
        <v>89301000</v>
      </c>
      <c r="B9833" t="str">
        <f>"6551151420"</f>
        <v>6551151420</v>
      </c>
      <c r="C9833" s="1">
        <v>45154</v>
      </c>
      <c r="D9833" s="1">
        <v>45156</v>
      </c>
      <c r="E9833">
        <v>1</v>
      </c>
      <c r="F9833" t="str">
        <f>"09-I09-02"</f>
        <v>09-I09-02</v>
      </c>
      <c r="G9833">
        <v>0.76900000000000002</v>
      </c>
      <c r="H9833" t="s">
        <v>12</v>
      </c>
      <c r="I9833" t="s">
        <v>10</v>
      </c>
    </row>
    <row r="9834" spans="1:9" x14ac:dyDescent="0.25">
      <c r="A9834" t="str">
        <f t="shared" si="233"/>
        <v>89301000</v>
      </c>
      <c r="B9834" t="str">
        <f>"6551260969"</f>
        <v>6551260969</v>
      </c>
      <c r="C9834" s="1">
        <v>45145</v>
      </c>
      <c r="D9834" s="1">
        <v>45154</v>
      </c>
      <c r="E9834">
        <v>7</v>
      </c>
      <c r="F9834" t="str">
        <f>"00-M01-03"</f>
        <v>00-M01-03</v>
      </c>
      <c r="G9834">
        <v>10.3605</v>
      </c>
      <c r="H9834" t="s">
        <v>11</v>
      </c>
      <c r="I9834" t="s">
        <v>10</v>
      </c>
    </row>
    <row r="9835" spans="1:9" x14ac:dyDescent="0.25">
      <c r="A9835" t="str">
        <f t="shared" ref="A9835:A9897" si="234">"89301000"</f>
        <v>89301000</v>
      </c>
      <c r="B9835" t="str">
        <f>"6551302252"</f>
        <v>6551302252</v>
      </c>
      <c r="C9835" s="1">
        <v>45166</v>
      </c>
      <c r="D9835" s="1">
        <v>45168</v>
      </c>
      <c r="E9835">
        <v>1</v>
      </c>
      <c r="F9835" t="str">
        <f>"10-K04-04"</f>
        <v>10-K04-04</v>
      </c>
      <c r="G9835">
        <v>0.53949999999999998</v>
      </c>
      <c r="H9835" t="s">
        <v>11</v>
      </c>
      <c r="I9835" t="s">
        <v>10</v>
      </c>
    </row>
    <row r="9836" spans="1:9" x14ac:dyDescent="0.25">
      <c r="A9836" t="str">
        <f t="shared" si="234"/>
        <v>89301000</v>
      </c>
      <c r="B9836" t="str">
        <f>"6552071790"</f>
        <v>6552071790</v>
      </c>
      <c r="C9836" s="1">
        <v>45228</v>
      </c>
      <c r="D9836" s="1">
        <v>45232</v>
      </c>
      <c r="E9836">
        <v>1</v>
      </c>
      <c r="F9836" t="str">
        <f>"06-I16-04"</f>
        <v>06-I16-04</v>
      </c>
      <c r="G9836">
        <v>0.68920000000000003</v>
      </c>
      <c r="H9836" t="s">
        <v>9</v>
      </c>
      <c r="I9836" t="s">
        <v>10</v>
      </c>
    </row>
    <row r="9837" spans="1:9" x14ac:dyDescent="0.25">
      <c r="A9837" t="str">
        <f t="shared" si="234"/>
        <v>89301000</v>
      </c>
      <c r="B9837" t="str">
        <f>"6552091183"</f>
        <v>6552091183</v>
      </c>
      <c r="C9837" s="1">
        <v>45221</v>
      </c>
      <c r="D9837" s="1">
        <v>45223</v>
      </c>
      <c r="E9837">
        <v>1</v>
      </c>
      <c r="F9837" t="str">
        <f>"06-K15-02"</f>
        <v>06-K15-02</v>
      </c>
      <c r="G9837">
        <v>0.26600000000000001</v>
      </c>
      <c r="H9837" t="s">
        <v>11</v>
      </c>
      <c r="I9837" t="s">
        <v>10</v>
      </c>
    </row>
    <row r="9838" spans="1:9" x14ac:dyDescent="0.25">
      <c r="A9838" t="str">
        <f t="shared" si="234"/>
        <v>89301000</v>
      </c>
      <c r="B9838" t="str">
        <f>"6552130871"</f>
        <v>6552130871</v>
      </c>
      <c r="C9838" s="1">
        <v>45278</v>
      </c>
      <c r="D9838" s="1">
        <v>45279</v>
      </c>
      <c r="E9838">
        <v>1</v>
      </c>
      <c r="F9838" t="str">
        <f>"01-D01-03"</f>
        <v>01-D01-03</v>
      </c>
      <c r="G9838">
        <v>0.16200000000000001</v>
      </c>
      <c r="H9838" t="s">
        <v>11</v>
      </c>
      <c r="I9838" t="s">
        <v>10</v>
      </c>
    </row>
    <row r="9839" spans="1:9" x14ac:dyDescent="0.25">
      <c r="A9839" t="str">
        <f t="shared" si="234"/>
        <v>89301000</v>
      </c>
      <c r="B9839" t="str">
        <f>"6552162012"</f>
        <v>6552162012</v>
      </c>
      <c r="C9839" s="1">
        <v>45177</v>
      </c>
      <c r="D9839" s="1">
        <v>45178</v>
      </c>
      <c r="E9839">
        <v>1</v>
      </c>
      <c r="F9839" t="str">
        <f>"05-D01-08"</f>
        <v>05-D01-08</v>
      </c>
      <c r="G9839">
        <v>0.43159999999999998</v>
      </c>
      <c r="H9839" t="s">
        <v>11</v>
      </c>
      <c r="I9839" t="s">
        <v>10</v>
      </c>
    </row>
    <row r="9840" spans="1:9" x14ac:dyDescent="0.25">
      <c r="A9840" t="str">
        <f t="shared" si="234"/>
        <v>89301000</v>
      </c>
      <c r="B9840" t="str">
        <f>"6552191734"</f>
        <v>6552191734</v>
      </c>
      <c r="C9840" s="1">
        <v>45056</v>
      </c>
      <c r="D9840" s="1">
        <v>45058</v>
      </c>
      <c r="E9840">
        <v>1</v>
      </c>
      <c r="F9840" t="str">
        <f>"05-I14-04"</f>
        <v>05-I14-04</v>
      </c>
      <c r="G9840">
        <v>5.2220000000000004</v>
      </c>
      <c r="H9840" t="s">
        <v>12</v>
      </c>
      <c r="I9840" t="s">
        <v>10</v>
      </c>
    </row>
    <row r="9841" spans="1:9" x14ac:dyDescent="0.25">
      <c r="A9841" t="str">
        <f t="shared" si="234"/>
        <v>89301000</v>
      </c>
      <c r="B9841" t="str">
        <f>"6552221247"</f>
        <v>6552221247</v>
      </c>
      <c r="C9841" s="1">
        <v>45117</v>
      </c>
      <c r="D9841" s="1">
        <v>45124</v>
      </c>
      <c r="E9841">
        <v>4</v>
      </c>
      <c r="F9841" t="str">
        <f>"08-I05-04"</f>
        <v>08-I05-04</v>
      </c>
      <c r="G9841">
        <v>2.4445000000000001</v>
      </c>
      <c r="H9841" t="s">
        <v>12</v>
      </c>
      <c r="I9841" t="s">
        <v>10</v>
      </c>
    </row>
    <row r="9842" spans="1:9" x14ac:dyDescent="0.25">
      <c r="A9842" t="str">
        <f t="shared" si="234"/>
        <v>89301000</v>
      </c>
      <c r="B9842" t="str">
        <f>"6552262288"</f>
        <v>6552262288</v>
      </c>
      <c r="C9842" s="1">
        <v>45023</v>
      </c>
      <c r="D9842" s="1">
        <v>45025</v>
      </c>
      <c r="E9842">
        <v>1</v>
      </c>
      <c r="F9842" t="str">
        <f>"19-K01-03"</f>
        <v>19-K01-03</v>
      </c>
      <c r="G9842">
        <v>0.56910000000000005</v>
      </c>
      <c r="H9842" t="s">
        <v>15</v>
      </c>
      <c r="I9842" t="s">
        <v>10</v>
      </c>
    </row>
    <row r="9843" spans="1:9" x14ac:dyDescent="0.25">
      <c r="A9843" t="str">
        <f t="shared" si="234"/>
        <v>89301000</v>
      </c>
      <c r="B9843" t="str">
        <f>"6552560520"</f>
        <v>6552560520</v>
      </c>
      <c r="C9843" s="1">
        <v>45135</v>
      </c>
      <c r="D9843" s="1">
        <v>45139</v>
      </c>
      <c r="E9843">
        <v>1</v>
      </c>
      <c r="F9843" t="str">
        <f>"13-C01-02"</f>
        <v>13-C01-02</v>
      </c>
      <c r="G9843">
        <v>0.25209999999999999</v>
      </c>
      <c r="H9843" t="s">
        <v>11</v>
      </c>
      <c r="I9843" t="s">
        <v>10</v>
      </c>
    </row>
    <row r="9844" spans="1:9" x14ac:dyDescent="0.25">
      <c r="A9844" t="str">
        <f t="shared" si="234"/>
        <v>89301000</v>
      </c>
      <c r="B9844" t="str">
        <f>"6552560520"</f>
        <v>6552560520</v>
      </c>
      <c r="C9844" s="1">
        <v>45091</v>
      </c>
      <c r="D9844" s="1">
        <v>45093</v>
      </c>
      <c r="E9844">
        <v>1</v>
      </c>
      <c r="F9844" t="str">
        <f>"13-K07-02"</f>
        <v>13-K07-02</v>
      </c>
      <c r="G9844">
        <v>0.43559999999999999</v>
      </c>
      <c r="H9844" t="s">
        <v>11</v>
      </c>
      <c r="I9844" t="s">
        <v>10</v>
      </c>
    </row>
    <row r="9845" spans="1:9" x14ac:dyDescent="0.25">
      <c r="A9845" t="str">
        <f t="shared" si="234"/>
        <v>89301000</v>
      </c>
      <c r="B9845" t="str">
        <f>"6552560520"</f>
        <v>6552560520</v>
      </c>
      <c r="C9845" s="1">
        <v>45077</v>
      </c>
      <c r="D9845" s="1">
        <v>45078</v>
      </c>
      <c r="E9845">
        <v>1</v>
      </c>
      <c r="F9845" t="str">
        <f>"16-K02-02"</f>
        <v>16-K02-02</v>
      </c>
      <c r="G9845">
        <v>0.76349999999999996</v>
      </c>
      <c r="H9845" t="s">
        <v>11</v>
      </c>
      <c r="I9845" t="s">
        <v>10</v>
      </c>
    </row>
    <row r="9846" spans="1:9" x14ac:dyDescent="0.25">
      <c r="A9846" t="str">
        <f t="shared" si="234"/>
        <v>89301000</v>
      </c>
      <c r="B9846" t="str">
        <f>"6552560520"</f>
        <v>6552560520</v>
      </c>
      <c r="C9846" s="1">
        <v>45042</v>
      </c>
      <c r="D9846" s="1">
        <v>45044</v>
      </c>
      <c r="E9846">
        <v>1</v>
      </c>
      <c r="F9846" t="str">
        <f>"16-K02-02"</f>
        <v>16-K02-02</v>
      </c>
      <c r="G9846">
        <v>0.76349999999999996</v>
      </c>
      <c r="H9846" t="s">
        <v>11</v>
      </c>
      <c r="I9846" t="s">
        <v>10</v>
      </c>
    </row>
    <row r="9847" spans="1:9" x14ac:dyDescent="0.25">
      <c r="A9847" t="str">
        <f t="shared" si="234"/>
        <v>89301000</v>
      </c>
      <c r="B9847" t="str">
        <f>"6552560520"</f>
        <v>6552560520</v>
      </c>
      <c r="C9847" s="1">
        <v>45177</v>
      </c>
      <c r="D9847" s="1">
        <v>45179</v>
      </c>
      <c r="E9847">
        <v>1</v>
      </c>
      <c r="F9847" t="str">
        <f>"13-K07-01"</f>
        <v>13-K07-01</v>
      </c>
      <c r="G9847">
        <v>1.0109999999999999</v>
      </c>
      <c r="H9847" t="s">
        <v>11</v>
      </c>
      <c r="I9847" t="s">
        <v>10</v>
      </c>
    </row>
    <row r="9848" spans="1:9" x14ac:dyDescent="0.25">
      <c r="A9848" t="str">
        <f t="shared" si="234"/>
        <v>89301000</v>
      </c>
      <c r="B9848" t="str">
        <f>"6553010266"</f>
        <v>6553010266</v>
      </c>
      <c r="C9848" s="1">
        <v>45070</v>
      </c>
      <c r="D9848" s="1">
        <v>45076</v>
      </c>
      <c r="E9848">
        <v>4</v>
      </c>
      <c r="F9848" t="str">
        <f>"08-I05-04"</f>
        <v>08-I05-04</v>
      </c>
      <c r="G9848">
        <v>2.4445000000000001</v>
      </c>
      <c r="H9848" t="s">
        <v>12</v>
      </c>
      <c r="I9848" t="s">
        <v>10</v>
      </c>
    </row>
    <row r="9849" spans="1:9" x14ac:dyDescent="0.25">
      <c r="A9849" t="str">
        <f t="shared" si="234"/>
        <v>89301000</v>
      </c>
      <c r="B9849" t="str">
        <f>"6553021398"</f>
        <v>6553021398</v>
      </c>
      <c r="C9849" s="1">
        <v>45262</v>
      </c>
      <c r="D9849" s="1">
        <v>45264</v>
      </c>
      <c r="E9849">
        <v>1</v>
      </c>
      <c r="F9849" t="str">
        <f>"08-I14-04"</f>
        <v>08-I14-04</v>
      </c>
      <c r="G9849">
        <v>1.0918000000000001</v>
      </c>
      <c r="H9849" t="s">
        <v>12</v>
      </c>
      <c r="I9849" t="s">
        <v>10</v>
      </c>
    </row>
    <row r="9850" spans="1:9" x14ac:dyDescent="0.25">
      <c r="A9850" t="str">
        <f t="shared" si="234"/>
        <v>89301000</v>
      </c>
      <c r="B9850" t="str">
        <f>"6553021398"</f>
        <v>6553021398</v>
      </c>
      <c r="C9850" s="1">
        <v>45069</v>
      </c>
      <c r="D9850" s="1">
        <v>45073</v>
      </c>
      <c r="E9850">
        <v>1</v>
      </c>
      <c r="F9850" t="str">
        <f>"13-K05-00"</f>
        <v>13-K05-00</v>
      </c>
      <c r="G9850">
        <v>0.67110000000000003</v>
      </c>
      <c r="H9850" t="s">
        <v>11</v>
      </c>
      <c r="I9850" t="s">
        <v>10</v>
      </c>
    </row>
    <row r="9851" spans="1:9" x14ac:dyDescent="0.25">
      <c r="A9851" t="str">
        <f t="shared" si="234"/>
        <v>89301000</v>
      </c>
      <c r="B9851" t="str">
        <f>"6553051967"</f>
        <v>6553051967</v>
      </c>
      <c r="C9851" s="1">
        <v>45140</v>
      </c>
      <c r="D9851" s="1">
        <v>45142</v>
      </c>
      <c r="E9851">
        <v>1</v>
      </c>
      <c r="F9851" t="str">
        <f>"08-I31-04"</f>
        <v>08-I31-04</v>
      </c>
      <c r="G9851">
        <v>0.49170000000000003</v>
      </c>
      <c r="H9851" t="s">
        <v>11</v>
      </c>
      <c r="I9851" t="s">
        <v>10</v>
      </c>
    </row>
    <row r="9852" spans="1:9" x14ac:dyDescent="0.25">
      <c r="A9852" t="str">
        <f t="shared" si="234"/>
        <v>89301000</v>
      </c>
      <c r="B9852" t="str">
        <f>"6553062076"</f>
        <v>6553062076</v>
      </c>
      <c r="C9852" s="1">
        <v>45270</v>
      </c>
      <c r="D9852" s="1">
        <v>45277</v>
      </c>
      <c r="E9852">
        <v>1</v>
      </c>
      <c r="F9852" t="str">
        <f>"10-I13-02"</f>
        <v>10-I13-02</v>
      </c>
      <c r="G9852">
        <v>1.1227</v>
      </c>
      <c r="H9852" t="s">
        <v>9</v>
      </c>
      <c r="I9852" t="s">
        <v>10</v>
      </c>
    </row>
    <row r="9853" spans="1:9" x14ac:dyDescent="0.25">
      <c r="A9853" t="str">
        <f t="shared" si="234"/>
        <v>89301000</v>
      </c>
      <c r="B9853" t="str">
        <f>"6553072284"</f>
        <v>6553072284</v>
      </c>
      <c r="C9853" s="1">
        <v>45146</v>
      </c>
      <c r="D9853" s="1">
        <v>45154</v>
      </c>
      <c r="E9853">
        <v>1</v>
      </c>
      <c r="F9853" t="str">
        <f>"09-K01-02"</f>
        <v>09-K01-02</v>
      </c>
      <c r="G9853">
        <v>1.0348999999999999</v>
      </c>
      <c r="H9853" t="s">
        <v>11</v>
      </c>
      <c r="I9853" t="s">
        <v>10</v>
      </c>
    </row>
    <row r="9854" spans="1:9" x14ac:dyDescent="0.25">
      <c r="A9854" t="str">
        <f t="shared" si="234"/>
        <v>89301000</v>
      </c>
      <c r="B9854" t="str">
        <f>"6553091611"</f>
        <v>6553091611</v>
      </c>
      <c r="C9854" s="1">
        <v>44977</v>
      </c>
      <c r="D9854" s="1">
        <v>44981</v>
      </c>
      <c r="E9854">
        <v>1</v>
      </c>
      <c r="F9854" t="str">
        <f>"06-I17-04"</f>
        <v>06-I17-04</v>
      </c>
      <c r="G9854">
        <v>0.49869999999999998</v>
      </c>
      <c r="H9854" t="s">
        <v>12</v>
      </c>
      <c r="I9854" t="s">
        <v>10</v>
      </c>
    </row>
    <row r="9855" spans="1:9" x14ac:dyDescent="0.25">
      <c r="A9855" t="str">
        <f t="shared" si="234"/>
        <v>89301000</v>
      </c>
      <c r="B9855" t="str">
        <f>"6553131431"</f>
        <v>6553131431</v>
      </c>
      <c r="C9855" s="1">
        <v>45117</v>
      </c>
      <c r="D9855" s="1">
        <v>45124</v>
      </c>
      <c r="E9855">
        <v>4</v>
      </c>
      <c r="F9855" t="str">
        <f>"08-I05-04"</f>
        <v>08-I05-04</v>
      </c>
      <c r="G9855">
        <v>2.4445000000000001</v>
      </c>
      <c r="H9855" t="s">
        <v>12</v>
      </c>
      <c r="I9855" t="s">
        <v>10</v>
      </c>
    </row>
    <row r="9856" spans="1:9" x14ac:dyDescent="0.25">
      <c r="A9856" t="str">
        <f t="shared" si="234"/>
        <v>89301000</v>
      </c>
      <c r="B9856" t="str">
        <f>"6553142244"</f>
        <v>6553142244</v>
      </c>
      <c r="C9856" s="1">
        <v>45062</v>
      </c>
      <c r="D9856" s="1">
        <v>45064</v>
      </c>
      <c r="E9856">
        <v>1</v>
      </c>
      <c r="F9856" t="str">
        <f>"05-M05-02"</f>
        <v>05-M05-02</v>
      </c>
      <c r="G9856">
        <v>3.4817999999999998</v>
      </c>
      <c r="H9856" t="s">
        <v>14</v>
      </c>
      <c r="I9856" t="s">
        <v>10</v>
      </c>
    </row>
    <row r="9857" spans="1:9" x14ac:dyDescent="0.25">
      <c r="A9857" t="str">
        <f t="shared" si="234"/>
        <v>89301000</v>
      </c>
      <c r="B9857" t="str">
        <f>"6553142244"</f>
        <v>6553142244</v>
      </c>
      <c r="C9857" s="1">
        <v>45033</v>
      </c>
      <c r="D9857" s="1">
        <v>45034</v>
      </c>
      <c r="E9857">
        <v>1</v>
      </c>
      <c r="F9857" t="str">
        <f>"05-M05-02"</f>
        <v>05-M05-02</v>
      </c>
      <c r="G9857">
        <v>3.4817999999999998</v>
      </c>
      <c r="H9857" t="s">
        <v>14</v>
      </c>
      <c r="I9857" t="s">
        <v>10</v>
      </c>
    </row>
    <row r="9858" spans="1:9" x14ac:dyDescent="0.25">
      <c r="A9858" t="str">
        <f t="shared" si="234"/>
        <v>89301000</v>
      </c>
      <c r="B9858" t="str">
        <f>"6553211940"</f>
        <v>6553211940</v>
      </c>
      <c r="C9858" s="1">
        <v>44972</v>
      </c>
      <c r="D9858" s="1">
        <v>44978</v>
      </c>
      <c r="E9858">
        <v>1</v>
      </c>
      <c r="F9858" t="str">
        <f>"03-I16-02"</f>
        <v>03-I16-02</v>
      </c>
      <c r="G9858">
        <v>0.92579999999999996</v>
      </c>
      <c r="H9858" t="s">
        <v>9</v>
      </c>
      <c r="I9858" t="s">
        <v>10</v>
      </c>
    </row>
    <row r="9859" spans="1:9" x14ac:dyDescent="0.25">
      <c r="A9859" t="str">
        <f t="shared" si="234"/>
        <v>89301000</v>
      </c>
      <c r="B9859" t="str">
        <f>"6553211984"</f>
        <v>6553211984</v>
      </c>
      <c r="C9859" s="1">
        <v>45236</v>
      </c>
      <c r="D9859" s="1">
        <v>45239</v>
      </c>
      <c r="E9859">
        <v>1</v>
      </c>
      <c r="F9859" t="str">
        <f>"13-I13-02"</f>
        <v>13-I13-02</v>
      </c>
      <c r="G9859">
        <v>0.94840000000000002</v>
      </c>
      <c r="H9859" t="s">
        <v>12</v>
      </c>
      <c r="I9859" t="s">
        <v>10</v>
      </c>
    </row>
    <row r="9860" spans="1:9" x14ac:dyDescent="0.25">
      <c r="A9860" t="str">
        <f t="shared" si="234"/>
        <v>89301000</v>
      </c>
      <c r="B9860" t="str">
        <f>"6553312106"</f>
        <v>6553312106</v>
      </c>
      <c r="C9860" s="1">
        <v>45048</v>
      </c>
      <c r="D9860" s="1">
        <v>45048</v>
      </c>
      <c r="E9860">
        <v>1</v>
      </c>
      <c r="F9860" t="str">
        <f>"05-D01-08"</f>
        <v>05-D01-08</v>
      </c>
      <c r="G9860">
        <v>0.2303</v>
      </c>
      <c r="H9860" t="s">
        <v>11</v>
      </c>
      <c r="I9860" t="s">
        <v>10</v>
      </c>
    </row>
    <row r="9861" spans="1:9" x14ac:dyDescent="0.25">
      <c r="A9861" t="str">
        <f t="shared" si="234"/>
        <v>89301000</v>
      </c>
      <c r="B9861" t="str">
        <f>"6554031682"</f>
        <v>6554031682</v>
      </c>
      <c r="C9861" s="1">
        <v>44970</v>
      </c>
      <c r="D9861" s="1">
        <v>44971</v>
      </c>
      <c r="E9861">
        <v>1</v>
      </c>
      <c r="F9861" t="str">
        <f>"08-I16-03"</f>
        <v>08-I16-03</v>
      </c>
      <c r="G9861">
        <v>1.3762000000000001</v>
      </c>
      <c r="H9861" t="s">
        <v>12</v>
      </c>
      <c r="I9861" t="s">
        <v>10</v>
      </c>
    </row>
    <row r="9862" spans="1:9" x14ac:dyDescent="0.25">
      <c r="A9862" t="str">
        <f t="shared" si="234"/>
        <v>89301000</v>
      </c>
      <c r="B9862" t="str">
        <f>"6554051141"</f>
        <v>6554051141</v>
      </c>
      <c r="C9862" s="1">
        <v>45274</v>
      </c>
      <c r="D9862" s="1">
        <v>45274</v>
      </c>
      <c r="E9862">
        <v>1</v>
      </c>
      <c r="F9862" t="str">
        <f>"05-M06-08"</f>
        <v>05-M06-08</v>
      </c>
      <c r="G9862">
        <v>1.1012</v>
      </c>
      <c r="H9862" t="s">
        <v>12</v>
      </c>
      <c r="I9862" t="s">
        <v>10</v>
      </c>
    </row>
    <row r="9863" spans="1:9" x14ac:dyDescent="0.25">
      <c r="A9863" t="str">
        <f t="shared" si="234"/>
        <v>89301000</v>
      </c>
      <c r="B9863" t="str">
        <f>"6554101785"</f>
        <v>6554101785</v>
      </c>
      <c r="C9863" s="1">
        <v>45251</v>
      </c>
      <c r="D9863" s="1">
        <v>45254</v>
      </c>
      <c r="E9863">
        <v>1</v>
      </c>
      <c r="F9863" t="str">
        <f>"08-K02-03"</f>
        <v>08-K02-03</v>
      </c>
      <c r="G9863">
        <v>0.6361</v>
      </c>
      <c r="H9863" t="s">
        <v>11</v>
      </c>
      <c r="I9863" t="s">
        <v>10</v>
      </c>
    </row>
    <row r="9864" spans="1:9" x14ac:dyDescent="0.25">
      <c r="A9864" t="str">
        <f t="shared" si="234"/>
        <v>89301000</v>
      </c>
      <c r="B9864" t="str">
        <f>"6554140329"</f>
        <v>6554140329</v>
      </c>
      <c r="C9864" s="1">
        <v>45257</v>
      </c>
      <c r="D9864" s="1">
        <v>45265</v>
      </c>
      <c r="E9864">
        <v>1</v>
      </c>
      <c r="F9864" t="str">
        <f>"13-K07-01"</f>
        <v>13-K07-01</v>
      </c>
      <c r="G9864">
        <v>1.0109999999999999</v>
      </c>
      <c r="H9864" t="s">
        <v>11</v>
      </c>
      <c r="I9864" t="s">
        <v>10</v>
      </c>
    </row>
    <row r="9865" spans="1:9" x14ac:dyDescent="0.25">
      <c r="A9865" t="str">
        <f t="shared" si="234"/>
        <v>89301000</v>
      </c>
      <c r="B9865" t="str">
        <f>"6554211851"</f>
        <v>6554211851</v>
      </c>
      <c r="C9865" s="1">
        <v>45197</v>
      </c>
      <c r="D9865" s="1">
        <v>45210</v>
      </c>
      <c r="E9865">
        <v>5</v>
      </c>
      <c r="F9865" t="str">
        <f>"00-M01-01"</f>
        <v>00-M01-01</v>
      </c>
      <c r="G9865">
        <v>16.065100000000001</v>
      </c>
      <c r="H9865" t="s">
        <v>11</v>
      </c>
      <c r="I9865" t="s">
        <v>10</v>
      </c>
    </row>
    <row r="9866" spans="1:9" x14ac:dyDescent="0.25">
      <c r="A9866" t="str">
        <f t="shared" si="234"/>
        <v>89301000</v>
      </c>
      <c r="B9866" t="str">
        <f>"6554231706"</f>
        <v>6554231706</v>
      </c>
      <c r="C9866" s="1">
        <v>45026</v>
      </c>
      <c r="D9866" s="1">
        <v>45028</v>
      </c>
      <c r="E9866">
        <v>1</v>
      </c>
      <c r="F9866" t="str">
        <f>"08-I10-01"</f>
        <v>08-I10-01</v>
      </c>
      <c r="G9866">
        <v>1.1880999999999999</v>
      </c>
      <c r="H9866" t="s">
        <v>12</v>
      </c>
      <c r="I9866" t="s">
        <v>10</v>
      </c>
    </row>
    <row r="9867" spans="1:9" x14ac:dyDescent="0.25">
      <c r="A9867" t="str">
        <f t="shared" si="234"/>
        <v>89301000</v>
      </c>
      <c r="B9867" t="str">
        <f>"6554241188"</f>
        <v>6554241188</v>
      </c>
      <c r="C9867" s="1">
        <v>45162</v>
      </c>
      <c r="D9867" s="1">
        <v>45167</v>
      </c>
      <c r="E9867">
        <v>1</v>
      </c>
      <c r="F9867" t="str">
        <f>"17-K03-02"</f>
        <v>17-K03-02</v>
      </c>
      <c r="G9867">
        <v>1.008</v>
      </c>
      <c r="H9867" t="s">
        <v>11</v>
      </c>
      <c r="I9867" t="s">
        <v>10</v>
      </c>
    </row>
    <row r="9868" spans="1:9" x14ac:dyDescent="0.25">
      <c r="A9868" t="str">
        <f t="shared" si="234"/>
        <v>89301000</v>
      </c>
      <c r="B9868" t="str">
        <f>"6554241188"</f>
        <v>6554241188</v>
      </c>
      <c r="C9868" s="1">
        <v>45216</v>
      </c>
      <c r="D9868" s="1">
        <v>45218</v>
      </c>
      <c r="E9868">
        <v>1</v>
      </c>
      <c r="F9868" t="str">
        <f>"03-I24-00"</f>
        <v>03-I24-00</v>
      </c>
      <c r="G9868">
        <v>0.40670000000000001</v>
      </c>
      <c r="H9868" t="s">
        <v>11</v>
      </c>
      <c r="I9868" t="s">
        <v>10</v>
      </c>
    </row>
    <row r="9869" spans="1:9" x14ac:dyDescent="0.25">
      <c r="A9869" t="str">
        <f t="shared" si="234"/>
        <v>89301000</v>
      </c>
      <c r="B9869" t="str">
        <f>"6555021374"</f>
        <v>6555021374</v>
      </c>
      <c r="C9869" s="1">
        <v>45229</v>
      </c>
      <c r="D9869" s="1">
        <v>45245</v>
      </c>
      <c r="E9869">
        <v>1</v>
      </c>
      <c r="F9869" t="str">
        <f>"09-C03-01"</f>
        <v>09-C03-01</v>
      </c>
      <c r="G9869">
        <v>0.7097</v>
      </c>
      <c r="H9869" t="s">
        <v>11</v>
      </c>
      <c r="I9869" t="s">
        <v>10</v>
      </c>
    </row>
    <row r="9870" spans="1:9" x14ac:dyDescent="0.25">
      <c r="A9870" t="str">
        <f t="shared" si="234"/>
        <v>89301000</v>
      </c>
      <c r="B9870" t="str">
        <f>"6555021374"</f>
        <v>6555021374</v>
      </c>
      <c r="C9870" s="1">
        <v>45273</v>
      </c>
      <c r="D9870" s="1">
        <v>45280</v>
      </c>
      <c r="E9870">
        <v>1</v>
      </c>
      <c r="F9870" t="str">
        <f>"09-K08-02"</f>
        <v>09-K08-02</v>
      </c>
      <c r="G9870">
        <v>0.50600000000000001</v>
      </c>
      <c r="H9870" t="s">
        <v>11</v>
      </c>
      <c r="I9870" t="s">
        <v>10</v>
      </c>
    </row>
    <row r="9871" spans="1:9" x14ac:dyDescent="0.25">
      <c r="A9871" t="str">
        <f t="shared" si="234"/>
        <v>89301000</v>
      </c>
      <c r="B9871" t="str">
        <f>"6555021374"</f>
        <v>6555021374</v>
      </c>
      <c r="C9871" s="1">
        <v>45202</v>
      </c>
      <c r="D9871" s="1">
        <v>45204</v>
      </c>
      <c r="E9871">
        <v>1</v>
      </c>
      <c r="F9871" t="str">
        <f>"17-K10-02"</f>
        <v>17-K10-02</v>
      </c>
      <c r="G9871">
        <v>0.63500000000000001</v>
      </c>
      <c r="H9871" t="s">
        <v>11</v>
      </c>
      <c r="I9871" t="s">
        <v>10</v>
      </c>
    </row>
    <row r="9872" spans="1:9" x14ac:dyDescent="0.25">
      <c r="A9872" t="str">
        <f t="shared" si="234"/>
        <v>89301000</v>
      </c>
      <c r="B9872" t="str">
        <f>"6555051074"</f>
        <v>6555051074</v>
      </c>
      <c r="C9872" s="1">
        <v>44944</v>
      </c>
      <c r="D9872" s="1">
        <v>44945</v>
      </c>
      <c r="E9872">
        <v>1</v>
      </c>
      <c r="F9872" t="str">
        <f>"13-I19-00"</f>
        <v>13-I19-00</v>
      </c>
      <c r="G9872">
        <v>0.28249999999999997</v>
      </c>
      <c r="H9872" t="s">
        <v>11</v>
      </c>
      <c r="I9872" t="s">
        <v>10</v>
      </c>
    </row>
    <row r="9873" spans="1:9" x14ac:dyDescent="0.25">
      <c r="A9873" t="str">
        <f t="shared" si="234"/>
        <v>89301000</v>
      </c>
      <c r="B9873" t="str">
        <f>"6555090421"</f>
        <v>6555090421</v>
      </c>
      <c r="C9873" s="1">
        <v>44973</v>
      </c>
      <c r="D9873" s="1">
        <v>44973</v>
      </c>
      <c r="E9873">
        <v>1</v>
      </c>
      <c r="F9873" t="str">
        <f>"05-D01-08"</f>
        <v>05-D01-08</v>
      </c>
      <c r="G9873">
        <v>0.2303</v>
      </c>
      <c r="H9873" t="s">
        <v>11</v>
      </c>
      <c r="I9873" t="s">
        <v>10</v>
      </c>
    </row>
    <row r="9874" spans="1:9" x14ac:dyDescent="0.25">
      <c r="A9874" t="str">
        <f t="shared" si="234"/>
        <v>89301000</v>
      </c>
      <c r="B9874" t="str">
        <f>"6555120561"</f>
        <v>6555120561</v>
      </c>
      <c r="C9874" s="1">
        <v>45139</v>
      </c>
      <c r="D9874" s="1">
        <v>45142</v>
      </c>
      <c r="E9874">
        <v>1</v>
      </c>
      <c r="F9874" t="str">
        <f>"01-K10-03"</f>
        <v>01-K10-03</v>
      </c>
      <c r="G9874">
        <v>1.0443</v>
      </c>
      <c r="H9874" t="s">
        <v>11</v>
      </c>
      <c r="I9874" t="s">
        <v>10</v>
      </c>
    </row>
    <row r="9875" spans="1:9" x14ac:dyDescent="0.25">
      <c r="A9875" t="str">
        <f t="shared" si="234"/>
        <v>89301000</v>
      </c>
      <c r="B9875" t="str">
        <f>"6555131132"</f>
        <v>6555131132</v>
      </c>
      <c r="C9875" s="1">
        <v>44956</v>
      </c>
      <c r="D9875" s="1">
        <v>44958</v>
      </c>
      <c r="E9875">
        <v>1</v>
      </c>
      <c r="F9875" t="str">
        <f>"08-I10-01"</f>
        <v>08-I10-01</v>
      </c>
      <c r="G9875">
        <v>1.9841</v>
      </c>
      <c r="H9875" t="s">
        <v>12</v>
      </c>
      <c r="I9875" t="s">
        <v>10</v>
      </c>
    </row>
    <row r="9876" spans="1:9" x14ac:dyDescent="0.25">
      <c r="A9876" t="str">
        <f t="shared" si="234"/>
        <v>89301000</v>
      </c>
      <c r="B9876" t="str">
        <f>"6555131495"</f>
        <v>6555131495</v>
      </c>
      <c r="C9876" s="1">
        <v>45011</v>
      </c>
      <c r="D9876" s="1">
        <v>45013</v>
      </c>
      <c r="E9876">
        <v>1</v>
      </c>
      <c r="F9876" t="str">
        <f>"08-M03-05"</f>
        <v>08-M03-05</v>
      </c>
      <c r="G9876">
        <v>0.46810000000000002</v>
      </c>
      <c r="H9876" t="s">
        <v>11</v>
      </c>
      <c r="I9876" t="s">
        <v>10</v>
      </c>
    </row>
    <row r="9877" spans="1:9" x14ac:dyDescent="0.25">
      <c r="A9877" t="str">
        <f t="shared" si="234"/>
        <v>89301000</v>
      </c>
      <c r="B9877" t="str">
        <f>"6555131506"</f>
        <v>6555131506</v>
      </c>
      <c r="C9877" s="1">
        <v>45224</v>
      </c>
      <c r="D9877" s="1">
        <v>45225</v>
      </c>
      <c r="E9877">
        <v>1</v>
      </c>
      <c r="F9877" t="str">
        <f>"02-I13-02"</f>
        <v>02-I13-02</v>
      </c>
      <c r="G9877">
        <v>0.4259</v>
      </c>
      <c r="H9877" t="s">
        <v>11</v>
      </c>
      <c r="I9877" t="s">
        <v>10</v>
      </c>
    </row>
    <row r="9878" spans="1:9" x14ac:dyDescent="0.25">
      <c r="A9878" t="str">
        <f t="shared" si="234"/>
        <v>89301000</v>
      </c>
      <c r="B9878" t="str">
        <f>"6555171007"</f>
        <v>6555171007</v>
      </c>
      <c r="C9878" s="1">
        <v>45038</v>
      </c>
      <c r="D9878" s="1">
        <v>45040</v>
      </c>
      <c r="E9878">
        <v>1</v>
      </c>
      <c r="F9878" t="str">
        <f>"09-K13-01"</f>
        <v>09-K13-01</v>
      </c>
      <c r="G9878">
        <v>0.54759999999999998</v>
      </c>
      <c r="H9878" t="s">
        <v>11</v>
      </c>
      <c r="I9878" t="s">
        <v>10</v>
      </c>
    </row>
    <row r="9879" spans="1:9" x14ac:dyDescent="0.25">
      <c r="A9879" t="str">
        <f t="shared" si="234"/>
        <v>89301000</v>
      </c>
      <c r="B9879" t="str">
        <f>"6555171777"</f>
        <v>6555171777</v>
      </c>
      <c r="C9879" s="1">
        <v>45250</v>
      </c>
      <c r="D9879" s="1">
        <v>45251</v>
      </c>
      <c r="E9879">
        <v>1</v>
      </c>
      <c r="F9879" t="str">
        <f>"03-I19-03"</f>
        <v>03-I19-03</v>
      </c>
      <c r="G9879">
        <v>0.53249999999999997</v>
      </c>
      <c r="H9879" t="s">
        <v>11</v>
      </c>
      <c r="I9879" t="s">
        <v>10</v>
      </c>
    </row>
    <row r="9880" spans="1:9" x14ac:dyDescent="0.25">
      <c r="A9880" t="str">
        <f t="shared" si="234"/>
        <v>89301000</v>
      </c>
      <c r="B9880" t="str">
        <f>"6555181006"</f>
        <v>6555181006</v>
      </c>
      <c r="C9880" s="1">
        <v>45145</v>
      </c>
      <c r="D9880" s="1">
        <v>45149</v>
      </c>
      <c r="E9880">
        <v>4</v>
      </c>
      <c r="F9880" t="str">
        <f>"24-M05-02"</f>
        <v>24-M05-02</v>
      </c>
      <c r="G9880">
        <v>0.58660000000000001</v>
      </c>
      <c r="H9880" t="s">
        <v>11</v>
      </c>
      <c r="I9880" t="s">
        <v>10</v>
      </c>
    </row>
    <row r="9881" spans="1:9" x14ac:dyDescent="0.25">
      <c r="A9881" t="str">
        <f t="shared" si="234"/>
        <v>89301000</v>
      </c>
      <c r="B9881" t="str">
        <f>"6555181006"</f>
        <v>6555181006</v>
      </c>
      <c r="C9881" s="1">
        <v>45140</v>
      </c>
      <c r="D9881" s="1">
        <v>45145</v>
      </c>
      <c r="E9881">
        <v>3</v>
      </c>
      <c r="F9881" t="str">
        <f>"08-I05-04"</f>
        <v>08-I05-04</v>
      </c>
      <c r="G9881">
        <v>2.4445000000000001</v>
      </c>
      <c r="H9881" t="s">
        <v>12</v>
      </c>
      <c r="I9881" t="s">
        <v>10</v>
      </c>
    </row>
    <row r="9882" spans="1:9" x14ac:dyDescent="0.25">
      <c r="A9882" t="str">
        <f t="shared" si="234"/>
        <v>89301000</v>
      </c>
      <c r="B9882" t="str">
        <f>"6555271239"</f>
        <v>6555271239</v>
      </c>
      <c r="C9882" s="1">
        <v>44983</v>
      </c>
      <c r="D9882" s="1">
        <v>44986</v>
      </c>
      <c r="E9882">
        <v>1</v>
      </c>
      <c r="F9882" t="str">
        <f>"08-M03-05"</f>
        <v>08-M03-05</v>
      </c>
      <c r="G9882">
        <v>0.46810000000000002</v>
      </c>
      <c r="H9882" t="s">
        <v>11</v>
      </c>
      <c r="I9882" t="s">
        <v>10</v>
      </c>
    </row>
    <row r="9883" spans="1:9" x14ac:dyDescent="0.25">
      <c r="A9883" t="str">
        <f t="shared" si="234"/>
        <v>89301000</v>
      </c>
      <c r="B9883" t="str">
        <f>"6555280963"</f>
        <v>6555280963</v>
      </c>
      <c r="C9883" s="1">
        <v>45084</v>
      </c>
      <c r="D9883" s="1">
        <v>45084</v>
      </c>
      <c r="E9883">
        <v>1</v>
      </c>
      <c r="F9883" t="str">
        <f>"05-D01-08"</f>
        <v>05-D01-08</v>
      </c>
      <c r="G9883">
        <v>0.2303</v>
      </c>
      <c r="H9883" t="s">
        <v>11</v>
      </c>
      <c r="I9883" t="s">
        <v>10</v>
      </c>
    </row>
    <row r="9884" spans="1:9" x14ac:dyDescent="0.25">
      <c r="A9884" t="str">
        <f t="shared" si="234"/>
        <v>89301000</v>
      </c>
      <c r="B9884" t="str">
        <f>"6555281172"</f>
        <v>6555281172</v>
      </c>
      <c r="C9884" s="1">
        <v>44953</v>
      </c>
      <c r="D9884" s="1">
        <v>44956</v>
      </c>
      <c r="E9884">
        <v>1</v>
      </c>
      <c r="F9884" t="str">
        <f>"10-K04-04"</f>
        <v>10-K04-04</v>
      </c>
      <c r="G9884">
        <v>0.53949999999999998</v>
      </c>
      <c r="H9884" t="s">
        <v>11</v>
      </c>
      <c r="I9884" t="s">
        <v>10</v>
      </c>
    </row>
    <row r="9885" spans="1:9" x14ac:dyDescent="0.25">
      <c r="A9885" t="str">
        <f t="shared" si="234"/>
        <v>89301000</v>
      </c>
      <c r="B9885" t="str">
        <f>"6555302259"</f>
        <v>6555302259</v>
      </c>
      <c r="C9885" s="1">
        <v>45076</v>
      </c>
      <c r="D9885" s="1">
        <v>45079</v>
      </c>
      <c r="E9885">
        <v>1</v>
      </c>
      <c r="F9885" t="str">
        <f>"10-K04-04"</f>
        <v>10-K04-04</v>
      </c>
      <c r="G9885">
        <v>0.53949999999999998</v>
      </c>
      <c r="H9885" t="s">
        <v>11</v>
      </c>
      <c r="I9885" t="s">
        <v>10</v>
      </c>
    </row>
    <row r="9886" spans="1:9" x14ac:dyDescent="0.25">
      <c r="A9886" t="str">
        <f t="shared" si="234"/>
        <v>89301000</v>
      </c>
      <c r="B9886" t="str">
        <f>"6556011748"</f>
        <v>6556011748</v>
      </c>
      <c r="C9886" s="1">
        <v>44949</v>
      </c>
      <c r="D9886" s="1">
        <v>44951</v>
      </c>
      <c r="E9886">
        <v>1</v>
      </c>
      <c r="F9886" t="str">
        <f>"08-I10-01"</f>
        <v>08-I10-01</v>
      </c>
      <c r="G9886">
        <v>1.9841</v>
      </c>
      <c r="H9886" t="s">
        <v>12</v>
      </c>
      <c r="I9886" t="s">
        <v>10</v>
      </c>
    </row>
    <row r="9887" spans="1:9" x14ac:dyDescent="0.25">
      <c r="A9887" t="str">
        <f t="shared" si="234"/>
        <v>89301000</v>
      </c>
      <c r="B9887" t="str">
        <f>"6556041041"</f>
        <v>6556041041</v>
      </c>
      <c r="C9887" s="1">
        <v>45033</v>
      </c>
      <c r="D9887" s="1">
        <v>45039</v>
      </c>
      <c r="E9887">
        <v>1</v>
      </c>
      <c r="F9887" t="str">
        <f>"11-I07-01"</f>
        <v>11-I07-01</v>
      </c>
      <c r="G9887">
        <v>2.7482000000000002</v>
      </c>
      <c r="H9887" t="s">
        <v>9</v>
      </c>
      <c r="I9887" t="s">
        <v>10</v>
      </c>
    </row>
    <row r="9888" spans="1:9" x14ac:dyDescent="0.25">
      <c r="A9888" t="str">
        <f t="shared" si="234"/>
        <v>89301000</v>
      </c>
      <c r="B9888" t="str">
        <f>"6556101167"</f>
        <v>6556101167</v>
      </c>
      <c r="C9888" s="1">
        <v>45090</v>
      </c>
      <c r="D9888" s="1">
        <v>45100</v>
      </c>
      <c r="E9888">
        <v>1</v>
      </c>
      <c r="F9888" t="str">
        <f>"06-I07-05"</f>
        <v>06-I07-05</v>
      </c>
      <c r="G9888">
        <v>2.7919999999999998</v>
      </c>
      <c r="H9888" t="s">
        <v>12</v>
      </c>
      <c r="I9888" t="s">
        <v>10</v>
      </c>
    </row>
    <row r="9889" spans="1:9" x14ac:dyDescent="0.25">
      <c r="A9889" t="str">
        <f t="shared" si="234"/>
        <v>89301000</v>
      </c>
      <c r="B9889" t="str">
        <f>"6556121462"</f>
        <v>6556121462</v>
      </c>
      <c r="C9889" s="1">
        <v>44958</v>
      </c>
      <c r="D9889" s="1">
        <v>44961</v>
      </c>
      <c r="E9889">
        <v>1</v>
      </c>
      <c r="F9889" t="str">
        <f>"13-I14-03"</f>
        <v>13-I14-03</v>
      </c>
      <c r="G9889">
        <v>0.87760000000000005</v>
      </c>
      <c r="H9889" t="s">
        <v>9</v>
      </c>
      <c r="I9889" t="s">
        <v>10</v>
      </c>
    </row>
    <row r="9890" spans="1:9" x14ac:dyDescent="0.25">
      <c r="A9890" t="str">
        <f t="shared" si="234"/>
        <v>89301000</v>
      </c>
      <c r="B9890" t="str">
        <f>"6556121506"</f>
        <v>6556121506</v>
      </c>
      <c r="C9890" s="1">
        <v>45245</v>
      </c>
      <c r="D9890" s="1">
        <v>45247</v>
      </c>
      <c r="E9890">
        <v>1</v>
      </c>
      <c r="F9890" t="str">
        <f>"17-C05-05"</f>
        <v>17-C05-05</v>
      </c>
      <c r="G9890">
        <v>0.66069999999999995</v>
      </c>
      <c r="H9890" t="s">
        <v>11</v>
      </c>
      <c r="I9890" t="s">
        <v>10</v>
      </c>
    </row>
    <row r="9891" spans="1:9" x14ac:dyDescent="0.25">
      <c r="A9891" t="str">
        <f t="shared" si="234"/>
        <v>89301000</v>
      </c>
      <c r="B9891" t="str">
        <f>"6556151558"</f>
        <v>6556151558</v>
      </c>
      <c r="C9891" s="1">
        <v>44944</v>
      </c>
      <c r="D9891" s="1">
        <v>44950</v>
      </c>
      <c r="E9891">
        <v>1</v>
      </c>
      <c r="F9891" t="str">
        <f>"09-I08-02"</f>
        <v>09-I08-02</v>
      </c>
      <c r="G9891">
        <v>1.0949</v>
      </c>
      <c r="H9891" t="s">
        <v>14</v>
      </c>
      <c r="I9891" t="s">
        <v>10</v>
      </c>
    </row>
    <row r="9892" spans="1:9" x14ac:dyDescent="0.25">
      <c r="A9892" t="str">
        <f t="shared" si="234"/>
        <v>89301000</v>
      </c>
      <c r="B9892" t="str">
        <f>"6556170478"</f>
        <v>6556170478</v>
      </c>
      <c r="C9892" s="1">
        <v>44931</v>
      </c>
      <c r="D9892" s="1">
        <v>44934</v>
      </c>
      <c r="E9892">
        <v>1</v>
      </c>
      <c r="F9892" t="str">
        <f>"08-I22-02"</f>
        <v>08-I22-02</v>
      </c>
      <c r="G9892">
        <v>1.131</v>
      </c>
      <c r="H9892" t="s">
        <v>12</v>
      </c>
      <c r="I9892" t="s">
        <v>10</v>
      </c>
    </row>
    <row r="9893" spans="1:9" x14ac:dyDescent="0.25">
      <c r="A9893" t="str">
        <f t="shared" si="234"/>
        <v>89301000</v>
      </c>
      <c r="B9893" t="str">
        <f>"6556231033"</f>
        <v>6556231033</v>
      </c>
      <c r="C9893" s="1">
        <v>45161</v>
      </c>
      <c r="D9893" s="1">
        <v>45165</v>
      </c>
      <c r="E9893">
        <v>1</v>
      </c>
      <c r="F9893" t="str">
        <f>"02-K11-01"</f>
        <v>02-K11-01</v>
      </c>
      <c r="G9893">
        <v>0.87490000000000001</v>
      </c>
      <c r="H9893" t="s">
        <v>11</v>
      </c>
      <c r="I9893" t="s">
        <v>10</v>
      </c>
    </row>
    <row r="9894" spans="1:9" x14ac:dyDescent="0.25">
      <c r="A9894" t="str">
        <f t="shared" si="234"/>
        <v>89301000</v>
      </c>
      <c r="B9894" t="str">
        <f>"6556231033"</f>
        <v>6556231033</v>
      </c>
      <c r="C9894" s="1">
        <v>45147</v>
      </c>
      <c r="D9894" s="1">
        <v>45151</v>
      </c>
      <c r="E9894">
        <v>1</v>
      </c>
      <c r="F9894" t="str">
        <f>"13-I04-01"</f>
        <v>13-I04-01</v>
      </c>
      <c r="G9894">
        <v>2.8856000000000002</v>
      </c>
      <c r="H9894" t="s">
        <v>14</v>
      </c>
      <c r="I9894" t="s">
        <v>10</v>
      </c>
    </row>
    <row r="9895" spans="1:9" x14ac:dyDescent="0.25">
      <c r="A9895" t="str">
        <f t="shared" si="234"/>
        <v>89301000</v>
      </c>
      <c r="B9895" t="str">
        <f>"6556231154"</f>
        <v>6556231154</v>
      </c>
      <c r="C9895" s="1">
        <v>45131</v>
      </c>
      <c r="D9895" s="1">
        <v>45134</v>
      </c>
      <c r="E9895">
        <v>1</v>
      </c>
      <c r="F9895" t="str">
        <f>"01-K09-02"</f>
        <v>01-K09-02</v>
      </c>
      <c r="G9895">
        <v>0.63829999999999998</v>
      </c>
      <c r="H9895" t="s">
        <v>11</v>
      </c>
      <c r="I9895" t="s">
        <v>10</v>
      </c>
    </row>
    <row r="9896" spans="1:9" x14ac:dyDescent="0.25">
      <c r="A9896" t="str">
        <f t="shared" si="234"/>
        <v>89301000</v>
      </c>
      <c r="B9896" t="str">
        <f>"6556240592"</f>
        <v>6556240592</v>
      </c>
      <c r="C9896" s="1">
        <v>45108</v>
      </c>
      <c r="D9896" s="1">
        <v>45114</v>
      </c>
      <c r="E9896">
        <v>1</v>
      </c>
      <c r="F9896" t="str">
        <f>"01-K10-03"</f>
        <v>01-K10-03</v>
      </c>
      <c r="G9896">
        <v>1.0348999999999999</v>
      </c>
      <c r="H9896" t="s">
        <v>11</v>
      </c>
      <c r="I9896" t="s">
        <v>10</v>
      </c>
    </row>
    <row r="9897" spans="1:9" x14ac:dyDescent="0.25">
      <c r="A9897" t="str">
        <f t="shared" si="234"/>
        <v>89301000</v>
      </c>
      <c r="B9897" t="str">
        <f>"6556281171"</f>
        <v>6556281171</v>
      </c>
      <c r="C9897" s="1">
        <v>45099</v>
      </c>
      <c r="D9897" s="1">
        <v>45104</v>
      </c>
      <c r="E9897">
        <v>1</v>
      </c>
      <c r="F9897" t="str">
        <f>"09-I09-02"</f>
        <v>09-I09-02</v>
      </c>
      <c r="G9897">
        <v>0.76900000000000002</v>
      </c>
      <c r="H9897" t="s">
        <v>12</v>
      </c>
      <c r="I9897" t="s">
        <v>10</v>
      </c>
    </row>
    <row r="9898" spans="1:9" x14ac:dyDescent="0.25">
      <c r="A9898" t="str">
        <f t="shared" ref="A9898:A9961" si="235">"89301000"</f>
        <v>89301000</v>
      </c>
      <c r="B9898" t="str">
        <f>"6557061962"</f>
        <v>6557061962</v>
      </c>
      <c r="C9898" s="1">
        <v>44972</v>
      </c>
      <c r="D9898" s="1">
        <v>44972</v>
      </c>
      <c r="E9898">
        <v>6</v>
      </c>
      <c r="F9898" t="str">
        <f>"05-M06-08"</f>
        <v>05-M06-08</v>
      </c>
      <c r="G9898">
        <v>1.1012</v>
      </c>
      <c r="H9898" t="s">
        <v>12</v>
      </c>
      <c r="I9898" t="s">
        <v>10</v>
      </c>
    </row>
    <row r="9899" spans="1:9" x14ac:dyDescent="0.25">
      <c r="A9899" t="str">
        <f t="shared" si="235"/>
        <v>89301000</v>
      </c>
      <c r="B9899" t="str">
        <f>"6557061962"</f>
        <v>6557061962</v>
      </c>
      <c r="C9899" s="1">
        <v>44999</v>
      </c>
      <c r="D9899" s="1">
        <v>44999</v>
      </c>
      <c r="E9899">
        <v>1</v>
      </c>
      <c r="F9899" t="str">
        <f>"05-M06-08"</f>
        <v>05-M06-08</v>
      </c>
      <c r="G9899">
        <v>1.1012</v>
      </c>
      <c r="H9899" t="s">
        <v>12</v>
      </c>
      <c r="I9899" t="s">
        <v>10</v>
      </c>
    </row>
    <row r="9900" spans="1:9" x14ac:dyDescent="0.25">
      <c r="A9900" t="str">
        <f t="shared" si="235"/>
        <v>89301000</v>
      </c>
      <c r="B9900" t="str">
        <f>"6557072005"</f>
        <v>6557072005</v>
      </c>
      <c r="C9900" s="1">
        <v>44930</v>
      </c>
      <c r="D9900" s="1">
        <v>44932</v>
      </c>
      <c r="E9900">
        <v>1</v>
      </c>
      <c r="F9900" t="str">
        <f>"08-I25-02"</f>
        <v>08-I25-02</v>
      </c>
      <c r="G9900">
        <v>0.55279999999999996</v>
      </c>
      <c r="H9900" t="s">
        <v>11</v>
      </c>
      <c r="I9900" t="s">
        <v>10</v>
      </c>
    </row>
    <row r="9901" spans="1:9" x14ac:dyDescent="0.25">
      <c r="A9901" t="str">
        <f t="shared" si="235"/>
        <v>89301000</v>
      </c>
      <c r="B9901" t="str">
        <f>"6557072214"</f>
        <v>6557072214</v>
      </c>
      <c r="C9901" s="1">
        <v>45090</v>
      </c>
      <c r="D9901" s="1">
        <v>45107</v>
      </c>
      <c r="E9901">
        <v>1</v>
      </c>
      <c r="F9901" t="str">
        <f>"24-M07-02"</f>
        <v>24-M07-02</v>
      </c>
      <c r="G9901">
        <v>1.5729</v>
      </c>
      <c r="H9901" t="s">
        <v>11</v>
      </c>
      <c r="I9901" t="s">
        <v>10</v>
      </c>
    </row>
    <row r="9902" spans="1:9" x14ac:dyDescent="0.25">
      <c r="A9902" t="str">
        <f t="shared" si="235"/>
        <v>89301000</v>
      </c>
      <c r="B9902" t="str">
        <f>"6557101265"</f>
        <v>6557101265</v>
      </c>
      <c r="C9902" s="1">
        <v>45215</v>
      </c>
      <c r="D9902" s="1">
        <v>45217</v>
      </c>
      <c r="E9902">
        <v>1</v>
      </c>
      <c r="F9902" t="str">
        <f>"09-I09-02"</f>
        <v>09-I09-02</v>
      </c>
      <c r="G9902">
        <v>0.76900000000000002</v>
      </c>
      <c r="H9902" t="s">
        <v>12</v>
      </c>
      <c r="I9902" t="s">
        <v>10</v>
      </c>
    </row>
    <row r="9903" spans="1:9" x14ac:dyDescent="0.25">
      <c r="A9903" t="str">
        <f t="shared" si="235"/>
        <v>89301000</v>
      </c>
      <c r="B9903" t="str">
        <f>"6557121538"</f>
        <v>6557121538</v>
      </c>
      <c r="C9903" s="1">
        <v>45208</v>
      </c>
      <c r="D9903" s="1">
        <v>45215</v>
      </c>
      <c r="E9903">
        <v>1</v>
      </c>
      <c r="F9903" t="str">
        <f>"06-I18-05"</f>
        <v>06-I18-05</v>
      </c>
      <c r="G9903">
        <v>0.90749999999999997</v>
      </c>
      <c r="H9903" t="s">
        <v>9</v>
      </c>
      <c r="I9903" t="s">
        <v>10</v>
      </c>
    </row>
    <row r="9904" spans="1:9" x14ac:dyDescent="0.25">
      <c r="A9904" t="str">
        <f t="shared" si="235"/>
        <v>89301000</v>
      </c>
      <c r="B9904" t="str">
        <f>"6557121769"</f>
        <v>6557121769</v>
      </c>
      <c r="C9904" s="1">
        <v>44970</v>
      </c>
      <c r="D9904" s="1">
        <v>44972</v>
      </c>
      <c r="E9904">
        <v>1</v>
      </c>
      <c r="F9904" t="str">
        <f>"01-K18-04"</f>
        <v>01-K18-04</v>
      </c>
      <c r="G9904">
        <v>0.54610000000000003</v>
      </c>
      <c r="H9904" t="s">
        <v>11</v>
      </c>
      <c r="I9904" t="s">
        <v>10</v>
      </c>
    </row>
    <row r="9905" spans="1:9" x14ac:dyDescent="0.25">
      <c r="A9905" t="str">
        <f t="shared" si="235"/>
        <v>89301000</v>
      </c>
      <c r="B9905" t="str">
        <f>"6557171423"</f>
        <v>6557171423</v>
      </c>
      <c r="C9905" s="1">
        <v>45169</v>
      </c>
      <c r="D9905" s="1">
        <v>45170</v>
      </c>
      <c r="E9905">
        <v>1</v>
      </c>
      <c r="F9905" t="str">
        <f>"02-I06-04"</f>
        <v>02-I06-04</v>
      </c>
      <c r="G9905">
        <v>0.79630000000000001</v>
      </c>
      <c r="H9905" t="s">
        <v>12</v>
      </c>
      <c r="I9905" t="s">
        <v>10</v>
      </c>
    </row>
    <row r="9906" spans="1:9" x14ac:dyDescent="0.25">
      <c r="A9906" t="str">
        <f t="shared" si="235"/>
        <v>89301000</v>
      </c>
      <c r="B9906" t="str">
        <f>"6557187065"</f>
        <v>6557187065</v>
      </c>
      <c r="C9906" s="1">
        <v>44963</v>
      </c>
      <c r="D9906" s="1">
        <v>44966</v>
      </c>
      <c r="E9906">
        <v>1</v>
      </c>
      <c r="F9906" t="str">
        <f>"11-K03-02"</f>
        <v>11-K03-02</v>
      </c>
      <c r="G9906">
        <v>0.63990000000000002</v>
      </c>
      <c r="H9906" t="s">
        <v>11</v>
      </c>
      <c r="I9906" t="s">
        <v>10</v>
      </c>
    </row>
    <row r="9907" spans="1:9" x14ac:dyDescent="0.25">
      <c r="A9907" t="str">
        <f t="shared" si="235"/>
        <v>89301000</v>
      </c>
      <c r="B9907" t="str">
        <f>"6557196921"</f>
        <v>6557196921</v>
      </c>
      <c r="C9907" s="1">
        <v>45278</v>
      </c>
      <c r="D9907" s="1">
        <v>45280</v>
      </c>
      <c r="E9907">
        <v>1</v>
      </c>
      <c r="F9907" t="str">
        <f>"03-I18-03"</f>
        <v>03-I18-03</v>
      </c>
      <c r="G9907">
        <v>0.83940000000000003</v>
      </c>
      <c r="H9907" t="s">
        <v>9</v>
      </c>
      <c r="I9907" t="s">
        <v>10</v>
      </c>
    </row>
    <row r="9908" spans="1:9" x14ac:dyDescent="0.25">
      <c r="A9908" t="str">
        <f t="shared" si="235"/>
        <v>89301000</v>
      </c>
      <c r="B9908" t="str">
        <f>"6557231175"</f>
        <v>6557231175</v>
      </c>
      <c r="C9908" s="1">
        <v>45082</v>
      </c>
      <c r="D9908" s="1">
        <v>45086</v>
      </c>
      <c r="E9908">
        <v>1</v>
      </c>
      <c r="F9908" t="str">
        <f>"09-I04-02"</f>
        <v>09-I04-02</v>
      </c>
      <c r="G9908">
        <v>1.0899000000000001</v>
      </c>
      <c r="H9908" t="s">
        <v>12</v>
      </c>
      <c r="I9908" t="s">
        <v>10</v>
      </c>
    </row>
    <row r="9909" spans="1:9" x14ac:dyDescent="0.25">
      <c r="A9909" t="str">
        <f t="shared" si="235"/>
        <v>89301000</v>
      </c>
      <c r="B9909" t="str">
        <f>"6557251415"</f>
        <v>6557251415</v>
      </c>
      <c r="C9909" s="1">
        <v>44930</v>
      </c>
      <c r="D9909" s="1">
        <v>44935</v>
      </c>
      <c r="E9909">
        <v>1</v>
      </c>
      <c r="F9909" t="str">
        <f>"23-K05-01"</f>
        <v>23-K05-01</v>
      </c>
      <c r="G9909">
        <v>0.48070000000000002</v>
      </c>
      <c r="H9909" t="s">
        <v>11</v>
      </c>
      <c r="I9909" t="s">
        <v>10</v>
      </c>
    </row>
    <row r="9910" spans="1:9" x14ac:dyDescent="0.25">
      <c r="A9910" t="str">
        <f t="shared" si="235"/>
        <v>89301000</v>
      </c>
      <c r="B9910" t="str">
        <f>"6557290575"</f>
        <v>6557290575</v>
      </c>
      <c r="C9910" s="1">
        <v>44932</v>
      </c>
      <c r="D9910" s="1">
        <v>44940</v>
      </c>
      <c r="E9910">
        <v>1</v>
      </c>
      <c r="F9910" t="str">
        <f>"06-K14-01"</f>
        <v>06-K14-01</v>
      </c>
      <c r="G9910">
        <v>1.2667999999999999</v>
      </c>
      <c r="H9910" t="s">
        <v>11</v>
      </c>
      <c r="I9910" t="s">
        <v>10</v>
      </c>
    </row>
    <row r="9911" spans="1:9" x14ac:dyDescent="0.25">
      <c r="A9911" t="str">
        <f t="shared" si="235"/>
        <v>89301000</v>
      </c>
      <c r="B9911" t="str">
        <f>"6557311453"</f>
        <v>6557311453</v>
      </c>
      <c r="C9911" s="1">
        <v>45198</v>
      </c>
      <c r="D9911" s="1">
        <v>45202</v>
      </c>
      <c r="E9911">
        <v>1</v>
      </c>
      <c r="F9911" t="str">
        <f>"01-K10-02"</f>
        <v>01-K10-02</v>
      </c>
      <c r="G9911">
        <v>1.6027</v>
      </c>
      <c r="H9911" t="s">
        <v>11</v>
      </c>
      <c r="I9911" t="s">
        <v>10</v>
      </c>
    </row>
    <row r="9912" spans="1:9" x14ac:dyDescent="0.25">
      <c r="A9912" t="str">
        <f t="shared" si="235"/>
        <v>89301000</v>
      </c>
      <c r="B9912" t="str">
        <f>"6557311728"</f>
        <v>6557311728</v>
      </c>
      <c r="C9912" s="1">
        <v>44985</v>
      </c>
      <c r="D9912" s="1">
        <v>44988</v>
      </c>
      <c r="E9912">
        <v>1</v>
      </c>
      <c r="F9912" t="str">
        <f>"08-K01-02"</f>
        <v>08-K01-02</v>
      </c>
      <c r="G9912">
        <v>0.90180000000000005</v>
      </c>
      <c r="H9912" t="s">
        <v>11</v>
      </c>
      <c r="I9912" t="s">
        <v>10</v>
      </c>
    </row>
    <row r="9913" spans="1:9" x14ac:dyDescent="0.25">
      <c r="A9913" t="str">
        <f t="shared" si="235"/>
        <v>89301000</v>
      </c>
      <c r="B9913" t="str">
        <f>"6558021690"</f>
        <v>6558021690</v>
      </c>
      <c r="C9913" s="1">
        <v>44929</v>
      </c>
      <c r="D9913" s="1">
        <v>44934</v>
      </c>
      <c r="E9913">
        <v>7</v>
      </c>
      <c r="F9913" t="str">
        <f>"09-K07-01"</f>
        <v>09-K07-01</v>
      </c>
      <c r="G9913">
        <v>1.3172999999999999</v>
      </c>
      <c r="H9913" t="s">
        <v>11</v>
      </c>
      <c r="I9913" t="s">
        <v>10</v>
      </c>
    </row>
    <row r="9914" spans="1:9" x14ac:dyDescent="0.25">
      <c r="A9914" t="str">
        <f t="shared" si="235"/>
        <v>89301000</v>
      </c>
      <c r="B9914" t="str">
        <f>"6558071982"</f>
        <v>6558071982</v>
      </c>
      <c r="C9914" s="1">
        <v>45237</v>
      </c>
      <c r="D9914" s="1">
        <v>45238</v>
      </c>
      <c r="E9914">
        <v>1</v>
      </c>
      <c r="F9914" t="str">
        <f>"08-K05-00"</f>
        <v>08-K05-00</v>
      </c>
      <c r="G9914">
        <v>0.55520000000000003</v>
      </c>
      <c r="H9914" t="s">
        <v>11</v>
      </c>
      <c r="I9914" t="s">
        <v>10</v>
      </c>
    </row>
    <row r="9915" spans="1:9" x14ac:dyDescent="0.25">
      <c r="A9915" t="str">
        <f t="shared" si="235"/>
        <v>89301000</v>
      </c>
      <c r="B9915" t="str">
        <f>"6558151567"</f>
        <v>6558151567</v>
      </c>
      <c r="C9915" s="1">
        <v>45278</v>
      </c>
      <c r="D9915" s="1">
        <v>45280</v>
      </c>
      <c r="E9915">
        <v>1</v>
      </c>
      <c r="F9915" t="str">
        <f>"08-K08-00"</f>
        <v>08-K08-00</v>
      </c>
      <c r="G9915">
        <v>0.5272</v>
      </c>
      <c r="H9915" t="s">
        <v>11</v>
      </c>
      <c r="I9915" t="s">
        <v>10</v>
      </c>
    </row>
    <row r="9916" spans="1:9" x14ac:dyDescent="0.25">
      <c r="A9916" t="str">
        <f t="shared" si="235"/>
        <v>89301000</v>
      </c>
      <c r="B9916" t="str">
        <f>"6558201804"</f>
        <v>6558201804</v>
      </c>
      <c r="C9916" s="1">
        <v>44936</v>
      </c>
      <c r="D9916" s="1">
        <v>44939</v>
      </c>
      <c r="E9916">
        <v>1</v>
      </c>
      <c r="F9916" t="str">
        <f>"08-I25-02"</f>
        <v>08-I25-02</v>
      </c>
      <c r="G9916">
        <v>0.55279999999999996</v>
      </c>
      <c r="H9916" t="s">
        <v>11</v>
      </c>
      <c r="I9916" t="s">
        <v>10</v>
      </c>
    </row>
    <row r="9917" spans="1:9" x14ac:dyDescent="0.25">
      <c r="A9917" t="str">
        <f t="shared" si="235"/>
        <v>89301000</v>
      </c>
      <c r="B9917" t="str">
        <f>"6558221219"</f>
        <v>6558221219</v>
      </c>
      <c r="C9917" s="1">
        <v>45068</v>
      </c>
      <c r="D9917" s="1">
        <v>45075</v>
      </c>
      <c r="E9917">
        <v>4</v>
      </c>
      <c r="F9917" t="str">
        <f>"08-I06-04"</f>
        <v>08-I06-04</v>
      </c>
      <c r="G9917">
        <v>2.3641999999999999</v>
      </c>
      <c r="H9917" t="s">
        <v>9</v>
      </c>
      <c r="I9917" t="s">
        <v>10</v>
      </c>
    </row>
    <row r="9918" spans="1:9" x14ac:dyDescent="0.25">
      <c r="A9918" t="str">
        <f t="shared" si="235"/>
        <v>89301000</v>
      </c>
      <c r="B9918" t="str">
        <f>"6558301332"</f>
        <v>6558301332</v>
      </c>
      <c r="C9918" s="1">
        <v>45087</v>
      </c>
      <c r="D9918" s="1">
        <v>45093</v>
      </c>
      <c r="E9918">
        <v>1</v>
      </c>
      <c r="F9918" t="str">
        <f>"06-I17-04"</f>
        <v>06-I17-04</v>
      </c>
      <c r="G9918">
        <v>0.57340000000000002</v>
      </c>
      <c r="H9918" t="s">
        <v>12</v>
      </c>
      <c r="I9918" t="s">
        <v>10</v>
      </c>
    </row>
    <row r="9919" spans="1:9" x14ac:dyDescent="0.25">
      <c r="A9919" t="str">
        <f t="shared" si="235"/>
        <v>89301000</v>
      </c>
      <c r="B9919" t="str">
        <f>"6558310781"</f>
        <v>6558310781</v>
      </c>
      <c r="C9919" s="1">
        <v>45184</v>
      </c>
      <c r="D9919" s="1">
        <v>45198</v>
      </c>
      <c r="E9919">
        <v>3</v>
      </c>
      <c r="F9919" t="str">
        <f>"01-M02-00"</f>
        <v>01-M02-00</v>
      </c>
      <c r="G9919">
        <v>5.3973000000000004</v>
      </c>
      <c r="H9919" t="s">
        <v>12</v>
      </c>
      <c r="I9919" t="s">
        <v>10</v>
      </c>
    </row>
    <row r="9920" spans="1:9" x14ac:dyDescent="0.25">
      <c r="A9920" t="str">
        <f t="shared" si="235"/>
        <v>89301000</v>
      </c>
      <c r="B9920" t="str">
        <f>"6558310781"</f>
        <v>6558310781</v>
      </c>
      <c r="C9920" s="1">
        <v>45198</v>
      </c>
      <c r="D9920" s="1">
        <v>45201</v>
      </c>
      <c r="E9920">
        <v>1</v>
      </c>
      <c r="F9920" t="str">
        <f>"24-M04-00"</f>
        <v>24-M04-00</v>
      </c>
      <c r="G9920">
        <v>0.34399999999999997</v>
      </c>
      <c r="H9920" t="s">
        <v>11</v>
      </c>
      <c r="I9920" t="s">
        <v>10</v>
      </c>
    </row>
    <row r="9921" spans="1:9" x14ac:dyDescent="0.25">
      <c r="A9921" t="str">
        <f t="shared" si="235"/>
        <v>89301000</v>
      </c>
      <c r="B9921" t="str">
        <f>"6559140709"</f>
        <v>6559140709</v>
      </c>
      <c r="C9921" s="1">
        <v>44956</v>
      </c>
      <c r="D9921" s="1">
        <v>44958</v>
      </c>
      <c r="E9921">
        <v>1</v>
      </c>
      <c r="F9921" t="str">
        <f>"09-I04-02"</f>
        <v>09-I04-02</v>
      </c>
      <c r="G9921">
        <v>1.0899000000000001</v>
      </c>
      <c r="H9921" t="s">
        <v>12</v>
      </c>
      <c r="I9921" t="s">
        <v>10</v>
      </c>
    </row>
    <row r="9922" spans="1:9" x14ac:dyDescent="0.25">
      <c r="A9922" t="str">
        <f t="shared" si="235"/>
        <v>89301000</v>
      </c>
      <c r="B9922" t="str">
        <f>"6559151258"</f>
        <v>6559151258</v>
      </c>
      <c r="C9922" s="1">
        <v>45131</v>
      </c>
      <c r="D9922" s="1">
        <v>45138</v>
      </c>
      <c r="E9922">
        <v>1</v>
      </c>
      <c r="F9922" t="str">
        <f>"10-R02-01"</f>
        <v>10-R02-01</v>
      </c>
      <c r="G9922">
        <v>0.92279999999999995</v>
      </c>
      <c r="H9922" t="s">
        <v>9</v>
      </c>
      <c r="I9922" t="s">
        <v>10</v>
      </c>
    </row>
    <row r="9923" spans="1:9" x14ac:dyDescent="0.25">
      <c r="A9923" t="str">
        <f t="shared" si="235"/>
        <v>89301000</v>
      </c>
      <c r="B9923" t="str">
        <f>"6559231393"</f>
        <v>6559231393</v>
      </c>
      <c r="C9923" s="1">
        <v>45051</v>
      </c>
      <c r="D9923" s="1">
        <v>45062</v>
      </c>
      <c r="E9923">
        <v>4</v>
      </c>
      <c r="F9923" t="str">
        <f>"24-M06-02"</f>
        <v>24-M06-02</v>
      </c>
      <c r="G9923">
        <v>1.0699000000000001</v>
      </c>
      <c r="H9923" t="s">
        <v>11</v>
      </c>
      <c r="I9923" t="s">
        <v>10</v>
      </c>
    </row>
    <row r="9924" spans="1:9" x14ac:dyDescent="0.25">
      <c r="A9924" t="str">
        <f t="shared" si="235"/>
        <v>89301000</v>
      </c>
      <c r="B9924" t="str">
        <f>"6559231393"</f>
        <v>6559231393</v>
      </c>
      <c r="C9924" s="1">
        <v>45041</v>
      </c>
      <c r="D9924" s="1">
        <v>45051</v>
      </c>
      <c r="E9924">
        <v>3</v>
      </c>
      <c r="F9924" t="str">
        <f>"08-I05-05"</f>
        <v>08-I05-05</v>
      </c>
      <c r="G9924">
        <v>2.2633000000000001</v>
      </c>
      <c r="H9924" t="s">
        <v>12</v>
      </c>
      <c r="I9924" t="s">
        <v>10</v>
      </c>
    </row>
    <row r="9925" spans="1:9" x14ac:dyDescent="0.25">
      <c r="A9925" t="str">
        <f t="shared" si="235"/>
        <v>89301000</v>
      </c>
      <c r="B9925" t="str">
        <f>"6559241810"</f>
        <v>6559241810</v>
      </c>
      <c r="C9925" s="1">
        <v>45105</v>
      </c>
      <c r="D9925" s="1">
        <v>45108</v>
      </c>
      <c r="E9925">
        <v>1</v>
      </c>
      <c r="F9925" t="str">
        <f>"08-I17-02"</f>
        <v>08-I17-02</v>
      </c>
      <c r="G9925">
        <v>0.89680000000000004</v>
      </c>
      <c r="H9925" t="s">
        <v>11</v>
      </c>
      <c r="I9925" t="s">
        <v>10</v>
      </c>
    </row>
    <row r="9926" spans="1:9" x14ac:dyDescent="0.25">
      <c r="A9926" t="str">
        <f t="shared" si="235"/>
        <v>89301000</v>
      </c>
      <c r="B9926" t="str">
        <f>"6559290562"</f>
        <v>6559290562</v>
      </c>
      <c r="C9926" s="1">
        <v>44938</v>
      </c>
      <c r="D9926" s="1">
        <v>44940</v>
      </c>
      <c r="E9926">
        <v>1</v>
      </c>
      <c r="F9926" t="str">
        <f>"05-I30-01"</f>
        <v>05-I30-01</v>
      </c>
      <c r="G9926">
        <v>0.60309999999999997</v>
      </c>
      <c r="H9926" t="s">
        <v>12</v>
      </c>
      <c r="I9926" t="s">
        <v>10</v>
      </c>
    </row>
    <row r="9927" spans="1:9" x14ac:dyDescent="0.25">
      <c r="A9927" t="str">
        <f t="shared" si="235"/>
        <v>89301000</v>
      </c>
      <c r="B9927" t="str">
        <f>"6560010666"</f>
        <v>6560010666</v>
      </c>
      <c r="C9927" s="1">
        <v>45215</v>
      </c>
      <c r="D9927" s="1">
        <v>45216</v>
      </c>
      <c r="E9927">
        <v>1</v>
      </c>
      <c r="F9927" t="str">
        <f>"01-D01-03"</f>
        <v>01-D01-03</v>
      </c>
      <c r="G9927">
        <v>0.16200000000000001</v>
      </c>
      <c r="H9927" t="s">
        <v>11</v>
      </c>
      <c r="I9927" t="s">
        <v>10</v>
      </c>
    </row>
    <row r="9928" spans="1:9" x14ac:dyDescent="0.25">
      <c r="A9928" t="str">
        <f t="shared" si="235"/>
        <v>89301000</v>
      </c>
      <c r="B9928" t="str">
        <f>"6560041499"</f>
        <v>6560041499</v>
      </c>
      <c r="C9928" s="1">
        <v>44943</v>
      </c>
      <c r="D9928" s="1">
        <v>44945</v>
      </c>
      <c r="E9928">
        <v>1</v>
      </c>
      <c r="F9928" t="str">
        <f>"11-M05-02"</f>
        <v>11-M05-02</v>
      </c>
      <c r="G9928">
        <v>0.6694</v>
      </c>
      <c r="H9928" t="s">
        <v>12</v>
      </c>
      <c r="I9928" t="s">
        <v>10</v>
      </c>
    </row>
    <row r="9929" spans="1:9" x14ac:dyDescent="0.25">
      <c r="A9929" t="str">
        <f t="shared" si="235"/>
        <v>89301000</v>
      </c>
      <c r="B9929" t="str">
        <f>"6560101317"</f>
        <v>6560101317</v>
      </c>
      <c r="C9929" s="1">
        <v>45245</v>
      </c>
      <c r="D9929" s="1">
        <v>45247</v>
      </c>
      <c r="E9929">
        <v>1</v>
      </c>
      <c r="F9929" t="str">
        <f>"17-C06-02"</f>
        <v>17-C06-02</v>
      </c>
      <c r="G9929">
        <v>0.85880000000000001</v>
      </c>
      <c r="H9929" t="s">
        <v>11</v>
      </c>
      <c r="I9929" t="s">
        <v>10</v>
      </c>
    </row>
    <row r="9930" spans="1:9" x14ac:dyDescent="0.25">
      <c r="A9930" t="str">
        <f t="shared" si="235"/>
        <v>89301000</v>
      </c>
      <c r="B9930" t="str">
        <f>"6560101317"</f>
        <v>6560101317</v>
      </c>
      <c r="C9930" s="1">
        <v>45267</v>
      </c>
      <c r="D9930" s="1">
        <v>45268</v>
      </c>
      <c r="E9930">
        <v>1</v>
      </c>
      <c r="F9930" t="str">
        <f>"17-C06-03"</f>
        <v>17-C06-03</v>
      </c>
      <c r="G9930">
        <v>0.37809999999999999</v>
      </c>
      <c r="H9930" t="s">
        <v>11</v>
      </c>
      <c r="I9930" t="s">
        <v>10</v>
      </c>
    </row>
    <row r="9931" spans="1:9" x14ac:dyDescent="0.25">
      <c r="A9931" t="str">
        <f t="shared" si="235"/>
        <v>89301000</v>
      </c>
      <c r="B9931" t="str">
        <f>"6560101317"</f>
        <v>6560101317</v>
      </c>
      <c r="C9931" s="1">
        <v>45198</v>
      </c>
      <c r="D9931" s="1">
        <v>45199</v>
      </c>
      <c r="E9931">
        <v>1</v>
      </c>
      <c r="F9931" t="str">
        <f>"17-C06-03"</f>
        <v>17-C06-03</v>
      </c>
      <c r="G9931">
        <v>0.37809999999999999</v>
      </c>
      <c r="H9931" t="s">
        <v>11</v>
      </c>
      <c r="I9931" t="s">
        <v>10</v>
      </c>
    </row>
    <row r="9932" spans="1:9" x14ac:dyDescent="0.25">
      <c r="A9932" t="str">
        <f t="shared" si="235"/>
        <v>89301000</v>
      </c>
      <c r="B9932" t="str">
        <f>"6560101317"</f>
        <v>6560101317</v>
      </c>
      <c r="C9932" s="1">
        <v>45219</v>
      </c>
      <c r="D9932" s="1">
        <v>45220</v>
      </c>
      <c r="E9932">
        <v>1</v>
      </c>
      <c r="F9932" t="str">
        <f>"17-C06-03"</f>
        <v>17-C06-03</v>
      </c>
      <c r="G9932">
        <v>0.37809999999999999</v>
      </c>
      <c r="H9932" t="s">
        <v>11</v>
      </c>
      <c r="I9932" t="s">
        <v>10</v>
      </c>
    </row>
    <row r="9933" spans="1:9" x14ac:dyDescent="0.25">
      <c r="A9933" t="str">
        <f t="shared" si="235"/>
        <v>89301000</v>
      </c>
      <c r="B9933" t="str">
        <f>"6560101317"</f>
        <v>6560101317</v>
      </c>
      <c r="C9933" s="1">
        <v>45176</v>
      </c>
      <c r="D9933" s="1">
        <v>45177</v>
      </c>
      <c r="E9933">
        <v>1</v>
      </c>
      <c r="F9933" t="str">
        <f>"17-C06-03"</f>
        <v>17-C06-03</v>
      </c>
      <c r="G9933">
        <v>0.37809999999999999</v>
      </c>
      <c r="H9933" t="s">
        <v>11</v>
      </c>
      <c r="I9933" t="s">
        <v>10</v>
      </c>
    </row>
    <row r="9934" spans="1:9" x14ac:dyDescent="0.25">
      <c r="A9934" t="str">
        <f t="shared" si="235"/>
        <v>89301000</v>
      </c>
      <c r="B9934" t="str">
        <f>"6560120281"</f>
        <v>6560120281</v>
      </c>
      <c r="C9934" s="1">
        <v>45225</v>
      </c>
      <c r="D9934" s="1">
        <v>45230</v>
      </c>
      <c r="E9934">
        <v>3</v>
      </c>
      <c r="F9934" t="str">
        <f>"08-I06-05"</f>
        <v>08-I06-05</v>
      </c>
      <c r="G9934">
        <v>2.1507000000000001</v>
      </c>
      <c r="H9934" t="s">
        <v>9</v>
      </c>
      <c r="I9934" t="s">
        <v>10</v>
      </c>
    </row>
    <row r="9935" spans="1:9" x14ac:dyDescent="0.25">
      <c r="A9935" t="str">
        <f t="shared" si="235"/>
        <v>89301000</v>
      </c>
      <c r="B9935" t="str">
        <f>"6560120281"</f>
        <v>6560120281</v>
      </c>
      <c r="C9935" s="1">
        <v>45230</v>
      </c>
      <c r="D9935" s="1">
        <v>45240</v>
      </c>
      <c r="E9935">
        <v>1</v>
      </c>
      <c r="F9935" t="str">
        <f>"24-M06-02"</f>
        <v>24-M06-02</v>
      </c>
      <c r="G9935">
        <v>1.0699000000000001</v>
      </c>
      <c r="H9935" t="s">
        <v>11</v>
      </c>
      <c r="I9935" t="s">
        <v>10</v>
      </c>
    </row>
    <row r="9936" spans="1:9" x14ac:dyDescent="0.25">
      <c r="A9936" t="str">
        <f t="shared" si="235"/>
        <v>89301000</v>
      </c>
      <c r="B9936" t="str">
        <f>"6560131248"</f>
        <v>6560131248</v>
      </c>
      <c r="C9936" s="1">
        <v>45224</v>
      </c>
      <c r="D9936" s="1">
        <v>45234</v>
      </c>
      <c r="E9936">
        <v>1</v>
      </c>
      <c r="F9936" t="str">
        <f>"24-M06-02"</f>
        <v>24-M06-02</v>
      </c>
      <c r="G9936">
        <v>1.0699000000000001</v>
      </c>
      <c r="H9936" t="s">
        <v>11</v>
      </c>
      <c r="I9936" t="s">
        <v>10</v>
      </c>
    </row>
    <row r="9937" spans="1:9" x14ac:dyDescent="0.25">
      <c r="A9937" t="str">
        <f t="shared" si="235"/>
        <v>89301000</v>
      </c>
      <c r="B9937" t="str">
        <f>"6560131248"</f>
        <v>6560131248</v>
      </c>
      <c r="C9937" s="1">
        <v>45218</v>
      </c>
      <c r="D9937" s="1">
        <v>45224</v>
      </c>
      <c r="E9937">
        <v>3</v>
      </c>
      <c r="F9937" t="str">
        <f>"08-I05-04"</f>
        <v>08-I05-04</v>
      </c>
      <c r="G9937">
        <v>2.4445000000000001</v>
      </c>
      <c r="H9937" t="s">
        <v>12</v>
      </c>
      <c r="I9937" t="s">
        <v>10</v>
      </c>
    </row>
    <row r="9938" spans="1:9" x14ac:dyDescent="0.25">
      <c r="A9938" t="str">
        <f t="shared" si="235"/>
        <v>89301000</v>
      </c>
      <c r="B9938" t="str">
        <f>"6560176854"</f>
        <v>6560176854</v>
      </c>
      <c r="C9938" s="1">
        <v>45207</v>
      </c>
      <c r="D9938" s="1">
        <v>45215</v>
      </c>
      <c r="E9938">
        <v>1</v>
      </c>
      <c r="F9938" t="str">
        <f>"04-I05-03"</f>
        <v>04-I05-03</v>
      </c>
      <c r="G9938">
        <v>2.1093999999999999</v>
      </c>
      <c r="H9938" t="s">
        <v>14</v>
      </c>
      <c r="I9938" t="s">
        <v>10</v>
      </c>
    </row>
    <row r="9939" spans="1:9" x14ac:dyDescent="0.25">
      <c r="A9939" t="str">
        <f t="shared" si="235"/>
        <v>89301000</v>
      </c>
      <c r="B9939" t="str">
        <f>"6560181441"</f>
        <v>6560181441</v>
      </c>
      <c r="C9939" s="1">
        <v>44949</v>
      </c>
      <c r="D9939" s="1">
        <v>44951</v>
      </c>
      <c r="E9939">
        <v>1</v>
      </c>
      <c r="F9939" t="str">
        <f>"11-I14-02"</f>
        <v>11-I14-02</v>
      </c>
      <c r="G9939">
        <v>0.61839999999999995</v>
      </c>
      <c r="H9939" t="s">
        <v>9</v>
      </c>
      <c r="I9939" t="s">
        <v>10</v>
      </c>
    </row>
    <row r="9940" spans="1:9" x14ac:dyDescent="0.25">
      <c r="A9940" t="str">
        <f t="shared" si="235"/>
        <v>89301000</v>
      </c>
      <c r="B9940" t="str">
        <f>"6560260564"</f>
        <v>6560260564</v>
      </c>
      <c r="C9940" s="1">
        <v>45019</v>
      </c>
      <c r="D9940" s="1">
        <v>45021</v>
      </c>
      <c r="E9940">
        <v>1</v>
      </c>
      <c r="F9940" t="str">
        <f>"09-I06-04"</f>
        <v>09-I06-04</v>
      </c>
      <c r="G9940">
        <v>0.98899999999999999</v>
      </c>
      <c r="H9940" t="s">
        <v>12</v>
      </c>
      <c r="I9940" t="s">
        <v>10</v>
      </c>
    </row>
    <row r="9941" spans="1:9" x14ac:dyDescent="0.25">
      <c r="A9941" t="str">
        <f t="shared" si="235"/>
        <v>89301000</v>
      </c>
      <c r="B9941" t="str">
        <f>"6560281508"</f>
        <v>6560281508</v>
      </c>
      <c r="C9941" s="1">
        <v>45081</v>
      </c>
      <c r="D9941" s="1">
        <v>45082</v>
      </c>
      <c r="E9941">
        <v>1</v>
      </c>
      <c r="F9941" t="str">
        <f>"10-K04-04"</f>
        <v>10-K04-04</v>
      </c>
      <c r="G9941">
        <v>0.53949999999999998</v>
      </c>
      <c r="H9941" t="s">
        <v>11</v>
      </c>
      <c r="I9941" t="s">
        <v>10</v>
      </c>
    </row>
    <row r="9942" spans="1:9" x14ac:dyDescent="0.25">
      <c r="A9942" t="str">
        <f t="shared" si="235"/>
        <v>89301000</v>
      </c>
      <c r="B9942" t="str">
        <f>"6561051288"</f>
        <v>6561051288</v>
      </c>
      <c r="C9942" s="1">
        <v>44973</v>
      </c>
      <c r="D9942" s="1">
        <v>44975</v>
      </c>
      <c r="E9942">
        <v>1</v>
      </c>
      <c r="F9942" t="str">
        <f>"08-I32-00"</f>
        <v>08-I32-00</v>
      </c>
      <c r="G9942">
        <v>0.40870000000000001</v>
      </c>
      <c r="H9942" t="s">
        <v>11</v>
      </c>
      <c r="I9942" t="s">
        <v>10</v>
      </c>
    </row>
    <row r="9943" spans="1:9" x14ac:dyDescent="0.25">
      <c r="A9943" t="str">
        <f t="shared" si="235"/>
        <v>89301000</v>
      </c>
      <c r="B9943" t="str">
        <f>"6561051420"</f>
        <v>6561051420</v>
      </c>
      <c r="C9943" s="1">
        <v>45271</v>
      </c>
      <c r="D9943" s="1">
        <v>45275</v>
      </c>
      <c r="E9943">
        <v>1</v>
      </c>
      <c r="F9943" t="str">
        <f>"01-K10-03"</f>
        <v>01-K10-03</v>
      </c>
      <c r="G9943">
        <v>1.0348999999999999</v>
      </c>
      <c r="H9943" t="s">
        <v>11</v>
      </c>
      <c r="I9943" t="s">
        <v>10</v>
      </c>
    </row>
    <row r="9944" spans="1:9" x14ac:dyDescent="0.25">
      <c r="A9944" t="str">
        <f t="shared" si="235"/>
        <v>89301000</v>
      </c>
      <c r="B9944" t="str">
        <f>"6561101459"</f>
        <v>6561101459</v>
      </c>
      <c r="C9944" s="1">
        <v>45142</v>
      </c>
      <c r="D9944" s="1">
        <v>45149</v>
      </c>
      <c r="E9944">
        <v>1</v>
      </c>
      <c r="F9944" t="str">
        <f>"08-K01-03"</f>
        <v>08-K01-03</v>
      </c>
      <c r="G9944">
        <v>0.59189999999999998</v>
      </c>
      <c r="H9944" t="s">
        <v>11</v>
      </c>
      <c r="I9944" t="s">
        <v>10</v>
      </c>
    </row>
    <row r="9945" spans="1:9" x14ac:dyDescent="0.25">
      <c r="A9945" t="str">
        <f t="shared" si="235"/>
        <v>89301000</v>
      </c>
      <c r="B9945" t="str">
        <f>"6561101459"</f>
        <v>6561101459</v>
      </c>
      <c r="C9945" s="1">
        <v>45175</v>
      </c>
      <c r="D9945" s="1">
        <v>45181</v>
      </c>
      <c r="E9945">
        <v>1</v>
      </c>
      <c r="F9945" t="str">
        <f>"08-K01-03"</f>
        <v>08-K01-03</v>
      </c>
      <c r="G9945">
        <v>0.59570000000000001</v>
      </c>
      <c r="H9945" t="s">
        <v>11</v>
      </c>
      <c r="I9945" t="s">
        <v>10</v>
      </c>
    </row>
    <row r="9946" spans="1:9" x14ac:dyDescent="0.25">
      <c r="A9946" t="str">
        <f t="shared" si="235"/>
        <v>89301000</v>
      </c>
      <c r="B9946" t="str">
        <f>"6561120247"</f>
        <v>6561120247</v>
      </c>
      <c r="C9946" s="1">
        <v>44953</v>
      </c>
      <c r="D9946" s="1">
        <v>44967</v>
      </c>
      <c r="E9946">
        <v>1</v>
      </c>
      <c r="F9946" t="str">
        <f>"07-K07-02"</f>
        <v>07-K07-02</v>
      </c>
      <c r="G9946">
        <v>0.70489999999999997</v>
      </c>
      <c r="H9946" t="s">
        <v>11</v>
      </c>
      <c r="I9946" t="s">
        <v>10</v>
      </c>
    </row>
    <row r="9947" spans="1:9" x14ac:dyDescent="0.25">
      <c r="A9947" t="str">
        <f t="shared" si="235"/>
        <v>89301000</v>
      </c>
      <c r="B9947" t="str">
        <f>"6561120247"</f>
        <v>6561120247</v>
      </c>
      <c r="C9947" s="1">
        <v>45097</v>
      </c>
      <c r="D9947" s="1">
        <v>45110</v>
      </c>
      <c r="E9947">
        <v>1</v>
      </c>
      <c r="F9947" t="str">
        <f>"07-K07-01"</f>
        <v>07-K07-01</v>
      </c>
      <c r="G9947">
        <v>1.0678000000000001</v>
      </c>
      <c r="H9947" t="s">
        <v>11</v>
      </c>
      <c r="I9947" t="s">
        <v>10</v>
      </c>
    </row>
    <row r="9948" spans="1:9" x14ac:dyDescent="0.25">
      <c r="A9948" t="str">
        <f t="shared" si="235"/>
        <v>89301000</v>
      </c>
      <c r="B9948" t="str">
        <f>"6561120247"</f>
        <v>6561120247</v>
      </c>
      <c r="C9948" s="1">
        <v>45008</v>
      </c>
      <c r="D9948" s="1">
        <v>45021</v>
      </c>
      <c r="E9948">
        <v>1</v>
      </c>
      <c r="F9948" t="str">
        <f>"07-C01-02"</f>
        <v>07-C01-02</v>
      </c>
      <c r="G9948">
        <v>0.97570000000000001</v>
      </c>
      <c r="H9948" t="s">
        <v>11</v>
      </c>
      <c r="I9948" t="s">
        <v>10</v>
      </c>
    </row>
    <row r="9949" spans="1:9" x14ac:dyDescent="0.25">
      <c r="A9949" t="str">
        <f t="shared" si="235"/>
        <v>89301000</v>
      </c>
      <c r="B9949" t="str">
        <f>"6561120247"</f>
        <v>6561120247</v>
      </c>
      <c r="C9949" s="1">
        <v>44990</v>
      </c>
      <c r="D9949" s="1">
        <v>45005</v>
      </c>
      <c r="E9949">
        <v>1</v>
      </c>
      <c r="F9949" t="str">
        <f>"07-K07-01"</f>
        <v>07-K07-01</v>
      </c>
      <c r="G9949">
        <v>1.0079</v>
      </c>
      <c r="H9949" t="s">
        <v>11</v>
      </c>
      <c r="I9949" t="s">
        <v>10</v>
      </c>
    </row>
    <row r="9950" spans="1:9" x14ac:dyDescent="0.25">
      <c r="A9950" t="str">
        <f t="shared" si="235"/>
        <v>89301000</v>
      </c>
      <c r="B9950" t="str">
        <f>"6561151036"</f>
        <v>6561151036</v>
      </c>
      <c r="C9950" s="1">
        <v>45106</v>
      </c>
      <c r="D9950" s="1">
        <v>45109</v>
      </c>
      <c r="E9950">
        <v>1</v>
      </c>
      <c r="F9950" t="str">
        <f>"13-I14-03"</f>
        <v>13-I14-03</v>
      </c>
      <c r="G9950">
        <v>0.87760000000000005</v>
      </c>
      <c r="H9950" t="s">
        <v>9</v>
      </c>
      <c r="I9950" t="s">
        <v>10</v>
      </c>
    </row>
    <row r="9951" spans="1:9" x14ac:dyDescent="0.25">
      <c r="A9951" t="str">
        <f t="shared" si="235"/>
        <v>89301000</v>
      </c>
      <c r="B9951" t="str">
        <f>"6561176622"</f>
        <v>6561176622</v>
      </c>
      <c r="C9951" s="1">
        <v>45082</v>
      </c>
      <c r="D9951" s="1">
        <v>45089</v>
      </c>
      <c r="E9951">
        <v>1</v>
      </c>
      <c r="F9951" t="str">
        <f>"09-I09-02"</f>
        <v>09-I09-02</v>
      </c>
      <c r="G9951">
        <v>0.76900000000000002</v>
      </c>
      <c r="H9951" t="s">
        <v>12</v>
      </c>
      <c r="I9951" t="s">
        <v>10</v>
      </c>
    </row>
    <row r="9952" spans="1:9" x14ac:dyDescent="0.25">
      <c r="A9952" t="str">
        <f t="shared" si="235"/>
        <v>89301000</v>
      </c>
      <c r="B9952" t="str">
        <f>"6561190262"</f>
        <v>6561190262</v>
      </c>
      <c r="C9952" s="1">
        <v>45156</v>
      </c>
      <c r="D9952" s="1">
        <v>45157</v>
      </c>
      <c r="E9952">
        <v>1</v>
      </c>
      <c r="F9952" t="str">
        <f>"19-K02-03"</f>
        <v>19-K02-03</v>
      </c>
      <c r="G9952">
        <v>0.47970000000000002</v>
      </c>
      <c r="H9952" t="s">
        <v>15</v>
      </c>
      <c r="I9952" t="s">
        <v>10</v>
      </c>
    </row>
    <row r="9953" spans="1:9" x14ac:dyDescent="0.25">
      <c r="A9953" t="str">
        <f t="shared" si="235"/>
        <v>89301000</v>
      </c>
      <c r="B9953" t="str">
        <f>"6561220919"</f>
        <v>6561220919</v>
      </c>
      <c r="C9953" s="1">
        <v>45068</v>
      </c>
      <c r="D9953" s="1">
        <v>45070</v>
      </c>
      <c r="E9953">
        <v>1</v>
      </c>
      <c r="F9953" t="str">
        <f>"08-I24-02"</f>
        <v>08-I24-02</v>
      </c>
      <c r="G9953">
        <v>0.73599999999999999</v>
      </c>
      <c r="H9953" t="s">
        <v>11</v>
      </c>
      <c r="I9953" t="s">
        <v>10</v>
      </c>
    </row>
    <row r="9954" spans="1:9" x14ac:dyDescent="0.25">
      <c r="A9954" t="str">
        <f t="shared" si="235"/>
        <v>89301000</v>
      </c>
      <c r="B9954" t="str">
        <f>"6561241093"</f>
        <v>6561241093</v>
      </c>
      <c r="C9954" s="1">
        <v>44971</v>
      </c>
      <c r="D9954" s="1">
        <v>44974</v>
      </c>
      <c r="E9954">
        <v>1</v>
      </c>
      <c r="F9954" t="str">
        <f>"13-I13-02"</f>
        <v>13-I13-02</v>
      </c>
      <c r="G9954">
        <v>0.87180000000000002</v>
      </c>
      <c r="H9954" t="s">
        <v>12</v>
      </c>
      <c r="I9954" t="s">
        <v>10</v>
      </c>
    </row>
    <row r="9955" spans="1:9" x14ac:dyDescent="0.25">
      <c r="A9955" t="str">
        <f t="shared" si="235"/>
        <v>89301000</v>
      </c>
      <c r="B9955" t="str">
        <f>"6561246318"</f>
        <v>6561246318</v>
      </c>
      <c r="C9955" s="1">
        <v>45278</v>
      </c>
      <c r="D9955" s="1">
        <v>45280</v>
      </c>
      <c r="E9955">
        <v>1</v>
      </c>
      <c r="F9955" t="str">
        <f>"08-I10-01"</f>
        <v>08-I10-01</v>
      </c>
      <c r="G9955">
        <v>1.9841</v>
      </c>
      <c r="H9955" t="s">
        <v>12</v>
      </c>
      <c r="I9955" t="s">
        <v>10</v>
      </c>
    </row>
    <row r="9956" spans="1:9" x14ac:dyDescent="0.25">
      <c r="A9956" t="str">
        <f t="shared" si="235"/>
        <v>89301000</v>
      </c>
      <c r="B9956" t="str">
        <f>"6561290164"</f>
        <v>6561290164</v>
      </c>
      <c r="C9956" s="1">
        <v>45050</v>
      </c>
      <c r="D9956" s="1">
        <v>45071</v>
      </c>
      <c r="E9956">
        <v>5</v>
      </c>
      <c r="F9956" t="str">
        <f>"01-M02-00"</f>
        <v>01-M02-00</v>
      </c>
      <c r="G9956">
        <v>6.3693999999999997</v>
      </c>
      <c r="H9956" t="s">
        <v>12</v>
      </c>
      <c r="I9956" t="s">
        <v>10</v>
      </c>
    </row>
    <row r="9957" spans="1:9" x14ac:dyDescent="0.25">
      <c r="A9957" t="str">
        <f t="shared" si="235"/>
        <v>89301000</v>
      </c>
      <c r="B9957" t="str">
        <f>"6561290164"</f>
        <v>6561290164</v>
      </c>
      <c r="C9957" s="1">
        <v>45131</v>
      </c>
      <c r="D9957" s="1">
        <v>45148</v>
      </c>
      <c r="E9957">
        <v>4</v>
      </c>
      <c r="F9957" t="str">
        <f>"24-M07-01"</f>
        <v>24-M07-01</v>
      </c>
      <c r="G9957">
        <v>1.7825</v>
      </c>
      <c r="H9957" t="s">
        <v>11</v>
      </c>
      <c r="I9957" t="s">
        <v>10</v>
      </c>
    </row>
    <row r="9958" spans="1:9" x14ac:dyDescent="0.25">
      <c r="A9958" t="str">
        <f t="shared" si="235"/>
        <v>89301000</v>
      </c>
      <c r="B9958" t="str">
        <f>"6562011269"</f>
        <v>6562011269</v>
      </c>
      <c r="C9958" s="1">
        <v>44976</v>
      </c>
      <c r="D9958" s="1">
        <v>44977</v>
      </c>
      <c r="E9958">
        <v>1</v>
      </c>
      <c r="F9958" t="str">
        <f>"05-K05-05"</f>
        <v>05-K05-05</v>
      </c>
      <c r="G9958">
        <v>0.35659999999999997</v>
      </c>
      <c r="H9958" t="s">
        <v>11</v>
      </c>
      <c r="I9958" t="s">
        <v>10</v>
      </c>
    </row>
    <row r="9959" spans="1:9" x14ac:dyDescent="0.25">
      <c r="A9959" t="str">
        <f t="shared" si="235"/>
        <v>89301000</v>
      </c>
      <c r="B9959" t="str">
        <f>"6562011269"</f>
        <v>6562011269</v>
      </c>
      <c r="C9959" s="1">
        <v>45077</v>
      </c>
      <c r="D9959" s="1">
        <v>45079</v>
      </c>
      <c r="E9959">
        <v>1</v>
      </c>
      <c r="F9959" t="str">
        <f>"05-M05-02"</f>
        <v>05-M05-02</v>
      </c>
      <c r="G9959">
        <v>3.4817999999999998</v>
      </c>
      <c r="H9959" t="s">
        <v>14</v>
      </c>
      <c r="I9959" t="s">
        <v>10</v>
      </c>
    </row>
    <row r="9960" spans="1:9" x14ac:dyDescent="0.25">
      <c r="A9960" t="str">
        <f t="shared" si="235"/>
        <v>89301000</v>
      </c>
      <c r="B9960" t="str">
        <f>"6562032081"</f>
        <v>6562032081</v>
      </c>
      <c r="C9960" s="1">
        <v>45034</v>
      </c>
      <c r="D9960" s="1">
        <v>45034</v>
      </c>
      <c r="E9960">
        <v>1</v>
      </c>
      <c r="F9960" t="str">
        <f>"05-D01-02"</f>
        <v>05-D01-02</v>
      </c>
      <c r="G9960">
        <v>1.5137</v>
      </c>
      <c r="H9960" t="s">
        <v>11</v>
      </c>
      <c r="I9960" t="s">
        <v>10</v>
      </c>
    </row>
    <row r="9961" spans="1:9" x14ac:dyDescent="0.25">
      <c r="A9961" t="str">
        <f t="shared" si="235"/>
        <v>89301000</v>
      </c>
      <c r="B9961" t="str">
        <f>"6562032081"</f>
        <v>6562032081</v>
      </c>
      <c r="C9961" s="1">
        <v>45040</v>
      </c>
      <c r="D9961" s="1">
        <v>45042</v>
      </c>
      <c r="E9961">
        <v>1</v>
      </c>
      <c r="F9961" t="str">
        <f>"05-M05-02"</f>
        <v>05-M05-02</v>
      </c>
      <c r="G9961">
        <v>3.4817999999999998</v>
      </c>
      <c r="H9961" t="s">
        <v>14</v>
      </c>
      <c r="I9961" t="s">
        <v>10</v>
      </c>
    </row>
    <row r="9962" spans="1:9" x14ac:dyDescent="0.25">
      <c r="A9962" t="str">
        <f t="shared" ref="A9962:A10023" si="236">"89301000"</f>
        <v>89301000</v>
      </c>
      <c r="B9962" t="str">
        <f>"6562080888"</f>
        <v>6562080888</v>
      </c>
      <c r="C9962" s="1">
        <v>44937</v>
      </c>
      <c r="D9962" s="1">
        <v>44940</v>
      </c>
      <c r="E9962">
        <v>1</v>
      </c>
      <c r="F9962" t="str">
        <f>"08-I25-02"</f>
        <v>08-I25-02</v>
      </c>
      <c r="G9962">
        <v>0.55810000000000004</v>
      </c>
      <c r="H9962" t="s">
        <v>11</v>
      </c>
      <c r="I9962" t="s">
        <v>10</v>
      </c>
    </row>
    <row r="9963" spans="1:9" x14ac:dyDescent="0.25">
      <c r="A9963" t="str">
        <f t="shared" si="236"/>
        <v>89301000</v>
      </c>
      <c r="B9963" t="str">
        <f>"6562121819"</f>
        <v>6562121819</v>
      </c>
      <c r="C9963" s="1">
        <v>45180</v>
      </c>
      <c r="D9963" s="1">
        <v>45182</v>
      </c>
      <c r="E9963">
        <v>1</v>
      </c>
      <c r="F9963" t="str">
        <f>"08-I24-02"</f>
        <v>08-I24-02</v>
      </c>
      <c r="G9963">
        <v>0.6694</v>
      </c>
      <c r="H9963" t="s">
        <v>11</v>
      </c>
      <c r="I9963" t="s">
        <v>10</v>
      </c>
    </row>
    <row r="9964" spans="1:9" x14ac:dyDescent="0.25">
      <c r="A9964" t="str">
        <f t="shared" si="236"/>
        <v>89301000</v>
      </c>
      <c r="B9964" t="str">
        <f>"6562141377"</f>
        <v>6562141377</v>
      </c>
      <c r="C9964" s="1">
        <v>44960</v>
      </c>
      <c r="D9964" s="1">
        <v>44963</v>
      </c>
      <c r="E9964">
        <v>1</v>
      </c>
      <c r="F9964" t="str">
        <f>"01-D01-03"</f>
        <v>01-D01-03</v>
      </c>
      <c r="G9964">
        <v>0.21060000000000001</v>
      </c>
      <c r="H9964" t="s">
        <v>11</v>
      </c>
      <c r="I9964" t="s">
        <v>10</v>
      </c>
    </row>
    <row r="9965" spans="1:9" x14ac:dyDescent="0.25">
      <c r="A9965" t="str">
        <f t="shared" si="236"/>
        <v>89301000</v>
      </c>
      <c r="B9965" t="str">
        <f>"6562181439"</f>
        <v>6562181439</v>
      </c>
      <c r="C9965" s="1">
        <v>45012</v>
      </c>
      <c r="D9965" s="1">
        <v>45015</v>
      </c>
      <c r="E9965">
        <v>1</v>
      </c>
      <c r="F9965" t="str">
        <f>"08-M03-05"</f>
        <v>08-M03-05</v>
      </c>
      <c r="G9965">
        <v>0.46810000000000002</v>
      </c>
      <c r="H9965" t="s">
        <v>11</v>
      </c>
      <c r="I9965" t="s">
        <v>10</v>
      </c>
    </row>
    <row r="9966" spans="1:9" x14ac:dyDescent="0.25">
      <c r="A9966" t="str">
        <f t="shared" si="236"/>
        <v>89301000</v>
      </c>
      <c r="B9966" t="str">
        <f>"6562310700"</f>
        <v>6562310700</v>
      </c>
      <c r="C9966" s="1">
        <v>45029</v>
      </c>
      <c r="D9966" s="1">
        <v>45031</v>
      </c>
      <c r="E9966">
        <v>1</v>
      </c>
      <c r="F9966" t="str">
        <f>"09-I06-04"</f>
        <v>09-I06-04</v>
      </c>
      <c r="G9966">
        <v>0.95069999999999999</v>
      </c>
      <c r="H9966" t="s">
        <v>12</v>
      </c>
      <c r="I9966" t="s">
        <v>10</v>
      </c>
    </row>
    <row r="9967" spans="1:9" x14ac:dyDescent="0.25">
      <c r="A9967" t="str">
        <f t="shared" si="236"/>
        <v>89301000</v>
      </c>
      <c r="B9967" t="str">
        <f>"6562311030"</f>
        <v>6562311030</v>
      </c>
      <c r="C9967" s="1">
        <v>45210</v>
      </c>
      <c r="D9967" s="1">
        <v>45212</v>
      </c>
      <c r="E9967">
        <v>1</v>
      </c>
      <c r="F9967" t="str">
        <f>"08-I19-03"</f>
        <v>08-I19-03</v>
      </c>
      <c r="G9967">
        <v>0.59130000000000005</v>
      </c>
      <c r="H9967" t="s">
        <v>12</v>
      </c>
      <c r="I9967" t="s">
        <v>10</v>
      </c>
    </row>
    <row r="9968" spans="1:9" x14ac:dyDescent="0.25">
      <c r="A9968" t="str">
        <f t="shared" si="236"/>
        <v>89301000</v>
      </c>
      <c r="B9968" t="str">
        <f>"6601050764"</f>
        <v>6601050764</v>
      </c>
      <c r="C9968" s="1">
        <v>45162</v>
      </c>
      <c r="D9968" s="1">
        <v>45164</v>
      </c>
      <c r="E9968">
        <v>5</v>
      </c>
      <c r="F9968" t="str">
        <f>"05-M04-04"</f>
        <v>05-M04-04</v>
      </c>
      <c r="G9968">
        <v>2.6856</v>
      </c>
      <c r="H9968" t="s">
        <v>12</v>
      </c>
      <c r="I9968" t="s">
        <v>10</v>
      </c>
    </row>
    <row r="9969" spans="1:9" x14ac:dyDescent="0.25">
      <c r="A9969" t="str">
        <f t="shared" si="236"/>
        <v>89301000</v>
      </c>
      <c r="B9969" t="str">
        <f>"6601050764"</f>
        <v>6601050764</v>
      </c>
      <c r="C9969" s="1">
        <v>45133</v>
      </c>
      <c r="D9969" s="1">
        <v>45136</v>
      </c>
      <c r="E9969">
        <v>5</v>
      </c>
      <c r="F9969" t="str">
        <f>"05-M04-04"</f>
        <v>05-M04-04</v>
      </c>
      <c r="G9969">
        <v>2.6067</v>
      </c>
      <c r="H9969" t="s">
        <v>12</v>
      </c>
      <c r="I9969" t="s">
        <v>10</v>
      </c>
    </row>
    <row r="9970" spans="1:9" x14ac:dyDescent="0.25">
      <c r="A9970" t="str">
        <f t="shared" si="236"/>
        <v>89301000</v>
      </c>
      <c r="B9970" t="str">
        <f>"6601060807"</f>
        <v>6601060807</v>
      </c>
      <c r="C9970" s="1">
        <v>45246</v>
      </c>
      <c r="D9970" s="1">
        <v>45247</v>
      </c>
      <c r="E9970">
        <v>1</v>
      </c>
      <c r="F9970" t="str">
        <f>"01-D01-03"</f>
        <v>01-D01-03</v>
      </c>
      <c r="G9970">
        <v>0.16200000000000001</v>
      </c>
      <c r="H9970" t="s">
        <v>11</v>
      </c>
      <c r="I9970" t="s">
        <v>10</v>
      </c>
    </row>
    <row r="9971" spans="1:9" x14ac:dyDescent="0.25">
      <c r="A9971" t="str">
        <f t="shared" si="236"/>
        <v>89301000</v>
      </c>
      <c r="B9971" t="str">
        <f>"6601110923"</f>
        <v>6601110923</v>
      </c>
      <c r="C9971" s="1">
        <v>44993</v>
      </c>
      <c r="D9971" s="1">
        <v>44998</v>
      </c>
      <c r="E9971">
        <v>1</v>
      </c>
      <c r="F9971" t="str">
        <f>"04-K10-02"</f>
        <v>04-K10-02</v>
      </c>
      <c r="G9971">
        <v>0.41899999999999998</v>
      </c>
      <c r="H9971" t="s">
        <v>11</v>
      </c>
      <c r="I9971" t="s">
        <v>10</v>
      </c>
    </row>
    <row r="9972" spans="1:9" x14ac:dyDescent="0.25">
      <c r="A9972" t="str">
        <f t="shared" si="236"/>
        <v>89301000</v>
      </c>
      <c r="B9972" t="str">
        <f>"6601110923"</f>
        <v>6601110923</v>
      </c>
      <c r="C9972" s="1">
        <v>45225</v>
      </c>
      <c r="D9972" s="1">
        <v>45226</v>
      </c>
      <c r="E9972">
        <v>1</v>
      </c>
      <c r="F9972" t="str">
        <f>"10-K15-02"</f>
        <v>10-K15-02</v>
      </c>
      <c r="G9972">
        <v>0.66379999999999995</v>
      </c>
      <c r="H9972" t="s">
        <v>11</v>
      </c>
      <c r="I9972" t="s">
        <v>10</v>
      </c>
    </row>
    <row r="9973" spans="1:9" x14ac:dyDescent="0.25">
      <c r="A9973" t="str">
        <f t="shared" si="236"/>
        <v>89301000</v>
      </c>
      <c r="B9973" t="str">
        <f>"6601141712"</f>
        <v>6601141712</v>
      </c>
      <c r="C9973" s="1">
        <v>45107</v>
      </c>
      <c r="D9973" s="1">
        <v>45110</v>
      </c>
      <c r="E9973">
        <v>1</v>
      </c>
      <c r="F9973" t="str">
        <f>"11-K12-02"</f>
        <v>11-K12-02</v>
      </c>
      <c r="G9973">
        <v>0.58330000000000004</v>
      </c>
      <c r="H9973" t="s">
        <v>11</v>
      </c>
      <c r="I9973" t="s">
        <v>10</v>
      </c>
    </row>
    <row r="9974" spans="1:9" x14ac:dyDescent="0.25">
      <c r="A9974" t="str">
        <f t="shared" si="236"/>
        <v>89301000</v>
      </c>
      <c r="B9974" t="str">
        <f>"6601261062"</f>
        <v>6601261062</v>
      </c>
      <c r="C9974" s="1">
        <v>45258</v>
      </c>
      <c r="D9974" s="1">
        <v>45260</v>
      </c>
      <c r="E9974">
        <v>1</v>
      </c>
      <c r="F9974" t="str">
        <f>"08-I32-00"</f>
        <v>08-I32-00</v>
      </c>
      <c r="G9974">
        <v>0.4093</v>
      </c>
      <c r="H9974" t="s">
        <v>11</v>
      </c>
      <c r="I9974" t="s">
        <v>10</v>
      </c>
    </row>
    <row r="9975" spans="1:9" x14ac:dyDescent="0.25">
      <c r="A9975" t="str">
        <f t="shared" si="236"/>
        <v>89301000</v>
      </c>
      <c r="B9975" t="str">
        <f>"6601261084"</f>
        <v>6601261084</v>
      </c>
      <c r="C9975" s="1">
        <v>45286</v>
      </c>
      <c r="D9975" s="1">
        <v>45288</v>
      </c>
      <c r="E9975">
        <v>1</v>
      </c>
      <c r="F9975" t="str">
        <f>"05-D01-06"</f>
        <v>05-D01-06</v>
      </c>
      <c r="G9975">
        <v>0.7571</v>
      </c>
      <c r="H9975" t="s">
        <v>11</v>
      </c>
      <c r="I9975" t="s">
        <v>10</v>
      </c>
    </row>
    <row r="9976" spans="1:9" x14ac:dyDescent="0.25">
      <c r="A9976" t="str">
        <f t="shared" si="236"/>
        <v>89301000</v>
      </c>
      <c r="B9976" t="str">
        <f>"6601300332"</f>
        <v>6601300332</v>
      </c>
      <c r="C9976" s="1">
        <v>45001</v>
      </c>
      <c r="D9976" s="1">
        <v>45003</v>
      </c>
      <c r="E9976">
        <v>1</v>
      </c>
      <c r="F9976" t="str">
        <f>"06-M01-02"</f>
        <v>06-M01-02</v>
      </c>
      <c r="G9976">
        <v>1.2206999999999999</v>
      </c>
      <c r="H9976" t="s">
        <v>11</v>
      </c>
      <c r="I9976" t="s">
        <v>10</v>
      </c>
    </row>
    <row r="9977" spans="1:9" x14ac:dyDescent="0.25">
      <c r="A9977" t="str">
        <f t="shared" si="236"/>
        <v>89301000</v>
      </c>
      <c r="B9977" t="str">
        <f>"6601300332"</f>
        <v>6601300332</v>
      </c>
      <c r="C9977" s="1">
        <v>45209</v>
      </c>
      <c r="D9977" s="1">
        <v>45210</v>
      </c>
      <c r="E9977">
        <v>1</v>
      </c>
      <c r="F9977" t="str">
        <f>"10-K04-04"</f>
        <v>10-K04-04</v>
      </c>
      <c r="G9977">
        <v>0.53949999999999998</v>
      </c>
      <c r="H9977" t="s">
        <v>11</v>
      </c>
      <c r="I9977" t="s">
        <v>10</v>
      </c>
    </row>
    <row r="9978" spans="1:9" x14ac:dyDescent="0.25">
      <c r="A9978" t="str">
        <f t="shared" si="236"/>
        <v>89301000</v>
      </c>
      <c r="B9978" t="str">
        <f>"6601301047"</f>
        <v>6601301047</v>
      </c>
      <c r="C9978" s="1">
        <v>45151</v>
      </c>
      <c r="D9978" s="1">
        <v>45153</v>
      </c>
      <c r="E9978">
        <v>1</v>
      </c>
      <c r="F9978" t="str">
        <f>"05-I14-03"</f>
        <v>05-I14-03</v>
      </c>
      <c r="G9978">
        <v>6.0362</v>
      </c>
      <c r="H9978" t="s">
        <v>12</v>
      </c>
      <c r="I9978" t="s">
        <v>10</v>
      </c>
    </row>
    <row r="9979" spans="1:9" x14ac:dyDescent="0.25">
      <c r="A9979" t="str">
        <f t="shared" si="236"/>
        <v>89301000</v>
      </c>
      <c r="B9979" t="str">
        <f>"6601301047"</f>
        <v>6601301047</v>
      </c>
      <c r="C9979" s="1">
        <v>45035</v>
      </c>
      <c r="D9979" s="1">
        <v>45037</v>
      </c>
      <c r="E9979">
        <v>5</v>
      </c>
      <c r="F9979" t="str">
        <f>"01-K16-02"</f>
        <v>01-K16-02</v>
      </c>
      <c r="G9979">
        <v>1.0113000000000001</v>
      </c>
      <c r="H9979" t="s">
        <v>11</v>
      </c>
      <c r="I9979" t="s">
        <v>10</v>
      </c>
    </row>
    <row r="9980" spans="1:9" x14ac:dyDescent="0.25">
      <c r="A9980" t="str">
        <f t="shared" si="236"/>
        <v>89301000</v>
      </c>
      <c r="B9980" t="str">
        <f>"6601301047"</f>
        <v>6601301047</v>
      </c>
      <c r="C9980" s="1">
        <v>45196</v>
      </c>
      <c r="D9980" s="1">
        <v>45197</v>
      </c>
      <c r="E9980">
        <v>1</v>
      </c>
      <c r="F9980" t="str">
        <f>"05-M05-03"</f>
        <v>05-M05-03</v>
      </c>
      <c r="G9980">
        <v>1.6368</v>
      </c>
      <c r="H9980" t="s">
        <v>14</v>
      </c>
      <c r="I9980" t="s">
        <v>10</v>
      </c>
    </row>
    <row r="9981" spans="1:9" x14ac:dyDescent="0.25">
      <c r="A9981" t="str">
        <f t="shared" si="236"/>
        <v>89301000</v>
      </c>
      <c r="B9981" t="str">
        <f>"6601311750"</f>
        <v>6601311750</v>
      </c>
      <c r="C9981" s="1">
        <v>44960</v>
      </c>
      <c r="D9981" s="1">
        <v>44963</v>
      </c>
      <c r="E9981">
        <v>1</v>
      </c>
      <c r="F9981" t="str">
        <f>"01-D01-03"</f>
        <v>01-D01-03</v>
      </c>
      <c r="G9981">
        <v>0.21060000000000001</v>
      </c>
      <c r="H9981" t="s">
        <v>11</v>
      </c>
      <c r="I9981" t="s">
        <v>10</v>
      </c>
    </row>
    <row r="9982" spans="1:9" x14ac:dyDescent="0.25">
      <c r="A9982" t="str">
        <f t="shared" si="236"/>
        <v>89301000</v>
      </c>
      <c r="B9982" t="str">
        <f>"6602140391"</f>
        <v>6602140391</v>
      </c>
      <c r="C9982" s="1">
        <v>45208</v>
      </c>
      <c r="D9982" s="1">
        <v>45222</v>
      </c>
      <c r="E9982">
        <v>4</v>
      </c>
      <c r="F9982" t="str">
        <f>"24-M04-00"</f>
        <v>24-M04-00</v>
      </c>
      <c r="G9982">
        <v>0.63300000000000001</v>
      </c>
      <c r="H9982" t="s">
        <v>11</v>
      </c>
      <c r="I9982" t="s">
        <v>10</v>
      </c>
    </row>
    <row r="9983" spans="1:9" x14ac:dyDescent="0.25">
      <c r="A9983" t="str">
        <f t="shared" si="236"/>
        <v>89301000</v>
      </c>
      <c r="B9983" t="str">
        <f>"6602201342"</f>
        <v>6602201342</v>
      </c>
      <c r="C9983" s="1">
        <v>45260</v>
      </c>
      <c r="D9983" s="1">
        <v>45262</v>
      </c>
      <c r="E9983">
        <v>1</v>
      </c>
      <c r="F9983" t="str">
        <f>"05-I14-03"</f>
        <v>05-I14-03</v>
      </c>
      <c r="G9983">
        <v>6.0362</v>
      </c>
      <c r="H9983" t="s">
        <v>12</v>
      </c>
      <c r="I9983" t="s">
        <v>10</v>
      </c>
    </row>
    <row r="9984" spans="1:9" x14ac:dyDescent="0.25">
      <c r="A9984" t="str">
        <f t="shared" si="236"/>
        <v>89301000</v>
      </c>
      <c r="B9984" t="str">
        <f>"6602221494"</f>
        <v>6602221494</v>
      </c>
      <c r="C9984" s="1">
        <v>45252</v>
      </c>
      <c r="D9984" s="1">
        <v>45252</v>
      </c>
      <c r="E9984">
        <v>1</v>
      </c>
      <c r="F9984" t="str">
        <f>"05-D01-08"</f>
        <v>05-D01-08</v>
      </c>
      <c r="G9984">
        <v>0.2303</v>
      </c>
      <c r="H9984" t="s">
        <v>11</v>
      </c>
      <c r="I9984" t="s">
        <v>10</v>
      </c>
    </row>
    <row r="9985" spans="1:9" x14ac:dyDescent="0.25">
      <c r="A9985" t="str">
        <f t="shared" si="236"/>
        <v>89301000</v>
      </c>
      <c r="B9985" t="str">
        <f>"6602241492"</f>
        <v>6602241492</v>
      </c>
      <c r="C9985" s="1">
        <v>44988</v>
      </c>
      <c r="D9985" s="1">
        <v>44991</v>
      </c>
      <c r="E9985">
        <v>1</v>
      </c>
      <c r="F9985" t="str">
        <f>"01-D01-03"</f>
        <v>01-D01-03</v>
      </c>
      <c r="G9985">
        <v>0.21060000000000001</v>
      </c>
      <c r="H9985" t="s">
        <v>11</v>
      </c>
      <c r="I9985" t="s">
        <v>10</v>
      </c>
    </row>
    <row r="9986" spans="1:9" x14ac:dyDescent="0.25">
      <c r="A9986" t="str">
        <f t="shared" si="236"/>
        <v>89301000</v>
      </c>
      <c r="B9986" t="str">
        <f>"6603061399"</f>
        <v>6603061399</v>
      </c>
      <c r="C9986" s="1">
        <v>45163</v>
      </c>
      <c r="D9986" s="1">
        <v>45165</v>
      </c>
      <c r="E9986">
        <v>1</v>
      </c>
      <c r="F9986" t="str">
        <f>"10-K15-02"</f>
        <v>10-K15-02</v>
      </c>
      <c r="G9986">
        <v>0.66379999999999995</v>
      </c>
      <c r="H9986" t="s">
        <v>11</v>
      </c>
      <c r="I9986" t="s">
        <v>10</v>
      </c>
    </row>
    <row r="9987" spans="1:9" x14ac:dyDescent="0.25">
      <c r="A9987" t="str">
        <f t="shared" si="236"/>
        <v>89301000</v>
      </c>
      <c r="B9987" t="str">
        <f>"6603111592"</f>
        <v>6603111592</v>
      </c>
      <c r="C9987" s="1">
        <v>44973</v>
      </c>
      <c r="D9987" s="1">
        <v>44976</v>
      </c>
      <c r="E9987">
        <v>1</v>
      </c>
      <c r="F9987" t="str">
        <f>"09-I13-03"</f>
        <v>09-I13-03</v>
      </c>
      <c r="G9987">
        <v>0.79510000000000003</v>
      </c>
      <c r="H9987" t="s">
        <v>11</v>
      </c>
      <c r="I9987" t="s">
        <v>10</v>
      </c>
    </row>
    <row r="9988" spans="1:9" x14ac:dyDescent="0.25">
      <c r="A9988" t="str">
        <f t="shared" si="236"/>
        <v>89301000</v>
      </c>
      <c r="B9988" t="str">
        <f>"6603251677"</f>
        <v>6603251677</v>
      </c>
      <c r="C9988" s="1">
        <v>45061</v>
      </c>
      <c r="D9988" s="1">
        <v>45063</v>
      </c>
      <c r="E9988">
        <v>1</v>
      </c>
      <c r="F9988" t="str">
        <f>"03-I19-03"</f>
        <v>03-I19-03</v>
      </c>
      <c r="G9988">
        <v>0.53249999999999997</v>
      </c>
      <c r="H9988" t="s">
        <v>11</v>
      </c>
      <c r="I9988" t="s">
        <v>10</v>
      </c>
    </row>
    <row r="9989" spans="1:9" x14ac:dyDescent="0.25">
      <c r="A9989" t="str">
        <f t="shared" si="236"/>
        <v>89301000</v>
      </c>
      <c r="B9989" t="str">
        <f>"6603281454"</f>
        <v>6603281454</v>
      </c>
      <c r="C9989" s="1">
        <v>45197</v>
      </c>
      <c r="D9989" s="1">
        <v>45205</v>
      </c>
      <c r="E9989">
        <v>1</v>
      </c>
      <c r="F9989" t="str">
        <f>"01-K16-05"</f>
        <v>01-K16-05</v>
      </c>
      <c r="G9989">
        <v>0.62649999999999995</v>
      </c>
      <c r="H9989" t="s">
        <v>11</v>
      </c>
      <c r="I9989" t="s">
        <v>10</v>
      </c>
    </row>
    <row r="9990" spans="1:9" x14ac:dyDescent="0.25">
      <c r="A9990" t="str">
        <f t="shared" si="236"/>
        <v>89301000</v>
      </c>
      <c r="B9990" t="str">
        <f>"6604031621"</f>
        <v>6604031621</v>
      </c>
      <c r="C9990" s="1">
        <v>44937</v>
      </c>
      <c r="D9990" s="1">
        <v>44938</v>
      </c>
      <c r="E9990">
        <v>1</v>
      </c>
      <c r="F9990" t="str">
        <f>"05-M05-03"</f>
        <v>05-M05-03</v>
      </c>
      <c r="G9990">
        <v>2.0312999999999999</v>
      </c>
      <c r="H9990" t="s">
        <v>14</v>
      </c>
      <c r="I9990" t="s">
        <v>10</v>
      </c>
    </row>
    <row r="9991" spans="1:9" x14ac:dyDescent="0.25">
      <c r="A9991" t="str">
        <f t="shared" si="236"/>
        <v>89301000</v>
      </c>
      <c r="B9991" t="str">
        <f>"6604110370"</f>
        <v>6604110370</v>
      </c>
      <c r="C9991" s="1">
        <v>45272</v>
      </c>
      <c r="D9991" s="1">
        <v>45280</v>
      </c>
      <c r="E9991">
        <v>5</v>
      </c>
      <c r="F9991" t="str">
        <f>"00-M01-01"</f>
        <v>00-M01-01</v>
      </c>
      <c r="G9991">
        <v>16.065100000000001</v>
      </c>
      <c r="H9991" t="s">
        <v>11</v>
      </c>
      <c r="I9991" t="s">
        <v>10</v>
      </c>
    </row>
    <row r="9992" spans="1:9" x14ac:dyDescent="0.25">
      <c r="A9992" t="str">
        <f t="shared" si="236"/>
        <v>89301000</v>
      </c>
      <c r="B9992" t="str">
        <f>"6604141258"</f>
        <v>6604141258</v>
      </c>
      <c r="C9992" s="1">
        <v>45242</v>
      </c>
      <c r="D9992" s="1">
        <v>45248</v>
      </c>
      <c r="E9992">
        <v>1</v>
      </c>
      <c r="F9992" t="str">
        <f>"11-I07-01"</f>
        <v>11-I07-01</v>
      </c>
      <c r="G9992">
        <v>2.7482000000000002</v>
      </c>
      <c r="H9992" t="s">
        <v>9</v>
      </c>
      <c r="I9992" t="s">
        <v>10</v>
      </c>
    </row>
    <row r="9993" spans="1:9" x14ac:dyDescent="0.25">
      <c r="A9993" t="str">
        <f t="shared" si="236"/>
        <v>89301000</v>
      </c>
      <c r="B9993" t="str">
        <f>"6604210360"</f>
        <v>6604210360</v>
      </c>
      <c r="C9993" s="1">
        <v>44951</v>
      </c>
      <c r="D9993" s="1">
        <v>44959</v>
      </c>
      <c r="E9993">
        <v>1</v>
      </c>
      <c r="F9993" t="str">
        <f>"02-K11-01"</f>
        <v>02-K11-01</v>
      </c>
      <c r="G9993">
        <v>0.87490000000000001</v>
      </c>
      <c r="H9993" t="s">
        <v>11</v>
      </c>
      <c r="I9993" t="s">
        <v>10</v>
      </c>
    </row>
    <row r="9994" spans="1:9" x14ac:dyDescent="0.25">
      <c r="A9994" t="str">
        <f t="shared" si="236"/>
        <v>89301000</v>
      </c>
      <c r="B9994" t="str">
        <f>"6604251379"</f>
        <v>6604251379</v>
      </c>
      <c r="C9994" s="1">
        <v>45078</v>
      </c>
      <c r="D9994" s="1">
        <v>45082</v>
      </c>
      <c r="E9994">
        <v>1</v>
      </c>
      <c r="F9994" t="str">
        <f>"08-I22-02"</f>
        <v>08-I22-02</v>
      </c>
      <c r="G9994">
        <v>1.131</v>
      </c>
      <c r="H9994" t="s">
        <v>12</v>
      </c>
      <c r="I9994" t="s">
        <v>10</v>
      </c>
    </row>
    <row r="9995" spans="1:9" x14ac:dyDescent="0.25">
      <c r="A9995" t="str">
        <f t="shared" si="236"/>
        <v>89301000</v>
      </c>
      <c r="B9995" t="str">
        <f>"6604291430"</f>
        <v>6604291430</v>
      </c>
      <c r="C9995" s="1">
        <v>45233</v>
      </c>
      <c r="D9995" s="1">
        <v>45238</v>
      </c>
      <c r="E9995">
        <v>1</v>
      </c>
      <c r="F9995" t="str">
        <f>"02-I06-02"</f>
        <v>02-I06-02</v>
      </c>
      <c r="G9995">
        <v>1.2479</v>
      </c>
      <c r="H9995" t="s">
        <v>12</v>
      </c>
      <c r="I9995" t="s">
        <v>10</v>
      </c>
    </row>
    <row r="9996" spans="1:9" x14ac:dyDescent="0.25">
      <c r="A9996" t="str">
        <f t="shared" si="236"/>
        <v>89301000</v>
      </c>
      <c r="B9996" t="str">
        <f>"6605080790"</f>
        <v>6605080790</v>
      </c>
      <c r="C9996" s="1">
        <v>45040</v>
      </c>
      <c r="D9996" s="1">
        <v>45040</v>
      </c>
      <c r="E9996">
        <v>1</v>
      </c>
      <c r="F9996" t="str">
        <f>"05-D01-08"</f>
        <v>05-D01-08</v>
      </c>
      <c r="G9996">
        <v>0.46889999999999998</v>
      </c>
      <c r="H9996" t="s">
        <v>11</v>
      </c>
      <c r="I9996" t="s">
        <v>10</v>
      </c>
    </row>
    <row r="9997" spans="1:9" x14ac:dyDescent="0.25">
      <c r="A9997" t="str">
        <f t="shared" si="236"/>
        <v>89301000</v>
      </c>
      <c r="B9997" t="str">
        <f>"6605080790"</f>
        <v>6605080790</v>
      </c>
      <c r="C9997" s="1">
        <v>44996</v>
      </c>
      <c r="D9997" s="1">
        <v>44998</v>
      </c>
      <c r="E9997">
        <v>1</v>
      </c>
      <c r="F9997" t="str">
        <f>"05-M06-06"</f>
        <v>05-M06-06</v>
      </c>
      <c r="G9997">
        <v>1.8264</v>
      </c>
      <c r="H9997" t="s">
        <v>12</v>
      </c>
      <c r="I9997" t="s">
        <v>10</v>
      </c>
    </row>
    <row r="9998" spans="1:9" x14ac:dyDescent="0.25">
      <c r="A9998" t="str">
        <f t="shared" si="236"/>
        <v>89301000</v>
      </c>
      <c r="B9998" t="str">
        <f>"6605122392"</f>
        <v>6605122392</v>
      </c>
      <c r="C9998" s="1">
        <v>44949</v>
      </c>
      <c r="D9998" s="1">
        <v>44951</v>
      </c>
      <c r="E9998">
        <v>1</v>
      </c>
      <c r="F9998" t="str">
        <f>"16-I04-01"</f>
        <v>16-I04-01</v>
      </c>
      <c r="G9998">
        <v>0.93820000000000003</v>
      </c>
      <c r="H9998" t="s">
        <v>12</v>
      </c>
      <c r="I9998" t="s">
        <v>10</v>
      </c>
    </row>
    <row r="9999" spans="1:9" x14ac:dyDescent="0.25">
      <c r="A9999" t="str">
        <f t="shared" si="236"/>
        <v>89301000</v>
      </c>
      <c r="B9999" t="str">
        <f>"6605200195"</f>
        <v>6605200195</v>
      </c>
      <c r="C9999" s="1">
        <v>45082</v>
      </c>
      <c r="D9999" s="1">
        <v>45083</v>
      </c>
      <c r="E9999">
        <v>1</v>
      </c>
      <c r="F9999" t="str">
        <f>"01-D01-03"</f>
        <v>01-D01-03</v>
      </c>
      <c r="G9999">
        <v>0.16200000000000001</v>
      </c>
      <c r="H9999" t="s">
        <v>11</v>
      </c>
      <c r="I9999" t="s">
        <v>10</v>
      </c>
    </row>
    <row r="10000" spans="1:9" x14ac:dyDescent="0.25">
      <c r="A10000" t="str">
        <f t="shared" si="236"/>
        <v>89301000</v>
      </c>
      <c r="B10000" t="str">
        <f>"6605297248"</f>
        <v>6605297248</v>
      </c>
      <c r="C10000" s="1">
        <v>45239</v>
      </c>
      <c r="D10000" s="1">
        <v>45245</v>
      </c>
      <c r="E10000">
        <v>1</v>
      </c>
      <c r="F10000" t="str">
        <f>"09-K01-04"</f>
        <v>09-K01-04</v>
      </c>
      <c r="G10000">
        <v>0.60570000000000002</v>
      </c>
      <c r="H10000" t="s">
        <v>11</v>
      </c>
      <c r="I10000" t="s">
        <v>10</v>
      </c>
    </row>
    <row r="10001" spans="1:9" x14ac:dyDescent="0.25">
      <c r="A10001" t="str">
        <f t="shared" si="236"/>
        <v>89301000</v>
      </c>
      <c r="B10001" t="str">
        <f>"6606030288"</f>
        <v>6606030288</v>
      </c>
      <c r="C10001" s="1">
        <v>45244</v>
      </c>
      <c r="D10001" s="1">
        <v>45252</v>
      </c>
      <c r="E10001">
        <v>1</v>
      </c>
      <c r="F10001" t="str">
        <f>"01-K04-02"</f>
        <v>01-K04-02</v>
      </c>
      <c r="G10001">
        <v>0.79990000000000006</v>
      </c>
      <c r="H10001" t="s">
        <v>11</v>
      </c>
      <c r="I10001" t="s">
        <v>10</v>
      </c>
    </row>
    <row r="10002" spans="1:9" x14ac:dyDescent="0.25">
      <c r="A10002" t="str">
        <f t="shared" si="236"/>
        <v>89301000</v>
      </c>
      <c r="B10002" t="str">
        <f>"6606071098"</f>
        <v>6606071098</v>
      </c>
      <c r="C10002" s="1">
        <v>45280</v>
      </c>
      <c r="D10002" s="1">
        <v>45285</v>
      </c>
      <c r="E10002">
        <v>1</v>
      </c>
      <c r="F10002" t="str">
        <f>"08-I05-04"</f>
        <v>08-I05-04</v>
      </c>
      <c r="G10002">
        <v>2.4445000000000001</v>
      </c>
      <c r="H10002" t="s">
        <v>12</v>
      </c>
      <c r="I10002" t="s">
        <v>10</v>
      </c>
    </row>
    <row r="10003" spans="1:9" x14ac:dyDescent="0.25">
      <c r="A10003" t="str">
        <f t="shared" si="236"/>
        <v>89301000</v>
      </c>
      <c r="B10003" t="str">
        <f>"6606081306"</f>
        <v>6606081306</v>
      </c>
      <c r="C10003" s="1">
        <v>44952</v>
      </c>
      <c r="D10003" s="1">
        <v>44952</v>
      </c>
      <c r="E10003">
        <v>1</v>
      </c>
      <c r="F10003" t="str">
        <f>"05-D01-06"</f>
        <v>05-D01-06</v>
      </c>
      <c r="G10003">
        <v>0.4037</v>
      </c>
      <c r="H10003" t="s">
        <v>11</v>
      </c>
      <c r="I10003" t="s">
        <v>10</v>
      </c>
    </row>
    <row r="10004" spans="1:9" x14ac:dyDescent="0.25">
      <c r="A10004" t="str">
        <f t="shared" si="236"/>
        <v>89301000</v>
      </c>
      <c r="B10004" t="str">
        <f>"6606081306"</f>
        <v>6606081306</v>
      </c>
      <c r="C10004" s="1">
        <v>45089</v>
      </c>
      <c r="D10004" s="1">
        <v>45090</v>
      </c>
      <c r="E10004">
        <v>1</v>
      </c>
      <c r="F10004" t="str">
        <f>"05-M05-02"</f>
        <v>05-M05-02</v>
      </c>
      <c r="G10004">
        <v>3.4817999999999998</v>
      </c>
      <c r="H10004" t="s">
        <v>14</v>
      </c>
      <c r="I10004" t="s">
        <v>10</v>
      </c>
    </row>
    <row r="10005" spans="1:9" x14ac:dyDescent="0.25">
      <c r="A10005" t="str">
        <f t="shared" si="236"/>
        <v>89301000</v>
      </c>
      <c r="B10005" t="str">
        <f>"6606110995"</f>
        <v>6606110995</v>
      </c>
      <c r="C10005" s="1">
        <v>45215</v>
      </c>
      <c r="D10005" s="1">
        <v>45215</v>
      </c>
      <c r="E10005">
        <v>1</v>
      </c>
      <c r="F10005" t="str">
        <f>"05-M06-08"</f>
        <v>05-M06-08</v>
      </c>
      <c r="G10005">
        <v>1.1012</v>
      </c>
      <c r="H10005" t="s">
        <v>12</v>
      </c>
      <c r="I10005" t="s">
        <v>10</v>
      </c>
    </row>
    <row r="10006" spans="1:9" x14ac:dyDescent="0.25">
      <c r="A10006" t="str">
        <f t="shared" si="236"/>
        <v>89301000</v>
      </c>
      <c r="B10006" t="str">
        <f>"6606151244"</f>
        <v>6606151244</v>
      </c>
      <c r="C10006" s="1">
        <v>45157</v>
      </c>
      <c r="D10006" s="1">
        <v>45163</v>
      </c>
      <c r="E10006">
        <v>1</v>
      </c>
      <c r="F10006" t="str">
        <f>"08-I15-02"</f>
        <v>08-I15-02</v>
      </c>
      <c r="G10006">
        <v>1.5535000000000001</v>
      </c>
      <c r="H10006" t="s">
        <v>12</v>
      </c>
      <c r="I10006" t="s">
        <v>10</v>
      </c>
    </row>
    <row r="10007" spans="1:9" x14ac:dyDescent="0.25">
      <c r="A10007" t="str">
        <f t="shared" si="236"/>
        <v>89301000</v>
      </c>
      <c r="B10007" t="str">
        <f>"6606190822"</f>
        <v>6606190822</v>
      </c>
      <c r="C10007" s="1">
        <v>45198</v>
      </c>
      <c r="D10007" s="1">
        <v>45203</v>
      </c>
      <c r="E10007">
        <v>1</v>
      </c>
      <c r="F10007" t="str">
        <f>"10-K03-03"</f>
        <v>10-K03-03</v>
      </c>
      <c r="G10007">
        <v>1.3097000000000001</v>
      </c>
      <c r="H10007" t="s">
        <v>11</v>
      </c>
      <c r="I10007" t="s">
        <v>10</v>
      </c>
    </row>
    <row r="10008" spans="1:9" x14ac:dyDescent="0.25">
      <c r="A10008" t="str">
        <f t="shared" si="236"/>
        <v>89301000</v>
      </c>
      <c r="B10008" t="str">
        <f>"6606251377"</f>
        <v>6606251377</v>
      </c>
      <c r="C10008" s="1">
        <v>45039</v>
      </c>
      <c r="D10008" s="1">
        <v>45041</v>
      </c>
      <c r="E10008">
        <v>1</v>
      </c>
      <c r="F10008" t="str">
        <f>"08-M03-02"</f>
        <v>08-M03-02</v>
      </c>
      <c r="G10008">
        <v>0.91359999999999997</v>
      </c>
      <c r="H10008" t="s">
        <v>11</v>
      </c>
      <c r="I10008" t="s">
        <v>10</v>
      </c>
    </row>
    <row r="10009" spans="1:9" x14ac:dyDescent="0.25">
      <c r="A10009" t="str">
        <f t="shared" si="236"/>
        <v>89301000</v>
      </c>
      <c r="B10009" t="str">
        <f>"6606300184"</f>
        <v>6606300184</v>
      </c>
      <c r="C10009" s="1">
        <v>45239</v>
      </c>
      <c r="D10009" s="1">
        <v>45242</v>
      </c>
      <c r="E10009">
        <v>1</v>
      </c>
      <c r="F10009" t="str">
        <f>"08-M03-05"</f>
        <v>08-M03-05</v>
      </c>
      <c r="G10009">
        <v>0.46810000000000002</v>
      </c>
      <c r="H10009" t="s">
        <v>11</v>
      </c>
      <c r="I10009" t="s">
        <v>10</v>
      </c>
    </row>
    <row r="10010" spans="1:9" x14ac:dyDescent="0.25">
      <c r="A10010" t="str">
        <f t="shared" si="236"/>
        <v>89301000</v>
      </c>
      <c r="B10010" t="str">
        <f>"6607060361"</f>
        <v>6607060361</v>
      </c>
      <c r="C10010" s="1">
        <v>44958</v>
      </c>
      <c r="D10010" s="1">
        <v>44960</v>
      </c>
      <c r="E10010">
        <v>1</v>
      </c>
      <c r="F10010" t="str">
        <f>"08-I25-02"</f>
        <v>08-I25-02</v>
      </c>
      <c r="G10010">
        <v>0.55279999999999996</v>
      </c>
      <c r="H10010" t="s">
        <v>11</v>
      </c>
      <c r="I10010" t="s">
        <v>10</v>
      </c>
    </row>
    <row r="10011" spans="1:9" x14ac:dyDescent="0.25">
      <c r="A10011" t="str">
        <f t="shared" si="236"/>
        <v>89301000</v>
      </c>
      <c r="B10011" t="str">
        <f>"6607162034"</f>
        <v>6607162034</v>
      </c>
      <c r="C10011" s="1">
        <v>45252</v>
      </c>
      <c r="D10011" s="1">
        <v>45254</v>
      </c>
      <c r="E10011">
        <v>1</v>
      </c>
      <c r="F10011" t="str">
        <f>"01-K01-02"</f>
        <v>01-K01-02</v>
      </c>
      <c r="G10011">
        <v>0.442</v>
      </c>
      <c r="H10011" t="s">
        <v>11</v>
      </c>
      <c r="I10011" t="s">
        <v>10</v>
      </c>
    </row>
    <row r="10012" spans="1:9" x14ac:dyDescent="0.25">
      <c r="A10012" t="str">
        <f t="shared" si="236"/>
        <v>89301000</v>
      </c>
      <c r="B10012" t="str">
        <f>"6607211897"</f>
        <v>6607211897</v>
      </c>
      <c r="C10012" s="1">
        <v>45154</v>
      </c>
      <c r="D10012" s="1">
        <v>45156</v>
      </c>
      <c r="E10012">
        <v>1</v>
      </c>
      <c r="F10012" t="str">
        <f>"03-I19-03"</f>
        <v>03-I19-03</v>
      </c>
      <c r="G10012">
        <v>0.53249999999999997</v>
      </c>
      <c r="H10012" t="s">
        <v>11</v>
      </c>
      <c r="I10012" t="s">
        <v>10</v>
      </c>
    </row>
    <row r="10013" spans="1:9" x14ac:dyDescent="0.25">
      <c r="A10013" t="str">
        <f t="shared" si="236"/>
        <v>89301000</v>
      </c>
      <c r="B10013" t="str">
        <f>"6607221247"</f>
        <v>6607221247</v>
      </c>
      <c r="C10013" s="1">
        <v>45063</v>
      </c>
      <c r="D10013" s="1">
        <v>45065</v>
      </c>
      <c r="E10013">
        <v>1</v>
      </c>
      <c r="F10013" t="str">
        <f>"08-M03-02"</f>
        <v>08-M03-02</v>
      </c>
      <c r="G10013">
        <v>0.91359999999999997</v>
      </c>
      <c r="H10013" t="s">
        <v>11</v>
      </c>
      <c r="I10013" t="s">
        <v>10</v>
      </c>
    </row>
    <row r="10014" spans="1:9" x14ac:dyDescent="0.25">
      <c r="A10014" t="str">
        <f t="shared" si="236"/>
        <v>89301000</v>
      </c>
      <c r="B10014" t="str">
        <f>"6607221247"</f>
        <v>6607221247</v>
      </c>
      <c r="C10014" s="1">
        <v>45078</v>
      </c>
      <c r="D10014" s="1">
        <v>45093</v>
      </c>
      <c r="E10014">
        <v>1</v>
      </c>
      <c r="F10014" t="str">
        <f>"08-M03-05"</f>
        <v>08-M03-05</v>
      </c>
      <c r="G10014">
        <v>1.7354000000000001</v>
      </c>
      <c r="H10014" t="s">
        <v>11</v>
      </c>
      <c r="I10014" t="s">
        <v>10</v>
      </c>
    </row>
    <row r="10015" spans="1:9" x14ac:dyDescent="0.25">
      <c r="A10015" t="str">
        <f t="shared" si="236"/>
        <v>89301000</v>
      </c>
      <c r="B10015" t="str">
        <f>"6607221390"</f>
        <v>6607221390</v>
      </c>
      <c r="C10015" s="1">
        <v>45169</v>
      </c>
      <c r="D10015" s="1">
        <v>45173</v>
      </c>
      <c r="E10015">
        <v>1</v>
      </c>
      <c r="F10015" t="str">
        <f>"07-M02-04"</f>
        <v>07-M02-04</v>
      </c>
      <c r="G10015">
        <v>0.80200000000000005</v>
      </c>
      <c r="H10015" t="s">
        <v>12</v>
      </c>
      <c r="I10015" t="s">
        <v>10</v>
      </c>
    </row>
    <row r="10016" spans="1:9" x14ac:dyDescent="0.25">
      <c r="A10016" t="str">
        <f t="shared" si="236"/>
        <v>89301000</v>
      </c>
      <c r="B10016" t="str">
        <f>"6607221390"</f>
        <v>6607221390</v>
      </c>
      <c r="C10016" s="1">
        <v>44978</v>
      </c>
      <c r="D10016" s="1">
        <v>44984</v>
      </c>
      <c r="E10016">
        <v>1</v>
      </c>
      <c r="F10016" t="str">
        <f>"07-M02-01"</f>
        <v>07-M02-01</v>
      </c>
      <c r="G10016">
        <v>2.5592000000000001</v>
      </c>
      <c r="H10016" t="s">
        <v>12</v>
      </c>
      <c r="I10016" t="s">
        <v>10</v>
      </c>
    </row>
    <row r="10017" spans="1:9" x14ac:dyDescent="0.25">
      <c r="A10017" t="str">
        <f t="shared" si="236"/>
        <v>89301000</v>
      </c>
      <c r="B10017" t="str">
        <f>"6607221390"</f>
        <v>6607221390</v>
      </c>
      <c r="C10017" s="1">
        <v>45071</v>
      </c>
      <c r="D10017" s="1">
        <v>45072</v>
      </c>
      <c r="E10017">
        <v>1</v>
      </c>
      <c r="F10017" t="str">
        <f>"07-M02-04"</f>
        <v>07-M02-04</v>
      </c>
      <c r="G10017">
        <v>0.60660000000000003</v>
      </c>
      <c r="H10017" t="s">
        <v>12</v>
      </c>
      <c r="I10017" t="s">
        <v>10</v>
      </c>
    </row>
    <row r="10018" spans="1:9" x14ac:dyDescent="0.25">
      <c r="A10018" t="str">
        <f t="shared" si="236"/>
        <v>89301000</v>
      </c>
      <c r="B10018" t="str">
        <f>"6607231939"</f>
        <v>6607231939</v>
      </c>
      <c r="C10018" s="1">
        <v>45192</v>
      </c>
      <c r="D10018" s="1">
        <v>45194</v>
      </c>
      <c r="E10018">
        <v>1</v>
      </c>
      <c r="F10018" t="str">
        <f>"08-I18-02"</f>
        <v>08-I18-02</v>
      </c>
      <c r="G10018">
        <v>0.62509999999999999</v>
      </c>
      <c r="H10018" t="s">
        <v>12</v>
      </c>
      <c r="I10018" t="s">
        <v>10</v>
      </c>
    </row>
    <row r="10019" spans="1:9" x14ac:dyDescent="0.25">
      <c r="A10019" t="str">
        <f t="shared" si="236"/>
        <v>89301000</v>
      </c>
      <c r="B10019" t="str">
        <f>"6607231939"</f>
        <v>6607231939</v>
      </c>
      <c r="C10019" s="1">
        <v>45042</v>
      </c>
      <c r="D10019" s="1">
        <v>45045</v>
      </c>
      <c r="E10019">
        <v>1</v>
      </c>
      <c r="F10019" t="str">
        <f>"06-I16-03"</f>
        <v>06-I16-03</v>
      </c>
      <c r="G10019">
        <v>0.83740000000000003</v>
      </c>
      <c r="H10019" t="s">
        <v>9</v>
      </c>
      <c r="I10019" t="s">
        <v>10</v>
      </c>
    </row>
    <row r="10020" spans="1:9" x14ac:dyDescent="0.25">
      <c r="A10020" t="str">
        <f t="shared" si="236"/>
        <v>89301000</v>
      </c>
      <c r="B10020" t="str">
        <f>"6608116262"</f>
        <v>6608116262</v>
      </c>
      <c r="C10020" s="1">
        <v>45006</v>
      </c>
      <c r="D10020" s="1">
        <v>45010</v>
      </c>
      <c r="E10020">
        <v>1</v>
      </c>
      <c r="F10020" t="str">
        <f>"06-I17-02"</f>
        <v>06-I17-02</v>
      </c>
      <c r="G10020">
        <v>1.0106999999999999</v>
      </c>
      <c r="H10020" t="s">
        <v>12</v>
      </c>
      <c r="I10020" t="s">
        <v>10</v>
      </c>
    </row>
    <row r="10021" spans="1:9" x14ac:dyDescent="0.25">
      <c r="A10021" t="str">
        <f t="shared" si="236"/>
        <v>89301000</v>
      </c>
      <c r="B10021" t="str">
        <f>"6608210587"</f>
        <v>6608210587</v>
      </c>
      <c r="C10021" s="1">
        <v>45057</v>
      </c>
      <c r="D10021" s="1">
        <v>45059</v>
      </c>
      <c r="E10021">
        <v>1</v>
      </c>
      <c r="F10021" t="str">
        <f>"08-I22-01"</f>
        <v>08-I22-01</v>
      </c>
      <c r="G10021">
        <v>1.9497</v>
      </c>
      <c r="H10021" t="s">
        <v>12</v>
      </c>
      <c r="I10021" t="s">
        <v>10</v>
      </c>
    </row>
    <row r="10022" spans="1:9" x14ac:dyDescent="0.25">
      <c r="A10022" t="str">
        <f t="shared" si="236"/>
        <v>89301000</v>
      </c>
      <c r="B10022" t="str">
        <f>"6608261044"</f>
        <v>6608261044</v>
      </c>
      <c r="C10022" s="1">
        <v>45264</v>
      </c>
      <c r="D10022" s="1">
        <v>45280</v>
      </c>
      <c r="E10022">
        <v>1</v>
      </c>
      <c r="F10022" t="str">
        <f>"24-M07-01"</f>
        <v>24-M07-01</v>
      </c>
      <c r="G10022">
        <v>1.7937000000000001</v>
      </c>
      <c r="H10022" t="s">
        <v>11</v>
      </c>
      <c r="I10022" t="s">
        <v>10</v>
      </c>
    </row>
    <row r="10023" spans="1:9" x14ac:dyDescent="0.25">
      <c r="A10023" t="str">
        <f t="shared" si="236"/>
        <v>89301000</v>
      </c>
      <c r="B10023" t="str">
        <f>"6608261044"</f>
        <v>6608261044</v>
      </c>
      <c r="C10023" s="1">
        <v>45258</v>
      </c>
      <c r="D10023" s="1">
        <v>45261</v>
      </c>
      <c r="E10023">
        <v>1</v>
      </c>
      <c r="F10023" t="str">
        <f>"08-I03-08"</f>
        <v>08-I03-08</v>
      </c>
      <c r="G10023">
        <v>1.9455</v>
      </c>
      <c r="H10023" t="s">
        <v>9</v>
      </c>
      <c r="I10023" t="s">
        <v>10</v>
      </c>
    </row>
    <row r="10024" spans="1:9" x14ac:dyDescent="0.25">
      <c r="A10024" t="str">
        <f t="shared" ref="A10024:A10087" si="237">"89301000"</f>
        <v>89301000</v>
      </c>
      <c r="B10024" t="str">
        <f>"6608300006"</f>
        <v>6608300006</v>
      </c>
      <c r="C10024" s="1">
        <v>44945</v>
      </c>
      <c r="D10024" s="1">
        <v>44946</v>
      </c>
      <c r="E10024">
        <v>1</v>
      </c>
      <c r="F10024" t="str">
        <f>"04-K15-03"</f>
        <v>04-K15-03</v>
      </c>
      <c r="G10024">
        <v>0.49790000000000001</v>
      </c>
      <c r="H10024" t="s">
        <v>11</v>
      </c>
      <c r="I10024" t="s">
        <v>10</v>
      </c>
    </row>
    <row r="10025" spans="1:9" x14ac:dyDescent="0.25">
      <c r="A10025" t="str">
        <f t="shared" si="237"/>
        <v>89301000</v>
      </c>
      <c r="B10025" t="str">
        <f>"6608300006"</f>
        <v>6608300006</v>
      </c>
      <c r="C10025" s="1">
        <v>45240</v>
      </c>
      <c r="D10025" s="1">
        <v>45243</v>
      </c>
      <c r="E10025">
        <v>1</v>
      </c>
      <c r="F10025" t="str">
        <f>"01-D01-03"</f>
        <v>01-D01-03</v>
      </c>
      <c r="G10025">
        <v>0.21060000000000001</v>
      </c>
      <c r="H10025" t="s">
        <v>11</v>
      </c>
      <c r="I10025" t="s">
        <v>10</v>
      </c>
    </row>
    <row r="10026" spans="1:9" x14ac:dyDescent="0.25">
      <c r="A10026" t="str">
        <f t="shared" si="237"/>
        <v>89301000</v>
      </c>
      <c r="B10026" t="str">
        <f>"6608300006"</f>
        <v>6608300006</v>
      </c>
      <c r="C10026" s="1">
        <v>45160</v>
      </c>
      <c r="D10026" s="1">
        <v>45161</v>
      </c>
      <c r="E10026">
        <v>1</v>
      </c>
      <c r="F10026" t="str">
        <f>"01-D01-03"</f>
        <v>01-D01-03</v>
      </c>
      <c r="G10026">
        <v>0.16200000000000001</v>
      </c>
      <c r="H10026" t="s">
        <v>11</v>
      </c>
      <c r="I10026" t="s">
        <v>10</v>
      </c>
    </row>
    <row r="10027" spans="1:9" x14ac:dyDescent="0.25">
      <c r="A10027" t="str">
        <f t="shared" si="237"/>
        <v>89301000</v>
      </c>
      <c r="B10027" t="str">
        <f>"6609130418"</f>
        <v>6609130418</v>
      </c>
      <c r="C10027" s="1">
        <v>45252</v>
      </c>
      <c r="D10027" s="1">
        <v>45254</v>
      </c>
      <c r="E10027">
        <v>1</v>
      </c>
      <c r="F10027" t="str">
        <f>"01-K08-02"</f>
        <v>01-K08-02</v>
      </c>
      <c r="G10027">
        <v>0.60619999999999996</v>
      </c>
      <c r="H10027" t="s">
        <v>11</v>
      </c>
      <c r="I10027" t="s">
        <v>10</v>
      </c>
    </row>
    <row r="10028" spans="1:9" x14ac:dyDescent="0.25">
      <c r="A10028" t="str">
        <f t="shared" si="237"/>
        <v>89301000</v>
      </c>
      <c r="B10028" t="str">
        <f>"6609201324"</f>
        <v>6609201324</v>
      </c>
      <c r="C10028" s="1">
        <v>45208</v>
      </c>
      <c r="D10028" s="1">
        <v>45215</v>
      </c>
      <c r="E10028">
        <v>3</v>
      </c>
      <c r="F10028" t="str">
        <f>"08-I06-05"</f>
        <v>08-I06-05</v>
      </c>
      <c r="G10028">
        <v>2.1507000000000001</v>
      </c>
      <c r="H10028" t="s">
        <v>9</v>
      </c>
      <c r="I10028" t="s">
        <v>10</v>
      </c>
    </row>
    <row r="10029" spans="1:9" x14ac:dyDescent="0.25">
      <c r="A10029" t="str">
        <f t="shared" si="237"/>
        <v>89301000</v>
      </c>
      <c r="B10029" t="str">
        <f>"6609201324"</f>
        <v>6609201324</v>
      </c>
      <c r="C10029" s="1">
        <v>45215</v>
      </c>
      <c r="D10029" s="1">
        <v>45224</v>
      </c>
      <c r="E10029">
        <v>1</v>
      </c>
      <c r="F10029" t="str">
        <f>"24-M05-02"</f>
        <v>24-M05-02</v>
      </c>
      <c r="G10029">
        <v>0.58660000000000001</v>
      </c>
      <c r="H10029" t="s">
        <v>11</v>
      </c>
      <c r="I10029" t="s">
        <v>10</v>
      </c>
    </row>
    <row r="10030" spans="1:9" x14ac:dyDescent="0.25">
      <c r="A10030" t="str">
        <f t="shared" si="237"/>
        <v>89301000</v>
      </c>
      <c r="B10030" t="str">
        <f>"6609300940"</f>
        <v>6609300940</v>
      </c>
      <c r="C10030" s="1">
        <v>44990</v>
      </c>
      <c r="D10030" s="1">
        <v>44998</v>
      </c>
      <c r="E10030">
        <v>4</v>
      </c>
      <c r="F10030" t="str">
        <f>"08-I05-04"</f>
        <v>08-I05-04</v>
      </c>
      <c r="G10030">
        <v>2.4445000000000001</v>
      </c>
      <c r="H10030" t="s">
        <v>12</v>
      </c>
      <c r="I10030" t="s">
        <v>10</v>
      </c>
    </row>
    <row r="10031" spans="1:9" x14ac:dyDescent="0.25">
      <c r="A10031" t="str">
        <f t="shared" si="237"/>
        <v>89301000</v>
      </c>
      <c r="B10031" t="str">
        <f>"6610101641"</f>
        <v>6610101641</v>
      </c>
      <c r="C10031" s="1">
        <v>44972</v>
      </c>
      <c r="D10031" s="1">
        <v>44976</v>
      </c>
      <c r="E10031">
        <v>1</v>
      </c>
      <c r="F10031" t="str">
        <f>"09-K01-04"</f>
        <v>09-K01-04</v>
      </c>
      <c r="G10031">
        <v>0.59330000000000005</v>
      </c>
      <c r="H10031" t="s">
        <v>11</v>
      </c>
      <c r="I10031" t="s">
        <v>10</v>
      </c>
    </row>
    <row r="10032" spans="1:9" x14ac:dyDescent="0.25">
      <c r="A10032" t="str">
        <f t="shared" si="237"/>
        <v>89301000</v>
      </c>
      <c r="B10032" t="str">
        <f>"6610101817"</f>
        <v>6610101817</v>
      </c>
      <c r="C10032" s="1">
        <v>45238</v>
      </c>
      <c r="D10032" s="1">
        <v>45245</v>
      </c>
      <c r="E10032">
        <v>1</v>
      </c>
      <c r="F10032" t="str">
        <f>"03-I19-01"</f>
        <v>03-I19-01</v>
      </c>
      <c r="G10032">
        <v>2.5438999999999998</v>
      </c>
      <c r="H10032" t="s">
        <v>11</v>
      </c>
      <c r="I10032" t="s">
        <v>10</v>
      </c>
    </row>
    <row r="10033" spans="1:9" x14ac:dyDescent="0.25">
      <c r="A10033" t="str">
        <f t="shared" si="237"/>
        <v>89301000</v>
      </c>
      <c r="B10033" t="str">
        <f>"6610261042"</f>
        <v>6610261042</v>
      </c>
      <c r="C10033" s="1">
        <v>45103</v>
      </c>
      <c r="D10033" s="1">
        <v>45110</v>
      </c>
      <c r="E10033">
        <v>4</v>
      </c>
      <c r="F10033" t="str">
        <f>"08-I05-04"</f>
        <v>08-I05-04</v>
      </c>
      <c r="G10033">
        <v>2.4445000000000001</v>
      </c>
      <c r="H10033" t="s">
        <v>12</v>
      </c>
      <c r="I10033" t="s">
        <v>10</v>
      </c>
    </row>
    <row r="10034" spans="1:9" x14ac:dyDescent="0.25">
      <c r="A10034" t="str">
        <f t="shared" si="237"/>
        <v>89301000</v>
      </c>
      <c r="B10034" t="str">
        <f>"6610262285"</f>
        <v>6610262285</v>
      </c>
      <c r="C10034" s="1">
        <v>45256</v>
      </c>
      <c r="D10034" s="1">
        <v>45262</v>
      </c>
      <c r="E10034">
        <v>1</v>
      </c>
      <c r="F10034" t="str">
        <f>"12-I03-01"</f>
        <v>12-I03-01</v>
      </c>
      <c r="G10034">
        <v>2.6934999999999998</v>
      </c>
      <c r="H10034" t="s">
        <v>9</v>
      </c>
      <c r="I10034" t="s">
        <v>10</v>
      </c>
    </row>
    <row r="10035" spans="1:9" x14ac:dyDescent="0.25">
      <c r="A10035" t="str">
        <f t="shared" si="237"/>
        <v>89301000</v>
      </c>
      <c r="B10035" t="str">
        <f>"6611010868"</f>
        <v>6611010868</v>
      </c>
      <c r="C10035" s="1">
        <v>45076</v>
      </c>
      <c r="D10035" s="1">
        <v>45079</v>
      </c>
      <c r="E10035">
        <v>1</v>
      </c>
      <c r="F10035" t="str">
        <f>"01-K08-02"</f>
        <v>01-K08-02</v>
      </c>
      <c r="G10035">
        <v>0.60619999999999996</v>
      </c>
      <c r="H10035" t="s">
        <v>11</v>
      </c>
      <c r="I10035" t="s">
        <v>10</v>
      </c>
    </row>
    <row r="10036" spans="1:9" x14ac:dyDescent="0.25">
      <c r="A10036" t="str">
        <f t="shared" si="237"/>
        <v>89301000</v>
      </c>
      <c r="B10036" t="str">
        <f>"6611220770"</f>
        <v>6611220770</v>
      </c>
      <c r="C10036" s="1">
        <v>44959</v>
      </c>
      <c r="D10036" s="1">
        <v>44962</v>
      </c>
      <c r="E10036">
        <v>1</v>
      </c>
      <c r="F10036" t="str">
        <f>"08-I22-02"</f>
        <v>08-I22-02</v>
      </c>
      <c r="G10036">
        <v>1.131</v>
      </c>
      <c r="H10036" t="s">
        <v>12</v>
      </c>
      <c r="I10036" t="s">
        <v>10</v>
      </c>
    </row>
    <row r="10037" spans="1:9" x14ac:dyDescent="0.25">
      <c r="A10037" t="str">
        <f t="shared" si="237"/>
        <v>89301000</v>
      </c>
      <c r="B10037" t="str">
        <f>"6611231704"</f>
        <v>6611231704</v>
      </c>
      <c r="C10037" s="1">
        <v>44963</v>
      </c>
      <c r="D10037" s="1">
        <v>44965</v>
      </c>
      <c r="E10037">
        <v>1</v>
      </c>
      <c r="F10037" t="str">
        <f>"06-M01-02"</f>
        <v>06-M01-02</v>
      </c>
      <c r="G10037">
        <v>1.1413</v>
      </c>
      <c r="H10037" t="s">
        <v>11</v>
      </c>
      <c r="I10037" t="s">
        <v>10</v>
      </c>
    </row>
    <row r="10038" spans="1:9" x14ac:dyDescent="0.25">
      <c r="A10038" t="str">
        <f t="shared" si="237"/>
        <v>89301000</v>
      </c>
      <c r="B10038" t="str">
        <f>"6612011494"</f>
        <v>6612011494</v>
      </c>
      <c r="C10038" s="1">
        <v>45103</v>
      </c>
      <c r="D10038" s="1">
        <v>45110</v>
      </c>
      <c r="E10038">
        <v>1</v>
      </c>
      <c r="F10038" t="str">
        <f>"07-I10-04"</f>
        <v>07-I10-04</v>
      </c>
      <c r="G10038">
        <v>1.4211</v>
      </c>
      <c r="H10038" t="s">
        <v>12</v>
      </c>
      <c r="I10038" t="s">
        <v>10</v>
      </c>
    </row>
    <row r="10039" spans="1:9" x14ac:dyDescent="0.25">
      <c r="A10039" t="str">
        <f t="shared" si="237"/>
        <v>89301000</v>
      </c>
      <c r="B10039" t="str">
        <f>"6612091618"</f>
        <v>6612091618</v>
      </c>
      <c r="C10039" s="1">
        <v>45179</v>
      </c>
      <c r="D10039" s="1">
        <v>45187</v>
      </c>
      <c r="E10039">
        <v>2</v>
      </c>
      <c r="F10039" t="str">
        <f>"01-C02-02"</f>
        <v>01-C02-02</v>
      </c>
      <c r="G10039">
        <v>1.6685000000000001</v>
      </c>
      <c r="H10039" t="s">
        <v>11</v>
      </c>
      <c r="I10039" t="s">
        <v>10</v>
      </c>
    </row>
    <row r="10040" spans="1:9" x14ac:dyDescent="0.25">
      <c r="A10040" t="str">
        <f t="shared" si="237"/>
        <v>89301000</v>
      </c>
      <c r="B10040" t="str">
        <f>"6612110373"</f>
        <v>6612110373</v>
      </c>
      <c r="C10040" s="1">
        <v>45080</v>
      </c>
      <c r="D10040" s="1">
        <v>45081</v>
      </c>
      <c r="E10040">
        <v>6</v>
      </c>
      <c r="F10040" t="str">
        <f>"01-K16-05"</f>
        <v>01-K16-05</v>
      </c>
      <c r="G10040">
        <v>0.62649999999999995</v>
      </c>
      <c r="H10040" t="s">
        <v>11</v>
      </c>
      <c r="I10040" t="s">
        <v>10</v>
      </c>
    </row>
    <row r="10041" spans="1:9" x14ac:dyDescent="0.25">
      <c r="A10041" t="str">
        <f t="shared" si="237"/>
        <v>89301000</v>
      </c>
      <c r="B10041" t="str">
        <f>"6612111495"</f>
        <v>6612111495</v>
      </c>
      <c r="C10041" s="1">
        <v>44993</v>
      </c>
      <c r="D10041" s="1">
        <v>44994</v>
      </c>
      <c r="E10041">
        <v>1</v>
      </c>
      <c r="F10041" t="str">
        <f>"08-I32-00"</f>
        <v>08-I32-00</v>
      </c>
      <c r="G10041">
        <v>0.4093</v>
      </c>
      <c r="H10041" t="s">
        <v>11</v>
      </c>
      <c r="I10041" t="s">
        <v>10</v>
      </c>
    </row>
    <row r="10042" spans="1:9" x14ac:dyDescent="0.25">
      <c r="A10042" t="str">
        <f t="shared" si="237"/>
        <v>89301000</v>
      </c>
      <c r="B10042" t="str">
        <f>"6612131889"</f>
        <v>6612131889</v>
      </c>
      <c r="C10042" s="1">
        <v>45035</v>
      </c>
      <c r="D10042" s="1">
        <v>45038</v>
      </c>
      <c r="E10042">
        <v>1</v>
      </c>
      <c r="F10042" t="str">
        <f>"11-M06-03"</f>
        <v>11-M06-03</v>
      </c>
      <c r="G10042">
        <v>0.62009999999999998</v>
      </c>
      <c r="H10042" t="s">
        <v>12</v>
      </c>
      <c r="I10042" t="s">
        <v>10</v>
      </c>
    </row>
    <row r="10043" spans="1:9" x14ac:dyDescent="0.25">
      <c r="A10043" t="str">
        <f t="shared" si="237"/>
        <v>89301000</v>
      </c>
      <c r="B10043" t="str">
        <f>"6612131889"</f>
        <v>6612131889</v>
      </c>
      <c r="C10043" s="1">
        <v>45095</v>
      </c>
      <c r="D10043" s="1">
        <v>45110</v>
      </c>
      <c r="E10043">
        <v>1</v>
      </c>
      <c r="F10043" t="str">
        <f>"11-I01-02"</f>
        <v>11-I01-02</v>
      </c>
      <c r="G10043">
        <v>4.8537999999999997</v>
      </c>
      <c r="H10043" t="s">
        <v>14</v>
      </c>
      <c r="I10043" t="s">
        <v>10</v>
      </c>
    </row>
    <row r="10044" spans="1:9" x14ac:dyDescent="0.25">
      <c r="A10044" t="str">
        <f t="shared" si="237"/>
        <v>89301000</v>
      </c>
      <c r="B10044" t="str">
        <f>"6612131889"</f>
        <v>6612131889</v>
      </c>
      <c r="C10044" s="1">
        <v>45001</v>
      </c>
      <c r="D10044" s="1">
        <v>45005</v>
      </c>
      <c r="E10044">
        <v>1</v>
      </c>
      <c r="F10044" t="str">
        <f>"11-M06-03"</f>
        <v>11-M06-03</v>
      </c>
      <c r="G10044">
        <v>0.62009999999999998</v>
      </c>
      <c r="H10044" t="s">
        <v>12</v>
      </c>
      <c r="I10044" t="s">
        <v>10</v>
      </c>
    </row>
    <row r="10045" spans="1:9" x14ac:dyDescent="0.25">
      <c r="A10045" t="str">
        <f t="shared" si="237"/>
        <v>89301000</v>
      </c>
      <c r="B10045" t="str">
        <f>"6612210253"</f>
        <v>6612210253</v>
      </c>
      <c r="C10045" s="1">
        <v>45256</v>
      </c>
      <c r="D10045" s="1">
        <v>45263</v>
      </c>
      <c r="E10045">
        <v>1</v>
      </c>
      <c r="F10045" t="str">
        <f>"08-I03-05"</f>
        <v>08-I03-05</v>
      </c>
      <c r="G10045">
        <v>3.1789999999999998</v>
      </c>
      <c r="H10045" t="s">
        <v>9</v>
      </c>
      <c r="I10045" t="s">
        <v>10</v>
      </c>
    </row>
    <row r="10046" spans="1:9" x14ac:dyDescent="0.25">
      <c r="A10046" t="str">
        <f t="shared" si="237"/>
        <v>89301000</v>
      </c>
      <c r="B10046" t="str">
        <f t="shared" ref="B10046:B10053" si="238">"6612311596"</f>
        <v>6612311596</v>
      </c>
      <c r="C10046" s="1">
        <v>45063</v>
      </c>
      <c r="D10046" s="1">
        <v>45069</v>
      </c>
      <c r="E10046">
        <v>1</v>
      </c>
      <c r="F10046" t="str">
        <f>"17-C05-05"</f>
        <v>17-C05-05</v>
      </c>
      <c r="G10046">
        <v>0.66069999999999995</v>
      </c>
      <c r="H10046" t="s">
        <v>11</v>
      </c>
      <c r="I10046" t="s">
        <v>10</v>
      </c>
    </row>
    <row r="10047" spans="1:9" x14ac:dyDescent="0.25">
      <c r="A10047" t="str">
        <f t="shared" si="237"/>
        <v>89301000</v>
      </c>
      <c r="B10047" t="str">
        <f t="shared" si="238"/>
        <v>6612311596</v>
      </c>
      <c r="C10047" s="1">
        <v>45036</v>
      </c>
      <c r="D10047" s="1">
        <v>45040</v>
      </c>
      <c r="E10047">
        <v>1</v>
      </c>
      <c r="F10047" t="str">
        <f>"17-K05-02"</f>
        <v>17-K05-02</v>
      </c>
      <c r="G10047">
        <v>0.71850000000000003</v>
      </c>
      <c r="H10047" t="s">
        <v>11</v>
      </c>
      <c r="I10047" t="s">
        <v>10</v>
      </c>
    </row>
    <row r="10048" spans="1:9" x14ac:dyDescent="0.25">
      <c r="A10048" t="str">
        <f t="shared" si="237"/>
        <v>89301000</v>
      </c>
      <c r="B10048" t="str">
        <f t="shared" si="238"/>
        <v>6612311596</v>
      </c>
      <c r="C10048" s="1">
        <v>45044</v>
      </c>
      <c r="D10048" s="1">
        <v>45051</v>
      </c>
      <c r="E10048">
        <v>1</v>
      </c>
      <c r="F10048" t="str">
        <f>"17-C05-05"</f>
        <v>17-C05-05</v>
      </c>
      <c r="G10048">
        <v>0.66069999999999995</v>
      </c>
      <c r="H10048" t="s">
        <v>11</v>
      </c>
      <c r="I10048" t="s">
        <v>10</v>
      </c>
    </row>
    <row r="10049" spans="1:9" x14ac:dyDescent="0.25">
      <c r="A10049" t="str">
        <f t="shared" si="237"/>
        <v>89301000</v>
      </c>
      <c r="B10049" t="str">
        <f t="shared" si="238"/>
        <v>6612311596</v>
      </c>
      <c r="C10049" s="1">
        <v>45100</v>
      </c>
      <c r="D10049" s="1">
        <v>45115</v>
      </c>
      <c r="E10049">
        <v>1</v>
      </c>
      <c r="F10049" t="str">
        <f>"17-C05-05"</f>
        <v>17-C05-05</v>
      </c>
      <c r="G10049">
        <v>1.4019999999999999</v>
      </c>
      <c r="H10049" t="s">
        <v>11</v>
      </c>
      <c r="I10049" t="s">
        <v>10</v>
      </c>
    </row>
    <row r="10050" spans="1:9" x14ac:dyDescent="0.25">
      <c r="A10050" t="str">
        <f t="shared" si="237"/>
        <v>89301000</v>
      </c>
      <c r="B10050" t="str">
        <f t="shared" si="238"/>
        <v>6612311596</v>
      </c>
      <c r="C10050" s="1">
        <v>45209</v>
      </c>
      <c r="D10050" s="1">
        <v>45211</v>
      </c>
      <c r="E10050">
        <v>1</v>
      </c>
      <c r="F10050" t="str">
        <f>"17-K05-02"</f>
        <v>17-K05-02</v>
      </c>
      <c r="G10050">
        <v>0.67759999999999998</v>
      </c>
      <c r="H10050" t="s">
        <v>11</v>
      </c>
      <c r="I10050" t="s">
        <v>10</v>
      </c>
    </row>
    <row r="10051" spans="1:9" x14ac:dyDescent="0.25">
      <c r="A10051" t="str">
        <f t="shared" si="237"/>
        <v>89301000</v>
      </c>
      <c r="B10051" t="str">
        <f t="shared" si="238"/>
        <v>6612311596</v>
      </c>
      <c r="C10051" s="1">
        <v>45074</v>
      </c>
      <c r="D10051" s="1">
        <v>45093</v>
      </c>
      <c r="E10051">
        <v>1</v>
      </c>
      <c r="F10051" t="str">
        <f>"17-C05-01"</f>
        <v>17-C05-01</v>
      </c>
      <c r="G10051">
        <v>6.7774000000000001</v>
      </c>
      <c r="H10051" t="s">
        <v>11</v>
      </c>
      <c r="I10051" t="s">
        <v>10</v>
      </c>
    </row>
    <row r="10052" spans="1:9" x14ac:dyDescent="0.25">
      <c r="A10052" t="str">
        <f t="shared" si="237"/>
        <v>89301000</v>
      </c>
      <c r="B10052" t="str">
        <f t="shared" si="238"/>
        <v>6612311596</v>
      </c>
      <c r="C10052" s="1">
        <v>45131</v>
      </c>
      <c r="D10052" s="1">
        <v>45137</v>
      </c>
      <c r="E10052">
        <v>1</v>
      </c>
      <c r="F10052" t="str">
        <f>"17-C05-05"</f>
        <v>17-C05-05</v>
      </c>
      <c r="G10052">
        <v>0.66069999999999995</v>
      </c>
      <c r="H10052" t="s">
        <v>11</v>
      </c>
      <c r="I10052" t="s">
        <v>10</v>
      </c>
    </row>
    <row r="10053" spans="1:9" x14ac:dyDescent="0.25">
      <c r="A10053" t="str">
        <f t="shared" si="237"/>
        <v>89301000</v>
      </c>
      <c r="B10053" t="str">
        <f t="shared" si="238"/>
        <v>6612311596</v>
      </c>
      <c r="C10053" s="1">
        <v>45159</v>
      </c>
      <c r="D10053" s="1">
        <v>45166</v>
      </c>
      <c r="E10053">
        <v>1</v>
      </c>
      <c r="F10053" t="str">
        <f>"17-C05-05"</f>
        <v>17-C05-05</v>
      </c>
      <c r="G10053">
        <v>0.66069999999999995</v>
      </c>
      <c r="H10053" t="s">
        <v>11</v>
      </c>
      <c r="I10053" t="s">
        <v>10</v>
      </c>
    </row>
    <row r="10054" spans="1:9" x14ac:dyDescent="0.25">
      <c r="A10054" t="str">
        <f t="shared" si="237"/>
        <v>89301000</v>
      </c>
      <c r="B10054" t="str">
        <f>"6612540517"</f>
        <v>6612540517</v>
      </c>
      <c r="C10054" s="1">
        <v>44987</v>
      </c>
      <c r="D10054" s="1">
        <v>44988</v>
      </c>
      <c r="E10054">
        <v>1</v>
      </c>
      <c r="F10054" t="str">
        <f>"05-M06-08"</f>
        <v>05-M06-08</v>
      </c>
      <c r="G10054">
        <v>1.4228000000000001</v>
      </c>
      <c r="H10054" t="s">
        <v>12</v>
      </c>
      <c r="I10054" t="s">
        <v>10</v>
      </c>
    </row>
    <row r="10055" spans="1:9" x14ac:dyDescent="0.25">
      <c r="A10055" t="str">
        <f t="shared" si="237"/>
        <v>89301000</v>
      </c>
      <c r="B10055" t="str">
        <f>"6612540517"</f>
        <v>6612540517</v>
      </c>
      <c r="C10055" s="1">
        <v>44945</v>
      </c>
      <c r="D10055" s="1">
        <v>44946</v>
      </c>
      <c r="E10055">
        <v>1</v>
      </c>
      <c r="F10055" t="str">
        <f>"05-M06-08"</f>
        <v>05-M06-08</v>
      </c>
      <c r="G10055">
        <v>1.4228000000000001</v>
      </c>
      <c r="H10055" t="s">
        <v>12</v>
      </c>
      <c r="I10055" t="s">
        <v>10</v>
      </c>
    </row>
    <row r="10056" spans="1:9" x14ac:dyDescent="0.25">
      <c r="A10056" t="str">
        <f t="shared" si="237"/>
        <v>89301000</v>
      </c>
      <c r="B10056" t="str">
        <f>"6651030144"</f>
        <v>6651030144</v>
      </c>
      <c r="C10056" s="1">
        <v>45181</v>
      </c>
      <c r="D10056" s="1">
        <v>45185</v>
      </c>
      <c r="E10056">
        <v>7</v>
      </c>
      <c r="F10056" t="str">
        <f>"01-M02-00"</f>
        <v>01-M02-00</v>
      </c>
      <c r="G10056">
        <v>5.3973000000000004</v>
      </c>
      <c r="H10056" t="s">
        <v>12</v>
      </c>
      <c r="I10056" t="s">
        <v>10</v>
      </c>
    </row>
    <row r="10057" spans="1:9" x14ac:dyDescent="0.25">
      <c r="A10057" t="str">
        <f t="shared" si="237"/>
        <v>89301000</v>
      </c>
      <c r="B10057" t="str">
        <f>"6651051869"</f>
        <v>6651051869</v>
      </c>
      <c r="C10057" s="1">
        <v>45056</v>
      </c>
      <c r="D10057" s="1">
        <v>45058</v>
      </c>
      <c r="E10057">
        <v>1</v>
      </c>
      <c r="F10057" t="str">
        <f>"08-M03-05"</f>
        <v>08-M03-05</v>
      </c>
      <c r="G10057">
        <v>0.46910000000000002</v>
      </c>
      <c r="H10057" t="s">
        <v>11</v>
      </c>
      <c r="I10057" t="s">
        <v>10</v>
      </c>
    </row>
    <row r="10058" spans="1:9" x14ac:dyDescent="0.25">
      <c r="A10058" t="str">
        <f t="shared" si="237"/>
        <v>89301000</v>
      </c>
      <c r="B10058" t="str">
        <f>"6651101325"</f>
        <v>6651101325</v>
      </c>
      <c r="C10058" s="1">
        <v>45117</v>
      </c>
      <c r="D10058" s="1">
        <v>45119</v>
      </c>
      <c r="E10058">
        <v>1</v>
      </c>
      <c r="F10058" t="str">
        <f>"03-I24-00"</f>
        <v>03-I24-00</v>
      </c>
      <c r="G10058">
        <v>0.40670000000000001</v>
      </c>
      <c r="H10058" t="s">
        <v>11</v>
      </c>
      <c r="I10058" t="s">
        <v>10</v>
      </c>
    </row>
    <row r="10059" spans="1:9" x14ac:dyDescent="0.25">
      <c r="A10059" t="str">
        <f t="shared" si="237"/>
        <v>89301000</v>
      </c>
      <c r="B10059" t="str">
        <f>"6651151672"</f>
        <v>6651151672</v>
      </c>
      <c r="C10059" s="1">
        <v>44993</v>
      </c>
      <c r="D10059" s="1">
        <v>44998</v>
      </c>
      <c r="E10059">
        <v>1</v>
      </c>
      <c r="F10059" t="str">
        <f>"10-K04-04"</f>
        <v>10-K04-04</v>
      </c>
      <c r="G10059">
        <v>0.53949999999999998</v>
      </c>
      <c r="H10059" t="s">
        <v>11</v>
      </c>
      <c r="I10059" t="s">
        <v>10</v>
      </c>
    </row>
    <row r="10060" spans="1:9" x14ac:dyDescent="0.25">
      <c r="A10060" t="str">
        <f t="shared" si="237"/>
        <v>89301000</v>
      </c>
      <c r="B10060" t="str">
        <f>"6651170317"</f>
        <v>6651170317</v>
      </c>
      <c r="C10060" s="1">
        <v>45021</v>
      </c>
      <c r="D10060" s="1">
        <v>45024</v>
      </c>
      <c r="E10060">
        <v>1</v>
      </c>
      <c r="F10060" t="str">
        <f>"08-I03-04"</f>
        <v>08-I03-04</v>
      </c>
      <c r="G10060">
        <v>4.7615999999999996</v>
      </c>
      <c r="H10060" t="s">
        <v>9</v>
      </c>
      <c r="I10060" t="s">
        <v>10</v>
      </c>
    </row>
    <row r="10061" spans="1:9" x14ac:dyDescent="0.25">
      <c r="A10061" t="str">
        <f t="shared" si="237"/>
        <v>89301000</v>
      </c>
      <c r="B10061" t="str">
        <f>"6651180800"</f>
        <v>6651180800</v>
      </c>
      <c r="C10061" s="1">
        <v>45272</v>
      </c>
      <c r="D10061" s="1">
        <v>45274</v>
      </c>
      <c r="E10061">
        <v>1</v>
      </c>
      <c r="F10061" t="str">
        <f>"08-M03-06"</f>
        <v>08-M03-06</v>
      </c>
      <c r="G10061">
        <v>0.3916</v>
      </c>
      <c r="H10061" t="s">
        <v>11</v>
      </c>
      <c r="I10061" t="s">
        <v>10</v>
      </c>
    </row>
    <row r="10062" spans="1:9" x14ac:dyDescent="0.25">
      <c r="A10062" t="str">
        <f t="shared" si="237"/>
        <v>89301000</v>
      </c>
      <c r="B10062" t="str">
        <f>"6651182087"</f>
        <v>6651182087</v>
      </c>
      <c r="C10062" s="1">
        <v>45040</v>
      </c>
      <c r="D10062" s="1">
        <v>45049</v>
      </c>
      <c r="E10062">
        <v>1</v>
      </c>
      <c r="F10062" t="str">
        <f>"04-K04-02"</f>
        <v>04-K04-02</v>
      </c>
      <c r="G10062">
        <v>0.52159999999999995</v>
      </c>
      <c r="H10062" t="s">
        <v>11</v>
      </c>
      <c r="I10062" t="s">
        <v>10</v>
      </c>
    </row>
    <row r="10063" spans="1:9" x14ac:dyDescent="0.25">
      <c r="A10063" t="str">
        <f t="shared" si="237"/>
        <v>89301000</v>
      </c>
      <c r="B10063" t="str">
        <f>"6651182087"</f>
        <v>6651182087</v>
      </c>
      <c r="C10063" s="1">
        <v>44965</v>
      </c>
      <c r="D10063" s="1">
        <v>44974</v>
      </c>
      <c r="E10063">
        <v>1</v>
      </c>
      <c r="F10063" t="str">
        <f>"04-K04-02"</f>
        <v>04-K04-02</v>
      </c>
      <c r="G10063">
        <v>0.54079999999999995</v>
      </c>
      <c r="H10063" t="s">
        <v>11</v>
      </c>
      <c r="I10063" t="s">
        <v>10</v>
      </c>
    </row>
    <row r="10064" spans="1:9" x14ac:dyDescent="0.25">
      <c r="A10064" t="str">
        <f t="shared" si="237"/>
        <v>89301000</v>
      </c>
      <c r="B10064" t="str">
        <f>"6651290250"</f>
        <v>6651290250</v>
      </c>
      <c r="C10064" s="1">
        <v>45222</v>
      </c>
      <c r="D10064" s="1">
        <v>45223</v>
      </c>
      <c r="E10064">
        <v>1</v>
      </c>
      <c r="F10064" t="str">
        <f>"03-K13-02"</f>
        <v>03-K13-02</v>
      </c>
      <c r="G10064">
        <v>0.24440000000000001</v>
      </c>
      <c r="H10064" t="s">
        <v>11</v>
      </c>
      <c r="I10064" t="s">
        <v>10</v>
      </c>
    </row>
    <row r="10065" spans="1:9" x14ac:dyDescent="0.25">
      <c r="A10065" t="str">
        <f t="shared" si="237"/>
        <v>89301000</v>
      </c>
      <c r="B10065" t="str">
        <f>"6651291680"</f>
        <v>6651291680</v>
      </c>
      <c r="C10065" s="1">
        <v>45231</v>
      </c>
      <c r="D10065" s="1">
        <v>45234</v>
      </c>
      <c r="E10065">
        <v>1</v>
      </c>
      <c r="F10065" t="str">
        <f>"08-I25-02"</f>
        <v>08-I25-02</v>
      </c>
      <c r="G10065">
        <v>0.55279999999999996</v>
      </c>
      <c r="H10065" t="s">
        <v>11</v>
      </c>
      <c r="I10065" t="s">
        <v>10</v>
      </c>
    </row>
    <row r="10066" spans="1:9" x14ac:dyDescent="0.25">
      <c r="A10066" t="str">
        <f t="shared" si="237"/>
        <v>89301000</v>
      </c>
      <c r="B10066" t="str">
        <f>"6651291680"</f>
        <v>6651291680</v>
      </c>
      <c r="C10066" s="1">
        <v>45035</v>
      </c>
      <c r="D10066" s="1">
        <v>45038</v>
      </c>
      <c r="E10066">
        <v>1</v>
      </c>
      <c r="F10066" t="str">
        <f>"08-I25-02"</f>
        <v>08-I25-02</v>
      </c>
      <c r="G10066">
        <v>0.5585</v>
      </c>
      <c r="H10066" t="s">
        <v>11</v>
      </c>
      <c r="I10066" t="s">
        <v>10</v>
      </c>
    </row>
    <row r="10067" spans="1:9" x14ac:dyDescent="0.25">
      <c r="A10067" t="str">
        <f t="shared" si="237"/>
        <v>89301000</v>
      </c>
      <c r="B10067" t="str">
        <f>"6652050317"</f>
        <v>6652050317</v>
      </c>
      <c r="C10067" s="1">
        <v>44959</v>
      </c>
      <c r="D10067" s="1">
        <v>44962</v>
      </c>
      <c r="E10067">
        <v>1</v>
      </c>
      <c r="F10067" t="str">
        <f>"05-I30-01"</f>
        <v>05-I30-01</v>
      </c>
      <c r="G10067">
        <v>0.60309999999999997</v>
      </c>
      <c r="H10067" t="s">
        <v>12</v>
      </c>
      <c r="I10067" t="s">
        <v>10</v>
      </c>
    </row>
    <row r="10068" spans="1:9" x14ac:dyDescent="0.25">
      <c r="A10068" t="str">
        <f t="shared" si="237"/>
        <v>89301000</v>
      </c>
      <c r="B10068" t="str">
        <f>"6652061097"</f>
        <v>6652061097</v>
      </c>
      <c r="C10068" s="1">
        <v>45131</v>
      </c>
      <c r="D10068" s="1">
        <v>45133</v>
      </c>
      <c r="E10068">
        <v>1</v>
      </c>
      <c r="F10068" t="str">
        <f>"08-K01-03"</f>
        <v>08-K01-03</v>
      </c>
      <c r="G10068">
        <v>0.59189999999999998</v>
      </c>
      <c r="H10068" t="s">
        <v>11</v>
      </c>
      <c r="I10068" t="s">
        <v>10</v>
      </c>
    </row>
    <row r="10069" spans="1:9" x14ac:dyDescent="0.25">
      <c r="A10069" t="str">
        <f t="shared" si="237"/>
        <v>89301000</v>
      </c>
      <c r="B10069" t="str">
        <f>"6652061097"</f>
        <v>6652061097</v>
      </c>
      <c r="C10069" s="1">
        <v>45049</v>
      </c>
      <c r="D10069" s="1">
        <v>45051</v>
      </c>
      <c r="E10069">
        <v>1</v>
      </c>
      <c r="F10069" t="str">
        <f>"04-M02-04"</f>
        <v>04-M02-04</v>
      </c>
      <c r="G10069">
        <v>0.82489999999999997</v>
      </c>
      <c r="H10069" t="s">
        <v>11</v>
      </c>
      <c r="I10069" t="s">
        <v>10</v>
      </c>
    </row>
    <row r="10070" spans="1:9" x14ac:dyDescent="0.25">
      <c r="A10070" t="str">
        <f t="shared" si="237"/>
        <v>89301000</v>
      </c>
      <c r="B10070" t="str">
        <f>"6652071536"</f>
        <v>6652071536</v>
      </c>
      <c r="C10070" s="1">
        <v>45161</v>
      </c>
      <c r="D10070" s="1">
        <v>45163</v>
      </c>
      <c r="E10070">
        <v>1</v>
      </c>
      <c r="F10070" t="str">
        <f>"05-K04-02"</f>
        <v>05-K04-02</v>
      </c>
      <c r="G10070">
        <v>0.3851</v>
      </c>
      <c r="H10070" t="s">
        <v>11</v>
      </c>
      <c r="I10070" t="s">
        <v>10</v>
      </c>
    </row>
    <row r="10071" spans="1:9" x14ac:dyDescent="0.25">
      <c r="A10071" t="str">
        <f t="shared" si="237"/>
        <v>89301000</v>
      </c>
      <c r="B10071" t="str">
        <f>"6652150219"</f>
        <v>6652150219</v>
      </c>
      <c r="C10071" s="1">
        <v>45241</v>
      </c>
      <c r="D10071" s="1">
        <v>45251</v>
      </c>
      <c r="E10071">
        <v>1</v>
      </c>
      <c r="F10071" t="str">
        <f>"06-I17-01"</f>
        <v>06-I17-01</v>
      </c>
      <c r="G10071">
        <v>2.8429000000000002</v>
      </c>
      <c r="H10071" t="s">
        <v>12</v>
      </c>
      <c r="I10071" t="s">
        <v>10</v>
      </c>
    </row>
    <row r="10072" spans="1:9" x14ac:dyDescent="0.25">
      <c r="A10072" t="str">
        <f t="shared" si="237"/>
        <v>89301000</v>
      </c>
      <c r="B10072" t="str">
        <f>"6652171218"</f>
        <v>6652171218</v>
      </c>
      <c r="C10072" s="1">
        <v>45257</v>
      </c>
      <c r="D10072" s="1">
        <v>45268</v>
      </c>
      <c r="E10072">
        <v>1</v>
      </c>
      <c r="F10072" t="str">
        <f>"24-M06-02"</f>
        <v>24-M06-02</v>
      </c>
      <c r="G10072">
        <v>1.0699000000000001</v>
      </c>
      <c r="H10072" t="s">
        <v>11</v>
      </c>
      <c r="I10072" t="s">
        <v>10</v>
      </c>
    </row>
    <row r="10073" spans="1:9" x14ac:dyDescent="0.25">
      <c r="A10073" t="str">
        <f t="shared" si="237"/>
        <v>89301000</v>
      </c>
      <c r="B10073" t="str">
        <f>"6652171218"</f>
        <v>6652171218</v>
      </c>
      <c r="C10073" s="1">
        <v>45252</v>
      </c>
      <c r="D10073" s="1">
        <v>45257</v>
      </c>
      <c r="E10073">
        <v>3</v>
      </c>
      <c r="F10073" t="str">
        <f>"08-I05-04"</f>
        <v>08-I05-04</v>
      </c>
      <c r="G10073">
        <v>2.4445000000000001</v>
      </c>
      <c r="H10073" t="s">
        <v>12</v>
      </c>
      <c r="I10073" t="s">
        <v>10</v>
      </c>
    </row>
    <row r="10074" spans="1:9" x14ac:dyDescent="0.25">
      <c r="A10074" t="str">
        <f t="shared" si="237"/>
        <v>89301000</v>
      </c>
      <c r="B10074" t="str">
        <f>"6652201633"</f>
        <v>6652201633</v>
      </c>
      <c r="C10074" s="1">
        <v>45209</v>
      </c>
      <c r="D10074" s="1">
        <v>45213</v>
      </c>
      <c r="E10074">
        <v>1</v>
      </c>
      <c r="F10074" t="str">
        <f>"01-K12-01"</f>
        <v>01-K12-01</v>
      </c>
      <c r="G10074">
        <v>0.72709999999999997</v>
      </c>
      <c r="H10074" t="s">
        <v>11</v>
      </c>
      <c r="I10074" t="s">
        <v>10</v>
      </c>
    </row>
    <row r="10075" spans="1:9" x14ac:dyDescent="0.25">
      <c r="A10075" t="str">
        <f t="shared" si="237"/>
        <v>89301000</v>
      </c>
      <c r="B10075" t="str">
        <f>"6652251199"</f>
        <v>6652251199</v>
      </c>
      <c r="C10075" s="1">
        <v>45154</v>
      </c>
      <c r="D10075" s="1">
        <v>45156</v>
      </c>
      <c r="E10075">
        <v>1</v>
      </c>
      <c r="F10075" t="str">
        <f>"05-D01-08"</f>
        <v>05-D01-08</v>
      </c>
      <c r="G10075">
        <v>0.43159999999999998</v>
      </c>
      <c r="H10075" t="s">
        <v>11</v>
      </c>
      <c r="I10075" t="s">
        <v>10</v>
      </c>
    </row>
    <row r="10076" spans="1:9" x14ac:dyDescent="0.25">
      <c r="A10076" t="str">
        <f t="shared" si="237"/>
        <v>89301000</v>
      </c>
      <c r="B10076" t="str">
        <f>"6652251199"</f>
        <v>6652251199</v>
      </c>
      <c r="C10076" s="1">
        <v>45250</v>
      </c>
      <c r="D10076" s="1">
        <v>45257</v>
      </c>
      <c r="E10076">
        <v>1</v>
      </c>
      <c r="F10076" t="str">
        <f>"13-I14-02"</f>
        <v>13-I14-02</v>
      </c>
      <c r="G10076">
        <v>1.4817</v>
      </c>
      <c r="H10076" t="s">
        <v>9</v>
      </c>
      <c r="I10076" t="s">
        <v>10</v>
      </c>
    </row>
    <row r="10077" spans="1:9" x14ac:dyDescent="0.25">
      <c r="A10077" t="str">
        <f t="shared" si="237"/>
        <v>89301000</v>
      </c>
      <c r="B10077" t="str">
        <f>"6652251199"</f>
        <v>6652251199</v>
      </c>
      <c r="C10077" s="1">
        <v>45278</v>
      </c>
      <c r="D10077" s="1">
        <v>45281</v>
      </c>
      <c r="E10077">
        <v>1</v>
      </c>
      <c r="F10077" t="str">
        <f>"17-C05-05"</f>
        <v>17-C05-05</v>
      </c>
      <c r="G10077">
        <v>0.66069999999999995</v>
      </c>
      <c r="H10077" t="s">
        <v>11</v>
      </c>
      <c r="I10077" t="s">
        <v>10</v>
      </c>
    </row>
    <row r="10078" spans="1:9" x14ac:dyDescent="0.25">
      <c r="A10078" t="str">
        <f t="shared" si="237"/>
        <v>89301000</v>
      </c>
      <c r="B10078" t="str">
        <f>"6653010914"</f>
        <v>6653010914</v>
      </c>
      <c r="C10078" s="1">
        <v>44935</v>
      </c>
      <c r="D10078" s="1">
        <v>44937</v>
      </c>
      <c r="E10078">
        <v>1</v>
      </c>
      <c r="F10078" t="str">
        <f>"07-M02-04"</f>
        <v>07-M02-04</v>
      </c>
      <c r="G10078">
        <v>0.77339999999999998</v>
      </c>
      <c r="H10078" t="s">
        <v>12</v>
      </c>
      <c r="I10078" t="s">
        <v>10</v>
      </c>
    </row>
    <row r="10079" spans="1:9" x14ac:dyDescent="0.25">
      <c r="A10079" t="str">
        <f t="shared" si="237"/>
        <v>89301000</v>
      </c>
      <c r="B10079" t="str">
        <f>"6653010914"</f>
        <v>6653010914</v>
      </c>
      <c r="C10079" s="1">
        <v>45118</v>
      </c>
      <c r="D10079" s="1">
        <v>45120</v>
      </c>
      <c r="E10079">
        <v>1</v>
      </c>
      <c r="F10079" t="str">
        <f>"07-M02-04"</f>
        <v>07-M02-04</v>
      </c>
      <c r="G10079">
        <v>0.77339999999999998</v>
      </c>
      <c r="H10079" t="s">
        <v>12</v>
      </c>
      <c r="I10079" t="s">
        <v>10</v>
      </c>
    </row>
    <row r="10080" spans="1:9" x14ac:dyDescent="0.25">
      <c r="A10080" t="str">
        <f t="shared" si="237"/>
        <v>89301000</v>
      </c>
      <c r="B10080" t="str">
        <f>"6653051735"</f>
        <v>6653051735</v>
      </c>
      <c r="C10080" s="1">
        <v>45095</v>
      </c>
      <c r="D10080" s="1">
        <v>45098</v>
      </c>
      <c r="E10080">
        <v>1</v>
      </c>
      <c r="F10080" t="str">
        <f>"03-I18-01"</f>
        <v>03-I18-01</v>
      </c>
      <c r="G10080">
        <v>1.1439999999999999</v>
      </c>
      <c r="H10080" t="s">
        <v>9</v>
      </c>
      <c r="I10080" t="s">
        <v>10</v>
      </c>
    </row>
    <row r="10081" spans="1:9" x14ac:dyDescent="0.25">
      <c r="A10081" t="str">
        <f t="shared" si="237"/>
        <v>89301000</v>
      </c>
      <c r="B10081" t="str">
        <f>"6653100289"</f>
        <v>6653100289</v>
      </c>
      <c r="C10081" s="1">
        <v>45119</v>
      </c>
      <c r="D10081" s="1">
        <v>45123</v>
      </c>
      <c r="E10081">
        <v>1</v>
      </c>
      <c r="F10081" t="str">
        <f>"10-I13-02"</f>
        <v>10-I13-02</v>
      </c>
      <c r="G10081">
        <v>1.1124000000000001</v>
      </c>
      <c r="H10081" t="s">
        <v>9</v>
      </c>
      <c r="I10081" t="s">
        <v>10</v>
      </c>
    </row>
    <row r="10082" spans="1:9" x14ac:dyDescent="0.25">
      <c r="A10082" t="str">
        <f t="shared" si="237"/>
        <v>89301000</v>
      </c>
      <c r="B10082" t="str">
        <f>"6653151142"</f>
        <v>6653151142</v>
      </c>
      <c r="C10082" s="1">
        <v>45040</v>
      </c>
      <c r="D10082" s="1">
        <v>45048</v>
      </c>
      <c r="E10082">
        <v>4</v>
      </c>
      <c r="F10082" t="str">
        <f>"08-I06-04"</f>
        <v>08-I06-04</v>
      </c>
      <c r="G10082">
        <v>2.4180000000000001</v>
      </c>
      <c r="H10082" t="s">
        <v>9</v>
      </c>
      <c r="I10082" t="s">
        <v>10</v>
      </c>
    </row>
    <row r="10083" spans="1:9" x14ac:dyDescent="0.25">
      <c r="A10083" t="str">
        <f t="shared" si="237"/>
        <v>89301000</v>
      </c>
      <c r="B10083" t="str">
        <f>"6653191941"</f>
        <v>6653191941</v>
      </c>
      <c r="C10083" s="1">
        <v>45072</v>
      </c>
      <c r="D10083" s="1">
        <v>45075</v>
      </c>
      <c r="E10083">
        <v>1</v>
      </c>
      <c r="F10083" t="str">
        <f>"01-D01-03"</f>
        <v>01-D01-03</v>
      </c>
      <c r="G10083">
        <v>0.21060000000000001</v>
      </c>
      <c r="H10083" t="s">
        <v>11</v>
      </c>
      <c r="I10083" t="s">
        <v>10</v>
      </c>
    </row>
    <row r="10084" spans="1:9" x14ac:dyDescent="0.25">
      <c r="A10084" t="str">
        <f t="shared" si="237"/>
        <v>89301000</v>
      </c>
      <c r="B10084" t="str">
        <f>"6653212302"</f>
        <v>6653212302</v>
      </c>
      <c r="C10084" s="1">
        <v>45207</v>
      </c>
      <c r="D10084" s="1">
        <v>45210</v>
      </c>
      <c r="E10084">
        <v>1</v>
      </c>
      <c r="F10084" t="str">
        <f>"08-M03-05"</f>
        <v>08-M03-05</v>
      </c>
      <c r="G10084">
        <v>0.46810000000000002</v>
      </c>
      <c r="H10084" t="s">
        <v>11</v>
      </c>
      <c r="I10084" t="s">
        <v>10</v>
      </c>
    </row>
    <row r="10085" spans="1:9" x14ac:dyDescent="0.25">
      <c r="A10085" t="str">
        <f t="shared" si="237"/>
        <v>89301000</v>
      </c>
      <c r="B10085" t="str">
        <f>"6653226921"</f>
        <v>6653226921</v>
      </c>
      <c r="C10085" s="1">
        <v>45203</v>
      </c>
      <c r="D10085" s="1">
        <v>45213</v>
      </c>
      <c r="E10085">
        <v>1</v>
      </c>
      <c r="F10085" t="str">
        <f>"01-I06-02"</f>
        <v>01-I06-02</v>
      </c>
      <c r="G10085">
        <v>5.1349</v>
      </c>
      <c r="H10085" t="s">
        <v>12</v>
      </c>
      <c r="I10085" t="s">
        <v>10</v>
      </c>
    </row>
    <row r="10086" spans="1:9" x14ac:dyDescent="0.25">
      <c r="A10086" t="str">
        <f t="shared" si="237"/>
        <v>89301000</v>
      </c>
      <c r="B10086" t="str">
        <f>"6653226921"</f>
        <v>6653226921</v>
      </c>
      <c r="C10086" s="1">
        <v>45126</v>
      </c>
      <c r="D10086" s="1">
        <v>45127</v>
      </c>
      <c r="E10086">
        <v>1</v>
      </c>
      <c r="F10086" t="str">
        <f>"05-D01-08"</f>
        <v>05-D01-08</v>
      </c>
      <c r="G10086">
        <v>0.43159999999999998</v>
      </c>
      <c r="H10086" t="s">
        <v>11</v>
      </c>
      <c r="I10086" t="s">
        <v>10</v>
      </c>
    </row>
    <row r="10087" spans="1:9" x14ac:dyDescent="0.25">
      <c r="A10087" t="str">
        <f t="shared" si="237"/>
        <v>89301000</v>
      </c>
      <c r="B10087" t="str">
        <f>"6653292360"</f>
        <v>6653292360</v>
      </c>
      <c r="C10087" s="1">
        <v>45214</v>
      </c>
      <c r="D10087" s="1">
        <v>45216</v>
      </c>
      <c r="E10087">
        <v>1</v>
      </c>
      <c r="F10087" t="str">
        <f>"08-M03-05"</f>
        <v>08-M03-05</v>
      </c>
      <c r="G10087">
        <v>0.46810000000000002</v>
      </c>
      <c r="H10087" t="s">
        <v>11</v>
      </c>
      <c r="I10087" t="s">
        <v>10</v>
      </c>
    </row>
    <row r="10088" spans="1:9" x14ac:dyDescent="0.25">
      <c r="A10088" t="str">
        <f t="shared" ref="A10088:A10151" si="239">"89301000"</f>
        <v>89301000</v>
      </c>
      <c r="B10088" t="str">
        <f>"6654031857"</f>
        <v>6654031857</v>
      </c>
      <c r="C10088" s="1">
        <v>45128</v>
      </c>
      <c r="D10088" s="1">
        <v>45130</v>
      </c>
      <c r="E10088">
        <v>1</v>
      </c>
      <c r="F10088" t="str">
        <f>"11-I16-02"</f>
        <v>11-I16-02</v>
      </c>
      <c r="G10088">
        <v>0.46839999999999998</v>
      </c>
      <c r="H10088" t="s">
        <v>11</v>
      </c>
      <c r="I10088" t="s">
        <v>10</v>
      </c>
    </row>
    <row r="10089" spans="1:9" x14ac:dyDescent="0.25">
      <c r="A10089" t="str">
        <f t="shared" si="239"/>
        <v>89301000</v>
      </c>
      <c r="B10089" t="str">
        <f>"6654031857"</f>
        <v>6654031857</v>
      </c>
      <c r="C10089" s="1">
        <v>45165</v>
      </c>
      <c r="D10089" s="1">
        <v>45169</v>
      </c>
      <c r="E10089">
        <v>5</v>
      </c>
      <c r="F10089" t="str">
        <f>"11-M02-07"</f>
        <v>11-M02-07</v>
      </c>
      <c r="G10089">
        <v>0.73729999999999996</v>
      </c>
      <c r="H10089" t="s">
        <v>11</v>
      </c>
      <c r="I10089" t="s">
        <v>10</v>
      </c>
    </row>
    <row r="10090" spans="1:9" x14ac:dyDescent="0.25">
      <c r="A10090" t="str">
        <f t="shared" si="239"/>
        <v>89301000</v>
      </c>
      <c r="B10090" t="str">
        <f>"6654060402"</f>
        <v>6654060402</v>
      </c>
      <c r="C10090" s="1">
        <v>45028</v>
      </c>
      <c r="D10090" s="1">
        <v>45030</v>
      </c>
      <c r="E10090">
        <v>1</v>
      </c>
      <c r="F10090" t="str">
        <f>"08-I24-02"</f>
        <v>08-I24-02</v>
      </c>
      <c r="G10090">
        <v>0.73599999999999999</v>
      </c>
      <c r="H10090" t="s">
        <v>11</v>
      </c>
      <c r="I10090" t="s">
        <v>10</v>
      </c>
    </row>
    <row r="10091" spans="1:9" x14ac:dyDescent="0.25">
      <c r="A10091" t="str">
        <f t="shared" si="239"/>
        <v>89301000</v>
      </c>
      <c r="B10091" t="str">
        <f>"6654060402"</f>
        <v>6654060402</v>
      </c>
      <c r="C10091" s="1">
        <v>45190</v>
      </c>
      <c r="D10091" s="1">
        <v>45192</v>
      </c>
      <c r="E10091">
        <v>1</v>
      </c>
      <c r="F10091" t="str">
        <f>"08-I25-02"</f>
        <v>08-I25-02</v>
      </c>
      <c r="G10091">
        <v>0.55279999999999996</v>
      </c>
      <c r="H10091" t="s">
        <v>11</v>
      </c>
      <c r="I10091" t="s">
        <v>10</v>
      </c>
    </row>
    <row r="10092" spans="1:9" x14ac:dyDescent="0.25">
      <c r="A10092" t="str">
        <f t="shared" si="239"/>
        <v>89301000</v>
      </c>
      <c r="B10092" t="str">
        <f>"6654081170"</f>
        <v>6654081170</v>
      </c>
      <c r="C10092" s="1">
        <v>45283</v>
      </c>
      <c r="D10092" s="1">
        <v>45287</v>
      </c>
      <c r="E10092">
        <v>1</v>
      </c>
      <c r="F10092" t="str">
        <f>"06-I14-02"</f>
        <v>06-I14-02</v>
      </c>
      <c r="G10092">
        <v>1.4552</v>
      </c>
      <c r="H10092" t="s">
        <v>11</v>
      </c>
      <c r="I10092" t="s">
        <v>10</v>
      </c>
    </row>
    <row r="10093" spans="1:9" x14ac:dyDescent="0.25">
      <c r="A10093" t="str">
        <f t="shared" si="239"/>
        <v>89301000</v>
      </c>
      <c r="B10093" t="str">
        <f>"6654101300"</f>
        <v>6654101300</v>
      </c>
      <c r="C10093" s="1">
        <v>45245</v>
      </c>
      <c r="D10093" s="1">
        <v>45246</v>
      </c>
      <c r="E10093">
        <v>1</v>
      </c>
      <c r="F10093" t="str">
        <f>"06-I01-02"</f>
        <v>06-I01-02</v>
      </c>
      <c r="G10093">
        <v>6.1265000000000001</v>
      </c>
      <c r="H10093" t="s">
        <v>9</v>
      </c>
      <c r="I10093" t="s">
        <v>10</v>
      </c>
    </row>
    <row r="10094" spans="1:9" x14ac:dyDescent="0.25">
      <c r="A10094" t="str">
        <f t="shared" si="239"/>
        <v>89301000</v>
      </c>
      <c r="B10094" t="str">
        <f>"6654101300"</f>
        <v>6654101300</v>
      </c>
      <c r="C10094" s="1">
        <v>45230</v>
      </c>
      <c r="D10094" s="1">
        <v>45232</v>
      </c>
      <c r="E10094">
        <v>1</v>
      </c>
      <c r="F10094" t="str">
        <f>"06-I01-03"</f>
        <v>06-I01-03</v>
      </c>
      <c r="G10094">
        <v>2.0472999999999999</v>
      </c>
      <c r="H10094" t="s">
        <v>9</v>
      </c>
      <c r="I10094" t="s">
        <v>10</v>
      </c>
    </row>
    <row r="10095" spans="1:9" x14ac:dyDescent="0.25">
      <c r="A10095" t="str">
        <f t="shared" si="239"/>
        <v>89301000</v>
      </c>
      <c r="B10095" t="str">
        <f>"6654130736"</f>
        <v>6654130736</v>
      </c>
      <c r="C10095" s="1">
        <v>44966</v>
      </c>
      <c r="D10095" s="1">
        <v>44968</v>
      </c>
      <c r="E10095">
        <v>1</v>
      </c>
      <c r="F10095" t="str">
        <f>"09-I10-02"</f>
        <v>09-I10-02</v>
      </c>
      <c r="G10095">
        <v>0.87580000000000002</v>
      </c>
      <c r="H10095" t="s">
        <v>12</v>
      </c>
      <c r="I10095" t="s">
        <v>10</v>
      </c>
    </row>
    <row r="10096" spans="1:9" x14ac:dyDescent="0.25">
      <c r="A10096" t="str">
        <f t="shared" si="239"/>
        <v>89301000</v>
      </c>
      <c r="B10096" t="str">
        <f>"6654161580"</f>
        <v>6654161580</v>
      </c>
      <c r="C10096" s="1">
        <v>44949</v>
      </c>
      <c r="D10096" s="1">
        <v>44952</v>
      </c>
      <c r="E10096">
        <v>1</v>
      </c>
      <c r="F10096" t="str">
        <f>"05-I30-01"</f>
        <v>05-I30-01</v>
      </c>
      <c r="G10096">
        <v>0.60350000000000004</v>
      </c>
      <c r="H10096" t="s">
        <v>12</v>
      </c>
      <c r="I10096" t="s">
        <v>10</v>
      </c>
    </row>
    <row r="10097" spans="1:9" x14ac:dyDescent="0.25">
      <c r="A10097" t="str">
        <f t="shared" si="239"/>
        <v>89301000</v>
      </c>
      <c r="B10097" t="str">
        <f>"6654161602"</f>
        <v>6654161602</v>
      </c>
      <c r="C10097" s="1">
        <v>45186</v>
      </c>
      <c r="D10097" s="1">
        <v>45192</v>
      </c>
      <c r="E10097">
        <v>1</v>
      </c>
      <c r="F10097" t="str">
        <f>"03-I18-01"</f>
        <v>03-I18-01</v>
      </c>
      <c r="G10097">
        <v>1.1439999999999999</v>
      </c>
      <c r="H10097" t="s">
        <v>9</v>
      </c>
      <c r="I10097" t="s">
        <v>10</v>
      </c>
    </row>
    <row r="10098" spans="1:9" x14ac:dyDescent="0.25">
      <c r="A10098" t="str">
        <f t="shared" si="239"/>
        <v>89301000</v>
      </c>
      <c r="B10098" t="str">
        <f>"6654172437"</f>
        <v>6654172437</v>
      </c>
      <c r="C10098" s="1">
        <v>44932</v>
      </c>
      <c r="D10098" s="1">
        <v>44934</v>
      </c>
      <c r="E10098">
        <v>1</v>
      </c>
      <c r="F10098" t="str">
        <f>"06-C02-03"</f>
        <v>06-C02-03</v>
      </c>
      <c r="G10098">
        <v>0.32650000000000001</v>
      </c>
      <c r="H10098" t="s">
        <v>11</v>
      </c>
      <c r="I10098" t="s">
        <v>10</v>
      </c>
    </row>
    <row r="10099" spans="1:9" x14ac:dyDescent="0.25">
      <c r="A10099" t="str">
        <f t="shared" si="239"/>
        <v>89301000</v>
      </c>
      <c r="B10099" t="str">
        <f>"6654280391"</f>
        <v>6654280391</v>
      </c>
      <c r="C10099" s="1">
        <v>45107</v>
      </c>
      <c r="D10099" s="1">
        <v>45114</v>
      </c>
      <c r="E10099">
        <v>1</v>
      </c>
      <c r="F10099" t="str">
        <f>"19-K03-03"</f>
        <v>19-K03-03</v>
      </c>
      <c r="G10099">
        <v>0.90410000000000001</v>
      </c>
      <c r="H10099" t="s">
        <v>15</v>
      </c>
      <c r="I10099" t="s">
        <v>10</v>
      </c>
    </row>
    <row r="10100" spans="1:9" x14ac:dyDescent="0.25">
      <c r="A10100" t="str">
        <f t="shared" si="239"/>
        <v>89301000</v>
      </c>
      <c r="B10100" t="str">
        <f>"6655031394"</f>
        <v>6655031394</v>
      </c>
      <c r="C10100" s="1">
        <v>45036</v>
      </c>
      <c r="D10100" s="1">
        <v>45042</v>
      </c>
      <c r="E10100">
        <v>1</v>
      </c>
      <c r="F10100" t="str">
        <f>"04-K02-04"</f>
        <v>04-K02-04</v>
      </c>
      <c r="G10100">
        <v>0.82099999999999995</v>
      </c>
      <c r="H10100" t="s">
        <v>11</v>
      </c>
      <c r="I10100" t="s">
        <v>10</v>
      </c>
    </row>
    <row r="10101" spans="1:9" x14ac:dyDescent="0.25">
      <c r="A10101" t="str">
        <f t="shared" si="239"/>
        <v>89301000</v>
      </c>
      <c r="B10101" t="str">
        <f>"6655070257"</f>
        <v>6655070257</v>
      </c>
      <c r="C10101" s="1">
        <v>45085</v>
      </c>
      <c r="D10101" s="1">
        <v>45087</v>
      </c>
      <c r="E10101">
        <v>1</v>
      </c>
      <c r="F10101" t="str">
        <f>"08-M03-05"</f>
        <v>08-M03-05</v>
      </c>
      <c r="G10101">
        <v>0.46910000000000002</v>
      </c>
      <c r="H10101" t="s">
        <v>11</v>
      </c>
      <c r="I10101" t="s">
        <v>10</v>
      </c>
    </row>
    <row r="10102" spans="1:9" x14ac:dyDescent="0.25">
      <c r="A10102" t="str">
        <f t="shared" si="239"/>
        <v>89301000</v>
      </c>
      <c r="B10102" t="str">
        <f>"6655150095"</f>
        <v>6655150095</v>
      </c>
      <c r="C10102" s="1">
        <v>45202</v>
      </c>
      <c r="D10102" s="1">
        <v>45238</v>
      </c>
      <c r="E10102">
        <v>1</v>
      </c>
      <c r="F10102" t="str">
        <f>"19-K08-02"</f>
        <v>19-K08-02</v>
      </c>
      <c r="G10102">
        <v>4.4416000000000002</v>
      </c>
      <c r="H10102" t="s">
        <v>15</v>
      </c>
      <c r="I10102" t="s">
        <v>10</v>
      </c>
    </row>
    <row r="10103" spans="1:9" x14ac:dyDescent="0.25">
      <c r="A10103" t="str">
        <f t="shared" si="239"/>
        <v>89301000</v>
      </c>
      <c r="B10103" t="str">
        <f>"6655310354"</f>
        <v>6655310354</v>
      </c>
      <c r="C10103" s="1">
        <v>44996</v>
      </c>
      <c r="D10103" s="1">
        <v>45041</v>
      </c>
      <c r="E10103">
        <v>1</v>
      </c>
      <c r="F10103" t="str">
        <f>"05-I12-01"</f>
        <v>05-I12-01</v>
      </c>
      <c r="G10103">
        <v>12.488</v>
      </c>
      <c r="H10103" t="s">
        <v>14</v>
      </c>
      <c r="I10103" t="s">
        <v>10</v>
      </c>
    </row>
    <row r="10104" spans="1:9" x14ac:dyDescent="0.25">
      <c r="A10104" t="str">
        <f t="shared" si="239"/>
        <v>89301000</v>
      </c>
      <c r="B10104" t="str">
        <f>"6656011549"</f>
        <v>6656011549</v>
      </c>
      <c r="C10104" s="1">
        <v>45068</v>
      </c>
      <c r="D10104" s="1">
        <v>45070</v>
      </c>
      <c r="E10104">
        <v>1</v>
      </c>
      <c r="F10104" t="str">
        <f>"09-I06-04"</f>
        <v>09-I06-04</v>
      </c>
      <c r="G10104">
        <v>0.98899999999999999</v>
      </c>
      <c r="H10104" t="s">
        <v>12</v>
      </c>
      <c r="I10104" t="s">
        <v>10</v>
      </c>
    </row>
    <row r="10105" spans="1:9" x14ac:dyDescent="0.25">
      <c r="A10105" t="str">
        <f t="shared" si="239"/>
        <v>89301000</v>
      </c>
      <c r="B10105" t="str">
        <f>"6656050093"</f>
        <v>6656050093</v>
      </c>
      <c r="C10105" s="1">
        <v>44997</v>
      </c>
      <c r="D10105" s="1">
        <v>45005</v>
      </c>
      <c r="E10105">
        <v>4</v>
      </c>
      <c r="F10105" t="str">
        <f>"08-I06-04"</f>
        <v>08-I06-04</v>
      </c>
      <c r="G10105">
        <v>2.4180000000000001</v>
      </c>
      <c r="H10105" t="s">
        <v>9</v>
      </c>
      <c r="I10105" t="s">
        <v>10</v>
      </c>
    </row>
    <row r="10106" spans="1:9" x14ac:dyDescent="0.25">
      <c r="A10106" t="str">
        <f t="shared" si="239"/>
        <v>89301000</v>
      </c>
      <c r="B10106" t="str">
        <f>"6656090672"</f>
        <v>6656090672</v>
      </c>
      <c r="C10106" s="1">
        <v>45106</v>
      </c>
      <c r="D10106" s="1">
        <v>45107</v>
      </c>
      <c r="E10106">
        <v>1</v>
      </c>
      <c r="F10106" t="str">
        <f>"01-D01-03"</f>
        <v>01-D01-03</v>
      </c>
      <c r="G10106">
        <v>0.16200000000000001</v>
      </c>
      <c r="H10106" t="s">
        <v>11</v>
      </c>
      <c r="I10106" t="s">
        <v>10</v>
      </c>
    </row>
    <row r="10107" spans="1:9" x14ac:dyDescent="0.25">
      <c r="A10107" t="str">
        <f t="shared" si="239"/>
        <v>89301000</v>
      </c>
      <c r="B10107" t="str">
        <f>"6656101540"</f>
        <v>6656101540</v>
      </c>
      <c r="C10107" s="1">
        <v>44922</v>
      </c>
      <c r="D10107" s="1">
        <v>44927</v>
      </c>
      <c r="E10107">
        <v>1</v>
      </c>
      <c r="F10107" t="str">
        <f>"08-I03-06"</f>
        <v>08-I03-06</v>
      </c>
      <c r="G10107">
        <v>3.2523</v>
      </c>
      <c r="H10107" t="s">
        <v>9</v>
      </c>
      <c r="I10107" t="s">
        <v>10</v>
      </c>
    </row>
    <row r="10108" spans="1:9" x14ac:dyDescent="0.25">
      <c r="A10108" t="str">
        <f t="shared" si="239"/>
        <v>89301000</v>
      </c>
      <c r="B10108" t="str">
        <f>"6656111473"</f>
        <v>6656111473</v>
      </c>
      <c r="C10108" s="1">
        <v>45259</v>
      </c>
      <c r="D10108" s="1">
        <v>45261</v>
      </c>
      <c r="E10108">
        <v>1</v>
      </c>
      <c r="F10108" t="str">
        <f>"03-I19-03"</f>
        <v>03-I19-03</v>
      </c>
      <c r="G10108">
        <v>0.53249999999999997</v>
      </c>
      <c r="H10108" t="s">
        <v>11</v>
      </c>
      <c r="I10108" t="s">
        <v>10</v>
      </c>
    </row>
    <row r="10109" spans="1:9" x14ac:dyDescent="0.25">
      <c r="A10109" t="str">
        <f t="shared" si="239"/>
        <v>89301000</v>
      </c>
      <c r="B10109" t="str">
        <f>"6656136575"</f>
        <v>6656136575</v>
      </c>
      <c r="C10109" s="1">
        <v>45064</v>
      </c>
      <c r="D10109" s="1">
        <v>45068</v>
      </c>
      <c r="E10109">
        <v>1</v>
      </c>
      <c r="F10109" t="str">
        <f>"08-I03-08"</f>
        <v>08-I03-08</v>
      </c>
      <c r="G10109">
        <v>1.9455</v>
      </c>
      <c r="H10109" t="s">
        <v>9</v>
      </c>
      <c r="I10109" t="s">
        <v>10</v>
      </c>
    </row>
    <row r="10110" spans="1:9" x14ac:dyDescent="0.25">
      <c r="A10110" t="str">
        <f t="shared" si="239"/>
        <v>89301000</v>
      </c>
      <c r="B10110" t="str">
        <f>"6656180234"</f>
        <v>6656180234</v>
      </c>
      <c r="C10110" s="1">
        <v>45266</v>
      </c>
      <c r="D10110" s="1">
        <v>45267</v>
      </c>
      <c r="E10110">
        <v>1</v>
      </c>
      <c r="F10110" t="str">
        <f>"13-I19-00"</f>
        <v>13-I19-00</v>
      </c>
      <c r="G10110">
        <v>0.28270000000000001</v>
      </c>
      <c r="H10110" t="s">
        <v>11</v>
      </c>
      <c r="I10110" t="s">
        <v>10</v>
      </c>
    </row>
    <row r="10111" spans="1:9" x14ac:dyDescent="0.25">
      <c r="A10111" t="str">
        <f t="shared" si="239"/>
        <v>89301000</v>
      </c>
      <c r="B10111" t="str">
        <f>"6656181268"</f>
        <v>6656181268</v>
      </c>
      <c r="C10111" s="1">
        <v>45244</v>
      </c>
      <c r="D10111" s="1">
        <v>45252</v>
      </c>
      <c r="E10111">
        <v>1</v>
      </c>
      <c r="F10111" t="str">
        <f>"08-I03-04"</f>
        <v>08-I03-04</v>
      </c>
      <c r="G10111">
        <v>4.2602000000000002</v>
      </c>
      <c r="H10111" t="s">
        <v>9</v>
      </c>
      <c r="I10111" t="s">
        <v>10</v>
      </c>
    </row>
    <row r="10112" spans="1:9" x14ac:dyDescent="0.25">
      <c r="A10112" t="str">
        <f t="shared" si="239"/>
        <v>89301000</v>
      </c>
      <c r="B10112" t="str">
        <f>"6656190552"</f>
        <v>6656190552</v>
      </c>
      <c r="C10112" s="1">
        <v>45254</v>
      </c>
      <c r="D10112" s="1">
        <v>45267</v>
      </c>
      <c r="E10112">
        <v>1</v>
      </c>
      <c r="F10112" t="str">
        <f>"24-M07-02"</f>
        <v>24-M07-02</v>
      </c>
      <c r="G10112">
        <v>1.5729</v>
      </c>
      <c r="H10112" t="s">
        <v>11</v>
      </c>
      <c r="I10112" t="s">
        <v>10</v>
      </c>
    </row>
    <row r="10113" spans="1:9" x14ac:dyDescent="0.25">
      <c r="A10113" t="str">
        <f t="shared" si="239"/>
        <v>89301000</v>
      </c>
      <c r="B10113" t="str">
        <f>"6656190552"</f>
        <v>6656190552</v>
      </c>
      <c r="C10113" s="1">
        <v>45250</v>
      </c>
      <c r="D10113" s="1">
        <v>45254</v>
      </c>
      <c r="E10113">
        <v>3</v>
      </c>
      <c r="F10113" t="str">
        <f>"08-I06-04"</f>
        <v>08-I06-04</v>
      </c>
      <c r="G10113">
        <v>2.4180000000000001</v>
      </c>
      <c r="H10113" t="s">
        <v>9</v>
      </c>
      <c r="I10113" t="s">
        <v>10</v>
      </c>
    </row>
    <row r="10114" spans="1:9" x14ac:dyDescent="0.25">
      <c r="A10114" t="str">
        <f t="shared" si="239"/>
        <v>89301000</v>
      </c>
      <c r="B10114" t="str">
        <f>"6656210286"</f>
        <v>6656210286</v>
      </c>
      <c r="C10114" s="1">
        <v>45230</v>
      </c>
      <c r="D10114" s="1">
        <v>45231</v>
      </c>
      <c r="E10114">
        <v>1</v>
      </c>
      <c r="F10114" t="str">
        <f>"02-M01-02"</f>
        <v>02-M01-02</v>
      </c>
      <c r="G10114">
        <v>0.63149999999999995</v>
      </c>
      <c r="H10114" t="s">
        <v>11</v>
      </c>
      <c r="I10114" t="s">
        <v>10</v>
      </c>
    </row>
    <row r="10115" spans="1:9" x14ac:dyDescent="0.25">
      <c r="A10115" t="str">
        <f t="shared" si="239"/>
        <v>89301000</v>
      </c>
      <c r="B10115" t="str">
        <f>"6656210286"</f>
        <v>6656210286</v>
      </c>
      <c r="C10115" s="1">
        <v>45110</v>
      </c>
      <c r="D10115" s="1">
        <v>45120</v>
      </c>
      <c r="E10115">
        <v>1</v>
      </c>
      <c r="F10115" t="str">
        <f>"02-I06-04"</f>
        <v>02-I06-04</v>
      </c>
      <c r="G10115">
        <v>1.5227999999999999</v>
      </c>
      <c r="H10115" t="s">
        <v>12</v>
      </c>
      <c r="I10115" t="s">
        <v>10</v>
      </c>
    </row>
    <row r="10116" spans="1:9" x14ac:dyDescent="0.25">
      <c r="A10116" t="str">
        <f t="shared" si="239"/>
        <v>89301000</v>
      </c>
      <c r="B10116" t="str">
        <f>"6656210286"</f>
        <v>6656210286</v>
      </c>
      <c r="C10116" s="1">
        <v>45180</v>
      </c>
      <c r="D10116" s="1">
        <v>45182</v>
      </c>
      <c r="E10116">
        <v>1</v>
      </c>
      <c r="F10116" t="str">
        <f>"02-M01-02"</f>
        <v>02-M01-02</v>
      </c>
      <c r="G10116">
        <v>0.63149999999999995</v>
      </c>
      <c r="H10116" t="s">
        <v>11</v>
      </c>
      <c r="I10116" t="s">
        <v>10</v>
      </c>
    </row>
    <row r="10117" spans="1:9" x14ac:dyDescent="0.25">
      <c r="A10117" t="str">
        <f t="shared" si="239"/>
        <v>89301000</v>
      </c>
      <c r="B10117" t="str">
        <f>"6656240580"</f>
        <v>6656240580</v>
      </c>
      <c r="C10117" s="1">
        <v>44973</v>
      </c>
      <c r="D10117" s="1">
        <v>44976</v>
      </c>
      <c r="E10117">
        <v>1</v>
      </c>
      <c r="F10117" t="str">
        <f>"08-M03-03"</f>
        <v>08-M03-03</v>
      </c>
      <c r="G10117">
        <v>0.58340000000000003</v>
      </c>
      <c r="H10117" t="s">
        <v>11</v>
      </c>
      <c r="I10117" t="s">
        <v>10</v>
      </c>
    </row>
    <row r="10118" spans="1:9" x14ac:dyDescent="0.25">
      <c r="A10118" t="str">
        <f t="shared" si="239"/>
        <v>89301000</v>
      </c>
      <c r="B10118" t="str">
        <f>"6656261359"</f>
        <v>6656261359</v>
      </c>
      <c r="C10118" s="1">
        <v>45211</v>
      </c>
      <c r="D10118" s="1">
        <v>45212</v>
      </c>
      <c r="E10118">
        <v>1</v>
      </c>
      <c r="F10118" t="str">
        <f>"05-D01-06"</f>
        <v>05-D01-06</v>
      </c>
      <c r="G10118">
        <v>0.7571</v>
      </c>
      <c r="H10118" t="s">
        <v>11</v>
      </c>
      <c r="I10118" t="s">
        <v>10</v>
      </c>
    </row>
    <row r="10119" spans="1:9" x14ac:dyDescent="0.25">
      <c r="A10119" t="str">
        <f t="shared" si="239"/>
        <v>89301000</v>
      </c>
      <c r="B10119" t="str">
        <f>"6657290783"</f>
        <v>6657290783</v>
      </c>
      <c r="C10119" s="1">
        <v>45275</v>
      </c>
      <c r="D10119" s="1">
        <v>45278</v>
      </c>
      <c r="E10119">
        <v>1</v>
      </c>
      <c r="F10119" t="str">
        <f>"08-K13-02"</f>
        <v>08-K13-02</v>
      </c>
      <c r="G10119">
        <v>0.43059999999999998</v>
      </c>
      <c r="H10119" t="s">
        <v>11</v>
      </c>
      <c r="I10119" t="s">
        <v>10</v>
      </c>
    </row>
    <row r="10120" spans="1:9" x14ac:dyDescent="0.25">
      <c r="A10120" t="str">
        <f t="shared" si="239"/>
        <v>89301000</v>
      </c>
      <c r="B10120" t="str">
        <f>"6657290882"</f>
        <v>6657290882</v>
      </c>
      <c r="C10120" s="1">
        <v>44943</v>
      </c>
      <c r="D10120" s="1">
        <v>44957</v>
      </c>
      <c r="E10120">
        <v>1</v>
      </c>
      <c r="F10120" t="str">
        <f>"01-K04-02"</f>
        <v>01-K04-02</v>
      </c>
      <c r="G10120">
        <v>0.79990000000000006</v>
      </c>
      <c r="H10120" t="s">
        <v>11</v>
      </c>
      <c r="I10120" t="s">
        <v>10</v>
      </c>
    </row>
    <row r="10121" spans="1:9" x14ac:dyDescent="0.25">
      <c r="A10121" t="str">
        <f t="shared" si="239"/>
        <v>89301000</v>
      </c>
      <c r="B10121" t="str">
        <f>"6658121943"</f>
        <v>6658121943</v>
      </c>
      <c r="C10121" s="1">
        <v>45111</v>
      </c>
      <c r="D10121" s="1">
        <v>45112</v>
      </c>
      <c r="E10121">
        <v>1</v>
      </c>
      <c r="F10121" t="str">
        <f>"21-K06-02"</f>
        <v>21-K06-02</v>
      </c>
      <c r="G10121">
        <v>0.52149999999999996</v>
      </c>
      <c r="H10121" t="s">
        <v>11</v>
      </c>
      <c r="I10121" t="s">
        <v>10</v>
      </c>
    </row>
    <row r="10122" spans="1:9" x14ac:dyDescent="0.25">
      <c r="A10122" t="str">
        <f t="shared" si="239"/>
        <v>89301000</v>
      </c>
      <c r="B10122" t="str">
        <f>"6658130204"</f>
        <v>6658130204</v>
      </c>
      <c r="C10122" s="1">
        <v>45259</v>
      </c>
      <c r="D10122" s="1">
        <v>45261</v>
      </c>
      <c r="E10122">
        <v>1</v>
      </c>
      <c r="F10122" t="str">
        <f>"05-I30-01"</f>
        <v>05-I30-01</v>
      </c>
      <c r="G10122">
        <v>0.60309999999999997</v>
      </c>
      <c r="H10122" t="s">
        <v>12</v>
      </c>
      <c r="I10122" t="s">
        <v>10</v>
      </c>
    </row>
    <row r="10123" spans="1:9" x14ac:dyDescent="0.25">
      <c r="A10123" t="str">
        <f t="shared" si="239"/>
        <v>89301000</v>
      </c>
      <c r="B10123" t="str">
        <f>"6658200373"</f>
        <v>6658200373</v>
      </c>
      <c r="C10123" s="1">
        <v>45189</v>
      </c>
      <c r="D10123" s="1">
        <v>45190</v>
      </c>
      <c r="E10123">
        <v>1</v>
      </c>
      <c r="F10123" t="str">
        <f>"10-K04-04"</f>
        <v>10-K04-04</v>
      </c>
      <c r="G10123">
        <v>0.53949999999999998</v>
      </c>
      <c r="H10123" t="s">
        <v>11</v>
      </c>
      <c r="I10123" t="s">
        <v>10</v>
      </c>
    </row>
    <row r="10124" spans="1:9" x14ac:dyDescent="0.25">
      <c r="A10124" t="str">
        <f t="shared" si="239"/>
        <v>89301000</v>
      </c>
      <c r="B10124" t="str">
        <f>"6658210119"</f>
        <v>6658210119</v>
      </c>
      <c r="C10124" s="1">
        <v>45210</v>
      </c>
      <c r="D10124" s="1">
        <v>45212</v>
      </c>
      <c r="E10124">
        <v>1</v>
      </c>
      <c r="F10124" t="str">
        <f>"23-K04-02"</f>
        <v>23-K04-02</v>
      </c>
      <c r="G10124">
        <v>0.38429999999999997</v>
      </c>
      <c r="H10124" t="s">
        <v>11</v>
      </c>
      <c r="I10124" t="s">
        <v>10</v>
      </c>
    </row>
    <row r="10125" spans="1:9" x14ac:dyDescent="0.25">
      <c r="A10125" t="str">
        <f t="shared" si="239"/>
        <v>89301000</v>
      </c>
      <c r="B10125" t="str">
        <f>"6658231327"</f>
        <v>6658231327</v>
      </c>
      <c r="C10125" s="1">
        <v>45042</v>
      </c>
      <c r="D10125" s="1">
        <v>45044</v>
      </c>
      <c r="E10125">
        <v>1</v>
      </c>
      <c r="F10125" t="str">
        <f>"02-I06-03"</f>
        <v>02-I06-03</v>
      </c>
      <c r="G10125">
        <v>0.99260000000000004</v>
      </c>
      <c r="H10125" t="s">
        <v>12</v>
      </c>
      <c r="I10125" t="s">
        <v>10</v>
      </c>
    </row>
    <row r="10126" spans="1:9" x14ac:dyDescent="0.25">
      <c r="A10126" t="str">
        <f t="shared" si="239"/>
        <v>89301000</v>
      </c>
      <c r="B10126" t="str">
        <f>"6659101471"</f>
        <v>6659101471</v>
      </c>
      <c r="C10126" s="1">
        <v>45211</v>
      </c>
      <c r="D10126" s="1">
        <v>45213</v>
      </c>
      <c r="E10126">
        <v>1</v>
      </c>
      <c r="F10126" t="str">
        <f>"08-M03-05"</f>
        <v>08-M03-05</v>
      </c>
      <c r="G10126">
        <v>0.46910000000000002</v>
      </c>
      <c r="H10126" t="s">
        <v>11</v>
      </c>
      <c r="I10126" t="s">
        <v>10</v>
      </c>
    </row>
    <row r="10127" spans="1:9" x14ac:dyDescent="0.25">
      <c r="A10127" t="str">
        <f t="shared" si="239"/>
        <v>89301000</v>
      </c>
      <c r="B10127" t="str">
        <f>"6659250048"</f>
        <v>6659250048</v>
      </c>
      <c r="C10127" s="1">
        <v>45221</v>
      </c>
      <c r="D10127" s="1">
        <v>45224</v>
      </c>
      <c r="E10127">
        <v>1</v>
      </c>
      <c r="F10127" t="str">
        <f>"08-M03-05"</f>
        <v>08-M03-05</v>
      </c>
      <c r="G10127">
        <v>0.46810000000000002</v>
      </c>
      <c r="H10127" t="s">
        <v>11</v>
      </c>
      <c r="I10127" t="s">
        <v>10</v>
      </c>
    </row>
    <row r="10128" spans="1:9" x14ac:dyDescent="0.25">
      <c r="A10128" t="str">
        <f t="shared" si="239"/>
        <v>89301000</v>
      </c>
      <c r="B10128" t="str">
        <f>"6659281365"</f>
        <v>6659281365</v>
      </c>
      <c r="C10128" s="1">
        <v>44970</v>
      </c>
      <c r="D10128" s="1">
        <v>44972</v>
      </c>
      <c r="E10128">
        <v>1</v>
      </c>
      <c r="F10128" t="str">
        <f>"09-I09-02"</f>
        <v>09-I09-02</v>
      </c>
      <c r="G10128">
        <v>0.76900000000000002</v>
      </c>
      <c r="H10128" t="s">
        <v>12</v>
      </c>
      <c r="I10128" t="s">
        <v>10</v>
      </c>
    </row>
    <row r="10129" spans="1:9" x14ac:dyDescent="0.25">
      <c r="A10129" t="str">
        <f t="shared" si="239"/>
        <v>89301000</v>
      </c>
      <c r="B10129" t="str">
        <f>"6659281365"</f>
        <v>6659281365</v>
      </c>
      <c r="C10129" s="1">
        <v>45049</v>
      </c>
      <c r="D10129" s="1">
        <v>45050</v>
      </c>
      <c r="E10129">
        <v>1</v>
      </c>
      <c r="F10129" t="str">
        <f>"07-M02-04"</f>
        <v>07-M02-04</v>
      </c>
      <c r="G10129">
        <v>0.77339999999999998</v>
      </c>
      <c r="H10129" t="s">
        <v>12</v>
      </c>
      <c r="I10129" t="s">
        <v>10</v>
      </c>
    </row>
    <row r="10130" spans="1:9" x14ac:dyDescent="0.25">
      <c r="A10130" t="str">
        <f t="shared" si="239"/>
        <v>89301000</v>
      </c>
      <c r="B10130" t="str">
        <f>"6659281365"</f>
        <v>6659281365</v>
      </c>
      <c r="C10130" s="1">
        <v>45231</v>
      </c>
      <c r="D10130" s="1">
        <v>45234</v>
      </c>
      <c r="E10130">
        <v>1</v>
      </c>
      <c r="F10130" t="str">
        <f>"07-I10-06"</f>
        <v>07-I10-06</v>
      </c>
      <c r="G10130">
        <v>0.98419999999999996</v>
      </c>
      <c r="H10130" t="s">
        <v>12</v>
      </c>
      <c r="I10130" t="s">
        <v>10</v>
      </c>
    </row>
    <row r="10131" spans="1:9" x14ac:dyDescent="0.25">
      <c r="A10131" t="str">
        <f t="shared" si="239"/>
        <v>89301000</v>
      </c>
      <c r="B10131" t="str">
        <f>"6659301198"</f>
        <v>6659301198</v>
      </c>
      <c r="C10131" s="1">
        <v>44951</v>
      </c>
      <c r="D10131" s="1">
        <v>44956</v>
      </c>
      <c r="E10131">
        <v>1</v>
      </c>
      <c r="F10131" t="str">
        <f>"13-I04-01"</f>
        <v>13-I04-01</v>
      </c>
      <c r="G10131">
        <v>2.8856000000000002</v>
      </c>
      <c r="H10131" t="s">
        <v>14</v>
      </c>
      <c r="I10131" t="s">
        <v>10</v>
      </c>
    </row>
    <row r="10132" spans="1:9" x14ac:dyDescent="0.25">
      <c r="A10132" t="str">
        <f t="shared" si="239"/>
        <v>89301000</v>
      </c>
      <c r="B10132" t="str">
        <f>"6660081505"</f>
        <v>6660081505</v>
      </c>
      <c r="C10132" s="1">
        <v>45069</v>
      </c>
      <c r="D10132" s="1">
        <v>45073</v>
      </c>
      <c r="E10132">
        <v>1</v>
      </c>
      <c r="F10132" t="str">
        <f>"06-I22-01"</f>
        <v>06-I22-01</v>
      </c>
      <c r="G10132">
        <v>0.68120000000000003</v>
      </c>
      <c r="H10132" t="s">
        <v>12</v>
      </c>
      <c r="I10132" t="s">
        <v>10</v>
      </c>
    </row>
    <row r="10133" spans="1:9" x14ac:dyDescent="0.25">
      <c r="A10133" t="str">
        <f t="shared" si="239"/>
        <v>89301000</v>
      </c>
      <c r="B10133" t="str">
        <f>"6660100799"</f>
        <v>6660100799</v>
      </c>
      <c r="C10133" s="1">
        <v>45088</v>
      </c>
      <c r="D10133" s="1">
        <v>45093</v>
      </c>
      <c r="E10133">
        <v>1</v>
      </c>
      <c r="F10133" t="str">
        <f>"08-I06-04"</f>
        <v>08-I06-04</v>
      </c>
      <c r="G10133">
        <v>2.4180000000000001</v>
      </c>
      <c r="H10133" t="s">
        <v>9</v>
      </c>
      <c r="I10133" t="s">
        <v>10</v>
      </c>
    </row>
    <row r="10134" spans="1:9" x14ac:dyDescent="0.25">
      <c r="A10134" t="str">
        <f t="shared" si="239"/>
        <v>89301000</v>
      </c>
      <c r="B10134" t="str">
        <f>"6660120764"</f>
        <v>6660120764</v>
      </c>
      <c r="C10134" s="1">
        <v>45152</v>
      </c>
      <c r="D10134" s="1">
        <v>45154</v>
      </c>
      <c r="E10134">
        <v>1</v>
      </c>
      <c r="F10134" t="str">
        <f>"09-I10-02"</f>
        <v>09-I10-02</v>
      </c>
      <c r="G10134">
        <v>0.87580000000000002</v>
      </c>
      <c r="H10134" t="s">
        <v>12</v>
      </c>
      <c r="I10134" t="s">
        <v>10</v>
      </c>
    </row>
    <row r="10135" spans="1:9" x14ac:dyDescent="0.25">
      <c r="A10135" t="str">
        <f t="shared" si="239"/>
        <v>89301000</v>
      </c>
      <c r="B10135" t="str">
        <f>"6660120775"</f>
        <v>6660120775</v>
      </c>
      <c r="C10135" s="1">
        <v>45039</v>
      </c>
      <c r="D10135" s="1">
        <v>45046</v>
      </c>
      <c r="E10135">
        <v>1</v>
      </c>
      <c r="F10135" t="str">
        <f>"06-I07-05"</f>
        <v>06-I07-05</v>
      </c>
      <c r="G10135">
        <v>2.7919999999999998</v>
      </c>
      <c r="H10135" t="s">
        <v>12</v>
      </c>
      <c r="I10135" t="s">
        <v>10</v>
      </c>
    </row>
    <row r="10136" spans="1:9" x14ac:dyDescent="0.25">
      <c r="A10136" t="str">
        <f t="shared" si="239"/>
        <v>89301000</v>
      </c>
      <c r="B10136" t="str">
        <f>"6660121435"</f>
        <v>6660121435</v>
      </c>
      <c r="C10136" s="1">
        <v>44971</v>
      </c>
      <c r="D10136" s="1">
        <v>44978</v>
      </c>
      <c r="E10136">
        <v>1</v>
      </c>
      <c r="F10136" t="str">
        <f>"10-R02-02"</f>
        <v>10-R02-02</v>
      </c>
      <c r="G10136">
        <v>0.66300000000000003</v>
      </c>
      <c r="H10136" t="s">
        <v>9</v>
      </c>
      <c r="I10136" t="s">
        <v>10</v>
      </c>
    </row>
    <row r="10137" spans="1:9" x14ac:dyDescent="0.25">
      <c r="A10137" t="str">
        <f t="shared" si="239"/>
        <v>89301000</v>
      </c>
      <c r="B10137" t="str">
        <f>"6660121710"</f>
        <v>6660121710</v>
      </c>
      <c r="C10137" s="1">
        <v>45012</v>
      </c>
      <c r="D10137" s="1">
        <v>45015</v>
      </c>
      <c r="E10137">
        <v>1</v>
      </c>
      <c r="F10137" t="str">
        <f>"13-I11-03"</f>
        <v>13-I11-03</v>
      </c>
      <c r="G10137">
        <v>1.4332</v>
      </c>
      <c r="H10137" t="s">
        <v>9</v>
      </c>
      <c r="I10137" t="s">
        <v>10</v>
      </c>
    </row>
    <row r="10138" spans="1:9" x14ac:dyDescent="0.25">
      <c r="A10138" t="str">
        <f t="shared" si="239"/>
        <v>89301000</v>
      </c>
      <c r="B10138" t="str">
        <f>"6660121710"</f>
        <v>6660121710</v>
      </c>
      <c r="C10138" s="1">
        <v>45008</v>
      </c>
      <c r="D10138" s="1">
        <v>45009</v>
      </c>
      <c r="E10138">
        <v>1</v>
      </c>
      <c r="F10138" t="str">
        <f>"23-K01-00"</f>
        <v>23-K01-00</v>
      </c>
      <c r="G10138">
        <v>0.1401</v>
      </c>
      <c r="H10138" t="s">
        <v>11</v>
      </c>
      <c r="I10138" t="s">
        <v>10</v>
      </c>
    </row>
    <row r="10139" spans="1:9" x14ac:dyDescent="0.25">
      <c r="A10139" t="str">
        <f t="shared" si="239"/>
        <v>89301000</v>
      </c>
      <c r="B10139" t="str">
        <f>"6660130906"</f>
        <v>6660130906</v>
      </c>
      <c r="C10139" s="1">
        <v>45051</v>
      </c>
      <c r="D10139" s="1">
        <v>45055</v>
      </c>
      <c r="E10139">
        <v>1</v>
      </c>
      <c r="F10139" t="str">
        <f>"08-I04-03"</f>
        <v>08-I04-03</v>
      </c>
      <c r="G10139">
        <v>1.3045</v>
      </c>
      <c r="H10139" t="s">
        <v>14</v>
      </c>
      <c r="I10139" t="s">
        <v>10</v>
      </c>
    </row>
    <row r="10140" spans="1:9" x14ac:dyDescent="0.25">
      <c r="A10140" t="str">
        <f t="shared" si="239"/>
        <v>89301000</v>
      </c>
      <c r="B10140" t="str">
        <f>"6660160859"</f>
        <v>6660160859</v>
      </c>
      <c r="C10140" s="1">
        <v>45054</v>
      </c>
      <c r="D10140" s="1">
        <v>45056</v>
      </c>
      <c r="E10140">
        <v>1</v>
      </c>
      <c r="F10140" t="str">
        <f>"08-I31-04"</f>
        <v>08-I31-04</v>
      </c>
      <c r="G10140">
        <v>0.4894</v>
      </c>
      <c r="H10140" t="s">
        <v>11</v>
      </c>
      <c r="I10140" t="s">
        <v>10</v>
      </c>
    </row>
    <row r="10141" spans="1:9" x14ac:dyDescent="0.25">
      <c r="A10141" t="str">
        <f t="shared" si="239"/>
        <v>89301000</v>
      </c>
      <c r="B10141" t="str">
        <f>"6660171804"</f>
        <v>6660171804</v>
      </c>
      <c r="C10141" s="1">
        <v>45107</v>
      </c>
      <c r="D10141" s="1">
        <v>45124</v>
      </c>
      <c r="E10141">
        <v>1</v>
      </c>
      <c r="F10141" t="str">
        <f>"01-I06-04"</f>
        <v>01-I06-04</v>
      </c>
      <c r="G10141">
        <v>3.6478999999999999</v>
      </c>
      <c r="H10141" t="s">
        <v>12</v>
      </c>
      <c r="I10141" t="s">
        <v>10</v>
      </c>
    </row>
    <row r="10142" spans="1:9" x14ac:dyDescent="0.25">
      <c r="A10142" t="str">
        <f t="shared" si="239"/>
        <v>89301000</v>
      </c>
      <c r="B10142" t="str">
        <f>"6661160715"</f>
        <v>6661160715</v>
      </c>
      <c r="C10142" s="1">
        <v>45229</v>
      </c>
      <c r="D10142" s="1">
        <v>45233</v>
      </c>
      <c r="E10142">
        <v>1</v>
      </c>
      <c r="F10142" t="str">
        <f>"05-I30-02"</f>
        <v>05-I30-02</v>
      </c>
      <c r="G10142">
        <v>0.54210000000000003</v>
      </c>
      <c r="H10142" t="s">
        <v>12</v>
      </c>
      <c r="I10142" t="s">
        <v>10</v>
      </c>
    </row>
    <row r="10143" spans="1:9" x14ac:dyDescent="0.25">
      <c r="A10143" t="str">
        <f t="shared" si="239"/>
        <v>89301000</v>
      </c>
      <c r="B10143" t="str">
        <f>"6661180889"</f>
        <v>6661180889</v>
      </c>
      <c r="C10143" s="1">
        <v>44930</v>
      </c>
      <c r="D10143" s="1">
        <v>44945</v>
      </c>
      <c r="E10143">
        <v>1</v>
      </c>
      <c r="F10143" t="str">
        <f>"13-I04-01"</f>
        <v>13-I04-01</v>
      </c>
      <c r="G10143">
        <v>3.5590000000000002</v>
      </c>
      <c r="H10143" t="s">
        <v>14</v>
      </c>
      <c r="I10143" t="s">
        <v>10</v>
      </c>
    </row>
    <row r="10144" spans="1:9" x14ac:dyDescent="0.25">
      <c r="A10144" t="str">
        <f t="shared" si="239"/>
        <v>89301000</v>
      </c>
      <c r="B10144" t="str">
        <f>"6661251003"</f>
        <v>6661251003</v>
      </c>
      <c r="C10144" s="1">
        <v>44936</v>
      </c>
      <c r="D10144" s="1">
        <v>44939</v>
      </c>
      <c r="E10144">
        <v>1</v>
      </c>
      <c r="F10144" t="str">
        <f>"08-M03-05"</f>
        <v>08-M03-05</v>
      </c>
      <c r="G10144">
        <v>0.46810000000000002</v>
      </c>
      <c r="H10144" t="s">
        <v>11</v>
      </c>
      <c r="I10144" t="s">
        <v>10</v>
      </c>
    </row>
    <row r="10145" spans="1:9" x14ac:dyDescent="0.25">
      <c r="A10145" t="str">
        <f t="shared" si="239"/>
        <v>89301000</v>
      </c>
      <c r="B10145" t="str">
        <f>"6662081228"</f>
        <v>6662081228</v>
      </c>
      <c r="C10145" s="1">
        <v>45229</v>
      </c>
      <c r="D10145" s="1">
        <v>45244</v>
      </c>
      <c r="E10145">
        <v>1</v>
      </c>
      <c r="F10145" t="str">
        <f>"19-K04-02"</f>
        <v>19-K04-02</v>
      </c>
      <c r="G10145">
        <v>1.3379000000000001</v>
      </c>
      <c r="H10145" t="s">
        <v>15</v>
      </c>
      <c r="I10145" t="s">
        <v>10</v>
      </c>
    </row>
    <row r="10146" spans="1:9" x14ac:dyDescent="0.25">
      <c r="A10146" t="str">
        <f t="shared" si="239"/>
        <v>89301000</v>
      </c>
      <c r="B10146" t="str">
        <f>"6662271352"</f>
        <v>6662271352</v>
      </c>
      <c r="C10146" s="1">
        <v>45249</v>
      </c>
      <c r="D10146" s="1">
        <v>45253</v>
      </c>
      <c r="E10146">
        <v>1</v>
      </c>
      <c r="F10146" t="str">
        <f>"06-I18-05"</f>
        <v>06-I18-05</v>
      </c>
      <c r="G10146">
        <v>0.82420000000000004</v>
      </c>
      <c r="H10146" t="s">
        <v>9</v>
      </c>
      <c r="I10146" t="s">
        <v>10</v>
      </c>
    </row>
    <row r="10147" spans="1:9" x14ac:dyDescent="0.25">
      <c r="A10147" t="str">
        <f t="shared" si="239"/>
        <v>89301000</v>
      </c>
      <c r="B10147" t="str">
        <f>"6662281208"</f>
        <v>6662281208</v>
      </c>
      <c r="C10147" s="1">
        <v>45071</v>
      </c>
      <c r="D10147" s="1">
        <v>45074</v>
      </c>
      <c r="E10147">
        <v>1</v>
      </c>
      <c r="F10147" t="str">
        <f>"07-I10-06"</f>
        <v>07-I10-06</v>
      </c>
      <c r="G10147">
        <v>0.98419999999999996</v>
      </c>
      <c r="H10147" t="s">
        <v>12</v>
      </c>
      <c r="I10147" t="s">
        <v>10</v>
      </c>
    </row>
    <row r="10148" spans="1:9" x14ac:dyDescent="0.25">
      <c r="A10148" t="str">
        <f t="shared" si="239"/>
        <v>89301000</v>
      </c>
      <c r="B10148" t="str">
        <f>"6662310017"</f>
        <v>6662310017</v>
      </c>
      <c r="C10148" s="1">
        <v>45142</v>
      </c>
      <c r="D10148" s="1">
        <v>45143</v>
      </c>
      <c r="E10148">
        <v>1</v>
      </c>
      <c r="F10148" t="str">
        <f>"13-K08-01"</f>
        <v>13-K08-01</v>
      </c>
      <c r="G10148">
        <v>0.66459999999999997</v>
      </c>
      <c r="H10148" t="s">
        <v>11</v>
      </c>
      <c r="I10148" t="s">
        <v>10</v>
      </c>
    </row>
    <row r="10149" spans="1:9" x14ac:dyDescent="0.25">
      <c r="A10149" t="str">
        <f t="shared" si="239"/>
        <v>89301000</v>
      </c>
      <c r="B10149" t="str">
        <f>"6701010173"</f>
        <v>6701010173</v>
      </c>
      <c r="C10149" s="1">
        <v>45125</v>
      </c>
      <c r="D10149" s="1">
        <v>45132</v>
      </c>
      <c r="E10149">
        <v>1</v>
      </c>
      <c r="F10149" t="str">
        <f>"11-M03-02"</f>
        <v>11-M03-02</v>
      </c>
      <c r="G10149">
        <v>1.4410000000000001</v>
      </c>
      <c r="H10149" t="s">
        <v>12</v>
      </c>
      <c r="I10149" t="s">
        <v>10</v>
      </c>
    </row>
    <row r="10150" spans="1:9" x14ac:dyDescent="0.25">
      <c r="A10150" t="str">
        <f t="shared" si="239"/>
        <v>89301000</v>
      </c>
      <c r="B10150" t="str">
        <f>"6701060146"</f>
        <v>6701060146</v>
      </c>
      <c r="C10150" s="1">
        <v>45137</v>
      </c>
      <c r="D10150" s="1">
        <v>45139</v>
      </c>
      <c r="E10150">
        <v>1</v>
      </c>
      <c r="F10150" t="str">
        <f>"05-I14-04"</f>
        <v>05-I14-04</v>
      </c>
      <c r="G10150">
        <v>5.2220000000000004</v>
      </c>
      <c r="H10150" t="s">
        <v>12</v>
      </c>
      <c r="I10150" t="s">
        <v>10</v>
      </c>
    </row>
    <row r="10151" spans="1:9" x14ac:dyDescent="0.25">
      <c r="A10151" t="str">
        <f t="shared" si="239"/>
        <v>89301000</v>
      </c>
      <c r="B10151" t="str">
        <f>"6701060146"</f>
        <v>6701060146</v>
      </c>
      <c r="C10151" s="1">
        <v>45123</v>
      </c>
      <c r="D10151" s="1">
        <v>45125</v>
      </c>
      <c r="E10151">
        <v>1</v>
      </c>
      <c r="F10151" t="str">
        <f>"05-M06-08"</f>
        <v>05-M06-08</v>
      </c>
      <c r="G10151">
        <v>1.4228000000000001</v>
      </c>
      <c r="H10151" t="s">
        <v>12</v>
      </c>
      <c r="I10151" t="s">
        <v>10</v>
      </c>
    </row>
    <row r="10152" spans="1:9" x14ac:dyDescent="0.25">
      <c r="A10152" t="str">
        <f t="shared" ref="A10152:A10215" si="240">"89301000"</f>
        <v>89301000</v>
      </c>
      <c r="B10152" t="str">
        <f>"6701111472"</f>
        <v>6701111472</v>
      </c>
      <c r="C10152" s="1">
        <v>45179</v>
      </c>
      <c r="D10152" s="1">
        <v>45181</v>
      </c>
      <c r="E10152">
        <v>1</v>
      </c>
      <c r="F10152" t="str">
        <f>"08-M03-05"</f>
        <v>08-M03-05</v>
      </c>
      <c r="G10152">
        <v>0.62409999999999999</v>
      </c>
      <c r="H10152" t="s">
        <v>11</v>
      </c>
      <c r="I10152" t="s">
        <v>10</v>
      </c>
    </row>
    <row r="10153" spans="1:9" x14ac:dyDescent="0.25">
      <c r="A10153" t="str">
        <f t="shared" si="240"/>
        <v>89301000</v>
      </c>
      <c r="B10153" t="str">
        <f>"6701120657"</f>
        <v>6701120657</v>
      </c>
      <c r="C10153" s="1">
        <v>44956</v>
      </c>
      <c r="D10153" s="1">
        <v>44957</v>
      </c>
      <c r="E10153">
        <v>1</v>
      </c>
      <c r="F10153" t="str">
        <f>"12-I13-02"</f>
        <v>12-I13-02</v>
      </c>
      <c r="G10153">
        <v>0.53879999999999995</v>
      </c>
      <c r="H10153" t="s">
        <v>9</v>
      </c>
      <c r="I10153" t="s">
        <v>10</v>
      </c>
    </row>
    <row r="10154" spans="1:9" x14ac:dyDescent="0.25">
      <c r="A10154" t="str">
        <f t="shared" si="240"/>
        <v>89301000</v>
      </c>
      <c r="B10154" t="str">
        <f>"6701131107"</f>
        <v>6701131107</v>
      </c>
      <c r="C10154" s="1">
        <v>44937</v>
      </c>
      <c r="D10154" s="1">
        <v>44945</v>
      </c>
      <c r="E10154">
        <v>1</v>
      </c>
      <c r="F10154" t="str">
        <f>"06-I13-02"</f>
        <v>06-I13-02</v>
      </c>
      <c r="G10154">
        <v>2.1128999999999998</v>
      </c>
      <c r="H10154" t="s">
        <v>11</v>
      </c>
      <c r="I10154" t="s">
        <v>10</v>
      </c>
    </row>
    <row r="10155" spans="1:9" x14ac:dyDescent="0.25">
      <c r="A10155" t="str">
        <f t="shared" si="240"/>
        <v>89301000</v>
      </c>
      <c r="B10155" t="str">
        <f>"6701140127"</f>
        <v>6701140127</v>
      </c>
      <c r="C10155" s="1">
        <v>45144</v>
      </c>
      <c r="D10155" s="1">
        <v>45147</v>
      </c>
      <c r="E10155">
        <v>1</v>
      </c>
      <c r="F10155" t="str">
        <f>"08-M03-05"</f>
        <v>08-M03-05</v>
      </c>
      <c r="G10155">
        <v>0.46810000000000002</v>
      </c>
      <c r="H10155" t="s">
        <v>11</v>
      </c>
      <c r="I10155" t="s">
        <v>10</v>
      </c>
    </row>
    <row r="10156" spans="1:9" x14ac:dyDescent="0.25">
      <c r="A10156" t="str">
        <f t="shared" si="240"/>
        <v>89301000</v>
      </c>
      <c r="B10156" t="str">
        <f>"6701141425"</f>
        <v>6701141425</v>
      </c>
      <c r="C10156" s="1">
        <v>45062</v>
      </c>
      <c r="D10156" s="1">
        <v>45064</v>
      </c>
      <c r="E10156">
        <v>1</v>
      </c>
      <c r="F10156" t="str">
        <f>"08-M03-02"</f>
        <v>08-M03-02</v>
      </c>
      <c r="G10156">
        <v>0.91359999999999997</v>
      </c>
      <c r="H10156" t="s">
        <v>11</v>
      </c>
      <c r="I10156" t="s">
        <v>10</v>
      </c>
    </row>
    <row r="10157" spans="1:9" x14ac:dyDescent="0.25">
      <c r="A10157" t="str">
        <f t="shared" si="240"/>
        <v>89301000</v>
      </c>
      <c r="B10157" t="str">
        <f>"6701141425"</f>
        <v>6701141425</v>
      </c>
      <c r="C10157" s="1">
        <v>44992</v>
      </c>
      <c r="D10157" s="1">
        <v>44995</v>
      </c>
      <c r="E10157">
        <v>1</v>
      </c>
      <c r="F10157" t="str">
        <f>"08-M03-05"</f>
        <v>08-M03-05</v>
      </c>
      <c r="G10157">
        <v>0.46810000000000002</v>
      </c>
      <c r="H10157" t="s">
        <v>11</v>
      </c>
      <c r="I10157" t="s">
        <v>10</v>
      </c>
    </row>
    <row r="10158" spans="1:9" x14ac:dyDescent="0.25">
      <c r="A10158" t="str">
        <f t="shared" si="240"/>
        <v>89301000</v>
      </c>
      <c r="B10158" t="str">
        <f>"6701151941"</f>
        <v>6701151941</v>
      </c>
      <c r="C10158" s="1">
        <v>45070</v>
      </c>
      <c r="D10158" s="1">
        <v>45076</v>
      </c>
      <c r="E10158">
        <v>1</v>
      </c>
      <c r="F10158" t="str">
        <f>"02-K11-01"</f>
        <v>02-K11-01</v>
      </c>
      <c r="G10158">
        <v>0.87490000000000001</v>
      </c>
      <c r="H10158" t="s">
        <v>11</v>
      </c>
      <c r="I10158" t="s">
        <v>10</v>
      </c>
    </row>
    <row r="10159" spans="1:9" x14ac:dyDescent="0.25">
      <c r="A10159" t="str">
        <f t="shared" si="240"/>
        <v>89301000</v>
      </c>
      <c r="B10159" t="str">
        <f>"6701201386"</f>
        <v>6701201386</v>
      </c>
      <c r="C10159" s="1">
        <v>45062</v>
      </c>
      <c r="D10159" s="1">
        <v>45068</v>
      </c>
      <c r="E10159">
        <v>1</v>
      </c>
      <c r="F10159" t="str">
        <f>"10-I11-00"</f>
        <v>10-I11-00</v>
      </c>
      <c r="G10159">
        <v>2.2302</v>
      </c>
      <c r="H10159" t="s">
        <v>9</v>
      </c>
      <c r="I10159" t="s">
        <v>10</v>
      </c>
    </row>
    <row r="10160" spans="1:9" x14ac:dyDescent="0.25">
      <c r="A10160" t="str">
        <f t="shared" si="240"/>
        <v>89301000</v>
      </c>
      <c r="B10160" t="str">
        <f>"6701221945"</f>
        <v>6701221945</v>
      </c>
      <c r="C10160" s="1">
        <v>45203</v>
      </c>
      <c r="D10160" s="1">
        <v>45206</v>
      </c>
      <c r="E10160">
        <v>1</v>
      </c>
      <c r="F10160" t="str">
        <f>"11-I17-03"</f>
        <v>11-I17-03</v>
      </c>
      <c r="G10160">
        <v>0.50139999999999996</v>
      </c>
      <c r="H10160" t="s">
        <v>11</v>
      </c>
      <c r="I10160" t="s">
        <v>10</v>
      </c>
    </row>
    <row r="10161" spans="1:9" x14ac:dyDescent="0.25">
      <c r="A10161" t="str">
        <f t="shared" si="240"/>
        <v>89301000</v>
      </c>
      <c r="B10161" t="str">
        <f>"6701230063"</f>
        <v>6701230063</v>
      </c>
      <c r="C10161" s="1">
        <v>44963</v>
      </c>
      <c r="D10161" s="1">
        <v>44964</v>
      </c>
      <c r="E10161">
        <v>1</v>
      </c>
      <c r="F10161" t="str">
        <f>"08-M03-05"</f>
        <v>08-M03-05</v>
      </c>
      <c r="G10161">
        <v>0.46810000000000002</v>
      </c>
      <c r="H10161" t="s">
        <v>11</v>
      </c>
      <c r="I10161" t="s">
        <v>10</v>
      </c>
    </row>
    <row r="10162" spans="1:9" x14ac:dyDescent="0.25">
      <c r="A10162" t="str">
        <f t="shared" si="240"/>
        <v>89301000</v>
      </c>
      <c r="B10162" t="str">
        <f>"6702031688"</f>
        <v>6702031688</v>
      </c>
      <c r="C10162" s="1">
        <v>45016</v>
      </c>
      <c r="D10162" s="1">
        <v>45017</v>
      </c>
      <c r="E10162">
        <v>1</v>
      </c>
      <c r="F10162" t="str">
        <f>"05-M06-08"</f>
        <v>05-M06-08</v>
      </c>
      <c r="G10162">
        <v>1.4228000000000001</v>
      </c>
      <c r="H10162" t="s">
        <v>12</v>
      </c>
      <c r="I10162" t="s">
        <v>10</v>
      </c>
    </row>
    <row r="10163" spans="1:9" x14ac:dyDescent="0.25">
      <c r="A10163" t="str">
        <f t="shared" si="240"/>
        <v>89301000</v>
      </c>
      <c r="B10163" t="str">
        <f>"6702060057"</f>
        <v>6702060057</v>
      </c>
      <c r="C10163" s="1">
        <v>45049</v>
      </c>
      <c r="D10163" s="1">
        <v>45055</v>
      </c>
      <c r="E10163">
        <v>1</v>
      </c>
      <c r="F10163" t="str">
        <f>"04-K06-03"</f>
        <v>04-K06-03</v>
      </c>
      <c r="G10163">
        <v>0.62519999999999998</v>
      </c>
      <c r="H10163" t="s">
        <v>11</v>
      </c>
      <c r="I10163" t="s">
        <v>10</v>
      </c>
    </row>
    <row r="10164" spans="1:9" x14ac:dyDescent="0.25">
      <c r="A10164" t="str">
        <f t="shared" si="240"/>
        <v>89301000</v>
      </c>
      <c r="B10164" t="str">
        <f>"6702060057"</f>
        <v>6702060057</v>
      </c>
      <c r="C10164" s="1">
        <v>45176</v>
      </c>
      <c r="D10164" s="1">
        <v>45183</v>
      </c>
      <c r="E10164">
        <v>1</v>
      </c>
      <c r="F10164" t="str">
        <f>"04-K06-03"</f>
        <v>04-K06-03</v>
      </c>
      <c r="G10164">
        <v>0.62519999999999998</v>
      </c>
      <c r="H10164" t="s">
        <v>11</v>
      </c>
      <c r="I10164" t="s">
        <v>10</v>
      </c>
    </row>
    <row r="10165" spans="1:9" x14ac:dyDescent="0.25">
      <c r="A10165" t="str">
        <f t="shared" si="240"/>
        <v>89301000</v>
      </c>
      <c r="B10165" t="str">
        <f>"6702060057"</f>
        <v>6702060057</v>
      </c>
      <c r="C10165" s="1">
        <v>45232</v>
      </c>
      <c r="D10165" s="1">
        <v>45238</v>
      </c>
      <c r="E10165">
        <v>1</v>
      </c>
      <c r="F10165" t="str">
        <f>"04-K06-03"</f>
        <v>04-K06-03</v>
      </c>
      <c r="G10165">
        <v>0.62519999999999998</v>
      </c>
      <c r="H10165" t="s">
        <v>11</v>
      </c>
      <c r="I10165" t="s">
        <v>10</v>
      </c>
    </row>
    <row r="10166" spans="1:9" x14ac:dyDescent="0.25">
      <c r="A10166" t="str">
        <f t="shared" si="240"/>
        <v>89301000</v>
      </c>
      <c r="B10166" t="str">
        <f>"6702060057"</f>
        <v>6702060057</v>
      </c>
      <c r="C10166" s="1">
        <v>45017</v>
      </c>
      <c r="D10166" s="1">
        <v>45021</v>
      </c>
      <c r="E10166">
        <v>1</v>
      </c>
      <c r="F10166" t="str">
        <f>"04-K06-03"</f>
        <v>04-K06-03</v>
      </c>
      <c r="G10166">
        <v>0.62519999999999998</v>
      </c>
      <c r="H10166" t="s">
        <v>11</v>
      </c>
      <c r="I10166" t="s">
        <v>10</v>
      </c>
    </row>
    <row r="10167" spans="1:9" x14ac:dyDescent="0.25">
      <c r="A10167" t="str">
        <f t="shared" si="240"/>
        <v>89301000</v>
      </c>
      <c r="B10167" t="str">
        <f>"6702120304"</f>
        <v>6702120304</v>
      </c>
      <c r="C10167" s="1">
        <v>45152</v>
      </c>
      <c r="D10167" s="1">
        <v>45152</v>
      </c>
      <c r="E10167">
        <v>1</v>
      </c>
      <c r="F10167" t="str">
        <f>"05-D01-08"</f>
        <v>05-D01-08</v>
      </c>
      <c r="G10167">
        <v>0.2303</v>
      </c>
      <c r="H10167" t="s">
        <v>11</v>
      </c>
      <c r="I10167" t="s">
        <v>10</v>
      </c>
    </row>
    <row r="10168" spans="1:9" x14ac:dyDescent="0.25">
      <c r="A10168" t="str">
        <f t="shared" si="240"/>
        <v>89301000</v>
      </c>
      <c r="B10168" t="str">
        <f>"6702140082"</f>
        <v>6702140082</v>
      </c>
      <c r="C10168" s="1">
        <v>45070</v>
      </c>
      <c r="D10168" s="1">
        <v>45071</v>
      </c>
      <c r="E10168">
        <v>1</v>
      </c>
      <c r="F10168" t="str">
        <f>"03-K13-02"</f>
        <v>03-K13-02</v>
      </c>
      <c r="G10168">
        <v>0.24440000000000001</v>
      </c>
      <c r="H10168" t="s">
        <v>11</v>
      </c>
      <c r="I10168" t="s">
        <v>10</v>
      </c>
    </row>
    <row r="10169" spans="1:9" x14ac:dyDescent="0.25">
      <c r="A10169" t="str">
        <f t="shared" si="240"/>
        <v>89301000</v>
      </c>
      <c r="B10169" t="str">
        <f>"6702150125"</f>
        <v>6702150125</v>
      </c>
      <c r="C10169" s="1">
        <v>45210</v>
      </c>
      <c r="D10169" s="1">
        <v>45223</v>
      </c>
      <c r="E10169">
        <v>1</v>
      </c>
      <c r="F10169" t="str">
        <f>"06-I13-03"</f>
        <v>06-I13-03</v>
      </c>
      <c r="G10169">
        <v>1.5217000000000001</v>
      </c>
      <c r="H10169" t="s">
        <v>11</v>
      </c>
      <c r="I10169" t="s">
        <v>10</v>
      </c>
    </row>
    <row r="10170" spans="1:9" x14ac:dyDescent="0.25">
      <c r="A10170" t="str">
        <f t="shared" si="240"/>
        <v>89301000</v>
      </c>
      <c r="B10170" t="str">
        <f>"6702150125"</f>
        <v>6702150125</v>
      </c>
      <c r="C10170" s="1">
        <v>45132</v>
      </c>
      <c r="D10170" s="1">
        <v>45139</v>
      </c>
      <c r="E10170">
        <v>1</v>
      </c>
      <c r="F10170" t="str">
        <f>"06-I05-01"</f>
        <v>06-I05-01</v>
      </c>
      <c r="G10170">
        <v>3.8811</v>
      </c>
      <c r="H10170" t="s">
        <v>12</v>
      </c>
      <c r="I10170" t="s">
        <v>10</v>
      </c>
    </row>
    <row r="10171" spans="1:9" x14ac:dyDescent="0.25">
      <c r="A10171" t="str">
        <f t="shared" si="240"/>
        <v>89301000</v>
      </c>
      <c r="B10171" t="str">
        <f>"6703080032"</f>
        <v>6703080032</v>
      </c>
      <c r="C10171" s="1">
        <v>45072</v>
      </c>
      <c r="D10171" s="1">
        <v>45075</v>
      </c>
      <c r="E10171">
        <v>1</v>
      </c>
      <c r="F10171" t="str">
        <f>"02-I06-04"</f>
        <v>02-I06-04</v>
      </c>
      <c r="G10171">
        <v>0.79630000000000001</v>
      </c>
      <c r="H10171" t="s">
        <v>12</v>
      </c>
      <c r="I10171" t="s">
        <v>10</v>
      </c>
    </row>
    <row r="10172" spans="1:9" x14ac:dyDescent="0.25">
      <c r="A10172" t="str">
        <f t="shared" si="240"/>
        <v>89301000</v>
      </c>
      <c r="B10172" t="str">
        <f>"6703140268"</f>
        <v>6703140268</v>
      </c>
      <c r="C10172" s="1">
        <v>45083</v>
      </c>
      <c r="D10172" s="1">
        <v>45084</v>
      </c>
      <c r="E10172">
        <v>1</v>
      </c>
      <c r="F10172" t="str">
        <f>"17-K10-02"</f>
        <v>17-K10-02</v>
      </c>
      <c r="G10172">
        <v>0.59770000000000001</v>
      </c>
      <c r="H10172" t="s">
        <v>11</v>
      </c>
      <c r="I10172" t="s">
        <v>10</v>
      </c>
    </row>
    <row r="10173" spans="1:9" x14ac:dyDescent="0.25">
      <c r="A10173" t="str">
        <f t="shared" si="240"/>
        <v>89301000</v>
      </c>
      <c r="B10173" t="str">
        <f>"6703141742"</f>
        <v>6703141742</v>
      </c>
      <c r="C10173" s="1">
        <v>45240</v>
      </c>
      <c r="D10173" s="1">
        <v>45244</v>
      </c>
      <c r="E10173">
        <v>1</v>
      </c>
      <c r="F10173" t="str">
        <f>"04-K09-03"</f>
        <v>04-K09-03</v>
      </c>
      <c r="G10173">
        <v>0.65600000000000003</v>
      </c>
      <c r="H10173" t="s">
        <v>11</v>
      </c>
      <c r="I10173" t="s">
        <v>10</v>
      </c>
    </row>
    <row r="10174" spans="1:9" x14ac:dyDescent="0.25">
      <c r="A10174" t="str">
        <f t="shared" si="240"/>
        <v>89301000</v>
      </c>
      <c r="B10174" t="str">
        <f>"6703141742"</f>
        <v>6703141742</v>
      </c>
      <c r="C10174" s="1">
        <v>45221</v>
      </c>
      <c r="D10174" s="1">
        <v>45229</v>
      </c>
      <c r="E10174">
        <v>1</v>
      </c>
      <c r="F10174" t="str">
        <f>"04-I02-04"</f>
        <v>04-I02-04</v>
      </c>
      <c r="G10174">
        <v>3.0272999999999999</v>
      </c>
      <c r="H10174" t="s">
        <v>14</v>
      </c>
      <c r="I10174" t="s">
        <v>10</v>
      </c>
    </row>
    <row r="10175" spans="1:9" x14ac:dyDescent="0.25">
      <c r="A10175" t="str">
        <f t="shared" si="240"/>
        <v>89301000</v>
      </c>
      <c r="B10175" t="str">
        <f>"6703141742"</f>
        <v>6703141742</v>
      </c>
      <c r="C10175" s="1">
        <v>45173</v>
      </c>
      <c r="D10175" s="1">
        <v>45175</v>
      </c>
      <c r="E10175">
        <v>1</v>
      </c>
      <c r="F10175" t="str">
        <f>"04-K10-02"</f>
        <v>04-K10-02</v>
      </c>
      <c r="G10175">
        <v>0.40129999999999999</v>
      </c>
      <c r="H10175" t="s">
        <v>11</v>
      </c>
      <c r="I10175" t="s">
        <v>10</v>
      </c>
    </row>
    <row r="10176" spans="1:9" x14ac:dyDescent="0.25">
      <c r="A10176" t="str">
        <f t="shared" si="240"/>
        <v>89301000</v>
      </c>
      <c r="B10176" t="str">
        <f>"6703180044"</f>
        <v>6703180044</v>
      </c>
      <c r="C10176" s="1">
        <v>45281</v>
      </c>
      <c r="D10176" s="1">
        <v>45284</v>
      </c>
      <c r="E10176">
        <v>1</v>
      </c>
      <c r="F10176" t="str">
        <f>"06-K04-03"</f>
        <v>06-K04-03</v>
      </c>
      <c r="G10176">
        <v>0.38490000000000002</v>
      </c>
      <c r="H10176" t="s">
        <v>11</v>
      </c>
      <c r="I10176" t="s">
        <v>10</v>
      </c>
    </row>
    <row r="10177" spans="1:9" x14ac:dyDescent="0.25">
      <c r="A10177" t="str">
        <f t="shared" si="240"/>
        <v>89301000</v>
      </c>
      <c r="B10177" t="str">
        <f>"6703200141"</f>
        <v>6703200141</v>
      </c>
      <c r="C10177" s="1">
        <v>45000</v>
      </c>
      <c r="D10177" s="1">
        <v>45009</v>
      </c>
      <c r="E10177">
        <v>1</v>
      </c>
      <c r="F10177" t="str">
        <f>"24-M06-02"</f>
        <v>24-M06-02</v>
      </c>
      <c r="G10177">
        <v>1.0699000000000001</v>
      </c>
      <c r="H10177" t="s">
        <v>11</v>
      </c>
      <c r="I10177" t="s">
        <v>10</v>
      </c>
    </row>
    <row r="10178" spans="1:9" x14ac:dyDescent="0.25">
      <c r="A10178" t="str">
        <f t="shared" si="240"/>
        <v>89301000</v>
      </c>
      <c r="B10178" t="str">
        <f>"6703200141"</f>
        <v>6703200141</v>
      </c>
      <c r="C10178" s="1">
        <v>45022</v>
      </c>
      <c r="D10178" s="1">
        <v>45029</v>
      </c>
      <c r="E10178">
        <v>1</v>
      </c>
      <c r="F10178" t="str">
        <f>"08-I04-03"</f>
        <v>08-I04-03</v>
      </c>
      <c r="G10178">
        <v>1.3045</v>
      </c>
      <c r="H10178" t="s">
        <v>14</v>
      </c>
      <c r="I10178" t="s">
        <v>10</v>
      </c>
    </row>
    <row r="10179" spans="1:9" x14ac:dyDescent="0.25">
      <c r="A10179" t="str">
        <f t="shared" si="240"/>
        <v>89301000</v>
      </c>
      <c r="B10179" t="str">
        <f>"6703220051"</f>
        <v>6703220051</v>
      </c>
      <c r="C10179" s="1">
        <v>45219</v>
      </c>
      <c r="D10179" s="1">
        <v>45222</v>
      </c>
      <c r="E10179">
        <v>1</v>
      </c>
      <c r="F10179" t="str">
        <f>"01-D01-03"</f>
        <v>01-D01-03</v>
      </c>
      <c r="G10179">
        <v>0.21060000000000001</v>
      </c>
      <c r="H10179" t="s">
        <v>11</v>
      </c>
      <c r="I10179" t="s">
        <v>10</v>
      </c>
    </row>
    <row r="10180" spans="1:9" x14ac:dyDescent="0.25">
      <c r="A10180" t="str">
        <f t="shared" si="240"/>
        <v>89301000</v>
      </c>
      <c r="B10180" t="str">
        <f>"6703271333"</f>
        <v>6703271333</v>
      </c>
      <c r="C10180" s="1">
        <v>45148</v>
      </c>
      <c r="D10180" s="1">
        <v>45156</v>
      </c>
      <c r="E10180">
        <v>1</v>
      </c>
      <c r="F10180" t="str">
        <f>"09-K01-03"</f>
        <v>09-K01-03</v>
      </c>
      <c r="G10180">
        <v>0.85919999999999996</v>
      </c>
      <c r="H10180" t="s">
        <v>11</v>
      </c>
      <c r="I10180" t="s">
        <v>10</v>
      </c>
    </row>
    <row r="10181" spans="1:9" x14ac:dyDescent="0.25">
      <c r="A10181" t="str">
        <f t="shared" si="240"/>
        <v>89301000</v>
      </c>
      <c r="B10181" t="str">
        <f>"6704030366"</f>
        <v>6704030366</v>
      </c>
      <c r="C10181" s="1">
        <v>45194</v>
      </c>
      <c r="D10181" s="1">
        <v>45201</v>
      </c>
      <c r="E10181">
        <v>1</v>
      </c>
      <c r="F10181" t="str">
        <f>"07-K11-03"</f>
        <v>07-K11-03</v>
      </c>
      <c r="G10181">
        <v>0.44330000000000003</v>
      </c>
      <c r="H10181" t="s">
        <v>11</v>
      </c>
      <c r="I10181" t="s">
        <v>10</v>
      </c>
    </row>
    <row r="10182" spans="1:9" x14ac:dyDescent="0.25">
      <c r="A10182" t="str">
        <f t="shared" si="240"/>
        <v>89301000</v>
      </c>
      <c r="B10182" t="str">
        <f>"6704091636"</f>
        <v>6704091636</v>
      </c>
      <c r="C10182" s="1">
        <v>45224</v>
      </c>
      <c r="D10182" s="1">
        <v>45225</v>
      </c>
      <c r="E10182">
        <v>1</v>
      </c>
      <c r="F10182" t="str">
        <f>"02-I08-02"</f>
        <v>02-I08-02</v>
      </c>
      <c r="G10182">
        <v>0.60729999999999995</v>
      </c>
      <c r="H10182" t="s">
        <v>12</v>
      </c>
      <c r="I10182" t="s">
        <v>10</v>
      </c>
    </row>
    <row r="10183" spans="1:9" x14ac:dyDescent="0.25">
      <c r="A10183" t="str">
        <f t="shared" si="240"/>
        <v>89301000</v>
      </c>
      <c r="B10183" t="str">
        <f>"6704092142"</f>
        <v>6704092142</v>
      </c>
      <c r="C10183" s="1">
        <v>45184</v>
      </c>
      <c r="D10183" s="1">
        <v>45185</v>
      </c>
      <c r="E10183">
        <v>1</v>
      </c>
      <c r="F10183" t="str">
        <f>"05-M05-03"</f>
        <v>05-M05-03</v>
      </c>
      <c r="G10183">
        <v>2.0312999999999999</v>
      </c>
      <c r="H10183" t="s">
        <v>14</v>
      </c>
      <c r="I10183" t="s">
        <v>10</v>
      </c>
    </row>
    <row r="10184" spans="1:9" x14ac:dyDescent="0.25">
      <c r="A10184" t="str">
        <f t="shared" si="240"/>
        <v>89301000</v>
      </c>
      <c r="B10184" t="str">
        <f>"6704110556"</f>
        <v>6704110556</v>
      </c>
      <c r="C10184" s="1">
        <v>45135</v>
      </c>
      <c r="D10184" s="1">
        <v>45138</v>
      </c>
      <c r="E10184">
        <v>1</v>
      </c>
      <c r="F10184" t="str">
        <f>"10-K15-02"</f>
        <v>10-K15-02</v>
      </c>
      <c r="G10184">
        <v>0.66379999999999995</v>
      </c>
      <c r="H10184" t="s">
        <v>11</v>
      </c>
      <c r="I10184" t="s">
        <v>10</v>
      </c>
    </row>
    <row r="10185" spans="1:9" x14ac:dyDescent="0.25">
      <c r="A10185" t="str">
        <f t="shared" si="240"/>
        <v>89301000</v>
      </c>
      <c r="B10185" t="str">
        <f>"6704122205"</f>
        <v>6704122205</v>
      </c>
      <c r="C10185" s="1">
        <v>45237</v>
      </c>
      <c r="D10185" s="1">
        <v>45244</v>
      </c>
      <c r="E10185">
        <v>4</v>
      </c>
      <c r="F10185" t="str">
        <f>"08-I05-04"</f>
        <v>08-I05-04</v>
      </c>
      <c r="G10185">
        <v>2.4445000000000001</v>
      </c>
      <c r="H10185" t="s">
        <v>12</v>
      </c>
      <c r="I10185" t="s">
        <v>10</v>
      </c>
    </row>
    <row r="10186" spans="1:9" x14ac:dyDescent="0.25">
      <c r="A10186" t="str">
        <f t="shared" si="240"/>
        <v>89301000</v>
      </c>
      <c r="B10186" t="str">
        <f>"6704150442"</f>
        <v>6704150442</v>
      </c>
      <c r="C10186" s="1">
        <v>45273</v>
      </c>
      <c r="D10186" s="1">
        <v>45277</v>
      </c>
      <c r="E10186">
        <v>1</v>
      </c>
      <c r="F10186" t="str">
        <f>"03-I12-02"</f>
        <v>03-I12-02</v>
      </c>
      <c r="G10186">
        <v>1.2988999999999999</v>
      </c>
      <c r="H10186" t="s">
        <v>12</v>
      </c>
      <c r="I10186" t="s">
        <v>10</v>
      </c>
    </row>
    <row r="10187" spans="1:9" x14ac:dyDescent="0.25">
      <c r="A10187" t="str">
        <f t="shared" si="240"/>
        <v>89301000</v>
      </c>
      <c r="B10187" t="str">
        <f>"6704180461"</f>
        <v>6704180461</v>
      </c>
      <c r="C10187" s="1">
        <v>45264</v>
      </c>
      <c r="D10187" s="1">
        <v>45267</v>
      </c>
      <c r="E10187">
        <v>1</v>
      </c>
      <c r="F10187" t="str">
        <f>"05-M07-06"</f>
        <v>05-M07-06</v>
      </c>
      <c r="G10187">
        <v>1.2264999999999999</v>
      </c>
      <c r="H10187" t="s">
        <v>12</v>
      </c>
      <c r="I10187" t="s">
        <v>10</v>
      </c>
    </row>
    <row r="10188" spans="1:9" x14ac:dyDescent="0.25">
      <c r="A10188" t="str">
        <f t="shared" si="240"/>
        <v>89301000</v>
      </c>
      <c r="B10188" t="str">
        <f>"6704192209"</f>
        <v>6704192209</v>
      </c>
      <c r="C10188" s="1">
        <v>45173</v>
      </c>
      <c r="D10188" s="1">
        <v>45177</v>
      </c>
      <c r="E10188">
        <v>1</v>
      </c>
      <c r="F10188" t="str">
        <f>"09-K02-00"</f>
        <v>09-K02-00</v>
      </c>
      <c r="G10188">
        <v>0.99539999999999995</v>
      </c>
      <c r="H10188" t="s">
        <v>11</v>
      </c>
      <c r="I10188" t="s">
        <v>10</v>
      </c>
    </row>
    <row r="10189" spans="1:9" x14ac:dyDescent="0.25">
      <c r="A10189" t="str">
        <f t="shared" si="240"/>
        <v>89301000</v>
      </c>
      <c r="B10189" t="str">
        <f>"6704250487"</f>
        <v>6704250487</v>
      </c>
      <c r="C10189" s="1">
        <v>45061</v>
      </c>
      <c r="D10189" s="1">
        <v>45063</v>
      </c>
      <c r="E10189">
        <v>1</v>
      </c>
      <c r="F10189" t="str">
        <f>"08-I32-00"</f>
        <v>08-I32-00</v>
      </c>
      <c r="G10189">
        <v>0.4093</v>
      </c>
      <c r="H10189" t="s">
        <v>11</v>
      </c>
      <c r="I10189" t="s">
        <v>10</v>
      </c>
    </row>
    <row r="10190" spans="1:9" x14ac:dyDescent="0.25">
      <c r="A10190" t="str">
        <f t="shared" si="240"/>
        <v>89301000</v>
      </c>
      <c r="B10190" t="str">
        <f>"6704250487"</f>
        <v>6704250487</v>
      </c>
      <c r="C10190" s="1">
        <v>45019</v>
      </c>
      <c r="D10190" s="1">
        <v>45021</v>
      </c>
      <c r="E10190">
        <v>1</v>
      </c>
      <c r="F10190" t="str">
        <f>"08-I25-02"</f>
        <v>08-I25-02</v>
      </c>
      <c r="G10190">
        <v>0.55279999999999996</v>
      </c>
      <c r="H10190" t="s">
        <v>11</v>
      </c>
      <c r="I10190" t="s">
        <v>10</v>
      </c>
    </row>
    <row r="10191" spans="1:9" x14ac:dyDescent="0.25">
      <c r="A10191" t="str">
        <f t="shared" si="240"/>
        <v>89301000</v>
      </c>
      <c r="B10191" t="str">
        <f>"6704302088"</f>
        <v>6704302088</v>
      </c>
      <c r="C10191" s="1">
        <v>45000</v>
      </c>
      <c r="D10191" s="1">
        <v>45001</v>
      </c>
      <c r="E10191">
        <v>1</v>
      </c>
      <c r="F10191" t="str">
        <f>"01-D01-03"</f>
        <v>01-D01-03</v>
      </c>
      <c r="G10191">
        <v>0.16200000000000001</v>
      </c>
      <c r="H10191" t="s">
        <v>11</v>
      </c>
      <c r="I10191" t="s">
        <v>10</v>
      </c>
    </row>
    <row r="10192" spans="1:9" x14ac:dyDescent="0.25">
      <c r="A10192" t="str">
        <f t="shared" si="240"/>
        <v>89301000</v>
      </c>
      <c r="B10192" t="str">
        <f>"6704302088"</f>
        <v>6704302088</v>
      </c>
      <c r="C10192" s="1">
        <v>45048</v>
      </c>
      <c r="D10192" s="1">
        <v>45049</v>
      </c>
      <c r="E10192">
        <v>1</v>
      </c>
      <c r="F10192" t="str">
        <f>"01-D01-03"</f>
        <v>01-D01-03</v>
      </c>
      <c r="G10192">
        <v>0.16200000000000001</v>
      </c>
      <c r="H10192" t="s">
        <v>11</v>
      </c>
      <c r="I10192" t="s">
        <v>10</v>
      </c>
    </row>
    <row r="10193" spans="1:9" x14ac:dyDescent="0.25">
      <c r="A10193" t="str">
        <f t="shared" si="240"/>
        <v>89301000</v>
      </c>
      <c r="B10193" t="str">
        <f>"6705061495"</f>
        <v>6705061495</v>
      </c>
      <c r="C10193" s="1">
        <v>45279</v>
      </c>
      <c r="D10193" s="1">
        <v>45280</v>
      </c>
      <c r="E10193">
        <v>1</v>
      </c>
      <c r="F10193" t="str">
        <f>"01-D01-03"</f>
        <v>01-D01-03</v>
      </c>
      <c r="G10193">
        <v>0.16200000000000001</v>
      </c>
      <c r="H10193" t="s">
        <v>11</v>
      </c>
      <c r="I10193" t="s">
        <v>10</v>
      </c>
    </row>
    <row r="10194" spans="1:9" x14ac:dyDescent="0.25">
      <c r="A10194" t="str">
        <f t="shared" si="240"/>
        <v>89301000</v>
      </c>
      <c r="B10194" t="str">
        <f>"6705070977"</f>
        <v>6705070977</v>
      </c>
      <c r="C10194" s="1">
        <v>44937</v>
      </c>
      <c r="D10194" s="1">
        <v>44944</v>
      </c>
      <c r="E10194">
        <v>1</v>
      </c>
      <c r="F10194" t="str">
        <f>"11-K03-02"</f>
        <v>11-K03-02</v>
      </c>
      <c r="G10194">
        <v>0.63990000000000002</v>
      </c>
      <c r="H10194" t="s">
        <v>11</v>
      </c>
      <c r="I10194" t="s">
        <v>10</v>
      </c>
    </row>
    <row r="10195" spans="1:9" x14ac:dyDescent="0.25">
      <c r="A10195" t="str">
        <f t="shared" si="240"/>
        <v>89301000</v>
      </c>
      <c r="B10195" t="str">
        <f>"6705070977"</f>
        <v>6705070977</v>
      </c>
      <c r="C10195" s="1">
        <v>45180</v>
      </c>
      <c r="D10195" s="1">
        <v>45187</v>
      </c>
      <c r="E10195">
        <v>1</v>
      </c>
      <c r="F10195" t="str">
        <f>"11-K03-02"</f>
        <v>11-K03-02</v>
      </c>
      <c r="G10195">
        <v>0.63990000000000002</v>
      </c>
      <c r="H10195" t="s">
        <v>11</v>
      </c>
      <c r="I10195" t="s">
        <v>10</v>
      </c>
    </row>
    <row r="10196" spans="1:9" x14ac:dyDescent="0.25">
      <c r="A10196" t="str">
        <f t="shared" si="240"/>
        <v>89301000</v>
      </c>
      <c r="B10196" t="str">
        <f>"6705080349"</f>
        <v>6705080349</v>
      </c>
      <c r="C10196" s="1">
        <v>45147</v>
      </c>
      <c r="D10196" s="1">
        <v>45150</v>
      </c>
      <c r="E10196">
        <v>1</v>
      </c>
      <c r="F10196" t="str">
        <f>"08-M03-05"</f>
        <v>08-M03-05</v>
      </c>
      <c r="G10196">
        <v>0.46810000000000002</v>
      </c>
      <c r="H10196" t="s">
        <v>11</v>
      </c>
      <c r="I10196" t="s">
        <v>10</v>
      </c>
    </row>
    <row r="10197" spans="1:9" x14ac:dyDescent="0.25">
      <c r="A10197" t="str">
        <f t="shared" si="240"/>
        <v>89301000</v>
      </c>
      <c r="B10197" t="str">
        <f>"6705121269"</f>
        <v>6705121269</v>
      </c>
      <c r="C10197" s="1">
        <v>44988</v>
      </c>
      <c r="D10197" s="1">
        <v>44991</v>
      </c>
      <c r="E10197">
        <v>1</v>
      </c>
      <c r="F10197" t="str">
        <f>"01-D01-03"</f>
        <v>01-D01-03</v>
      </c>
      <c r="G10197">
        <v>0.21060000000000001</v>
      </c>
      <c r="H10197" t="s">
        <v>11</v>
      </c>
      <c r="I10197" t="s">
        <v>10</v>
      </c>
    </row>
    <row r="10198" spans="1:9" x14ac:dyDescent="0.25">
      <c r="A10198" t="str">
        <f t="shared" si="240"/>
        <v>89301000</v>
      </c>
      <c r="B10198" t="str">
        <f>"6705130476"</f>
        <v>6705130476</v>
      </c>
      <c r="C10198" s="1">
        <v>45112</v>
      </c>
      <c r="D10198" s="1">
        <v>45118</v>
      </c>
      <c r="E10198">
        <v>1</v>
      </c>
      <c r="F10198" t="str">
        <f>"17-K10-01"</f>
        <v>17-K10-01</v>
      </c>
      <c r="G10198">
        <v>1.5891999999999999</v>
      </c>
      <c r="H10198" t="s">
        <v>11</v>
      </c>
      <c r="I10198" t="s">
        <v>10</v>
      </c>
    </row>
    <row r="10199" spans="1:9" x14ac:dyDescent="0.25">
      <c r="A10199" t="str">
        <f t="shared" si="240"/>
        <v>89301000</v>
      </c>
      <c r="B10199" t="str">
        <f>"6705130476"</f>
        <v>6705130476</v>
      </c>
      <c r="C10199" s="1">
        <v>45037</v>
      </c>
      <c r="D10199" s="1">
        <v>45038</v>
      </c>
      <c r="E10199">
        <v>1</v>
      </c>
      <c r="F10199" t="str">
        <f>"17-I08-02"</f>
        <v>17-I08-02</v>
      </c>
      <c r="G10199">
        <v>1.1373</v>
      </c>
      <c r="H10199" t="s">
        <v>11</v>
      </c>
      <c r="I10199" t="s">
        <v>10</v>
      </c>
    </row>
    <row r="10200" spans="1:9" x14ac:dyDescent="0.25">
      <c r="A10200" t="str">
        <f t="shared" si="240"/>
        <v>89301000</v>
      </c>
      <c r="B10200" t="str">
        <f>"6705151541"</f>
        <v>6705151541</v>
      </c>
      <c r="C10200" s="1">
        <v>45161</v>
      </c>
      <c r="D10200" s="1">
        <v>45162</v>
      </c>
      <c r="E10200">
        <v>1</v>
      </c>
      <c r="F10200" t="str">
        <f>"03-K13-02"</f>
        <v>03-K13-02</v>
      </c>
      <c r="G10200">
        <v>0.24440000000000001</v>
      </c>
      <c r="H10200" t="s">
        <v>11</v>
      </c>
      <c r="I10200" t="s">
        <v>10</v>
      </c>
    </row>
    <row r="10201" spans="1:9" x14ac:dyDescent="0.25">
      <c r="A10201" t="str">
        <f t="shared" si="240"/>
        <v>89301000</v>
      </c>
      <c r="B10201" t="str">
        <f>"6705152179"</f>
        <v>6705152179</v>
      </c>
      <c r="C10201" s="1">
        <v>45217</v>
      </c>
      <c r="D10201" s="1">
        <v>45218</v>
      </c>
      <c r="E10201">
        <v>1</v>
      </c>
      <c r="F10201" t="str">
        <f>"12-I13-02"</f>
        <v>12-I13-02</v>
      </c>
      <c r="G10201">
        <v>0.53879999999999995</v>
      </c>
      <c r="H10201" t="s">
        <v>9</v>
      </c>
      <c r="I10201" t="s">
        <v>10</v>
      </c>
    </row>
    <row r="10202" spans="1:9" x14ac:dyDescent="0.25">
      <c r="A10202" t="str">
        <f t="shared" si="240"/>
        <v>89301000</v>
      </c>
      <c r="B10202" t="str">
        <f>"6705261266"</f>
        <v>6705261266</v>
      </c>
      <c r="C10202" s="1">
        <v>45121</v>
      </c>
      <c r="D10202" s="1">
        <v>45122</v>
      </c>
      <c r="E10202">
        <v>1</v>
      </c>
      <c r="F10202" t="str">
        <f>"05-D01-08"</f>
        <v>05-D01-08</v>
      </c>
      <c r="G10202">
        <v>0.43159999999999998</v>
      </c>
      <c r="H10202" t="s">
        <v>11</v>
      </c>
      <c r="I10202" t="s">
        <v>10</v>
      </c>
    </row>
    <row r="10203" spans="1:9" x14ac:dyDescent="0.25">
      <c r="A10203" t="str">
        <f t="shared" si="240"/>
        <v>89301000</v>
      </c>
      <c r="B10203" t="str">
        <f>"6705300162"</f>
        <v>6705300162</v>
      </c>
      <c r="C10203" s="1">
        <v>45040</v>
      </c>
      <c r="D10203" s="1">
        <v>45042</v>
      </c>
      <c r="E10203">
        <v>1</v>
      </c>
      <c r="F10203" t="str">
        <f>"05-I30-02"</f>
        <v>05-I30-02</v>
      </c>
      <c r="G10203">
        <v>0.41699999999999998</v>
      </c>
      <c r="H10203" t="s">
        <v>12</v>
      </c>
      <c r="I10203" t="s">
        <v>10</v>
      </c>
    </row>
    <row r="10204" spans="1:9" x14ac:dyDescent="0.25">
      <c r="A10204" t="str">
        <f t="shared" si="240"/>
        <v>89301000</v>
      </c>
      <c r="B10204" t="str">
        <f>"6705300668"</f>
        <v>6705300668</v>
      </c>
      <c r="C10204" s="1">
        <v>44985</v>
      </c>
      <c r="D10204" s="1">
        <v>44988</v>
      </c>
      <c r="E10204">
        <v>1</v>
      </c>
      <c r="F10204" t="str">
        <f>"05-M07-06"</f>
        <v>05-M07-06</v>
      </c>
      <c r="G10204">
        <v>1.2264999999999999</v>
      </c>
      <c r="H10204" t="s">
        <v>12</v>
      </c>
      <c r="I10204" t="s">
        <v>10</v>
      </c>
    </row>
    <row r="10205" spans="1:9" x14ac:dyDescent="0.25">
      <c r="A10205" t="str">
        <f t="shared" si="240"/>
        <v>89301000</v>
      </c>
      <c r="B10205" t="str">
        <f>"6705300668"</f>
        <v>6705300668</v>
      </c>
      <c r="C10205" s="1">
        <v>45120</v>
      </c>
      <c r="D10205" s="1">
        <v>45121</v>
      </c>
      <c r="E10205">
        <v>1</v>
      </c>
      <c r="F10205" t="str">
        <f>"05-D01-08"</f>
        <v>05-D01-08</v>
      </c>
      <c r="G10205">
        <v>0.43159999999999998</v>
      </c>
      <c r="H10205" t="s">
        <v>11</v>
      </c>
      <c r="I10205" t="s">
        <v>10</v>
      </c>
    </row>
    <row r="10206" spans="1:9" x14ac:dyDescent="0.25">
      <c r="A10206" t="str">
        <f t="shared" si="240"/>
        <v>89301000</v>
      </c>
      <c r="B10206" t="str">
        <f>"6705600517"</f>
        <v>6705600517</v>
      </c>
      <c r="C10206" s="1">
        <v>45080</v>
      </c>
      <c r="D10206" s="1">
        <v>45080</v>
      </c>
      <c r="E10206">
        <v>7</v>
      </c>
      <c r="F10206" t="str">
        <f>"25-K01-02"</f>
        <v>25-K01-02</v>
      </c>
      <c r="G10206">
        <v>0.83289999999999997</v>
      </c>
      <c r="H10206" t="s">
        <v>14</v>
      </c>
      <c r="I10206" t="s">
        <v>10</v>
      </c>
    </row>
    <row r="10207" spans="1:9" x14ac:dyDescent="0.25">
      <c r="A10207" t="str">
        <f t="shared" si="240"/>
        <v>89301000</v>
      </c>
      <c r="B10207" t="str">
        <f t="shared" ref="B10207:B10212" si="241">"6706071273"</f>
        <v>6706071273</v>
      </c>
      <c r="C10207" s="1">
        <v>45109</v>
      </c>
      <c r="D10207" s="1">
        <v>45113</v>
      </c>
      <c r="E10207">
        <v>1</v>
      </c>
      <c r="F10207" t="str">
        <f>"10-I13-02"</f>
        <v>10-I13-02</v>
      </c>
      <c r="G10207">
        <v>1.1227</v>
      </c>
      <c r="H10207" t="s">
        <v>9</v>
      </c>
      <c r="I10207" t="s">
        <v>10</v>
      </c>
    </row>
    <row r="10208" spans="1:9" x14ac:dyDescent="0.25">
      <c r="A10208" t="str">
        <f t="shared" si="240"/>
        <v>89301000</v>
      </c>
      <c r="B10208" t="str">
        <f t="shared" si="241"/>
        <v>6706071273</v>
      </c>
      <c r="C10208" s="1">
        <v>45090</v>
      </c>
      <c r="D10208" s="1">
        <v>45091</v>
      </c>
      <c r="E10208">
        <v>1</v>
      </c>
      <c r="F10208" t="str">
        <f>"02-K11-02"</f>
        <v>02-K11-02</v>
      </c>
      <c r="G10208">
        <v>0.56559999999999999</v>
      </c>
      <c r="H10208" t="s">
        <v>11</v>
      </c>
      <c r="I10208" t="s">
        <v>10</v>
      </c>
    </row>
    <row r="10209" spans="1:9" x14ac:dyDescent="0.25">
      <c r="A10209" t="str">
        <f t="shared" si="240"/>
        <v>89301000</v>
      </c>
      <c r="B10209" t="str">
        <f t="shared" si="241"/>
        <v>6706071273</v>
      </c>
      <c r="C10209" s="1">
        <v>45076</v>
      </c>
      <c r="D10209" s="1">
        <v>45077</v>
      </c>
      <c r="E10209">
        <v>1</v>
      </c>
      <c r="F10209" t="str">
        <f>"10-K01-02"</f>
        <v>10-K01-02</v>
      </c>
      <c r="G10209">
        <v>0.62870000000000004</v>
      </c>
      <c r="H10209" t="s">
        <v>11</v>
      </c>
      <c r="I10209" t="s">
        <v>10</v>
      </c>
    </row>
    <row r="10210" spans="1:9" x14ac:dyDescent="0.25">
      <c r="A10210" t="str">
        <f t="shared" si="240"/>
        <v>89301000</v>
      </c>
      <c r="B10210" t="str">
        <f t="shared" si="241"/>
        <v>6706071273</v>
      </c>
      <c r="C10210" s="1">
        <v>45006</v>
      </c>
      <c r="D10210" s="1">
        <v>45010</v>
      </c>
      <c r="E10210">
        <v>1</v>
      </c>
      <c r="F10210" t="str">
        <f>"03-I18-03"</f>
        <v>03-I18-03</v>
      </c>
      <c r="G10210">
        <v>0.83940000000000003</v>
      </c>
      <c r="H10210" t="s">
        <v>9</v>
      </c>
      <c r="I10210" t="s">
        <v>10</v>
      </c>
    </row>
    <row r="10211" spans="1:9" x14ac:dyDescent="0.25">
      <c r="A10211" t="str">
        <f t="shared" si="240"/>
        <v>89301000</v>
      </c>
      <c r="B10211" t="str">
        <f t="shared" si="241"/>
        <v>6706071273</v>
      </c>
      <c r="C10211" s="1">
        <v>45140</v>
      </c>
      <c r="D10211" s="1">
        <v>45141</v>
      </c>
      <c r="E10211">
        <v>1</v>
      </c>
      <c r="F10211" t="str">
        <f>"02-K11-02"</f>
        <v>02-K11-02</v>
      </c>
      <c r="G10211">
        <v>0.56559999999999999</v>
      </c>
      <c r="H10211" t="s">
        <v>11</v>
      </c>
      <c r="I10211" t="s">
        <v>10</v>
      </c>
    </row>
    <row r="10212" spans="1:9" x14ac:dyDescent="0.25">
      <c r="A10212" t="str">
        <f t="shared" si="240"/>
        <v>89301000</v>
      </c>
      <c r="B10212" t="str">
        <f t="shared" si="241"/>
        <v>6706071273</v>
      </c>
      <c r="C10212" s="1">
        <v>45124</v>
      </c>
      <c r="D10212" s="1">
        <v>45125</v>
      </c>
      <c r="E10212">
        <v>1</v>
      </c>
      <c r="F10212" t="str">
        <f>"02-K11-02"</f>
        <v>02-K11-02</v>
      </c>
      <c r="G10212">
        <v>0.56559999999999999</v>
      </c>
      <c r="H10212" t="s">
        <v>11</v>
      </c>
      <c r="I10212" t="s">
        <v>10</v>
      </c>
    </row>
    <row r="10213" spans="1:9" x14ac:dyDescent="0.25">
      <c r="A10213" t="str">
        <f t="shared" si="240"/>
        <v>89301000</v>
      </c>
      <c r="B10213" t="str">
        <f t="shared" ref="B10213:B10229" si="242">"6706130156"</f>
        <v>6706130156</v>
      </c>
      <c r="C10213" s="1">
        <v>45021</v>
      </c>
      <c r="D10213" s="1">
        <v>45023</v>
      </c>
      <c r="E10213">
        <v>1</v>
      </c>
      <c r="F10213" t="str">
        <f t="shared" ref="F10213:F10218" si="243">"06-C02-02"</f>
        <v>06-C02-02</v>
      </c>
      <c r="G10213">
        <v>0.374</v>
      </c>
      <c r="H10213" t="s">
        <v>11</v>
      </c>
      <c r="I10213" t="s">
        <v>10</v>
      </c>
    </row>
    <row r="10214" spans="1:9" x14ac:dyDescent="0.25">
      <c r="A10214" t="str">
        <f t="shared" si="240"/>
        <v>89301000</v>
      </c>
      <c r="B10214" t="str">
        <f t="shared" si="242"/>
        <v>6706130156</v>
      </c>
      <c r="C10214" s="1">
        <v>44993</v>
      </c>
      <c r="D10214" s="1">
        <v>44995</v>
      </c>
      <c r="E10214">
        <v>1</v>
      </c>
      <c r="F10214" t="str">
        <f t="shared" si="243"/>
        <v>06-C02-02</v>
      </c>
      <c r="G10214">
        <v>0.374</v>
      </c>
      <c r="H10214" t="s">
        <v>11</v>
      </c>
      <c r="I10214" t="s">
        <v>10</v>
      </c>
    </row>
    <row r="10215" spans="1:9" x14ac:dyDescent="0.25">
      <c r="A10215" t="str">
        <f t="shared" si="240"/>
        <v>89301000</v>
      </c>
      <c r="B10215" t="str">
        <f t="shared" si="242"/>
        <v>6706130156</v>
      </c>
      <c r="C10215" s="1">
        <v>44979</v>
      </c>
      <c r="D10215" s="1">
        <v>44981</v>
      </c>
      <c r="E10215">
        <v>1</v>
      </c>
      <c r="F10215" t="str">
        <f t="shared" si="243"/>
        <v>06-C02-02</v>
      </c>
      <c r="G10215">
        <v>0.374</v>
      </c>
      <c r="H10215" t="s">
        <v>11</v>
      </c>
      <c r="I10215" t="s">
        <v>10</v>
      </c>
    </row>
    <row r="10216" spans="1:9" x14ac:dyDescent="0.25">
      <c r="A10216" t="str">
        <f t="shared" ref="A10216:A10279" si="244">"89301000"</f>
        <v>89301000</v>
      </c>
      <c r="B10216" t="str">
        <f t="shared" si="242"/>
        <v>6706130156</v>
      </c>
      <c r="C10216" s="1">
        <v>44965</v>
      </c>
      <c r="D10216" s="1">
        <v>44967</v>
      </c>
      <c r="E10216">
        <v>1</v>
      </c>
      <c r="F10216" t="str">
        <f t="shared" si="243"/>
        <v>06-C02-02</v>
      </c>
      <c r="G10216">
        <v>0.374</v>
      </c>
      <c r="H10216" t="s">
        <v>11</v>
      </c>
      <c r="I10216" t="s">
        <v>10</v>
      </c>
    </row>
    <row r="10217" spans="1:9" x14ac:dyDescent="0.25">
      <c r="A10217" t="str">
        <f t="shared" si="244"/>
        <v>89301000</v>
      </c>
      <c r="B10217" t="str">
        <f t="shared" si="242"/>
        <v>6706130156</v>
      </c>
      <c r="C10217" s="1">
        <v>44950</v>
      </c>
      <c r="D10217" s="1">
        <v>44953</v>
      </c>
      <c r="E10217">
        <v>1</v>
      </c>
      <c r="F10217" t="str">
        <f t="shared" si="243"/>
        <v>06-C02-02</v>
      </c>
      <c r="G10217">
        <v>0.374</v>
      </c>
      <c r="H10217" t="s">
        <v>11</v>
      </c>
      <c r="I10217" t="s">
        <v>10</v>
      </c>
    </row>
    <row r="10218" spans="1:9" x14ac:dyDescent="0.25">
      <c r="A10218" t="str">
        <f t="shared" si="244"/>
        <v>89301000</v>
      </c>
      <c r="B10218" t="str">
        <f t="shared" si="242"/>
        <v>6706130156</v>
      </c>
      <c r="C10218" s="1">
        <v>44936</v>
      </c>
      <c r="D10218" s="1">
        <v>44938</v>
      </c>
      <c r="E10218">
        <v>1</v>
      </c>
      <c r="F10218" t="str">
        <f t="shared" si="243"/>
        <v>06-C02-02</v>
      </c>
      <c r="G10218">
        <v>0.374</v>
      </c>
      <c r="H10218" t="s">
        <v>11</v>
      </c>
      <c r="I10218" t="s">
        <v>10</v>
      </c>
    </row>
    <row r="10219" spans="1:9" x14ac:dyDescent="0.25">
      <c r="A10219" t="str">
        <f t="shared" si="244"/>
        <v>89301000</v>
      </c>
      <c r="B10219" t="str">
        <f t="shared" si="242"/>
        <v>6706130156</v>
      </c>
      <c r="C10219" s="1">
        <v>45190</v>
      </c>
      <c r="D10219" s="1">
        <v>45202</v>
      </c>
      <c r="E10219">
        <v>2</v>
      </c>
      <c r="F10219" t="str">
        <f>"06-K13-02"</f>
        <v>06-K13-02</v>
      </c>
      <c r="G10219">
        <v>0.66739999999999999</v>
      </c>
      <c r="H10219" t="s">
        <v>11</v>
      </c>
      <c r="I10219" t="s">
        <v>10</v>
      </c>
    </row>
    <row r="10220" spans="1:9" x14ac:dyDescent="0.25">
      <c r="A10220" t="str">
        <f t="shared" si="244"/>
        <v>89301000</v>
      </c>
      <c r="B10220" t="str">
        <f t="shared" si="242"/>
        <v>6706130156</v>
      </c>
      <c r="C10220" s="1">
        <v>45160</v>
      </c>
      <c r="D10220" s="1">
        <v>45163</v>
      </c>
      <c r="E10220">
        <v>1</v>
      </c>
      <c r="F10220" t="str">
        <f>"06-K13-02"</f>
        <v>06-K13-02</v>
      </c>
      <c r="G10220">
        <v>0.62629999999999997</v>
      </c>
      <c r="H10220" t="s">
        <v>11</v>
      </c>
      <c r="I10220" t="s">
        <v>10</v>
      </c>
    </row>
    <row r="10221" spans="1:9" x14ac:dyDescent="0.25">
      <c r="A10221" t="str">
        <f t="shared" si="244"/>
        <v>89301000</v>
      </c>
      <c r="B10221" t="str">
        <f t="shared" si="242"/>
        <v>6706130156</v>
      </c>
      <c r="C10221" s="1">
        <v>45146</v>
      </c>
      <c r="D10221" s="1">
        <v>45148</v>
      </c>
      <c r="E10221">
        <v>1</v>
      </c>
      <c r="F10221" t="str">
        <f>"06-C02-02"</f>
        <v>06-C02-02</v>
      </c>
      <c r="G10221">
        <v>0.374</v>
      </c>
      <c r="H10221" t="s">
        <v>11</v>
      </c>
      <c r="I10221" t="s">
        <v>10</v>
      </c>
    </row>
    <row r="10222" spans="1:9" x14ac:dyDescent="0.25">
      <c r="A10222" t="str">
        <f t="shared" si="244"/>
        <v>89301000</v>
      </c>
      <c r="B10222" t="str">
        <f t="shared" si="242"/>
        <v>6706130156</v>
      </c>
      <c r="C10222" s="1">
        <v>45132</v>
      </c>
      <c r="D10222" s="1">
        <v>45134</v>
      </c>
      <c r="E10222">
        <v>1</v>
      </c>
      <c r="F10222" t="str">
        <f>"06-C02-02"</f>
        <v>06-C02-02</v>
      </c>
      <c r="G10222">
        <v>0.374</v>
      </c>
      <c r="H10222" t="s">
        <v>11</v>
      </c>
      <c r="I10222" t="s">
        <v>10</v>
      </c>
    </row>
    <row r="10223" spans="1:9" x14ac:dyDescent="0.25">
      <c r="A10223" t="str">
        <f t="shared" si="244"/>
        <v>89301000</v>
      </c>
      <c r="B10223" t="str">
        <f t="shared" si="242"/>
        <v>6706130156</v>
      </c>
      <c r="C10223" s="1">
        <v>45118</v>
      </c>
      <c r="D10223" s="1">
        <v>45120</v>
      </c>
      <c r="E10223">
        <v>1</v>
      </c>
      <c r="F10223" t="str">
        <f>"06-C02-02"</f>
        <v>06-C02-02</v>
      </c>
      <c r="G10223">
        <v>0.374</v>
      </c>
      <c r="H10223" t="s">
        <v>11</v>
      </c>
      <c r="I10223" t="s">
        <v>10</v>
      </c>
    </row>
    <row r="10224" spans="1:9" x14ac:dyDescent="0.25">
      <c r="A10224" t="str">
        <f t="shared" si="244"/>
        <v>89301000</v>
      </c>
      <c r="B10224" t="str">
        <f t="shared" si="242"/>
        <v>6706130156</v>
      </c>
      <c r="C10224" s="1">
        <v>45098</v>
      </c>
      <c r="D10224" s="1">
        <v>45100</v>
      </c>
      <c r="E10224">
        <v>1</v>
      </c>
      <c r="F10224" t="str">
        <f>"06-C02-02"</f>
        <v>06-C02-02</v>
      </c>
      <c r="G10224">
        <v>0.374</v>
      </c>
      <c r="H10224" t="s">
        <v>11</v>
      </c>
      <c r="I10224" t="s">
        <v>10</v>
      </c>
    </row>
    <row r="10225" spans="1:9" x14ac:dyDescent="0.25">
      <c r="A10225" t="str">
        <f t="shared" si="244"/>
        <v>89301000</v>
      </c>
      <c r="B10225" t="str">
        <f t="shared" si="242"/>
        <v>6706130156</v>
      </c>
      <c r="C10225" s="1">
        <v>45084</v>
      </c>
      <c r="D10225" s="1">
        <v>45086</v>
      </c>
      <c r="E10225">
        <v>1</v>
      </c>
      <c r="F10225" t="str">
        <f>"08-C03-02"</f>
        <v>08-C03-02</v>
      </c>
      <c r="G10225">
        <v>1.0185</v>
      </c>
      <c r="H10225" t="s">
        <v>11</v>
      </c>
      <c r="I10225" t="s">
        <v>10</v>
      </c>
    </row>
    <row r="10226" spans="1:9" x14ac:dyDescent="0.25">
      <c r="A10226" t="str">
        <f t="shared" si="244"/>
        <v>89301000</v>
      </c>
      <c r="B10226" t="str">
        <f t="shared" si="242"/>
        <v>6706130156</v>
      </c>
      <c r="C10226" s="1">
        <v>45070</v>
      </c>
      <c r="D10226" s="1">
        <v>45072</v>
      </c>
      <c r="E10226">
        <v>1</v>
      </c>
      <c r="F10226" t="str">
        <f>"08-C03-02"</f>
        <v>08-C03-02</v>
      </c>
      <c r="G10226">
        <v>1.0185</v>
      </c>
      <c r="H10226" t="s">
        <v>11</v>
      </c>
      <c r="I10226" t="s">
        <v>10</v>
      </c>
    </row>
    <row r="10227" spans="1:9" x14ac:dyDescent="0.25">
      <c r="A10227" t="str">
        <f t="shared" si="244"/>
        <v>89301000</v>
      </c>
      <c r="B10227" t="str">
        <f t="shared" si="242"/>
        <v>6706130156</v>
      </c>
      <c r="C10227" s="1">
        <v>45056</v>
      </c>
      <c r="D10227" s="1">
        <v>45058</v>
      </c>
      <c r="E10227">
        <v>1</v>
      </c>
      <c r="F10227" t="str">
        <f>"08-C03-02"</f>
        <v>08-C03-02</v>
      </c>
      <c r="G10227">
        <v>1.0185</v>
      </c>
      <c r="H10227" t="s">
        <v>11</v>
      </c>
      <c r="I10227" t="s">
        <v>10</v>
      </c>
    </row>
    <row r="10228" spans="1:9" x14ac:dyDescent="0.25">
      <c r="A10228" t="str">
        <f t="shared" si="244"/>
        <v>89301000</v>
      </c>
      <c r="B10228" t="str">
        <f t="shared" si="242"/>
        <v>6706130156</v>
      </c>
      <c r="C10228" s="1">
        <v>45035</v>
      </c>
      <c r="D10228" s="1">
        <v>45037</v>
      </c>
      <c r="E10228">
        <v>1</v>
      </c>
      <c r="F10228" t="str">
        <f>"06-C02-02"</f>
        <v>06-C02-02</v>
      </c>
      <c r="G10228">
        <v>0.374</v>
      </c>
      <c r="H10228" t="s">
        <v>11</v>
      </c>
      <c r="I10228" t="s">
        <v>10</v>
      </c>
    </row>
    <row r="10229" spans="1:9" x14ac:dyDescent="0.25">
      <c r="A10229" t="str">
        <f t="shared" si="244"/>
        <v>89301000</v>
      </c>
      <c r="B10229" t="str">
        <f t="shared" si="242"/>
        <v>6706130156</v>
      </c>
      <c r="C10229" s="1">
        <v>45007</v>
      </c>
      <c r="D10229" s="1">
        <v>45009</v>
      </c>
      <c r="E10229">
        <v>1</v>
      </c>
      <c r="F10229" t="str">
        <f>"06-C02-02"</f>
        <v>06-C02-02</v>
      </c>
      <c r="G10229">
        <v>0.374</v>
      </c>
      <c r="H10229" t="s">
        <v>11</v>
      </c>
      <c r="I10229" t="s">
        <v>10</v>
      </c>
    </row>
    <row r="10230" spans="1:9" x14ac:dyDescent="0.25">
      <c r="A10230" t="str">
        <f t="shared" si="244"/>
        <v>89301000</v>
      </c>
      <c r="B10230" t="str">
        <f>"6706181152"</f>
        <v>6706181152</v>
      </c>
      <c r="C10230" s="1">
        <v>45238</v>
      </c>
      <c r="D10230" s="1">
        <v>45243</v>
      </c>
      <c r="E10230">
        <v>1</v>
      </c>
      <c r="F10230" t="str">
        <f>"08-I03-05"</f>
        <v>08-I03-05</v>
      </c>
      <c r="G10230">
        <v>3.2684000000000002</v>
      </c>
      <c r="H10230" t="s">
        <v>9</v>
      </c>
      <c r="I10230" t="s">
        <v>10</v>
      </c>
    </row>
    <row r="10231" spans="1:9" x14ac:dyDescent="0.25">
      <c r="A10231" t="str">
        <f t="shared" si="244"/>
        <v>89301000</v>
      </c>
      <c r="B10231" t="str">
        <f>"6706181504"</f>
        <v>6706181504</v>
      </c>
      <c r="C10231" s="1">
        <v>45198</v>
      </c>
      <c r="D10231" s="1">
        <v>45199</v>
      </c>
      <c r="E10231">
        <v>7</v>
      </c>
      <c r="F10231" t="str">
        <f>"07-I06-01"</f>
        <v>07-I06-01</v>
      </c>
      <c r="G10231">
        <v>4.3476999999999997</v>
      </c>
      <c r="H10231" t="s">
        <v>12</v>
      </c>
      <c r="I10231" t="s">
        <v>10</v>
      </c>
    </row>
    <row r="10232" spans="1:9" x14ac:dyDescent="0.25">
      <c r="A10232" t="str">
        <f t="shared" si="244"/>
        <v>89301000</v>
      </c>
      <c r="B10232" t="str">
        <f>"6706191668"</f>
        <v>6706191668</v>
      </c>
      <c r="C10232" s="1">
        <v>45062</v>
      </c>
      <c r="D10232" s="1">
        <v>45063</v>
      </c>
      <c r="E10232">
        <v>1</v>
      </c>
      <c r="F10232" t="str">
        <f>"06-I17-04"</f>
        <v>06-I17-04</v>
      </c>
      <c r="G10232">
        <v>0.49869999999999998</v>
      </c>
      <c r="H10232" t="s">
        <v>12</v>
      </c>
      <c r="I10232" t="s">
        <v>10</v>
      </c>
    </row>
    <row r="10233" spans="1:9" x14ac:dyDescent="0.25">
      <c r="A10233" t="str">
        <f t="shared" si="244"/>
        <v>89301000</v>
      </c>
      <c r="B10233" t="str">
        <f>"6706270098"</f>
        <v>6706270098</v>
      </c>
      <c r="C10233" s="1">
        <v>45218</v>
      </c>
      <c r="D10233" s="1">
        <v>45222</v>
      </c>
      <c r="E10233">
        <v>1</v>
      </c>
      <c r="F10233" t="str">
        <f>"07-K04-04"</f>
        <v>07-K04-04</v>
      </c>
      <c r="G10233">
        <v>0.59309999999999996</v>
      </c>
      <c r="H10233" t="s">
        <v>11</v>
      </c>
      <c r="I10233" t="s">
        <v>10</v>
      </c>
    </row>
    <row r="10234" spans="1:9" x14ac:dyDescent="0.25">
      <c r="A10234" t="str">
        <f t="shared" si="244"/>
        <v>89301000</v>
      </c>
      <c r="B10234" t="str">
        <f>"6706270362"</f>
        <v>6706270362</v>
      </c>
      <c r="C10234" s="1">
        <v>44928</v>
      </c>
      <c r="D10234" s="1">
        <v>44932</v>
      </c>
      <c r="E10234">
        <v>1</v>
      </c>
      <c r="F10234" t="str">
        <f>"05-M06-06"</f>
        <v>05-M06-06</v>
      </c>
      <c r="G10234">
        <v>1.5036</v>
      </c>
      <c r="H10234" t="s">
        <v>12</v>
      </c>
      <c r="I10234" t="s">
        <v>10</v>
      </c>
    </row>
    <row r="10235" spans="1:9" x14ac:dyDescent="0.25">
      <c r="A10235" t="str">
        <f t="shared" si="244"/>
        <v>89301000</v>
      </c>
      <c r="B10235" t="str">
        <f>"6707021332"</f>
        <v>6707021332</v>
      </c>
      <c r="C10235" s="1">
        <v>45086</v>
      </c>
      <c r="D10235" s="1">
        <v>45089</v>
      </c>
      <c r="E10235">
        <v>1</v>
      </c>
      <c r="F10235" t="str">
        <f>"02-I06-04"</f>
        <v>02-I06-04</v>
      </c>
      <c r="G10235">
        <v>0.79630000000000001</v>
      </c>
      <c r="H10235" t="s">
        <v>12</v>
      </c>
      <c r="I10235" t="s">
        <v>10</v>
      </c>
    </row>
    <row r="10236" spans="1:9" x14ac:dyDescent="0.25">
      <c r="A10236" t="str">
        <f t="shared" si="244"/>
        <v>89301000</v>
      </c>
      <c r="B10236" t="str">
        <f>"6707132190"</f>
        <v>6707132190</v>
      </c>
      <c r="C10236" s="1">
        <v>45252</v>
      </c>
      <c r="D10236" s="1">
        <v>45257</v>
      </c>
      <c r="E10236">
        <v>1</v>
      </c>
      <c r="F10236" t="str">
        <f>"04-K05-03"</f>
        <v>04-K05-03</v>
      </c>
      <c r="G10236">
        <v>0.74039999999999995</v>
      </c>
      <c r="H10236" t="s">
        <v>11</v>
      </c>
      <c r="I10236" t="s">
        <v>10</v>
      </c>
    </row>
    <row r="10237" spans="1:9" x14ac:dyDescent="0.25">
      <c r="A10237" t="str">
        <f t="shared" si="244"/>
        <v>89301000</v>
      </c>
      <c r="B10237" t="str">
        <f>"6707161417"</f>
        <v>6707161417</v>
      </c>
      <c r="C10237" s="1">
        <v>44962</v>
      </c>
      <c r="D10237" s="1">
        <v>44969</v>
      </c>
      <c r="E10237">
        <v>1</v>
      </c>
      <c r="F10237" t="str">
        <f>"07-I10-06"</f>
        <v>07-I10-06</v>
      </c>
      <c r="G10237">
        <v>1.0752999999999999</v>
      </c>
      <c r="H10237" t="s">
        <v>12</v>
      </c>
      <c r="I10237" t="s">
        <v>10</v>
      </c>
    </row>
    <row r="10238" spans="1:9" x14ac:dyDescent="0.25">
      <c r="A10238" t="str">
        <f t="shared" si="244"/>
        <v>89301000</v>
      </c>
      <c r="B10238" t="str">
        <f>"6707172032"</f>
        <v>6707172032</v>
      </c>
      <c r="C10238" s="1">
        <v>44979</v>
      </c>
      <c r="D10238" s="1">
        <v>44980</v>
      </c>
      <c r="E10238">
        <v>1</v>
      </c>
      <c r="F10238" t="str">
        <f>"05-K01-03"</f>
        <v>05-K01-03</v>
      </c>
      <c r="G10238">
        <v>0.73540000000000005</v>
      </c>
      <c r="H10238" t="s">
        <v>11</v>
      </c>
      <c r="I10238" t="s">
        <v>10</v>
      </c>
    </row>
    <row r="10239" spans="1:9" x14ac:dyDescent="0.25">
      <c r="A10239" t="str">
        <f t="shared" si="244"/>
        <v>89301000</v>
      </c>
      <c r="B10239" t="str">
        <f>"6707172032"</f>
        <v>6707172032</v>
      </c>
      <c r="C10239" s="1">
        <v>44994</v>
      </c>
      <c r="D10239" s="1">
        <v>44996</v>
      </c>
      <c r="E10239">
        <v>1</v>
      </c>
      <c r="F10239" t="str">
        <f>"05-I14-03"</f>
        <v>05-I14-03</v>
      </c>
      <c r="G10239">
        <v>6.0362</v>
      </c>
      <c r="H10239" t="s">
        <v>12</v>
      </c>
      <c r="I10239" t="s">
        <v>10</v>
      </c>
    </row>
    <row r="10240" spans="1:9" x14ac:dyDescent="0.25">
      <c r="A10240" t="str">
        <f t="shared" si="244"/>
        <v>89301000</v>
      </c>
      <c r="B10240" t="str">
        <f>"6707172032"</f>
        <v>6707172032</v>
      </c>
      <c r="C10240" s="1">
        <v>44965</v>
      </c>
      <c r="D10240" s="1">
        <v>44966</v>
      </c>
      <c r="E10240">
        <v>1</v>
      </c>
      <c r="F10240" t="str">
        <f>"05-D01-06"</f>
        <v>05-D01-06</v>
      </c>
      <c r="G10240">
        <v>0.7571</v>
      </c>
      <c r="H10240" t="s">
        <v>11</v>
      </c>
      <c r="I10240" t="s">
        <v>10</v>
      </c>
    </row>
    <row r="10241" spans="1:9" x14ac:dyDescent="0.25">
      <c r="A10241" t="str">
        <f t="shared" si="244"/>
        <v>89301000</v>
      </c>
      <c r="B10241" t="str">
        <f>"6707301667"</f>
        <v>6707301667</v>
      </c>
      <c r="C10241" s="1">
        <v>44962</v>
      </c>
      <c r="D10241" s="1">
        <v>44967</v>
      </c>
      <c r="E10241">
        <v>1</v>
      </c>
      <c r="F10241" t="str">
        <f>"11-I07-01"</f>
        <v>11-I07-01</v>
      </c>
      <c r="G10241">
        <v>2.7482000000000002</v>
      </c>
      <c r="H10241" t="s">
        <v>9</v>
      </c>
      <c r="I10241" t="s">
        <v>10</v>
      </c>
    </row>
    <row r="10242" spans="1:9" x14ac:dyDescent="0.25">
      <c r="A10242" t="str">
        <f t="shared" si="244"/>
        <v>89301000</v>
      </c>
      <c r="B10242" t="str">
        <f>"6707301667"</f>
        <v>6707301667</v>
      </c>
      <c r="C10242" s="1">
        <v>45257</v>
      </c>
      <c r="D10242" s="1">
        <v>45260</v>
      </c>
      <c r="E10242">
        <v>1</v>
      </c>
      <c r="F10242" t="str">
        <f>"12-M02-02"</f>
        <v>12-M02-02</v>
      </c>
      <c r="G10242">
        <v>0.95020000000000004</v>
      </c>
      <c r="H10242" t="s">
        <v>9</v>
      </c>
      <c r="I10242" t="s">
        <v>10</v>
      </c>
    </row>
    <row r="10243" spans="1:9" x14ac:dyDescent="0.25">
      <c r="A10243" t="str">
        <f t="shared" si="244"/>
        <v>89301000</v>
      </c>
      <c r="B10243" t="str">
        <f>"6708081985"</f>
        <v>6708081985</v>
      </c>
      <c r="C10243" s="1">
        <v>44987</v>
      </c>
      <c r="D10243" s="1">
        <v>45034</v>
      </c>
      <c r="E10243">
        <v>1</v>
      </c>
      <c r="F10243" t="str">
        <f>"00-M07-00"</f>
        <v>00-M07-00</v>
      </c>
      <c r="G10243">
        <v>11.5891</v>
      </c>
      <c r="H10243" t="s">
        <v>14</v>
      </c>
      <c r="I10243" t="s">
        <v>10</v>
      </c>
    </row>
    <row r="10244" spans="1:9" x14ac:dyDescent="0.25">
      <c r="A10244" t="str">
        <f t="shared" si="244"/>
        <v>89301000</v>
      </c>
      <c r="B10244" t="str">
        <f>"6708081985"</f>
        <v>6708081985</v>
      </c>
      <c r="C10244" s="1">
        <v>44967</v>
      </c>
      <c r="D10244" s="1">
        <v>44970</v>
      </c>
      <c r="E10244">
        <v>1</v>
      </c>
      <c r="F10244" t="str">
        <f>"17-K05-01"</f>
        <v>17-K05-01</v>
      </c>
      <c r="G10244">
        <v>1.9595</v>
      </c>
      <c r="H10244" t="s">
        <v>11</v>
      </c>
      <c r="I10244" t="s">
        <v>10</v>
      </c>
    </row>
    <row r="10245" spans="1:9" x14ac:dyDescent="0.25">
      <c r="A10245" t="str">
        <f t="shared" si="244"/>
        <v>89301000</v>
      </c>
      <c r="B10245" t="str">
        <f>"6708091929"</f>
        <v>6708091929</v>
      </c>
      <c r="C10245" s="1">
        <v>45127</v>
      </c>
      <c r="D10245" s="1">
        <v>45142</v>
      </c>
      <c r="E10245">
        <v>1</v>
      </c>
      <c r="F10245" t="str">
        <f>"24-M07-01"</f>
        <v>24-M07-01</v>
      </c>
      <c r="G10245">
        <v>1.7825</v>
      </c>
      <c r="H10245" t="s">
        <v>11</v>
      </c>
      <c r="I10245" t="s">
        <v>10</v>
      </c>
    </row>
    <row r="10246" spans="1:9" x14ac:dyDescent="0.25">
      <c r="A10246" t="str">
        <f t="shared" si="244"/>
        <v>89301000</v>
      </c>
      <c r="B10246" t="str">
        <f>"6708091929"</f>
        <v>6708091929</v>
      </c>
      <c r="C10246" s="1">
        <v>45121</v>
      </c>
      <c r="D10246" s="1">
        <v>45127</v>
      </c>
      <c r="E10246">
        <v>3</v>
      </c>
      <c r="F10246" t="str">
        <f>"05-M04-04"</f>
        <v>05-M04-04</v>
      </c>
      <c r="G10246">
        <v>2.4062000000000001</v>
      </c>
      <c r="H10246" t="s">
        <v>12</v>
      </c>
      <c r="I10246" t="s">
        <v>10</v>
      </c>
    </row>
    <row r="10247" spans="1:9" x14ac:dyDescent="0.25">
      <c r="A10247" t="str">
        <f t="shared" si="244"/>
        <v>89301000</v>
      </c>
      <c r="B10247" t="str">
        <f>"6708091929"</f>
        <v>6708091929</v>
      </c>
      <c r="C10247" s="1">
        <v>45187</v>
      </c>
      <c r="D10247" s="1">
        <v>45190</v>
      </c>
      <c r="E10247">
        <v>7</v>
      </c>
      <c r="F10247" t="str">
        <f>"05-K06-01"</f>
        <v>05-K06-01</v>
      </c>
      <c r="G10247">
        <v>3.1059000000000001</v>
      </c>
      <c r="H10247" t="s">
        <v>11</v>
      </c>
      <c r="I10247" t="s">
        <v>10</v>
      </c>
    </row>
    <row r="10248" spans="1:9" x14ac:dyDescent="0.25">
      <c r="A10248" t="str">
        <f t="shared" si="244"/>
        <v>89301000</v>
      </c>
      <c r="B10248" t="str">
        <f>"6708101411"</f>
        <v>6708101411</v>
      </c>
      <c r="C10248" s="1">
        <v>45126</v>
      </c>
      <c r="D10248" s="1">
        <v>45128</v>
      </c>
      <c r="E10248">
        <v>1</v>
      </c>
      <c r="F10248" t="str">
        <f>"05-M05-02"</f>
        <v>05-M05-02</v>
      </c>
      <c r="G10248">
        <v>3.4817999999999998</v>
      </c>
      <c r="H10248" t="s">
        <v>14</v>
      </c>
      <c r="I10248" t="s">
        <v>10</v>
      </c>
    </row>
    <row r="10249" spans="1:9" x14ac:dyDescent="0.25">
      <c r="A10249" t="str">
        <f t="shared" si="244"/>
        <v>89301000</v>
      </c>
      <c r="B10249" t="str">
        <f>"6708191501"</f>
        <v>6708191501</v>
      </c>
      <c r="C10249" s="1">
        <v>45018</v>
      </c>
      <c r="D10249" s="1">
        <v>45023</v>
      </c>
      <c r="E10249">
        <v>1</v>
      </c>
      <c r="F10249" t="str">
        <f>"12-I08-03"</f>
        <v>12-I08-03</v>
      </c>
      <c r="G10249">
        <v>0.7258</v>
      </c>
      <c r="H10249" t="s">
        <v>11</v>
      </c>
      <c r="I10249" t="s">
        <v>10</v>
      </c>
    </row>
    <row r="10250" spans="1:9" x14ac:dyDescent="0.25">
      <c r="A10250" t="str">
        <f t="shared" si="244"/>
        <v>89301000</v>
      </c>
      <c r="B10250" t="str">
        <f>"6708191501"</f>
        <v>6708191501</v>
      </c>
      <c r="C10250" s="1">
        <v>44943</v>
      </c>
      <c r="D10250" s="1">
        <v>44947</v>
      </c>
      <c r="E10250">
        <v>1</v>
      </c>
      <c r="F10250" t="str">
        <f>"01-K08-02"</f>
        <v>01-K08-02</v>
      </c>
      <c r="G10250">
        <v>0.60619999999999996</v>
      </c>
      <c r="H10250" t="s">
        <v>11</v>
      </c>
      <c r="I10250" t="s">
        <v>10</v>
      </c>
    </row>
    <row r="10251" spans="1:9" x14ac:dyDescent="0.25">
      <c r="A10251" t="str">
        <f t="shared" si="244"/>
        <v>89301000</v>
      </c>
      <c r="B10251" t="str">
        <f>"6708220805"</f>
        <v>6708220805</v>
      </c>
      <c r="C10251" s="1">
        <v>45148</v>
      </c>
      <c r="D10251" s="1">
        <v>45151</v>
      </c>
      <c r="E10251">
        <v>1</v>
      </c>
      <c r="F10251" t="str">
        <f>"25-K01-02"</f>
        <v>25-K01-02</v>
      </c>
      <c r="G10251">
        <v>2.2376999999999998</v>
      </c>
      <c r="H10251" t="s">
        <v>14</v>
      </c>
      <c r="I10251" t="s">
        <v>10</v>
      </c>
    </row>
    <row r="10252" spans="1:9" x14ac:dyDescent="0.25">
      <c r="A10252" t="str">
        <f t="shared" si="244"/>
        <v>89301000</v>
      </c>
      <c r="B10252" t="str">
        <f>"6708220805"</f>
        <v>6708220805</v>
      </c>
      <c r="C10252" s="1">
        <v>45128</v>
      </c>
      <c r="D10252" s="1">
        <v>45135</v>
      </c>
      <c r="E10252">
        <v>4</v>
      </c>
      <c r="F10252" t="str">
        <f>"25-K01-02"</f>
        <v>25-K01-02</v>
      </c>
      <c r="G10252">
        <v>2.2376999999999998</v>
      </c>
      <c r="H10252" t="s">
        <v>14</v>
      </c>
      <c r="I10252" t="s">
        <v>10</v>
      </c>
    </row>
    <row r="10253" spans="1:9" x14ac:dyDescent="0.25">
      <c r="A10253" t="str">
        <f t="shared" si="244"/>
        <v>89301000</v>
      </c>
      <c r="B10253" t="str">
        <f>"6708241001"</f>
        <v>6708241001</v>
      </c>
      <c r="C10253" s="1">
        <v>45174</v>
      </c>
      <c r="D10253" s="1">
        <v>45175</v>
      </c>
      <c r="E10253">
        <v>1</v>
      </c>
      <c r="F10253" t="str">
        <f>"05-D01-08"</f>
        <v>05-D01-08</v>
      </c>
      <c r="G10253">
        <v>0.43159999999999998</v>
      </c>
      <c r="H10253" t="s">
        <v>11</v>
      </c>
      <c r="I10253" t="s">
        <v>10</v>
      </c>
    </row>
    <row r="10254" spans="1:9" x14ac:dyDescent="0.25">
      <c r="A10254" t="str">
        <f t="shared" si="244"/>
        <v>89301000</v>
      </c>
      <c r="B10254" t="str">
        <f>"6709010407"</f>
        <v>6709010407</v>
      </c>
      <c r="C10254" s="1">
        <v>45091</v>
      </c>
      <c r="D10254" s="1">
        <v>45096</v>
      </c>
      <c r="E10254">
        <v>1</v>
      </c>
      <c r="F10254" t="str">
        <f>"02-I07-01"</f>
        <v>02-I07-01</v>
      </c>
      <c r="G10254">
        <v>2.2244999999999999</v>
      </c>
      <c r="H10254" t="s">
        <v>12</v>
      </c>
      <c r="I10254" t="s">
        <v>10</v>
      </c>
    </row>
    <row r="10255" spans="1:9" x14ac:dyDescent="0.25">
      <c r="A10255" t="str">
        <f t="shared" si="244"/>
        <v>89301000</v>
      </c>
      <c r="B10255" t="str">
        <f>"6709150239"</f>
        <v>6709150239</v>
      </c>
      <c r="C10255" s="1">
        <v>45159</v>
      </c>
      <c r="D10255" s="1">
        <v>45162</v>
      </c>
      <c r="E10255">
        <v>1</v>
      </c>
      <c r="F10255" t="str">
        <f>"07-I10-06"</f>
        <v>07-I10-06</v>
      </c>
      <c r="G10255">
        <v>0.98419999999999996</v>
      </c>
      <c r="H10255" t="s">
        <v>12</v>
      </c>
      <c r="I10255" t="s">
        <v>10</v>
      </c>
    </row>
    <row r="10256" spans="1:9" x14ac:dyDescent="0.25">
      <c r="A10256" t="str">
        <f t="shared" si="244"/>
        <v>89301000</v>
      </c>
      <c r="B10256" t="str">
        <f>"6709220859"</f>
        <v>6709220859</v>
      </c>
      <c r="C10256" s="1">
        <v>44903</v>
      </c>
      <c r="D10256" s="1">
        <v>44930</v>
      </c>
      <c r="E10256">
        <v>1</v>
      </c>
      <c r="F10256" t="str">
        <f>"06-I13-02"</f>
        <v>06-I13-02</v>
      </c>
      <c r="G10256">
        <v>2.5709</v>
      </c>
      <c r="H10256" t="s">
        <v>11</v>
      </c>
      <c r="I10256" t="s">
        <v>10</v>
      </c>
    </row>
    <row r="10257" spans="1:9" x14ac:dyDescent="0.25">
      <c r="A10257" t="str">
        <f t="shared" si="244"/>
        <v>89301000</v>
      </c>
      <c r="B10257" t="str">
        <f>"6709260547"</f>
        <v>6709260547</v>
      </c>
      <c r="C10257" s="1">
        <v>45102</v>
      </c>
      <c r="D10257" s="1">
        <v>45105</v>
      </c>
      <c r="E10257">
        <v>1</v>
      </c>
      <c r="F10257" t="str">
        <f>"08-M03-02"</f>
        <v>08-M03-02</v>
      </c>
      <c r="G10257">
        <v>0.91359999999999997</v>
      </c>
      <c r="H10257" t="s">
        <v>11</v>
      </c>
      <c r="I10257" t="s">
        <v>10</v>
      </c>
    </row>
    <row r="10258" spans="1:9" x14ac:dyDescent="0.25">
      <c r="A10258" t="str">
        <f t="shared" si="244"/>
        <v>89301000</v>
      </c>
      <c r="B10258" t="str">
        <f>"6709300686"</f>
        <v>6709300686</v>
      </c>
      <c r="C10258" s="1">
        <v>45028</v>
      </c>
      <c r="D10258" s="1">
        <v>45034</v>
      </c>
      <c r="E10258">
        <v>1</v>
      </c>
      <c r="F10258" t="str">
        <f>"07-K03-02"</f>
        <v>07-K03-02</v>
      </c>
      <c r="G10258">
        <v>0.48620000000000002</v>
      </c>
      <c r="H10258" t="s">
        <v>11</v>
      </c>
      <c r="I10258" t="s">
        <v>10</v>
      </c>
    </row>
    <row r="10259" spans="1:9" x14ac:dyDescent="0.25">
      <c r="A10259" t="str">
        <f t="shared" si="244"/>
        <v>89301000</v>
      </c>
      <c r="B10259" t="str">
        <f>"6710041338"</f>
        <v>6710041338</v>
      </c>
      <c r="C10259" s="1">
        <v>45277</v>
      </c>
      <c r="D10259" s="1">
        <v>45280</v>
      </c>
      <c r="E10259">
        <v>1</v>
      </c>
      <c r="F10259" t="str">
        <f>"08-M03-05"</f>
        <v>08-M03-05</v>
      </c>
      <c r="G10259">
        <v>0.46910000000000002</v>
      </c>
      <c r="H10259" t="s">
        <v>11</v>
      </c>
      <c r="I10259" t="s">
        <v>10</v>
      </c>
    </row>
    <row r="10260" spans="1:9" x14ac:dyDescent="0.25">
      <c r="A10260" t="str">
        <f t="shared" si="244"/>
        <v>89301000</v>
      </c>
      <c r="B10260" t="str">
        <f>"6710120538"</f>
        <v>6710120538</v>
      </c>
      <c r="C10260" s="1">
        <v>45119</v>
      </c>
      <c r="D10260" s="1">
        <v>45120</v>
      </c>
      <c r="E10260">
        <v>1</v>
      </c>
      <c r="F10260" t="str">
        <f>"05-M06-08"</f>
        <v>05-M06-08</v>
      </c>
      <c r="G10260">
        <v>1.4228000000000001</v>
      </c>
      <c r="H10260" t="s">
        <v>12</v>
      </c>
      <c r="I10260" t="s">
        <v>10</v>
      </c>
    </row>
    <row r="10261" spans="1:9" x14ac:dyDescent="0.25">
      <c r="A10261" t="str">
        <f t="shared" si="244"/>
        <v>89301000</v>
      </c>
      <c r="B10261" t="str">
        <f>"6710131593"</f>
        <v>6710131593</v>
      </c>
      <c r="C10261" s="1">
        <v>45007</v>
      </c>
      <c r="D10261" s="1">
        <v>45008</v>
      </c>
      <c r="E10261">
        <v>1</v>
      </c>
      <c r="F10261" t="str">
        <f>"08-I16-04"</f>
        <v>08-I16-04</v>
      </c>
      <c r="G10261">
        <v>0.83040000000000003</v>
      </c>
      <c r="H10261" t="s">
        <v>12</v>
      </c>
      <c r="I10261" t="s">
        <v>10</v>
      </c>
    </row>
    <row r="10262" spans="1:9" x14ac:dyDescent="0.25">
      <c r="A10262" t="str">
        <f t="shared" si="244"/>
        <v>89301000</v>
      </c>
      <c r="B10262" t="str">
        <f>"6710160226"</f>
        <v>6710160226</v>
      </c>
      <c r="C10262" s="1">
        <v>45166</v>
      </c>
      <c r="D10262" s="1">
        <v>45170</v>
      </c>
      <c r="E10262">
        <v>1</v>
      </c>
      <c r="F10262" t="str">
        <f>"24-M05-02"</f>
        <v>24-M05-02</v>
      </c>
      <c r="G10262">
        <v>0.58660000000000001</v>
      </c>
      <c r="H10262" t="s">
        <v>11</v>
      </c>
      <c r="I10262" t="s">
        <v>10</v>
      </c>
    </row>
    <row r="10263" spans="1:9" x14ac:dyDescent="0.25">
      <c r="A10263" t="str">
        <f t="shared" si="244"/>
        <v>89301000</v>
      </c>
      <c r="B10263" t="str">
        <f>"6710160226"</f>
        <v>6710160226</v>
      </c>
      <c r="C10263" s="1">
        <v>45144</v>
      </c>
      <c r="D10263" s="1">
        <v>45166</v>
      </c>
      <c r="E10263">
        <v>3</v>
      </c>
      <c r="F10263" t="str">
        <f>"08-I05-05"</f>
        <v>08-I05-05</v>
      </c>
      <c r="G10263">
        <v>3.0076000000000001</v>
      </c>
      <c r="H10263" t="s">
        <v>12</v>
      </c>
      <c r="I10263" t="s">
        <v>10</v>
      </c>
    </row>
    <row r="10264" spans="1:9" x14ac:dyDescent="0.25">
      <c r="A10264" t="str">
        <f t="shared" si="244"/>
        <v>89301000</v>
      </c>
      <c r="B10264" t="str">
        <f>"6710162041"</f>
        <v>6710162041</v>
      </c>
      <c r="C10264" s="1">
        <v>45191</v>
      </c>
      <c r="D10264" s="1">
        <v>45194</v>
      </c>
      <c r="E10264">
        <v>1</v>
      </c>
      <c r="F10264" t="str">
        <f>"03-K12-01"</f>
        <v>03-K12-01</v>
      </c>
      <c r="G10264">
        <v>0.37140000000000001</v>
      </c>
      <c r="H10264" t="s">
        <v>11</v>
      </c>
      <c r="I10264" t="s">
        <v>10</v>
      </c>
    </row>
    <row r="10265" spans="1:9" x14ac:dyDescent="0.25">
      <c r="A10265" t="str">
        <f t="shared" si="244"/>
        <v>89301000</v>
      </c>
      <c r="B10265" t="str">
        <f>"6710221958"</f>
        <v>6710221958</v>
      </c>
      <c r="C10265" s="1">
        <v>45189</v>
      </c>
      <c r="D10265" s="1">
        <v>45190</v>
      </c>
      <c r="E10265">
        <v>1</v>
      </c>
      <c r="F10265" t="str">
        <f>"09-K13-02"</f>
        <v>09-K13-02</v>
      </c>
      <c r="G10265">
        <v>0.31409999999999999</v>
      </c>
      <c r="H10265" t="s">
        <v>11</v>
      </c>
      <c r="I10265" t="s">
        <v>10</v>
      </c>
    </row>
    <row r="10266" spans="1:9" x14ac:dyDescent="0.25">
      <c r="A10266" t="str">
        <f t="shared" si="244"/>
        <v>89301000</v>
      </c>
      <c r="B10266" t="str">
        <f>"6710230615"</f>
        <v>6710230615</v>
      </c>
      <c r="C10266" s="1">
        <v>45054</v>
      </c>
      <c r="D10266" s="1">
        <v>45059</v>
      </c>
      <c r="E10266">
        <v>1</v>
      </c>
      <c r="F10266" t="str">
        <f>"12-I03-01"</f>
        <v>12-I03-01</v>
      </c>
      <c r="G10266">
        <v>2.6934999999999998</v>
      </c>
      <c r="H10266" t="s">
        <v>9</v>
      </c>
      <c r="I10266" t="s">
        <v>10</v>
      </c>
    </row>
    <row r="10267" spans="1:9" x14ac:dyDescent="0.25">
      <c r="A10267" t="str">
        <f t="shared" si="244"/>
        <v>89301000</v>
      </c>
      <c r="B10267" t="str">
        <f>"6710300597"</f>
        <v>6710300597</v>
      </c>
      <c r="C10267" s="1">
        <v>44943</v>
      </c>
      <c r="D10267" s="1">
        <v>44943</v>
      </c>
      <c r="E10267">
        <v>1</v>
      </c>
      <c r="F10267" t="str">
        <f>"05-D01-08"</f>
        <v>05-D01-08</v>
      </c>
      <c r="G10267">
        <v>0.2303</v>
      </c>
      <c r="H10267" t="s">
        <v>11</v>
      </c>
      <c r="I10267" t="s">
        <v>10</v>
      </c>
    </row>
    <row r="10268" spans="1:9" x14ac:dyDescent="0.25">
      <c r="A10268" t="str">
        <f t="shared" si="244"/>
        <v>89301000</v>
      </c>
      <c r="B10268" t="str">
        <f>"6710300597"</f>
        <v>6710300597</v>
      </c>
      <c r="C10268" s="1">
        <v>45034</v>
      </c>
      <c r="D10268" s="1">
        <v>45042</v>
      </c>
      <c r="E10268">
        <v>1</v>
      </c>
      <c r="F10268" t="str">
        <f>"05-I08-02"</f>
        <v>05-I08-02</v>
      </c>
      <c r="G10268">
        <v>7.6098999999999997</v>
      </c>
      <c r="H10268" t="s">
        <v>14</v>
      </c>
      <c r="I10268" t="s">
        <v>10</v>
      </c>
    </row>
    <row r="10269" spans="1:9" x14ac:dyDescent="0.25">
      <c r="A10269" t="str">
        <f t="shared" si="244"/>
        <v>89301000</v>
      </c>
      <c r="B10269" t="str">
        <f>"6710310519"</f>
        <v>6710310519</v>
      </c>
      <c r="C10269" s="1">
        <v>44930</v>
      </c>
      <c r="D10269" s="1">
        <v>44946</v>
      </c>
      <c r="E10269">
        <v>1</v>
      </c>
      <c r="F10269" t="str">
        <f>"17-C03-03"</f>
        <v>17-C03-03</v>
      </c>
      <c r="G10269">
        <v>2.9337</v>
      </c>
      <c r="H10269" t="s">
        <v>11</v>
      </c>
      <c r="I10269" t="s">
        <v>10</v>
      </c>
    </row>
    <row r="10270" spans="1:9" x14ac:dyDescent="0.25">
      <c r="A10270" t="str">
        <f t="shared" si="244"/>
        <v>89301000</v>
      </c>
      <c r="B10270" t="str">
        <f>"6711040017"</f>
        <v>6711040017</v>
      </c>
      <c r="C10270" s="1">
        <v>45069</v>
      </c>
      <c r="D10270" s="1">
        <v>45069</v>
      </c>
      <c r="E10270">
        <v>1</v>
      </c>
      <c r="F10270" t="str">
        <f>"05-K05-05"</f>
        <v>05-K05-05</v>
      </c>
      <c r="G10270">
        <v>0.17829999999999999</v>
      </c>
      <c r="H10270" t="s">
        <v>11</v>
      </c>
      <c r="I10270" t="s">
        <v>10</v>
      </c>
    </row>
    <row r="10271" spans="1:9" x14ac:dyDescent="0.25">
      <c r="A10271" t="str">
        <f t="shared" si="244"/>
        <v>89301000</v>
      </c>
      <c r="B10271" t="str">
        <f>"6711040017"</f>
        <v>6711040017</v>
      </c>
      <c r="C10271" s="1">
        <v>45207</v>
      </c>
      <c r="D10271" s="1">
        <v>45210</v>
      </c>
      <c r="E10271">
        <v>1</v>
      </c>
      <c r="F10271" t="str">
        <f>"10-I13-02"</f>
        <v>10-I13-02</v>
      </c>
      <c r="G10271">
        <v>1.1124000000000001</v>
      </c>
      <c r="H10271" t="s">
        <v>9</v>
      </c>
      <c r="I10271" t="s">
        <v>10</v>
      </c>
    </row>
    <row r="10272" spans="1:9" x14ac:dyDescent="0.25">
      <c r="A10272" t="str">
        <f t="shared" si="244"/>
        <v>89301000</v>
      </c>
      <c r="B10272" t="str">
        <f>"6711151942"</f>
        <v>6711151942</v>
      </c>
      <c r="C10272" s="1">
        <v>44974</v>
      </c>
      <c r="D10272" s="1">
        <v>44976</v>
      </c>
      <c r="E10272">
        <v>1</v>
      </c>
      <c r="F10272" t="str">
        <f>"10-K15-02"</f>
        <v>10-K15-02</v>
      </c>
      <c r="G10272">
        <v>0.66379999999999995</v>
      </c>
      <c r="H10272" t="s">
        <v>11</v>
      </c>
      <c r="I10272" t="s">
        <v>10</v>
      </c>
    </row>
    <row r="10273" spans="1:9" x14ac:dyDescent="0.25">
      <c r="A10273" t="str">
        <f t="shared" si="244"/>
        <v>89301000</v>
      </c>
      <c r="B10273" t="str">
        <f>"6711186735"</f>
        <v>6711186735</v>
      </c>
      <c r="C10273" s="1">
        <v>45206</v>
      </c>
      <c r="D10273" s="1">
        <v>45209</v>
      </c>
      <c r="E10273">
        <v>1</v>
      </c>
      <c r="F10273" t="str">
        <f>"11-K14-03"</f>
        <v>11-K14-03</v>
      </c>
      <c r="G10273">
        <v>0.30259999999999998</v>
      </c>
      <c r="H10273" t="s">
        <v>11</v>
      </c>
      <c r="I10273" t="s">
        <v>10</v>
      </c>
    </row>
    <row r="10274" spans="1:9" x14ac:dyDescent="0.25">
      <c r="A10274" t="str">
        <f t="shared" si="244"/>
        <v>89301000</v>
      </c>
      <c r="B10274" t="str">
        <f>"6711186735"</f>
        <v>6711186735</v>
      </c>
      <c r="C10274" s="1">
        <v>45243</v>
      </c>
      <c r="D10274" s="1">
        <v>45246</v>
      </c>
      <c r="E10274">
        <v>1</v>
      </c>
      <c r="F10274" t="str">
        <f>"05-M07-04"</f>
        <v>05-M07-04</v>
      </c>
      <c r="G10274">
        <v>1.6760999999999999</v>
      </c>
      <c r="H10274" t="s">
        <v>12</v>
      </c>
      <c r="I10274" t="s">
        <v>10</v>
      </c>
    </row>
    <row r="10275" spans="1:9" x14ac:dyDescent="0.25">
      <c r="A10275" t="str">
        <f t="shared" si="244"/>
        <v>89301000</v>
      </c>
      <c r="B10275" t="str">
        <f>"6711250018"</f>
        <v>6711250018</v>
      </c>
      <c r="C10275" s="1">
        <v>44959</v>
      </c>
      <c r="D10275" s="1">
        <v>44962</v>
      </c>
      <c r="E10275">
        <v>1</v>
      </c>
      <c r="F10275" t="str">
        <f>"08-M03-05"</f>
        <v>08-M03-05</v>
      </c>
      <c r="G10275">
        <v>0.46810000000000002</v>
      </c>
      <c r="H10275" t="s">
        <v>11</v>
      </c>
      <c r="I10275" t="s">
        <v>10</v>
      </c>
    </row>
    <row r="10276" spans="1:9" x14ac:dyDescent="0.25">
      <c r="A10276" t="str">
        <f t="shared" si="244"/>
        <v>89301000</v>
      </c>
      <c r="B10276" t="str">
        <f>"6711296559"</f>
        <v>6711296559</v>
      </c>
      <c r="C10276" s="1">
        <v>45131</v>
      </c>
      <c r="D10276" s="1">
        <v>45145</v>
      </c>
      <c r="E10276">
        <v>6</v>
      </c>
      <c r="F10276" t="str">
        <f>"18-K02-01"</f>
        <v>18-K02-01</v>
      </c>
      <c r="G10276">
        <v>1.7989999999999999</v>
      </c>
      <c r="H10276" t="s">
        <v>11</v>
      </c>
      <c r="I10276" t="s">
        <v>10</v>
      </c>
    </row>
    <row r="10277" spans="1:9" x14ac:dyDescent="0.25">
      <c r="A10277" t="str">
        <f t="shared" si="244"/>
        <v>89301000</v>
      </c>
      <c r="B10277" t="str">
        <f>"6711296559"</f>
        <v>6711296559</v>
      </c>
      <c r="C10277" s="1">
        <v>45082</v>
      </c>
      <c r="D10277" s="1">
        <v>45117</v>
      </c>
      <c r="E10277">
        <v>5</v>
      </c>
      <c r="F10277" t="str">
        <f>"05-I03-01"</f>
        <v>05-I03-01</v>
      </c>
      <c r="G10277">
        <v>33.512</v>
      </c>
      <c r="H10277" t="s">
        <v>12</v>
      </c>
      <c r="I10277" t="s">
        <v>10</v>
      </c>
    </row>
    <row r="10278" spans="1:9" x14ac:dyDescent="0.25">
      <c r="A10278" t="str">
        <f t="shared" si="244"/>
        <v>89301000</v>
      </c>
      <c r="B10278" t="str">
        <f>"6711296559"</f>
        <v>6711296559</v>
      </c>
      <c r="C10278" s="1">
        <v>45078</v>
      </c>
      <c r="D10278" s="1">
        <v>45079</v>
      </c>
      <c r="E10278">
        <v>1</v>
      </c>
      <c r="F10278" t="str">
        <f>"05-D01-08"</f>
        <v>05-D01-08</v>
      </c>
      <c r="G10278">
        <v>0.43159999999999998</v>
      </c>
      <c r="H10278" t="s">
        <v>11</v>
      </c>
      <c r="I10278" t="s">
        <v>10</v>
      </c>
    </row>
    <row r="10279" spans="1:9" x14ac:dyDescent="0.25">
      <c r="A10279" t="str">
        <f t="shared" si="244"/>
        <v>89301000</v>
      </c>
      <c r="B10279" t="str">
        <f>"6711296559"</f>
        <v>6711296559</v>
      </c>
      <c r="C10279" s="1">
        <v>45159</v>
      </c>
      <c r="D10279" s="1">
        <v>45191</v>
      </c>
      <c r="E10279">
        <v>1</v>
      </c>
      <c r="F10279" t="str">
        <f>"21-I01-02"</f>
        <v>21-I01-02</v>
      </c>
      <c r="G10279">
        <v>2.7504</v>
      </c>
      <c r="H10279" t="s">
        <v>11</v>
      </c>
      <c r="I10279" t="s">
        <v>10</v>
      </c>
    </row>
    <row r="10280" spans="1:9" x14ac:dyDescent="0.25">
      <c r="A10280" t="str">
        <f t="shared" ref="A10280:A10343" si="245">"89301000"</f>
        <v>89301000</v>
      </c>
      <c r="B10280" t="str">
        <f>"6711300574"</f>
        <v>6711300574</v>
      </c>
      <c r="C10280" s="1">
        <v>45194</v>
      </c>
      <c r="D10280" s="1">
        <v>45201</v>
      </c>
      <c r="E10280">
        <v>5</v>
      </c>
      <c r="F10280" t="str">
        <f>"04-M01-05"</f>
        <v>04-M01-05</v>
      </c>
      <c r="G10280">
        <v>6.4522000000000004</v>
      </c>
      <c r="H10280" t="s">
        <v>11</v>
      </c>
      <c r="I10280" t="s">
        <v>10</v>
      </c>
    </row>
    <row r="10281" spans="1:9" x14ac:dyDescent="0.25">
      <c r="A10281" t="str">
        <f t="shared" si="245"/>
        <v>89301000</v>
      </c>
      <c r="B10281" t="str">
        <f>"6712010514"</f>
        <v>6712010514</v>
      </c>
      <c r="C10281" s="1">
        <v>45267</v>
      </c>
      <c r="D10281" s="1">
        <v>45271</v>
      </c>
      <c r="E10281">
        <v>1</v>
      </c>
      <c r="F10281" t="str">
        <f>"06-K06-01"</f>
        <v>06-K06-01</v>
      </c>
      <c r="G10281">
        <v>1.1567000000000001</v>
      </c>
      <c r="H10281" t="s">
        <v>11</v>
      </c>
      <c r="I10281" t="s">
        <v>10</v>
      </c>
    </row>
    <row r="10282" spans="1:9" x14ac:dyDescent="0.25">
      <c r="A10282" t="str">
        <f t="shared" si="245"/>
        <v>89301000</v>
      </c>
      <c r="B10282" t="str">
        <f>"6712110449"</f>
        <v>6712110449</v>
      </c>
      <c r="C10282" s="1">
        <v>45130</v>
      </c>
      <c r="D10282" s="1">
        <v>45132</v>
      </c>
      <c r="E10282">
        <v>1</v>
      </c>
      <c r="F10282" t="str">
        <f>"08-M03-02"</f>
        <v>08-M03-02</v>
      </c>
      <c r="G10282">
        <v>0.91359999999999997</v>
      </c>
      <c r="H10282" t="s">
        <v>11</v>
      </c>
      <c r="I10282" t="s">
        <v>10</v>
      </c>
    </row>
    <row r="10283" spans="1:9" x14ac:dyDescent="0.25">
      <c r="A10283" t="str">
        <f t="shared" si="245"/>
        <v>89301000</v>
      </c>
      <c r="B10283" t="str">
        <f>"6712110449"</f>
        <v>6712110449</v>
      </c>
      <c r="C10283" s="1">
        <v>45259</v>
      </c>
      <c r="D10283" s="1">
        <v>45263</v>
      </c>
      <c r="E10283">
        <v>1</v>
      </c>
      <c r="F10283" t="str">
        <f>"05-K14-03"</f>
        <v>05-K14-03</v>
      </c>
      <c r="G10283">
        <v>0.3997</v>
      </c>
      <c r="H10283" t="s">
        <v>11</v>
      </c>
      <c r="I10283" t="s">
        <v>10</v>
      </c>
    </row>
    <row r="10284" spans="1:9" x14ac:dyDescent="0.25">
      <c r="A10284" t="str">
        <f t="shared" si="245"/>
        <v>89301000</v>
      </c>
      <c r="B10284" t="str">
        <f>"6712110449"</f>
        <v>6712110449</v>
      </c>
      <c r="C10284" s="1">
        <v>44944</v>
      </c>
      <c r="D10284" s="1">
        <v>44957</v>
      </c>
      <c r="E10284">
        <v>1</v>
      </c>
      <c r="F10284" t="str">
        <f>"07-I10-03"</f>
        <v>07-I10-03</v>
      </c>
      <c r="G10284">
        <v>2.1777000000000002</v>
      </c>
      <c r="H10284" t="s">
        <v>12</v>
      </c>
      <c r="I10284" t="s">
        <v>10</v>
      </c>
    </row>
    <row r="10285" spans="1:9" x14ac:dyDescent="0.25">
      <c r="A10285" t="str">
        <f t="shared" si="245"/>
        <v>89301000</v>
      </c>
      <c r="B10285" t="str">
        <f>"6712141667"</f>
        <v>6712141667</v>
      </c>
      <c r="C10285" s="1">
        <v>45091</v>
      </c>
      <c r="D10285" s="1">
        <v>45093</v>
      </c>
      <c r="E10285">
        <v>1</v>
      </c>
      <c r="F10285" t="str">
        <f>"08-M03-05"</f>
        <v>08-M03-05</v>
      </c>
      <c r="G10285">
        <v>0.46810000000000002</v>
      </c>
      <c r="H10285" t="s">
        <v>11</v>
      </c>
      <c r="I10285" t="s">
        <v>10</v>
      </c>
    </row>
    <row r="10286" spans="1:9" x14ac:dyDescent="0.25">
      <c r="A10286" t="str">
        <f t="shared" si="245"/>
        <v>89301000</v>
      </c>
      <c r="B10286" t="str">
        <f>"6712220108"</f>
        <v>6712220108</v>
      </c>
      <c r="C10286" s="1">
        <v>45229</v>
      </c>
      <c r="D10286" s="1">
        <v>45233</v>
      </c>
      <c r="E10286">
        <v>1</v>
      </c>
      <c r="F10286" t="str">
        <f>"01-M02-00"</f>
        <v>01-M02-00</v>
      </c>
      <c r="G10286">
        <v>4.3566000000000003</v>
      </c>
      <c r="H10286" t="s">
        <v>12</v>
      </c>
      <c r="I10286" t="s">
        <v>10</v>
      </c>
    </row>
    <row r="10287" spans="1:9" x14ac:dyDescent="0.25">
      <c r="A10287" t="str">
        <f t="shared" si="245"/>
        <v>89301000</v>
      </c>
      <c r="B10287" t="str">
        <f>"6712260203"</f>
        <v>6712260203</v>
      </c>
      <c r="C10287" s="1">
        <v>45191</v>
      </c>
      <c r="D10287" s="1">
        <v>45201</v>
      </c>
      <c r="E10287">
        <v>1</v>
      </c>
      <c r="F10287" t="str">
        <f>"07-K04-04"</f>
        <v>07-K04-04</v>
      </c>
      <c r="G10287">
        <v>0.61050000000000004</v>
      </c>
      <c r="H10287" t="s">
        <v>11</v>
      </c>
      <c r="I10287" t="s">
        <v>10</v>
      </c>
    </row>
    <row r="10288" spans="1:9" x14ac:dyDescent="0.25">
      <c r="A10288" t="str">
        <f t="shared" si="245"/>
        <v>89301000</v>
      </c>
      <c r="B10288" t="str">
        <f>"6712270114"</f>
        <v>6712270114</v>
      </c>
      <c r="C10288" s="1">
        <v>45077</v>
      </c>
      <c r="D10288" s="1">
        <v>45127</v>
      </c>
      <c r="E10288">
        <v>1</v>
      </c>
      <c r="F10288" t="str">
        <f>"06-I03-00"</f>
        <v>06-I03-00</v>
      </c>
      <c r="G10288">
        <v>13.386100000000001</v>
      </c>
      <c r="H10288" t="s">
        <v>9</v>
      </c>
      <c r="I10288" t="s">
        <v>10</v>
      </c>
    </row>
    <row r="10289" spans="1:9" x14ac:dyDescent="0.25">
      <c r="A10289" t="str">
        <f t="shared" si="245"/>
        <v>89301000</v>
      </c>
      <c r="B10289" t="str">
        <f>"6712300452"</f>
        <v>6712300452</v>
      </c>
      <c r="C10289" s="1">
        <v>45238</v>
      </c>
      <c r="D10289" s="1">
        <v>45240</v>
      </c>
      <c r="E10289">
        <v>1</v>
      </c>
      <c r="F10289" t="str">
        <f>"11-M05-02"</f>
        <v>11-M05-02</v>
      </c>
      <c r="G10289">
        <v>0.6694</v>
      </c>
      <c r="H10289" t="s">
        <v>12</v>
      </c>
      <c r="I10289" t="s">
        <v>10</v>
      </c>
    </row>
    <row r="10290" spans="1:9" x14ac:dyDescent="0.25">
      <c r="A10290" t="str">
        <f t="shared" si="245"/>
        <v>89301000</v>
      </c>
      <c r="B10290" t="str">
        <f>"6712301409"</f>
        <v>6712301409</v>
      </c>
      <c r="C10290" s="1">
        <v>45187</v>
      </c>
      <c r="D10290" s="1">
        <v>45191</v>
      </c>
      <c r="E10290">
        <v>1</v>
      </c>
      <c r="F10290" t="str">
        <f>"01-C02-02"</f>
        <v>01-C02-02</v>
      </c>
      <c r="G10290">
        <v>1.6685000000000001</v>
      </c>
      <c r="H10290" t="s">
        <v>11</v>
      </c>
      <c r="I10290" t="s">
        <v>10</v>
      </c>
    </row>
    <row r="10291" spans="1:9" x14ac:dyDescent="0.25">
      <c r="A10291" t="str">
        <f t="shared" si="245"/>
        <v>89301000</v>
      </c>
      <c r="B10291" t="str">
        <f>"6751041451"</f>
        <v>6751041451</v>
      </c>
      <c r="C10291" s="1">
        <v>44958</v>
      </c>
      <c r="D10291" s="1">
        <v>44960</v>
      </c>
      <c r="E10291">
        <v>1</v>
      </c>
      <c r="F10291" t="str">
        <f>"01-K16-06"</f>
        <v>01-K16-06</v>
      </c>
      <c r="G10291">
        <v>0.27150000000000002</v>
      </c>
      <c r="H10291" t="s">
        <v>11</v>
      </c>
      <c r="I10291" t="s">
        <v>10</v>
      </c>
    </row>
    <row r="10292" spans="1:9" x14ac:dyDescent="0.25">
      <c r="A10292" t="str">
        <f t="shared" si="245"/>
        <v>89301000</v>
      </c>
      <c r="B10292" t="str">
        <f>"6751061779"</f>
        <v>6751061779</v>
      </c>
      <c r="C10292" s="1">
        <v>45232</v>
      </c>
      <c r="D10292" s="1">
        <v>45235</v>
      </c>
      <c r="E10292">
        <v>1</v>
      </c>
      <c r="F10292" t="str">
        <f>"08-I22-02"</f>
        <v>08-I22-02</v>
      </c>
      <c r="G10292">
        <v>1.131</v>
      </c>
      <c r="H10292" t="s">
        <v>12</v>
      </c>
      <c r="I10292" t="s">
        <v>10</v>
      </c>
    </row>
    <row r="10293" spans="1:9" x14ac:dyDescent="0.25">
      <c r="A10293" t="str">
        <f t="shared" si="245"/>
        <v>89301000</v>
      </c>
      <c r="B10293" t="str">
        <f>"6751160383"</f>
        <v>6751160383</v>
      </c>
      <c r="C10293" s="1">
        <v>45095</v>
      </c>
      <c r="D10293" s="1">
        <v>45096</v>
      </c>
      <c r="E10293">
        <v>1</v>
      </c>
      <c r="F10293" t="str">
        <f>"05-D01-08"</f>
        <v>05-D01-08</v>
      </c>
      <c r="G10293">
        <v>0.65159999999999996</v>
      </c>
      <c r="H10293" t="s">
        <v>11</v>
      </c>
      <c r="I10293" t="s">
        <v>10</v>
      </c>
    </row>
    <row r="10294" spans="1:9" x14ac:dyDescent="0.25">
      <c r="A10294" t="str">
        <f t="shared" si="245"/>
        <v>89301000</v>
      </c>
      <c r="B10294" t="str">
        <f>"6751161593"</f>
        <v>6751161593</v>
      </c>
      <c r="C10294" s="1">
        <v>45222</v>
      </c>
      <c r="D10294" s="1">
        <v>45229</v>
      </c>
      <c r="E10294">
        <v>1</v>
      </c>
      <c r="F10294" t="str">
        <f>"11-K01-04"</f>
        <v>11-K01-04</v>
      </c>
      <c r="G10294">
        <v>0.57130000000000003</v>
      </c>
      <c r="H10294" t="s">
        <v>11</v>
      </c>
      <c r="I10294" t="s">
        <v>10</v>
      </c>
    </row>
    <row r="10295" spans="1:9" x14ac:dyDescent="0.25">
      <c r="A10295" t="str">
        <f t="shared" si="245"/>
        <v>89301000</v>
      </c>
      <c r="B10295" t="str">
        <f>"6751171427"</f>
        <v>6751171427</v>
      </c>
      <c r="C10295" s="1">
        <v>45110</v>
      </c>
      <c r="D10295" s="1">
        <v>45112</v>
      </c>
      <c r="E10295">
        <v>1</v>
      </c>
      <c r="F10295" t="str">
        <f>"11-M05-02"</f>
        <v>11-M05-02</v>
      </c>
      <c r="G10295">
        <v>0.6694</v>
      </c>
      <c r="H10295" t="s">
        <v>12</v>
      </c>
      <c r="I10295" t="s">
        <v>10</v>
      </c>
    </row>
    <row r="10296" spans="1:9" x14ac:dyDescent="0.25">
      <c r="A10296" t="str">
        <f t="shared" si="245"/>
        <v>89301000</v>
      </c>
      <c r="B10296" t="str">
        <f>"6751281482"</f>
        <v>6751281482</v>
      </c>
      <c r="C10296" s="1">
        <v>44966</v>
      </c>
      <c r="D10296" s="1">
        <v>44975</v>
      </c>
      <c r="E10296">
        <v>1</v>
      </c>
      <c r="F10296" t="str">
        <f>"09-I13-01"</f>
        <v>09-I13-01</v>
      </c>
      <c r="G10296">
        <v>2.8174999999999999</v>
      </c>
      <c r="H10296" t="s">
        <v>11</v>
      </c>
      <c r="I10296" t="s">
        <v>10</v>
      </c>
    </row>
    <row r="10297" spans="1:9" x14ac:dyDescent="0.25">
      <c r="A10297" t="str">
        <f t="shared" si="245"/>
        <v>89301000</v>
      </c>
      <c r="B10297" t="str">
        <f>"6751281482"</f>
        <v>6751281482</v>
      </c>
      <c r="C10297" s="1">
        <v>45027</v>
      </c>
      <c r="D10297" s="1">
        <v>45028</v>
      </c>
      <c r="E10297">
        <v>1</v>
      </c>
      <c r="F10297" t="str">
        <f>"10-K04-04"</f>
        <v>10-K04-04</v>
      </c>
      <c r="G10297">
        <v>0.53949999999999998</v>
      </c>
      <c r="H10297" t="s">
        <v>11</v>
      </c>
      <c r="I10297" t="s">
        <v>10</v>
      </c>
    </row>
    <row r="10298" spans="1:9" x14ac:dyDescent="0.25">
      <c r="A10298" t="str">
        <f t="shared" si="245"/>
        <v>89301000</v>
      </c>
      <c r="B10298" t="str">
        <f>"6752021364"</f>
        <v>6752021364</v>
      </c>
      <c r="C10298" s="1">
        <v>45248</v>
      </c>
      <c r="D10298" s="1">
        <v>45252</v>
      </c>
      <c r="E10298">
        <v>1</v>
      </c>
      <c r="F10298" t="str">
        <f>"07-M02-02"</f>
        <v>07-M02-02</v>
      </c>
      <c r="G10298">
        <v>2.0733000000000001</v>
      </c>
      <c r="H10298" t="s">
        <v>12</v>
      </c>
      <c r="I10298" t="s">
        <v>10</v>
      </c>
    </row>
    <row r="10299" spans="1:9" x14ac:dyDescent="0.25">
      <c r="A10299" t="str">
        <f t="shared" si="245"/>
        <v>89301000</v>
      </c>
      <c r="B10299" t="str">
        <f>"6752021364"</f>
        <v>6752021364</v>
      </c>
      <c r="C10299" s="1">
        <v>45237</v>
      </c>
      <c r="D10299" s="1">
        <v>45243</v>
      </c>
      <c r="E10299">
        <v>1</v>
      </c>
      <c r="F10299" t="str">
        <f>"04-K05-03"</f>
        <v>04-K05-03</v>
      </c>
      <c r="G10299">
        <v>0.74039999999999995</v>
      </c>
      <c r="H10299" t="s">
        <v>11</v>
      </c>
      <c r="I10299" t="s">
        <v>10</v>
      </c>
    </row>
    <row r="10300" spans="1:9" x14ac:dyDescent="0.25">
      <c r="A10300" t="str">
        <f t="shared" si="245"/>
        <v>89301000</v>
      </c>
      <c r="B10300" t="str">
        <f>"6752040196"</f>
        <v>6752040196</v>
      </c>
      <c r="C10300" s="1">
        <v>44936</v>
      </c>
      <c r="D10300" s="1">
        <v>44942</v>
      </c>
      <c r="E10300">
        <v>1</v>
      </c>
      <c r="F10300" t="str">
        <f>"01-K01-02"</f>
        <v>01-K01-02</v>
      </c>
      <c r="G10300">
        <v>0.442</v>
      </c>
      <c r="H10300" t="s">
        <v>11</v>
      </c>
      <c r="I10300" t="s">
        <v>10</v>
      </c>
    </row>
    <row r="10301" spans="1:9" x14ac:dyDescent="0.25">
      <c r="A10301" t="str">
        <f t="shared" si="245"/>
        <v>89301000</v>
      </c>
      <c r="B10301" t="str">
        <f>"6752040196"</f>
        <v>6752040196</v>
      </c>
      <c r="C10301" s="1">
        <v>45166</v>
      </c>
      <c r="D10301" s="1">
        <v>45171</v>
      </c>
      <c r="E10301">
        <v>1</v>
      </c>
      <c r="F10301" t="str">
        <f>"01-K01-02"</f>
        <v>01-K01-02</v>
      </c>
      <c r="G10301">
        <v>0.442</v>
      </c>
      <c r="H10301" t="s">
        <v>11</v>
      </c>
      <c r="I10301" t="s">
        <v>10</v>
      </c>
    </row>
    <row r="10302" spans="1:9" x14ac:dyDescent="0.25">
      <c r="A10302" t="str">
        <f t="shared" si="245"/>
        <v>89301000</v>
      </c>
      <c r="B10302" t="str">
        <f>"6752040196"</f>
        <v>6752040196</v>
      </c>
      <c r="C10302" s="1">
        <v>45055</v>
      </c>
      <c r="D10302" s="1">
        <v>45060</v>
      </c>
      <c r="E10302">
        <v>1</v>
      </c>
      <c r="F10302" t="str">
        <f>"01-K01-02"</f>
        <v>01-K01-02</v>
      </c>
      <c r="G10302">
        <v>0.442</v>
      </c>
      <c r="H10302" t="s">
        <v>11</v>
      </c>
      <c r="I10302" t="s">
        <v>10</v>
      </c>
    </row>
    <row r="10303" spans="1:9" x14ac:dyDescent="0.25">
      <c r="A10303" t="str">
        <f t="shared" si="245"/>
        <v>89301000</v>
      </c>
      <c r="B10303" t="str">
        <f>"6752041153"</f>
        <v>6752041153</v>
      </c>
      <c r="C10303" s="1">
        <v>44944</v>
      </c>
      <c r="D10303" s="1">
        <v>44946</v>
      </c>
      <c r="E10303">
        <v>1</v>
      </c>
      <c r="F10303" t="str">
        <f>"03-I19-03"</f>
        <v>03-I19-03</v>
      </c>
      <c r="G10303">
        <v>0.53249999999999997</v>
      </c>
      <c r="H10303" t="s">
        <v>11</v>
      </c>
      <c r="I10303" t="s">
        <v>10</v>
      </c>
    </row>
    <row r="10304" spans="1:9" x14ac:dyDescent="0.25">
      <c r="A10304" t="str">
        <f t="shared" si="245"/>
        <v>89301000</v>
      </c>
      <c r="B10304" t="str">
        <f>"6752190390"</f>
        <v>6752190390</v>
      </c>
      <c r="C10304" s="1">
        <v>45242</v>
      </c>
      <c r="D10304" s="1">
        <v>45246</v>
      </c>
      <c r="E10304">
        <v>1</v>
      </c>
      <c r="F10304" t="str">
        <f>"10-I13-04"</f>
        <v>10-I13-04</v>
      </c>
      <c r="G10304">
        <v>0.67210000000000003</v>
      </c>
      <c r="H10304" t="s">
        <v>9</v>
      </c>
      <c r="I10304" t="s">
        <v>10</v>
      </c>
    </row>
    <row r="10305" spans="1:9" x14ac:dyDescent="0.25">
      <c r="A10305" t="str">
        <f t="shared" si="245"/>
        <v>89301000</v>
      </c>
      <c r="B10305" t="str">
        <f>"6752191886"</f>
        <v>6752191886</v>
      </c>
      <c r="C10305" s="1">
        <v>45123</v>
      </c>
      <c r="D10305" s="1">
        <v>45124</v>
      </c>
      <c r="E10305">
        <v>1</v>
      </c>
      <c r="F10305" t="str">
        <f>"05-K05-05"</f>
        <v>05-K05-05</v>
      </c>
      <c r="G10305">
        <v>0.35659999999999997</v>
      </c>
      <c r="H10305" t="s">
        <v>11</v>
      </c>
      <c r="I10305" t="s">
        <v>10</v>
      </c>
    </row>
    <row r="10306" spans="1:9" x14ac:dyDescent="0.25">
      <c r="A10306" t="str">
        <f t="shared" si="245"/>
        <v>89301000</v>
      </c>
      <c r="B10306" t="str">
        <f>"6752220409"</f>
        <v>6752220409</v>
      </c>
      <c r="C10306" s="1">
        <v>44999</v>
      </c>
      <c r="D10306" s="1">
        <v>45003</v>
      </c>
      <c r="E10306">
        <v>1</v>
      </c>
      <c r="F10306" t="str">
        <f>"03-I17-00"</f>
        <v>03-I17-00</v>
      </c>
      <c r="G10306">
        <v>0.83489999999999998</v>
      </c>
      <c r="H10306" t="s">
        <v>9</v>
      </c>
      <c r="I10306" t="s">
        <v>10</v>
      </c>
    </row>
    <row r="10307" spans="1:9" x14ac:dyDescent="0.25">
      <c r="A10307" t="str">
        <f t="shared" si="245"/>
        <v>89301000</v>
      </c>
      <c r="B10307" t="str">
        <f>"6752230848"</f>
        <v>6752230848</v>
      </c>
      <c r="C10307" s="1">
        <v>45237</v>
      </c>
      <c r="D10307" s="1">
        <v>45238</v>
      </c>
      <c r="E10307">
        <v>1</v>
      </c>
      <c r="F10307" t="str">
        <f>"03-K13-02"</f>
        <v>03-K13-02</v>
      </c>
      <c r="G10307">
        <v>0.24440000000000001</v>
      </c>
      <c r="H10307" t="s">
        <v>11</v>
      </c>
      <c r="I10307" t="s">
        <v>10</v>
      </c>
    </row>
    <row r="10308" spans="1:9" x14ac:dyDescent="0.25">
      <c r="A10308" t="str">
        <f t="shared" si="245"/>
        <v>89301000</v>
      </c>
      <c r="B10308" t="str">
        <f>"6752231805"</f>
        <v>6752231805</v>
      </c>
      <c r="C10308" s="1">
        <v>45183</v>
      </c>
      <c r="D10308" s="1">
        <v>45184</v>
      </c>
      <c r="E10308">
        <v>1</v>
      </c>
      <c r="F10308" t="str">
        <f>"06-K06-01"</f>
        <v>06-K06-01</v>
      </c>
      <c r="G10308">
        <v>0.79</v>
      </c>
      <c r="H10308" t="s">
        <v>11</v>
      </c>
      <c r="I10308" t="s">
        <v>10</v>
      </c>
    </row>
    <row r="10309" spans="1:9" x14ac:dyDescent="0.25">
      <c r="A10309" t="str">
        <f t="shared" si="245"/>
        <v>89301000</v>
      </c>
      <c r="B10309" t="str">
        <f>"6752251055"</f>
        <v>6752251055</v>
      </c>
      <c r="C10309" s="1">
        <v>45251</v>
      </c>
      <c r="D10309" s="1">
        <v>45255</v>
      </c>
      <c r="E10309">
        <v>1</v>
      </c>
      <c r="F10309" t="str">
        <f>"08-I06-04"</f>
        <v>08-I06-04</v>
      </c>
      <c r="G10309">
        <v>2.4180000000000001</v>
      </c>
      <c r="H10309" t="s">
        <v>9</v>
      </c>
      <c r="I10309" t="s">
        <v>10</v>
      </c>
    </row>
    <row r="10310" spans="1:9" x14ac:dyDescent="0.25">
      <c r="A10310" t="str">
        <f t="shared" si="245"/>
        <v>89301000</v>
      </c>
      <c r="B10310" t="str">
        <f>"6752251055"</f>
        <v>6752251055</v>
      </c>
      <c r="C10310" s="1">
        <v>45257</v>
      </c>
      <c r="D10310" s="1">
        <v>45268</v>
      </c>
      <c r="E10310">
        <v>1</v>
      </c>
      <c r="F10310" t="str">
        <f>"24-M06-02"</f>
        <v>24-M06-02</v>
      </c>
      <c r="G10310">
        <v>1.0699000000000001</v>
      </c>
      <c r="H10310" t="s">
        <v>11</v>
      </c>
      <c r="I10310" t="s">
        <v>10</v>
      </c>
    </row>
    <row r="10311" spans="1:9" x14ac:dyDescent="0.25">
      <c r="A10311" t="str">
        <f t="shared" si="245"/>
        <v>89301000</v>
      </c>
      <c r="B10311" t="str">
        <f>"6752281646"</f>
        <v>6752281646</v>
      </c>
      <c r="C10311" s="1">
        <v>45204</v>
      </c>
      <c r="D10311" s="1">
        <v>45207</v>
      </c>
      <c r="E10311">
        <v>1</v>
      </c>
      <c r="F10311" t="str">
        <f>"03-I24-00"</f>
        <v>03-I24-00</v>
      </c>
      <c r="G10311">
        <v>0.40899999999999997</v>
      </c>
      <c r="H10311" t="s">
        <v>11</v>
      </c>
      <c r="I10311" t="s">
        <v>10</v>
      </c>
    </row>
    <row r="10312" spans="1:9" x14ac:dyDescent="0.25">
      <c r="A10312" t="str">
        <f t="shared" si="245"/>
        <v>89301000</v>
      </c>
      <c r="B10312" t="str">
        <f>"6753011243"</f>
        <v>6753011243</v>
      </c>
      <c r="C10312" s="1">
        <v>45214</v>
      </c>
      <c r="D10312" s="1">
        <v>45252</v>
      </c>
      <c r="E10312">
        <v>1</v>
      </c>
      <c r="F10312" t="str">
        <f>"18-I01-02"</f>
        <v>18-I01-02</v>
      </c>
      <c r="G10312">
        <v>3.7616999999999998</v>
      </c>
      <c r="H10312" t="s">
        <v>11</v>
      </c>
      <c r="I10312" t="s">
        <v>10</v>
      </c>
    </row>
    <row r="10313" spans="1:9" x14ac:dyDescent="0.25">
      <c r="A10313" t="str">
        <f t="shared" si="245"/>
        <v>89301000</v>
      </c>
      <c r="B10313" t="str">
        <f>"6753011243"</f>
        <v>6753011243</v>
      </c>
      <c r="C10313" s="1">
        <v>45275</v>
      </c>
      <c r="D10313" s="1">
        <v>45278</v>
      </c>
      <c r="E10313">
        <v>1</v>
      </c>
      <c r="F10313" t="str">
        <f>"16-K02-03"</f>
        <v>16-K02-03</v>
      </c>
      <c r="G10313">
        <v>0.58299999999999996</v>
      </c>
      <c r="H10313" t="s">
        <v>11</v>
      </c>
      <c r="I10313" t="s">
        <v>10</v>
      </c>
    </row>
    <row r="10314" spans="1:9" x14ac:dyDescent="0.25">
      <c r="A10314" t="str">
        <f t="shared" si="245"/>
        <v>89301000</v>
      </c>
      <c r="B10314" t="str">
        <f>"6753022100"</f>
        <v>6753022100</v>
      </c>
      <c r="C10314" s="1">
        <v>45182</v>
      </c>
      <c r="D10314" s="1">
        <v>45189</v>
      </c>
      <c r="E10314">
        <v>1</v>
      </c>
      <c r="F10314" t="str">
        <f>"05-K05-02"</f>
        <v>05-K05-02</v>
      </c>
      <c r="G10314">
        <v>0.91449999999999998</v>
      </c>
      <c r="H10314" t="s">
        <v>11</v>
      </c>
      <c r="I10314" t="s">
        <v>10</v>
      </c>
    </row>
    <row r="10315" spans="1:9" x14ac:dyDescent="0.25">
      <c r="A10315" t="str">
        <f t="shared" si="245"/>
        <v>89301000</v>
      </c>
      <c r="B10315" t="str">
        <f>"6753031274"</f>
        <v>6753031274</v>
      </c>
      <c r="C10315" s="1">
        <v>45210</v>
      </c>
      <c r="D10315" s="1">
        <v>45212</v>
      </c>
      <c r="E10315">
        <v>1</v>
      </c>
      <c r="F10315" t="str">
        <f>"13-I19-00"</f>
        <v>13-I19-00</v>
      </c>
      <c r="G10315">
        <v>0.28249999999999997</v>
      </c>
      <c r="H10315" t="s">
        <v>11</v>
      </c>
      <c r="I10315" t="s">
        <v>10</v>
      </c>
    </row>
    <row r="10316" spans="1:9" x14ac:dyDescent="0.25">
      <c r="A10316" t="str">
        <f t="shared" si="245"/>
        <v>89301000</v>
      </c>
      <c r="B10316" t="str">
        <f>"6753151174"</f>
        <v>6753151174</v>
      </c>
      <c r="C10316" s="1">
        <v>45028</v>
      </c>
      <c r="D10316" s="1">
        <v>45030</v>
      </c>
      <c r="E10316">
        <v>1</v>
      </c>
      <c r="F10316" t="str">
        <f>"08-I25-02"</f>
        <v>08-I25-02</v>
      </c>
      <c r="G10316">
        <v>0.56120000000000003</v>
      </c>
      <c r="H10316" t="s">
        <v>11</v>
      </c>
      <c r="I10316" t="s">
        <v>10</v>
      </c>
    </row>
    <row r="10317" spans="1:9" x14ac:dyDescent="0.25">
      <c r="A10317" t="str">
        <f t="shared" si="245"/>
        <v>89301000</v>
      </c>
      <c r="B10317" t="str">
        <f>"6753201389"</f>
        <v>6753201389</v>
      </c>
      <c r="C10317" s="1">
        <v>45132</v>
      </c>
      <c r="D10317" s="1">
        <v>45135</v>
      </c>
      <c r="E10317">
        <v>1</v>
      </c>
      <c r="F10317" t="str">
        <f>"08-M03-05"</f>
        <v>08-M03-05</v>
      </c>
      <c r="G10317">
        <v>0.46810000000000002</v>
      </c>
      <c r="H10317" t="s">
        <v>11</v>
      </c>
      <c r="I10317" t="s">
        <v>10</v>
      </c>
    </row>
    <row r="10318" spans="1:9" x14ac:dyDescent="0.25">
      <c r="A10318" t="str">
        <f t="shared" si="245"/>
        <v>89301000</v>
      </c>
      <c r="B10318" t="str">
        <f>"6753241836"</f>
        <v>6753241836</v>
      </c>
      <c r="C10318" s="1">
        <v>45070</v>
      </c>
      <c r="D10318" s="1">
        <v>45073</v>
      </c>
      <c r="E10318">
        <v>1</v>
      </c>
      <c r="F10318" t="str">
        <f>"06-M01-02"</f>
        <v>06-M01-02</v>
      </c>
      <c r="G10318">
        <v>1.2206999999999999</v>
      </c>
      <c r="H10318" t="s">
        <v>11</v>
      </c>
      <c r="I10318" t="s">
        <v>16</v>
      </c>
    </row>
    <row r="10319" spans="1:9" x14ac:dyDescent="0.25">
      <c r="A10319" t="str">
        <f t="shared" si="245"/>
        <v>89301000</v>
      </c>
      <c r="B10319" t="str">
        <f>"6753271855"</f>
        <v>6753271855</v>
      </c>
      <c r="C10319" s="1">
        <v>45181</v>
      </c>
      <c r="D10319" s="1">
        <v>45183</v>
      </c>
      <c r="E10319">
        <v>1</v>
      </c>
      <c r="F10319" t="str">
        <f>"08-I32-00"</f>
        <v>08-I32-00</v>
      </c>
      <c r="G10319">
        <v>0.4093</v>
      </c>
      <c r="H10319" t="s">
        <v>11</v>
      </c>
      <c r="I10319" t="s">
        <v>10</v>
      </c>
    </row>
    <row r="10320" spans="1:9" x14ac:dyDescent="0.25">
      <c r="A10320" t="str">
        <f t="shared" si="245"/>
        <v>89301000</v>
      </c>
      <c r="B10320" t="str">
        <f>"6753280754"</f>
        <v>6753280754</v>
      </c>
      <c r="C10320" s="1">
        <v>45061</v>
      </c>
      <c r="D10320" s="1">
        <v>45067</v>
      </c>
      <c r="E10320">
        <v>1</v>
      </c>
      <c r="F10320" t="str">
        <f>"08-I03-04"</f>
        <v>08-I03-04</v>
      </c>
      <c r="G10320">
        <v>4.7615999999999996</v>
      </c>
      <c r="H10320" t="s">
        <v>9</v>
      </c>
      <c r="I10320" t="s">
        <v>10</v>
      </c>
    </row>
    <row r="10321" spans="1:9" x14ac:dyDescent="0.25">
      <c r="A10321" t="str">
        <f t="shared" si="245"/>
        <v>89301000</v>
      </c>
      <c r="B10321" t="str">
        <f>"6753280754"</f>
        <v>6753280754</v>
      </c>
      <c r="C10321" s="1">
        <v>45278</v>
      </c>
      <c r="D10321" s="1">
        <v>45282</v>
      </c>
      <c r="E10321">
        <v>1</v>
      </c>
      <c r="F10321" t="str">
        <f>"08-I03-06"</f>
        <v>08-I03-06</v>
      </c>
      <c r="G10321">
        <v>3.2523</v>
      </c>
      <c r="H10321" t="s">
        <v>9</v>
      </c>
      <c r="I10321" t="s">
        <v>10</v>
      </c>
    </row>
    <row r="10322" spans="1:9" x14ac:dyDescent="0.25">
      <c r="A10322" t="str">
        <f t="shared" si="245"/>
        <v>89301000</v>
      </c>
      <c r="B10322" t="str">
        <f>"6753290390"</f>
        <v>6753290390</v>
      </c>
      <c r="C10322" s="1">
        <v>45001</v>
      </c>
      <c r="D10322" s="1">
        <v>45008</v>
      </c>
      <c r="E10322">
        <v>3</v>
      </c>
      <c r="F10322" t="str">
        <f>"08-I04-01"</f>
        <v>08-I04-01</v>
      </c>
      <c r="G10322">
        <v>2.7970000000000002</v>
      </c>
      <c r="H10322" t="s">
        <v>14</v>
      </c>
      <c r="I10322" t="s">
        <v>10</v>
      </c>
    </row>
    <row r="10323" spans="1:9" x14ac:dyDescent="0.25">
      <c r="A10323" t="str">
        <f t="shared" si="245"/>
        <v>89301000</v>
      </c>
      <c r="B10323" t="str">
        <f>"6753290390"</f>
        <v>6753290390</v>
      </c>
      <c r="C10323" s="1">
        <v>45008</v>
      </c>
      <c r="D10323" s="1">
        <v>45022</v>
      </c>
      <c r="E10323">
        <v>1</v>
      </c>
      <c r="F10323" t="str">
        <f>"24-M07-01"</f>
        <v>24-M07-01</v>
      </c>
      <c r="G10323">
        <v>1.7825</v>
      </c>
      <c r="H10323" t="s">
        <v>11</v>
      </c>
      <c r="I10323" t="s">
        <v>10</v>
      </c>
    </row>
    <row r="10324" spans="1:9" x14ac:dyDescent="0.25">
      <c r="A10324" t="str">
        <f t="shared" si="245"/>
        <v>89301000</v>
      </c>
      <c r="B10324" t="str">
        <f>"6754036564"</f>
        <v>6754036564</v>
      </c>
      <c r="C10324" s="1">
        <v>45160</v>
      </c>
      <c r="D10324" s="1">
        <v>45163</v>
      </c>
      <c r="E10324">
        <v>1</v>
      </c>
      <c r="F10324" t="str">
        <f>"03-I12-02"</f>
        <v>03-I12-02</v>
      </c>
      <c r="G10324">
        <v>1.2988999999999999</v>
      </c>
      <c r="H10324" t="s">
        <v>12</v>
      </c>
      <c r="I10324" t="s">
        <v>10</v>
      </c>
    </row>
    <row r="10325" spans="1:9" x14ac:dyDescent="0.25">
      <c r="A10325" t="str">
        <f t="shared" si="245"/>
        <v>89301000</v>
      </c>
      <c r="B10325" t="str">
        <f>"6754042603"</f>
        <v>6754042603</v>
      </c>
      <c r="C10325" s="1">
        <v>45005</v>
      </c>
      <c r="D10325" s="1">
        <v>45005</v>
      </c>
      <c r="E10325">
        <v>1</v>
      </c>
      <c r="F10325" t="str">
        <f>"10-K12-03"</f>
        <v>10-K12-03</v>
      </c>
      <c r="G10325">
        <v>0.2591</v>
      </c>
      <c r="H10325" t="s">
        <v>11</v>
      </c>
      <c r="I10325" t="s">
        <v>10</v>
      </c>
    </row>
    <row r="10326" spans="1:9" x14ac:dyDescent="0.25">
      <c r="A10326" t="str">
        <f t="shared" si="245"/>
        <v>89301000</v>
      </c>
      <c r="B10326" t="str">
        <f>"6754046244"</f>
        <v>6754046244</v>
      </c>
      <c r="C10326" s="1">
        <v>45033</v>
      </c>
      <c r="D10326" s="1">
        <v>45036</v>
      </c>
      <c r="E10326">
        <v>1</v>
      </c>
      <c r="F10326" t="str">
        <f>"02-K11-02"</f>
        <v>02-K11-02</v>
      </c>
      <c r="G10326">
        <v>0.56559999999999999</v>
      </c>
      <c r="H10326" t="s">
        <v>11</v>
      </c>
      <c r="I10326" t="s">
        <v>10</v>
      </c>
    </row>
    <row r="10327" spans="1:9" x14ac:dyDescent="0.25">
      <c r="A10327" t="str">
        <f t="shared" si="245"/>
        <v>89301000</v>
      </c>
      <c r="B10327" t="str">
        <f>"6754080256"</f>
        <v>6754080256</v>
      </c>
      <c r="C10327" s="1">
        <v>45280</v>
      </c>
      <c r="D10327" s="1">
        <v>45283</v>
      </c>
      <c r="E10327">
        <v>1</v>
      </c>
      <c r="F10327" t="str">
        <f>"08-I23-02"</f>
        <v>08-I23-02</v>
      </c>
      <c r="G10327">
        <v>0.91059999999999997</v>
      </c>
      <c r="H10327" t="s">
        <v>12</v>
      </c>
      <c r="I10327" t="s">
        <v>10</v>
      </c>
    </row>
    <row r="10328" spans="1:9" x14ac:dyDescent="0.25">
      <c r="A10328" t="str">
        <f t="shared" si="245"/>
        <v>89301000</v>
      </c>
      <c r="B10328" t="str">
        <f>"6754091597"</f>
        <v>6754091597</v>
      </c>
      <c r="C10328" s="1">
        <v>45237</v>
      </c>
      <c r="D10328" s="1">
        <v>45239</v>
      </c>
      <c r="E10328">
        <v>1</v>
      </c>
      <c r="F10328" t="str">
        <f>"09-I10-02"</f>
        <v>09-I10-02</v>
      </c>
      <c r="G10328">
        <v>0.87580000000000002</v>
      </c>
      <c r="H10328" t="s">
        <v>12</v>
      </c>
      <c r="I10328" t="s">
        <v>10</v>
      </c>
    </row>
    <row r="10329" spans="1:9" x14ac:dyDescent="0.25">
      <c r="A10329" t="str">
        <f t="shared" si="245"/>
        <v>89301000</v>
      </c>
      <c r="B10329" t="str">
        <f>"6754100661"</f>
        <v>6754100661</v>
      </c>
      <c r="C10329" s="1">
        <v>44916</v>
      </c>
      <c r="D10329" s="1">
        <v>44960</v>
      </c>
      <c r="E10329">
        <v>1</v>
      </c>
      <c r="F10329" t="str">
        <f>"18-K02-03"</f>
        <v>18-K02-03</v>
      </c>
      <c r="G10329">
        <v>3.2757999999999998</v>
      </c>
      <c r="H10329" t="s">
        <v>11</v>
      </c>
      <c r="I10329" t="s">
        <v>10</v>
      </c>
    </row>
    <row r="10330" spans="1:9" x14ac:dyDescent="0.25">
      <c r="A10330" t="str">
        <f t="shared" si="245"/>
        <v>89301000</v>
      </c>
      <c r="B10330" t="str">
        <f>"6754101222"</f>
        <v>6754101222</v>
      </c>
      <c r="C10330" s="1">
        <v>44962</v>
      </c>
      <c r="D10330" s="1">
        <v>44970</v>
      </c>
      <c r="E10330">
        <v>4</v>
      </c>
      <c r="F10330" t="str">
        <f>"08-I05-04"</f>
        <v>08-I05-04</v>
      </c>
      <c r="G10330">
        <v>2.4445000000000001</v>
      </c>
      <c r="H10330" t="s">
        <v>12</v>
      </c>
      <c r="I10330" t="s">
        <v>10</v>
      </c>
    </row>
    <row r="10331" spans="1:9" x14ac:dyDescent="0.25">
      <c r="A10331" t="str">
        <f t="shared" si="245"/>
        <v>89301000</v>
      </c>
      <c r="B10331" t="str">
        <f>"6754111826"</f>
        <v>6754111826</v>
      </c>
      <c r="C10331" s="1">
        <v>45125</v>
      </c>
      <c r="D10331" s="1">
        <v>45128</v>
      </c>
      <c r="E10331">
        <v>1</v>
      </c>
      <c r="F10331" t="str">
        <f>"02-K11-02"</f>
        <v>02-K11-02</v>
      </c>
      <c r="G10331">
        <v>0.56799999999999995</v>
      </c>
      <c r="H10331" t="s">
        <v>11</v>
      </c>
      <c r="I10331" t="s">
        <v>10</v>
      </c>
    </row>
    <row r="10332" spans="1:9" x14ac:dyDescent="0.25">
      <c r="A10332" t="str">
        <f t="shared" si="245"/>
        <v>89301000</v>
      </c>
      <c r="B10332" t="str">
        <f>"6754122122"</f>
        <v>6754122122</v>
      </c>
      <c r="C10332" s="1">
        <v>44951</v>
      </c>
      <c r="D10332" s="1">
        <v>44958</v>
      </c>
      <c r="E10332">
        <v>2</v>
      </c>
      <c r="F10332" t="str">
        <f>"01-I06-01"</f>
        <v>01-I06-01</v>
      </c>
      <c r="G10332">
        <v>8.1592000000000002</v>
      </c>
      <c r="H10332" t="s">
        <v>12</v>
      </c>
      <c r="I10332" t="s">
        <v>10</v>
      </c>
    </row>
    <row r="10333" spans="1:9" x14ac:dyDescent="0.25">
      <c r="A10333" t="str">
        <f t="shared" si="245"/>
        <v>89301000</v>
      </c>
      <c r="B10333" t="str">
        <f>"6754141273"</f>
        <v>6754141273</v>
      </c>
      <c r="C10333" s="1">
        <v>45075</v>
      </c>
      <c r="D10333" s="1">
        <v>45077</v>
      </c>
      <c r="E10333">
        <v>1</v>
      </c>
      <c r="F10333" t="str">
        <f>"09-I13-05"</f>
        <v>09-I13-05</v>
      </c>
      <c r="G10333">
        <v>0.42509999999999998</v>
      </c>
      <c r="H10333" t="s">
        <v>11</v>
      </c>
      <c r="I10333" t="s">
        <v>10</v>
      </c>
    </row>
    <row r="10334" spans="1:9" x14ac:dyDescent="0.25">
      <c r="A10334" t="str">
        <f t="shared" si="245"/>
        <v>89301000</v>
      </c>
      <c r="B10334" t="str">
        <f>"6754160457"</f>
        <v>6754160457</v>
      </c>
      <c r="C10334" s="1">
        <v>44984</v>
      </c>
      <c r="D10334" s="1">
        <v>44986</v>
      </c>
      <c r="E10334">
        <v>1</v>
      </c>
      <c r="F10334" t="str">
        <f>"09-I09-02"</f>
        <v>09-I09-02</v>
      </c>
      <c r="G10334">
        <v>0.81530000000000002</v>
      </c>
      <c r="H10334" t="s">
        <v>12</v>
      </c>
      <c r="I10334" t="s">
        <v>10</v>
      </c>
    </row>
    <row r="10335" spans="1:9" x14ac:dyDescent="0.25">
      <c r="A10335" t="str">
        <f t="shared" si="245"/>
        <v>89301000</v>
      </c>
      <c r="B10335" t="str">
        <f>"6754170797"</f>
        <v>6754170797</v>
      </c>
      <c r="C10335" s="1">
        <v>44995</v>
      </c>
      <c r="D10335" s="1">
        <v>44997</v>
      </c>
      <c r="E10335">
        <v>1</v>
      </c>
      <c r="F10335" t="str">
        <f>"01-K01-02"</f>
        <v>01-K01-02</v>
      </c>
      <c r="G10335">
        <v>0.442</v>
      </c>
      <c r="H10335" t="s">
        <v>11</v>
      </c>
      <c r="I10335" t="s">
        <v>10</v>
      </c>
    </row>
    <row r="10336" spans="1:9" x14ac:dyDescent="0.25">
      <c r="A10336" t="str">
        <f t="shared" si="245"/>
        <v>89301000</v>
      </c>
      <c r="B10336" t="str">
        <f>"6754170797"</f>
        <v>6754170797</v>
      </c>
      <c r="C10336" s="1">
        <v>44965</v>
      </c>
      <c r="D10336" s="1">
        <v>44967</v>
      </c>
      <c r="E10336">
        <v>1</v>
      </c>
      <c r="F10336" t="str">
        <f>"01-K01-02"</f>
        <v>01-K01-02</v>
      </c>
      <c r="G10336">
        <v>0.442</v>
      </c>
      <c r="H10336" t="s">
        <v>11</v>
      </c>
      <c r="I10336" t="s">
        <v>10</v>
      </c>
    </row>
    <row r="10337" spans="1:9" x14ac:dyDescent="0.25">
      <c r="A10337" t="str">
        <f t="shared" si="245"/>
        <v>89301000</v>
      </c>
      <c r="B10337" t="str">
        <f>"6754200090"</f>
        <v>6754200090</v>
      </c>
      <c r="C10337" s="1">
        <v>45104</v>
      </c>
      <c r="D10337" s="1">
        <v>45107</v>
      </c>
      <c r="E10337">
        <v>1</v>
      </c>
      <c r="F10337" t="str">
        <f>"09-K08-01"</f>
        <v>09-K08-01</v>
      </c>
      <c r="G10337">
        <v>1.1941999999999999</v>
      </c>
      <c r="H10337" t="s">
        <v>11</v>
      </c>
      <c r="I10337" t="s">
        <v>10</v>
      </c>
    </row>
    <row r="10338" spans="1:9" x14ac:dyDescent="0.25">
      <c r="A10338" t="str">
        <f t="shared" si="245"/>
        <v>89301000</v>
      </c>
      <c r="B10338" t="str">
        <f>"6754200090"</f>
        <v>6754200090</v>
      </c>
      <c r="C10338" s="1">
        <v>45152</v>
      </c>
      <c r="D10338" s="1">
        <v>45162</v>
      </c>
      <c r="E10338">
        <v>7</v>
      </c>
      <c r="F10338" t="str">
        <f>"09-K08-01"</f>
        <v>09-K08-01</v>
      </c>
      <c r="G10338">
        <v>1.2336</v>
      </c>
      <c r="H10338" t="s">
        <v>11</v>
      </c>
      <c r="I10338" t="s">
        <v>10</v>
      </c>
    </row>
    <row r="10339" spans="1:9" x14ac:dyDescent="0.25">
      <c r="A10339" t="str">
        <f t="shared" si="245"/>
        <v>89301000</v>
      </c>
      <c r="B10339" t="str">
        <f>"6754200090"</f>
        <v>6754200090</v>
      </c>
      <c r="C10339" s="1">
        <v>45063</v>
      </c>
      <c r="D10339" s="1">
        <v>45065</v>
      </c>
      <c r="E10339">
        <v>1</v>
      </c>
      <c r="F10339" t="str">
        <f>"16-K02-01"</f>
        <v>16-K02-01</v>
      </c>
      <c r="G10339">
        <v>1.3922000000000001</v>
      </c>
      <c r="H10339" t="s">
        <v>11</v>
      </c>
      <c r="I10339" t="s">
        <v>10</v>
      </c>
    </row>
    <row r="10340" spans="1:9" x14ac:dyDescent="0.25">
      <c r="A10340" t="str">
        <f t="shared" si="245"/>
        <v>89301000</v>
      </c>
      <c r="B10340" t="str">
        <f>"6754212454"</f>
        <v>6754212454</v>
      </c>
      <c r="C10340" s="1">
        <v>45069</v>
      </c>
      <c r="D10340" s="1">
        <v>45075</v>
      </c>
      <c r="E10340">
        <v>1</v>
      </c>
      <c r="F10340" t="str">
        <f>"11-K01-04"</f>
        <v>11-K01-04</v>
      </c>
      <c r="G10340">
        <v>0.57130000000000003</v>
      </c>
      <c r="H10340" t="s">
        <v>11</v>
      </c>
      <c r="I10340" t="s">
        <v>10</v>
      </c>
    </row>
    <row r="10341" spans="1:9" x14ac:dyDescent="0.25">
      <c r="A10341" t="str">
        <f t="shared" si="245"/>
        <v>89301000</v>
      </c>
      <c r="B10341" t="str">
        <f>"6755112430"</f>
        <v>6755112430</v>
      </c>
      <c r="C10341" s="1">
        <v>45146</v>
      </c>
      <c r="D10341" s="1">
        <v>45155</v>
      </c>
      <c r="E10341">
        <v>8</v>
      </c>
      <c r="F10341" t="str">
        <f>"09-R01-06"</f>
        <v>09-R01-06</v>
      </c>
      <c r="G10341">
        <v>1.5115000000000001</v>
      </c>
      <c r="H10341" t="s">
        <v>11</v>
      </c>
      <c r="I10341" t="s">
        <v>10</v>
      </c>
    </row>
    <row r="10342" spans="1:9" x14ac:dyDescent="0.25">
      <c r="A10342" t="str">
        <f t="shared" si="245"/>
        <v>89301000</v>
      </c>
      <c r="B10342" t="str">
        <f>"6755120757"</f>
        <v>6755120757</v>
      </c>
      <c r="C10342" s="1">
        <v>45040</v>
      </c>
      <c r="D10342" s="1">
        <v>45044</v>
      </c>
      <c r="E10342">
        <v>1</v>
      </c>
      <c r="F10342" t="str">
        <f>"01-C01-02"</f>
        <v>01-C01-02</v>
      </c>
      <c r="G10342">
        <v>3.5868000000000002</v>
      </c>
      <c r="H10342" t="s">
        <v>11</v>
      </c>
      <c r="I10342" t="s">
        <v>10</v>
      </c>
    </row>
    <row r="10343" spans="1:9" x14ac:dyDescent="0.25">
      <c r="A10343" t="str">
        <f t="shared" si="245"/>
        <v>89301000</v>
      </c>
      <c r="B10343" t="str">
        <f>"6755160621"</f>
        <v>6755160621</v>
      </c>
      <c r="C10343" s="1">
        <v>44986</v>
      </c>
      <c r="D10343" s="1">
        <v>44992</v>
      </c>
      <c r="E10343">
        <v>4</v>
      </c>
      <c r="F10343" t="str">
        <f>"08-I06-04"</f>
        <v>08-I06-04</v>
      </c>
      <c r="G10343">
        <v>2.4180000000000001</v>
      </c>
      <c r="H10343" t="s">
        <v>9</v>
      </c>
      <c r="I10343" t="s">
        <v>10</v>
      </c>
    </row>
    <row r="10344" spans="1:9" x14ac:dyDescent="0.25">
      <c r="A10344" t="str">
        <f t="shared" ref="A10344:A10406" si="246">"89301000"</f>
        <v>89301000</v>
      </c>
      <c r="B10344" t="str">
        <f>"6755211430"</f>
        <v>6755211430</v>
      </c>
      <c r="C10344" s="1">
        <v>45251</v>
      </c>
      <c r="D10344" s="1">
        <v>45253</v>
      </c>
      <c r="E10344">
        <v>1</v>
      </c>
      <c r="F10344" t="str">
        <f>"08-I23-02"</f>
        <v>08-I23-02</v>
      </c>
      <c r="G10344">
        <v>0.91059999999999997</v>
      </c>
      <c r="H10344" t="s">
        <v>12</v>
      </c>
      <c r="I10344" t="s">
        <v>10</v>
      </c>
    </row>
    <row r="10345" spans="1:9" x14ac:dyDescent="0.25">
      <c r="A10345" t="str">
        <f t="shared" si="246"/>
        <v>89301000</v>
      </c>
      <c r="B10345" t="str">
        <f>"6755220384"</f>
        <v>6755220384</v>
      </c>
      <c r="C10345" s="1">
        <v>45085</v>
      </c>
      <c r="D10345" s="1">
        <v>45086</v>
      </c>
      <c r="E10345">
        <v>1</v>
      </c>
      <c r="F10345" t="str">
        <f>"01-K04-02"</f>
        <v>01-K04-02</v>
      </c>
      <c r="G10345">
        <v>0.5333</v>
      </c>
      <c r="H10345" t="s">
        <v>11</v>
      </c>
      <c r="I10345" t="s">
        <v>10</v>
      </c>
    </row>
    <row r="10346" spans="1:9" x14ac:dyDescent="0.25">
      <c r="A10346" t="str">
        <f t="shared" si="246"/>
        <v>89301000</v>
      </c>
      <c r="B10346" t="str">
        <f>"6755220670"</f>
        <v>6755220670</v>
      </c>
      <c r="C10346" s="1">
        <v>45049</v>
      </c>
      <c r="D10346" s="1">
        <v>45052</v>
      </c>
      <c r="E10346">
        <v>1</v>
      </c>
      <c r="F10346" t="str">
        <f>"06-K11-00"</f>
        <v>06-K11-00</v>
      </c>
      <c r="G10346">
        <v>0.34639999999999999</v>
      </c>
      <c r="H10346" t="s">
        <v>11</v>
      </c>
      <c r="I10346" t="s">
        <v>10</v>
      </c>
    </row>
    <row r="10347" spans="1:9" x14ac:dyDescent="0.25">
      <c r="A10347" t="str">
        <f t="shared" si="246"/>
        <v>89301000</v>
      </c>
      <c r="B10347" t="str">
        <f>"6755220670"</f>
        <v>6755220670</v>
      </c>
      <c r="C10347" s="1">
        <v>45218</v>
      </c>
      <c r="D10347" s="1">
        <v>45222</v>
      </c>
      <c r="E10347">
        <v>1</v>
      </c>
      <c r="F10347" t="str">
        <f>"06-I21-03"</f>
        <v>06-I21-03</v>
      </c>
      <c r="G10347">
        <v>0.45950000000000002</v>
      </c>
      <c r="H10347" t="s">
        <v>12</v>
      </c>
      <c r="I10347" t="s">
        <v>10</v>
      </c>
    </row>
    <row r="10348" spans="1:9" x14ac:dyDescent="0.25">
      <c r="A10348" t="str">
        <f t="shared" si="246"/>
        <v>89301000</v>
      </c>
      <c r="B10348" t="str">
        <f>"6755281731"</f>
        <v>6755281731</v>
      </c>
      <c r="C10348" s="1">
        <v>45113</v>
      </c>
      <c r="D10348" s="1">
        <v>45117</v>
      </c>
      <c r="E10348">
        <v>1</v>
      </c>
      <c r="F10348" t="str">
        <f>"05-M06-06"</f>
        <v>05-M06-06</v>
      </c>
      <c r="G10348">
        <v>1.8264</v>
      </c>
      <c r="H10348" t="s">
        <v>12</v>
      </c>
      <c r="I10348" t="s">
        <v>10</v>
      </c>
    </row>
    <row r="10349" spans="1:9" x14ac:dyDescent="0.25">
      <c r="A10349" t="str">
        <f t="shared" si="246"/>
        <v>89301000</v>
      </c>
      <c r="B10349" t="str">
        <f>"6755300101"</f>
        <v>6755300101</v>
      </c>
      <c r="C10349" s="1">
        <v>45236</v>
      </c>
      <c r="D10349" s="1">
        <v>45239</v>
      </c>
      <c r="E10349">
        <v>1</v>
      </c>
      <c r="F10349" t="str">
        <f>"08-M03-05"</f>
        <v>08-M03-05</v>
      </c>
      <c r="G10349">
        <v>0.46810000000000002</v>
      </c>
      <c r="H10349" t="s">
        <v>11</v>
      </c>
      <c r="I10349" t="s">
        <v>10</v>
      </c>
    </row>
    <row r="10350" spans="1:9" x14ac:dyDescent="0.25">
      <c r="A10350" t="str">
        <f t="shared" si="246"/>
        <v>89301000</v>
      </c>
      <c r="B10350" t="str">
        <f>"6755311750"</f>
        <v>6755311750</v>
      </c>
      <c r="C10350" s="1">
        <v>45103</v>
      </c>
      <c r="D10350" s="1">
        <v>45114</v>
      </c>
      <c r="E10350">
        <v>1</v>
      </c>
      <c r="F10350" t="str">
        <f>"24-M06-02"</f>
        <v>24-M06-02</v>
      </c>
      <c r="G10350">
        <v>1.0699000000000001</v>
      </c>
      <c r="H10350" t="s">
        <v>11</v>
      </c>
      <c r="I10350" t="s">
        <v>10</v>
      </c>
    </row>
    <row r="10351" spans="1:9" x14ac:dyDescent="0.25">
      <c r="A10351" t="str">
        <f t="shared" si="246"/>
        <v>89301000</v>
      </c>
      <c r="B10351" t="str">
        <f>"6756041853"</f>
        <v>6756041853</v>
      </c>
      <c r="C10351" s="1">
        <v>44945</v>
      </c>
      <c r="D10351" s="1">
        <v>44946</v>
      </c>
      <c r="E10351">
        <v>1</v>
      </c>
      <c r="F10351" t="str">
        <f>"01-D01-03"</f>
        <v>01-D01-03</v>
      </c>
      <c r="G10351">
        <v>0.16200000000000001</v>
      </c>
      <c r="H10351" t="s">
        <v>11</v>
      </c>
      <c r="I10351" t="s">
        <v>10</v>
      </c>
    </row>
    <row r="10352" spans="1:9" x14ac:dyDescent="0.25">
      <c r="A10352" t="str">
        <f t="shared" si="246"/>
        <v>89301000</v>
      </c>
      <c r="B10352" t="str">
        <f>"6756050785"</f>
        <v>6756050785</v>
      </c>
      <c r="C10352" s="1">
        <v>45108</v>
      </c>
      <c r="D10352" s="1">
        <v>45113</v>
      </c>
      <c r="E10352">
        <v>1</v>
      </c>
      <c r="F10352" t="str">
        <f>"03-I16-02"</f>
        <v>03-I16-02</v>
      </c>
      <c r="G10352">
        <v>0.92979999999999996</v>
      </c>
      <c r="H10352" t="s">
        <v>9</v>
      </c>
      <c r="I10352" t="s">
        <v>10</v>
      </c>
    </row>
    <row r="10353" spans="1:9" x14ac:dyDescent="0.25">
      <c r="A10353" t="str">
        <f t="shared" si="246"/>
        <v>89301000</v>
      </c>
      <c r="B10353" t="str">
        <f>"6756191860"</f>
        <v>6756191860</v>
      </c>
      <c r="C10353" s="1">
        <v>45085</v>
      </c>
      <c r="D10353" s="1">
        <v>45088</v>
      </c>
      <c r="E10353">
        <v>1</v>
      </c>
      <c r="F10353" t="str">
        <f>"09-K04-02"</f>
        <v>09-K04-02</v>
      </c>
      <c r="G10353">
        <v>0.64849999999999997</v>
      </c>
      <c r="H10353" t="s">
        <v>11</v>
      </c>
      <c r="I10353" t="s">
        <v>10</v>
      </c>
    </row>
    <row r="10354" spans="1:9" x14ac:dyDescent="0.25">
      <c r="A10354" t="str">
        <f t="shared" si="246"/>
        <v>89301000</v>
      </c>
      <c r="B10354" t="str">
        <f>"6756220207"</f>
        <v>6756220207</v>
      </c>
      <c r="C10354" s="1">
        <v>44931</v>
      </c>
      <c r="D10354" s="1">
        <v>44933</v>
      </c>
      <c r="E10354">
        <v>1</v>
      </c>
      <c r="F10354" t="str">
        <f>"08-I26-03"</f>
        <v>08-I26-03</v>
      </c>
      <c r="G10354">
        <v>0.47699999999999998</v>
      </c>
      <c r="H10354" t="s">
        <v>11</v>
      </c>
      <c r="I10354" t="s">
        <v>10</v>
      </c>
    </row>
    <row r="10355" spans="1:9" x14ac:dyDescent="0.25">
      <c r="A10355" t="str">
        <f t="shared" si="246"/>
        <v>89301000</v>
      </c>
      <c r="B10355" t="str">
        <f>"6757011712"</f>
        <v>6757011712</v>
      </c>
      <c r="C10355" s="1">
        <v>45048</v>
      </c>
      <c r="D10355" s="1">
        <v>45051</v>
      </c>
      <c r="E10355">
        <v>1</v>
      </c>
      <c r="F10355" t="str">
        <f>"05-I14-02"</f>
        <v>05-I14-02</v>
      </c>
      <c r="G10355">
        <v>6.4595000000000002</v>
      </c>
      <c r="H10355" t="s">
        <v>12</v>
      </c>
      <c r="I10355" t="s">
        <v>10</v>
      </c>
    </row>
    <row r="10356" spans="1:9" x14ac:dyDescent="0.25">
      <c r="A10356" t="str">
        <f t="shared" si="246"/>
        <v>89301000</v>
      </c>
      <c r="B10356" t="str">
        <f>"6757011712"</f>
        <v>6757011712</v>
      </c>
      <c r="C10356" s="1">
        <v>45148</v>
      </c>
      <c r="D10356" s="1">
        <v>45155</v>
      </c>
      <c r="E10356">
        <v>1</v>
      </c>
      <c r="F10356" t="str">
        <f>"05-I24-02"</f>
        <v>05-I24-02</v>
      </c>
      <c r="G10356">
        <v>3.9392</v>
      </c>
      <c r="H10356" t="s">
        <v>12</v>
      </c>
      <c r="I10356" t="s">
        <v>10</v>
      </c>
    </row>
    <row r="10357" spans="1:9" x14ac:dyDescent="0.25">
      <c r="A10357" t="str">
        <f t="shared" si="246"/>
        <v>89301000</v>
      </c>
      <c r="B10357" t="str">
        <f>"6757051059"</f>
        <v>6757051059</v>
      </c>
      <c r="C10357" s="1">
        <v>45191</v>
      </c>
      <c r="D10357" s="1">
        <v>45198</v>
      </c>
      <c r="E10357">
        <v>1</v>
      </c>
      <c r="F10357" t="str">
        <f>"08-I03-06"</f>
        <v>08-I03-06</v>
      </c>
      <c r="G10357">
        <v>2.9525000000000001</v>
      </c>
      <c r="H10357" t="s">
        <v>9</v>
      </c>
      <c r="I10357" t="s">
        <v>10</v>
      </c>
    </row>
    <row r="10358" spans="1:9" x14ac:dyDescent="0.25">
      <c r="A10358" t="str">
        <f t="shared" si="246"/>
        <v>89301000</v>
      </c>
      <c r="B10358" t="str">
        <f>"6757060189"</f>
        <v>6757060189</v>
      </c>
      <c r="C10358" s="1">
        <v>45152</v>
      </c>
      <c r="D10358" s="1">
        <v>45153</v>
      </c>
      <c r="E10358">
        <v>1</v>
      </c>
      <c r="F10358" t="str">
        <f>"10-K15-02"</f>
        <v>10-K15-02</v>
      </c>
      <c r="G10358">
        <v>0.66379999999999995</v>
      </c>
      <c r="H10358" t="s">
        <v>11</v>
      </c>
      <c r="I10358" t="s">
        <v>10</v>
      </c>
    </row>
    <row r="10359" spans="1:9" x14ac:dyDescent="0.25">
      <c r="A10359" t="str">
        <f t="shared" si="246"/>
        <v>89301000</v>
      </c>
      <c r="B10359" t="str">
        <f>"6757060189"</f>
        <v>6757060189</v>
      </c>
      <c r="C10359" s="1">
        <v>45156</v>
      </c>
      <c r="D10359" s="1">
        <v>45157</v>
      </c>
      <c r="E10359">
        <v>1</v>
      </c>
      <c r="F10359" t="str">
        <f>"10-K15-02"</f>
        <v>10-K15-02</v>
      </c>
      <c r="G10359">
        <v>0.66379999999999995</v>
      </c>
      <c r="H10359" t="s">
        <v>11</v>
      </c>
      <c r="I10359" t="s">
        <v>10</v>
      </c>
    </row>
    <row r="10360" spans="1:9" x14ac:dyDescent="0.25">
      <c r="A10360" t="str">
        <f t="shared" si="246"/>
        <v>89301000</v>
      </c>
      <c r="B10360" t="str">
        <f>"6757071607"</f>
        <v>6757071607</v>
      </c>
      <c r="C10360" s="1">
        <v>44970</v>
      </c>
      <c r="D10360" s="1">
        <v>44972</v>
      </c>
      <c r="E10360">
        <v>1</v>
      </c>
      <c r="F10360" t="str">
        <f>"08-I31-04"</f>
        <v>08-I31-04</v>
      </c>
      <c r="G10360">
        <v>0.4894</v>
      </c>
      <c r="H10360" t="s">
        <v>11</v>
      </c>
      <c r="I10360" t="s">
        <v>10</v>
      </c>
    </row>
    <row r="10361" spans="1:9" x14ac:dyDescent="0.25">
      <c r="A10361" t="str">
        <f t="shared" si="246"/>
        <v>89301000</v>
      </c>
      <c r="B10361" t="str">
        <f>"6757080484"</f>
        <v>6757080484</v>
      </c>
      <c r="C10361" s="1">
        <v>45027</v>
      </c>
      <c r="D10361" s="1">
        <v>45033</v>
      </c>
      <c r="E10361">
        <v>1</v>
      </c>
      <c r="F10361" t="str">
        <f>"09-K04-02"</f>
        <v>09-K04-02</v>
      </c>
      <c r="G10361">
        <v>0.64849999999999997</v>
      </c>
      <c r="H10361" t="s">
        <v>11</v>
      </c>
      <c r="I10361" t="s">
        <v>10</v>
      </c>
    </row>
    <row r="10362" spans="1:9" x14ac:dyDescent="0.25">
      <c r="A10362" t="str">
        <f t="shared" si="246"/>
        <v>89301000</v>
      </c>
      <c r="B10362" t="str">
        <f>"6757100075"</f>
        <v>6757100075</v>
      </c>
      <c r="C10362" s="1">
        <v>44972</v>
      </c>
      <c r="D10362" s="1">
        <v>44976</v>
      </c>
      <c r="E10362">
        <v>1</v>
      </c>
      <c r="F10362" t="str">
        <f>"08-I03-06"</f>
        <v>08-I03-06</v>
      </c>
      <c r="G10362">
        <v>3.2523</v>
      </c>
      <c r="H10362" t="s">
        <v>9</v>
      </c>
      <c r="I10362" t="s">
        <v>10</v>
      </c>
    </row>
    <row r="10363" spans="1:9" x14ac:dyDescent="0.25">
      <c r="A10363" t="str">
        <f t="shared" si="246"/>
        <v>89301000</v>
      </c>
      <c r="B10363" t="str">
        <f>"6757101560"</f>
        <v>6757101560</v>
      </c>
      <c r="C10363" s="1">
        <v>45158</v>
      </c>
      <c r="D10363" s="1">
        <v>45159</v>
      </c>
      <c r="E10363">
        <v>1</v>
      </c>
      <c r="F10363" t="str">
        <f>"03-K12-01"</f>
        <v>03-K12-01</v>
      </c>
      <c r="G10363">
        <v>0.37140000000000001</v>
      </c>
      <c r="H10363" t="s">
        <v>11</v>
      </c>
      <c r="I10363" t="s">
        <v>10</v>
      </c>
    </row>
    <row r="10364" spans="1:9" x14ac:dyDescent="0.25">
      <c r="A10364" t="str">
        <f t="shared" si="246"/>
        <v>89301000</v>
      </c>
      <c r="B10364" t="str">
        <f>"6757190286"</f>
        <v>6757190286</v>
      </c>
      <c r="C10364" s="1">
        <v>45187</v>
      </c>
      <c r="D10364" s="1">
        <v>45190</v>
      </c>
      <c r="E10364">
        <v>1</v>
      </c>
      <c r="F10364" t="str">
        <f>"05-I30-01"</f>
        <v>05-I30-01</v>
      </c>
      <c r="G10364">
        <v>0.60309999999999997</v>
      </c>
      <c r="H10364" t="s">
        <v>12</v>
      </c>
      <c r="I10364" t="s">
        <v>10</v>
      </c>
    </row>
    <row r="10365" spans="1:9" x14ac:dyDescent="0.25">
      <c r="A10365" t="str">
        <f t="shared" si="246"/>
        <v>89301000</v>
      </c>
      <c r="B10365" t="str">
        <f>"6757270080"</f>
        <v>6757270080</v>
      </c>
      <c r="C10365" s="1">
        <v>45264</v>
      </c>
      <c r="D10365" s="1">
        <v>45268</v>
      </c>
      <c r="E10365">
        <v>1</v>
      </c>
      <c r="F10365" t="str">
        <f>"08-I03-03"</f>
        <v>08-I03-03</v>
      </c>
      <c r="G10365">
        <v>4.3780999999999999</v>
      </c>
      <c r="H10365" t="s">
        <v>9</v>
      </c>
      <c r="I10365" t="s">
        <v>10</v>
      </c>
    </row>
    <row r="10366" spans="1:9" x14ac:dyDescent="0.25">
      <c r="A10366" t="str">
        <f t="shared" si="246"/>
        <v>89301000</v>
      </c>
      <c r="B10366" t="str">
        <f>"6757311055"</f>
        <v>6757311055</v>
      </c>
      <c r="C10366" s="1">
        <v>45215</v>
      </c>
      <c r="D10366" s="1">
        <v>45217</v>
      </c>
      <c r="E10366">
        <v>1</v>
      </c>
      <c r="F10366" t="str">
        <f>"03-I24-00"</f>
        <v>03-I24-00</v>
      </c>
      <c r="G10366">
        <v>0.40670000000000001</v>
      </c>
      <c r="H10366" t="s">
        <v>11</v>
      </c>
      <c r="I10366" t="s">
        <v>10</v>
      </c>
    </row>
    <row r="10367" spans="1:9" x14ac:dyDescent="0.25">
      <c r="A10367" t="str">
        <f t="shared" si="246"/>
        <v>89301000</v>
      </c>
      <c r="B10367" t="str">
        <f>"6757311561"</f>
        <v>6757311561</v>
      </c>
      <c r="C10367" s="1">
        <v>45253</v>
      </c>
      <c r="D10367" s="1">
        <v>45257</v>
      </c>
      <c r="E10367">
        <v>1</v>
      </c>
      <c r="F10367" t="str">
        <f>"08-M03-05"</f>
        <v>08-M03-05</v>
      </c>
      <c r="G10367">
        <v>0.46910000000000002</v>
      </c>
      <c r="H10367" t="s">
        <v>11</v>
      </c>
      <c r="I10367" t="s">
        <v>10</v>
      </c>
    </row>
    <row r="10368" spans="1:9" x14ac:dyDescent="0.25">
      <c r="A10368" t="str">
        <f t="shared" si="246"/>
        <v>89301000</v>
      </c>
      <c r="B10368" t="str">
        <f>"6758111756"</f>
        <v>6758111756</v>
      </c>
      <c r="C10368" s="1">
        <v>45202</v>
      </c>
      <c r="D10368" s="1">
        <v>45203</v>
      </c>
      <c r="E10368">
        <v>1</v>
      </c>
      <c r="F10368" t="str">
        <f>"13-I19-00"</f>
        <v>13-I19-00</v>
      </c>
      <c r="G10368">
        <v>0.28249999999999997</v>
      </c>
      <c r="H10368" t="s">
        <v>11</v>
      </c>
      <c r="I10368" t="s">
        <v>10</v>
      </c>
    </row>
    <row r="10369" spans="1:9" x14ac:dyDescent="0.25">
      <c r="A10369" t="str">
        <f t="shared" si="246"/>
        <v>89301000</v>
      </c>
      <c r="B10369" t="str">
        <f>"6758170155"</f>
        <v>6758170155</v>
      </c>
      <c r="C10369" s="1">
        <v>45073</v>
      </c>
      <c r="D10369" s="1">
        <v>45086</v>
      </c>
      <c r="E10369">
        <v>1</v>
      </c>
      <c r="F10369" t="str">
        <f>"23-K04-02"</f>
        <v>23-K04-02</v>
      </c>
      <c r="G10369">
        <v>0.78210000000000002</v>
      </c>
      <c r="H10369" t="s">
        <v>11</v>
      </c>
      <c r="I10369" t="s">
        <v>10</v>
      </c>
    </row>
    <row r="10370" spans="1:9" x14ac:dyDescent="0.25">
      <c r="A10370" t="str">
        <f t="shared" si="246"/>
        <v>89301000</v>
      </c>
      <c r="B10370" t="str">
        <f>"6758250235"</f>
        <v>6758250235</v>
      </c>
      <c r="C10370" s="1">
        <v>45006</v>
      </c>
      <c r="D10370" s="1">
        <v>45007</v>
      </c>
      <c r="E10370">
        <v>1</v>
      </c>
      <c r="F10370" t="str">
        <f>"06-M01-02"</f>
        <v>06-M01-02</v>
      </c>
      <c r="G10370">
        <v>1.2206999999999999</v>
      </c>
      <c r="H10370" t="s">
        <v>11</v>
      </c>
      <c r="I10370" t="s">
        <v>10</v>
      </c>
    </row>
    <row r="10371" spans="1:9" x14ac:dyDescent="0.25">
      <c r="A10371" t="str">
        <f t="shared" si="246"/>
        <v>89301000</v>
      </c>
      <c r="B10371" t="str">
        <f>"6758300131"</f>
        <v>6758300131</v>
      </c>
      <c r="C10371" s="1">
        <v>45242</v>
      </c>
      <c r="D10371" s="1">
        <v>45244</v>
      </c>
      <c r="E10371">
        <v>1</v>
      </c>
      <c r="F10371" t="str">
        <f>"08-I26-02"</f>
        <v>08-I26-02</v>
      </c>
      <c r="G10371">
        <v>0.83779999999999999</v>
      </c>
      <c r="H10371" t="s">
        <v>11</v>
      </c>
      <c r="I10371" t="s">
        <v>10</v>
      </c>
    </row>
    <row r="10372" spans="1:9" x14ac:dyDescent="0.25">
      <c r="A10372" t="str">
        <f t="shared" si="246"/>
        <v>89301000</v>
      </c>
      <c r="B10372" t="str">
        <f>"6758310823"</f>
        <v>6758310823</v>
      </c>
      <c r="C10372" s="1">
        <v>45089</v>
      </c>
      <c r="D10372" s="1">
        <v>45099</v>
      </c>
      <c r="E10372">
        <v>4</v>
      </c>
      <c r="F10372" t="str">
        <f>"24-M06-02"</f>
        <v>24-M06-02</v>
      </c>
      <c r="G10372">
        <v>1.0699000000000001</v>
      </c>
      <c r="H10372" t="s">
        <v>11</v>
      </c>
      <c r="I10372" t="s">
        <v>10</v>
      </c>
    </row>
    <row r="10373" spans="1:9" x14ac:dyDescent="0.25">
      <c r="A10373" t="str">
        <f t="shared" si="246"/>
        <v>89301000</v>
      </c>
      <c r="B10373" t="str">
        <f>"6758310823"</f>
        <v>6758310823</v>
      </c>
      <c r="C10373" s="1">
        <v>45082</v>
      </c>
      <c r="D10373" s="1">
        <v>45089</v>
      </c>
      <c r="E10373">
        <v>3</v>
      </c>
      <c r="F10373" t="str">
        <f>"08-I05-04"</f>
        <v>08-I05-04</v>
      </c>
      <c r="G10373">
        <v>2.4445000000000001</v>
      </c>
      <c r="H10373" t="s">
        <v>12</v>
      </c>
      <c r="I10373" t="s">
        <v>10</v>
      </c>
    </row>
    <row r="10374" spans="1:9" x14ac:dyDescent="0.25">
      <c r="A10374" t="str">
        <f t="shared" si="246"/>
        <v>89301000</v>
      </c>
      <c r="B10374" t="str">
        <f>"6759020433"</f>
        <v>6759020433</v>
      </c>
      <c r="C10374" s="1">
        <v>45253</v>
      </c>
      <c r="D10374" s="1">
        <v>45254</v>
      </c>
      <c r="E10374">
        <v>1</v>
      </c>
      <c r="F10374" t="str">
        <f>"17-K09-02"</f>
        <v>17-K09-02</v>
      </c>
      <c r="G10374">
        <v>0.77080000000000004</v>
      </c>
      <c r="H10374" t="s">
        <v>11</v>
      </c>
      <c r="I10374" t="s">
        <v>10</v>
      </c>
    </row>
    <row r="10375" spans="1:9" x14ac:dyDescent="0.25">
      <c r="A10375" t="str">
        <f t="shared" si="246"/>
        <v>89301000</v>
      </c>
      <c r="B10375" t="str">
        <f>"6759070659"</f>
        <v>6759070659</v>
      </c>
      <c r="C10375" s="1">
        <v>45160</v>
      </c>
      <c r="D10375" s="1">
        <v>45161</v>
      </c>
      <c r="E10375">
        <v>1</v>
      </c>
      <c r="F10375" t="str">
        <f>"02-I06-02"</f>
        <v>02-I06-02</v>
      </c>
      <c r="G10375">
        <v>1.2479</v>
      </c>
      <c r="H10375" t="s">
        <v>12</v>
      </c>
      <c r="I10375" t="s">
        <v>10</v>
      </c>
    </row>
    <row r="10376" spans="1:9" x14ac:dyDescent="0.25">
      <c r="A10376" t="str">
        <f t="shared" si="246"/>
        <v>89301000</v>
      </c>
      <c r="B10376" t="str">
        <f>"6759191131"</f>
        <v>6759191131</v>
      </c>
      <c r="C10376" s="1">
        <v>45138</v>
      </c>
      <c r="D10376" s="1">
        <v>45142</v>
      </c>
      <c r="E10376">
        <v>1</v>
      </c>
      <c r="F10376" t="str">
        <f>"24-M05-02"</f>
        <v>24-M05-02</v>
      </c>
      <c r="G10376">
        <v>0.58660000000000001</v>
      </c>
      <c r="H10376" t="s">
        <v>11</v>
      </c>
      <c r="I10376" t="s">
        <v>10</v>
      </c>
    </row>
    <row r="10377" spans="1:9" x14ac:dyDescent="0.25">
      <c r="A10377" t="str">
        <f t="shared" si="246"/>
        <v>89301000</v>
      </c>
      <c r="B10377" t="str">
        <f>"6759270155"</f>
        <v>6759270155</v>
      </c>
      <c r="C10377" s="1">
        <v>45063</v>
      </c>
      <c r="D10377" s="1">
        <v>45065</v>
      </c>
      <c r="E10377">
        <v>1</v>
      </c>
      <c r="F10377" t="str">
        <f>"03-I24-00"</f>
        <v>03-I24-00</v>
      </c>
      <c r="G10377">
        <v>0.40670000000000001</v>
      </c>
      <c r="H10377" t="s">
        <v>11</v>
      </c>
      <c r="I10377" t="s">
        <v>10</v>
      </c>
    </row>
    <row r="10378" spans="1:9" x14ac:dyDescent="0.25">
      <c r="A10378" t="str">
        <f t="shared" si="246"/>
        <v>89301000</v>
      </c>
      <c r="B10378" t="str">
        <f>"6759300284"</f>
        <v>6759300284</v>
      </c>
      <c r="C10378" s="1">
        <v>45138</v>
      </c>
      <c r="D10378" s="1">
        <v>45139</v>
      </c>
      <c r="E10378">
        <v>1</v>
      </c>
      <c r="F10378" t="str">
        <f>"08-I19-03"</f>
        <v>08-I19-03</v>
      </c>
      <c r="G10378">
        <v>0.59130000000000005</v>
      </c>
      <c r="H10378" t="s">
        <v>12</v>
      </c>
      <c r="I10378" t="s">
        <v>10</v>
      </c>
    </row>
    <row r="10379" spans="1:9" x14ac:dyDescent="0.25">
      <c r="A10379" t="str">
        <f t="shared" si="246"/>
        <v>89301000</v>
      </c>
      <c r="B10379" t="str">
        <f>"6760070548"</f>
        <v>6760070548</v>
      </c>
      <c r="C10379" s="1">
        <v>45138</v>
      </c>
      <c r="D10379" s="1">
        <v>45140</v>
      </c>
      <c r="E10379">
        <v>1</v>
      </c>
      <c r="F10379" t="str">
        <f>"05-M06-06"</f>
        <v>05-M06-06</v>
      </c>
      <c r="G10379">
        <v>1.8264</v>
      </c>
      <c r="H10379" t="s">
        <v>12</v>
      </c>
      <c r="I10379" t="s">
        <v>10</v>
      </c>
    </row>
    <row r="10380" spans="1:9" x14ac:dyDescent="0.25">
      <c r="A10380" t="str">
        <f t="shared" si="246"/>
        <v>89301000</v>
      </c>
      <c r="B10380" t="str">
        <f>"6760100226"</f>
        <v>6760100226</v>
      </c>
      <c r="C10380" s="1">
        <v>45063</v>
      </c>
      <c r="D10380" s="1">
        <v>45066</v>
      </c>
      <c r="E10380">
        <v>1</v>
      </c>
      <c r="F10380" t="str">
        <f>"08-I03-08"</f>
        <v>08-I03-08</v>
      </c>
      <c r="G10380">
        <v>1.9455</v>
      </c>
      <c r="H10380" t="s">
        <v>9</v>
      </c>
      <c r="I10380" t="s">
        <v>10</v>
      </c>
    </row>
    <row r="10381" spans="1:9" x14ac:dyDescent="0.25">
      <c r="A10381" t="str">
        <f t="shared" si="246"/>
        <v>89301000</v>
      </c>
      <c r="B10381" t="str">
        <f>"6760160693"</f>
        <v>6760160693</v>
      </c>
      <c r="C10381" s="1">
        <v>45057</v>
      </c>
      <c r="D10381" s="1">
        <v>45063</v>
      </c>
      <c r="E10381">
        <v>1</v>
      </c>
      <c r="F10381" t="str">
        <f>"08-I03-04"</f>
        <v>08-I03-04</v>
      </c>
      <c r="G10381">
        <v>4.0967000000000002</v>
      </c>
      <c r="H10381" t="s">
        <v>9</v>
      </c>
      <c r="I10381" t="s">
        <v>10</v>
      </c>
    </row>
    <row r="10382" spans="1:9" x14ac:dyDescent="0.25">
      <c r="A10382" t="str">
        <f t="shared" si="246"/>
        <v>89301000</v>
      </c>
      <c r="B10382" t="str">
        <f>"6760161782"</f>
        <v>6760161782</v>
      </c>
      <c r="C10382" s="1">
        <v>44955</v>
      </c>
      <c r="D10382" s="1">
        <v>44958</v>
      </c>
      <c r="E10382">
        <v>1</v>
      </c>
      <c r="F10382" t="str">
        <f>"23-I08-00"</f>
        <v>23-I08-00</v>
      </c>
      <c r="G10382">
        <v>0.81740000000000002</v>
      </c>
      <c r="H10382" t="s">
        <v>9</v>
      </c>
      <c r="I10382" t="s">
        <v>10</v>
      </c>
    </row>
    <row r="10383" spans="1:9" x14ac:dyDescent="0.25">
      <c r="A10383" t="str">
        <f t="shared" si="246"/>
        <v>89301000</v>
      </c>
      <c r="B10383" t="str">
        <f>"6761100368"</f>
        <v>6761100368</v>
      </c>
      <c r="C10383" s="1">
        <v>45266</v>
      </c>
      <c r="D10383" s="1">
        <v>45271</v>
      </c>
      <c r="E10383">
        <v>1</v>
      </c>
      <c r="F10383" t="str">
        <f>"10-K06-00"</f>
        <v>10-K06-00</v>
      </c>
      <c r="G10383">
        <v>0.50290000000000001</v>
      </c>
      <c r="H10383" t="s">
        <v>11</v>
      </c>
      <c r="I10383" t="s">
        <v>10</v>
      </c>
    </row>
    <row r="10384" spans="1:9" x14ac:dyDescent="0.25">
      <c r="A10384" t="str">
        <f t="shared" si="246"/>
        <v>89301000</v>
      </c>
      <c r="B10384" t="str">
        <f>"6761100390"</f>
        <v>6761100390</v>
      </c>
      <c r="C10384" s="1">
        <v>45246</v>
      </c>
      <c r="D10384" s="1">
        <v>45251</v>
      </c>
      <c r="E10384">
        <v>1</v>
      </c>
      <c r="F10384" t="str">
        <f>"06-K07-02"</f>
        <v>06-K07-02</v>
      </c>
      <c r="G10384">
        <v>0.4385</v>
      </c>
      <c r="H10384" t="s">
        <v>11</v>
      </c>
      <c r="I10384" t="s">
        <v>10</v>
      </c>
    </row>
    <row r="10385" spans="1:9" x14ac:dyDescent="0.25">
      <c r="A10385" t="str">
        <f t="shared" si="246"/>
        <v>89301000</v>
      </c>
      <c r="B10385" t="str">
        <f>"6761130420"</f>
        <v>6761130420</v>
      </c>
      <c r="C10385" s="1">
        <v>45110</v>
      </c>
      <c r="D10385" s="1">
        <v>45142</v>
      </c>
      <c r="E10385">
        <v>1</v>
      </c>
      <c r="F10385" t="str">
        <f>"19-K07-02"</f>
        <v>19-K07-02</v>
      </c>
      <c r="G10385">
        <v>2.5350000000000001</v>
      </c>
      <c r="H10385" t="s">
        <v>15</v>
      </c>
      <c r="I10385" t="s">
        <v>10</v>
      </c>
    </row>
    <row r="10386" spans="1:9" x14ac:dyDescent="0.25">
      <c r="A10386" t="str">
        <f t="shared" si="246"/>
        <v>89301000</v>
      </c>
      <c r="B10386" t="str">
        <f>"6761270604"</f>
        <v>6761270604</v>
      </c>
      <c r="C10386" s="1">
        <v>45175</v>
      </c>
      <c r="D10386" s="1">
        <v>45176</v>
      </c>
      <c r="E10386">
        <v>1</v>
      </c>
      <c r="F10386" t="str">
        <f>"13-I19-00"</f>
        <v>13-I19-00</v>
      </c>
      <c r="G10386">
        <v>0.28249999999999997</v>
      </c>
      <c r="H10386" t="s">
        <v>11</v>
      </c>
      <c r="I10386" t="s">
        <v>10</v>
      </c>
    </row>
    <row r="10387" spans="1:9" x14ac:dyDescent="0.25">
      <c r="A10387" t="str">
        <f t="shared" si="246"/>
        <v>89301000</v>
      </c>
      <c r="B10387" t="str">
        <f>"6761280537"</f>
        <v>6761280537</v>
      </c>
      <c r="C10387" s="1">
        <v>45097</v>
      </c>
      <c r="D10387" s="1">
        <v>45099</v>
      </c>
      <c r="E10387">
        <v>1</v>
      </c>
      <c r="F10387" t="str">
        <f>"03-I14-02"</f>
        <v>03-I14-02</v>
      </c>
      <c r="G10387">
        <v>1.0793999999999999</v>
      </c>
      <c r="H10387" t="s">
        <v>11</v>
      </c>
      <c r="I10387" t="s">
        <v>10</v>
      </c>
    </row>
    <row r="10388" spans="1:9" x14ac:dyDescent="0.25">
      <c r="A10388" t="str">
        <f t="shared" si="246"/>
        <v>89301000</v>
      </c>
      <c r="B10388" t="str">
        <f>"6761300689"</f>
        <v>6761300689</v>
      </c>
      <c r="C10388" s="1">
        <v>45196</v>
      </c>
      <c r="D10388" s="1">
        <v>45200</v>
      </c>
      <c r="E10388">
        <v>1</v>
      </c>
      <c r="F10388" t="str">
        <f>"08-I04-03"</f>
        <v>08-I04-03</v>
      </c>
      <c r="G10388">
        <v>1.3045</v>
      </c>
      <c r="H10388" t="s">
        <v>14</v>
      </c>
      <c r="I10388" t="s">
        <v>10</v>
      </c>
    </row>
    <row r="10389" spans="1:9" x14ac:dyDescent="0.25">
      <c r="A10389" t="str">
        <f t="shared" si="246"/>
        <v>89301000</v>
      </c>
      <c r="B10389" t="str">
        <f>"6762030110"</f>
        <v>6762030110</v>
      </c>
      <c r="C10389" s="1">
        <v>45189</v>
      </c>
      <c r="D10389" s="1">
        <v>45194</v>
      </c>
      <c r="E10389">
        <v>1</v>
      </c>
      <c r="F10389" t="str">
        <f>"08-I05-04"</f>
        <v>08-I05-04</v>
      </c>
      <c r="G10389">
        <v>2.4445000000000001</v>
      </c>
      <c r="H10389" t="s">
        <v>12</v>
      </c>
      <c r="I10389" t="s">
        <v>10</v>
      </c>
    </row>
    <row r="10390" spans="1:9" x14ac:dyDescent="0.25">
      <c r="A10390" t="str">
        <f t="shared" si="246"/>
        <v>89301000</v>
      </c>
      <c r="B10390" t="str">
        <f>"6762170701"</f>
        <v>6762170701</v>
      </c>
      <c r="C10390" s="1">
        <v>45131</v>
      </c>
      <c r="D10390" s="1">
        <v>45132</v>
      </c>
      <c r="E10390">
        <v>1</v>
      </c>
      <c r="F10390" t="str">
        <f>"05-M05-02"</f>
        <v>05-M05-02</v>
      </c>
      <c r="G10390">
        <v>3.4817999999999998</v>
      </c>
      <c r="H10390" t="s">
        <v>14</v>
      </c>
      <c r="I10390" t="s">
        <v>10</v>
      </c>
    </row>
    <row r="10391" spans="1:9" x14ac:dyDescent="0.25">
      <c r="A10391" t="str">
        <f t="shared" si="246"/>
        <v>89301000</v>
      </c>
      <c r="B10391" t="str">
        <f>"6762230145"</f>
        <v>6762230145</v>
      </c>
      <c r="C10391" s="1">
        <v>45175</v>
      </c>
      <c r="D10391" s="1">
        <v>45177</v>
      </c>
      <c r="E10391">
        <v>1</v>
      </c>
      <c r="F10391" t="str">
        <f>"01-K08-02"</f>
        <v>01-K08-02</v>
      </c>
      <c r="G10391">
        <v>0.60619999999999996</v>
      </c>
      <c r="H10391" t="s">
        <v>11</v>
      </c>
      <c r="I10391" t="s">
        <v>10</v>
      </c>
    </row>
    <row r="10392" spans="1:9" x14ac:dyDescent="0.25">
      <c r="A10392" t="str">
        <f t="shared" si="246"/>
        <v>89301000</v>
      </c>
      <c r="B10392" t="str">
        <f>"6762260142"</f>
        <v>6762260142</v>
      </c>
      <c r="C10392" s="1">
        <v>45159</v>
      </c>
      <c r="D10392" s="1">
        <v>45160</v>
      </c>
      <c r="E10392">
        <v>1</v>
      </c>
      <c r="F10392" t="str">
        <f>"07-I10-06"</f>
        <v>07-I10-06</v>
      </c>
      <c r="G10392">
        <v>0.98419999999999996</v>
      </c>
      <c r="H10392" t="s">
        <v>12</v>
      </c>
      <c r="I10392" t="s">
        <v>10</v>
      </c>
    </row>
    <row r="10393" spans="1:9" x14ac:dyDescent="0.25">
      <c r="A10393" t="str">
        <f t="shared" si="246"/>
        <v>89301000</v>
      </c>
      <c r="B10393" t="str">
        <f>"6762290117"</f>
        <v>6762290117</v>
      </c>
      <c r="C10393" s="1">
        <v>45228</v>
      </c>
      <c r="D10393" s="1">
        <v>45231</v>
      </c>
      <c r="E10393">
        <v>1</v>
      </c>
      <c r="F10393" t="str">
        <f>"06-M01-02"</f>
        <v>06-M01-02</v>
      </c>
      <c r="G10393">
        <v>1.3606</v>
      </c>
      <c r="H10393" t="s">
        <v>11</v>
      </c>
      <c r="I10393" t="s">
        <v>10</v>
      </c>
    </row>
    <row r="10394" spans="1:9" x14ac:dyDescent="0.25">
      <c r="A10394" t="str">
        <f t="shared" si="246"/>
        <v>89301000</v>
      </c>
      <c r="B10394" t="str">
        <f>"6762290117"</f>
        <v>6762290117</v>
      </c>
      <c r="C10394" s="1">
        <v>44958</v>
      </c>
      <c r="D10394" s="1">
        <v>44966</v>
      </c>
      <c r="E10394">
        <v>1</v>
      </c>
      <c r="F10394" t="str">
        <f>"10-K15-01"</f>
        <v>10-K15-01</v>
      </c>
      <c r="G10394">
        <v>1.5553999999999999</v>
      </c>
      <c r="H10394" t="s">
        <v>11</v>
      </c>
      <c r="I10394" t="s">
        <v>10</v>
      </c>
    </row>
    <row r="10395" spans="1:9" x14ac:dyDescent="0.25">
      <c r="A10395" t="str">
        <f t="shared" si="246"/>
        <v>89301000</v>
      </c>
      <c r="B10395" t="str">
        <f>"6801041511"</f>
        <v>6801041511</v>
      </c>
      <c r="C10395" s="1">
        <v>44936</v>
      </c>
      <c r="D10395" s="1">
        <v>44938</v>
      </c>
      <c r="E10395">
        <v>1</v>
      </c>
      <c r="F10395" t="str">
        <f>"06-I16-04"</f>
        <v>06-I16-04</v>
      </c>
      <c r="G10395">
        <v>0.76139999999999997</v>
      </c>
      <c r="H10395" t="s">
        <v>9</v>
      </c>
      <c r="I10395" t="s">
        <v>10</v>
      </c>
    </row>
    <row r="10396" spans="1:9" x14ac:dyDescent="0.25">
      <c r="A10396" t="str">
        <f t="shared" si="246"/>
        <v>89301000</v>
      </c>
      <c r="B10396" t="str">
        <f>"6801081496"</f>
        <v>6801081496</v>
      </c>
      <c r="C10396" s="1">
        <v>45264</v>
      </c>
      <c r="D10396" s="1">
        <v>45265</v>
      </c>
      <c r="E10396">
        <v>1</v>
      </c>
      <c r="F10396" t="str">
        <f>"08-I17-02"</f>
        <v>08-I17-02</v>
      </c>
      <c r="G10396">
        <v>0.89680000000000004</v>
      </c>
      <c r="H10396" t="s">
        <v>11</v>
      </c>
      <c r="I10396" t="s">
        <v>10</v>
      </c>
    </row>
    <row r="10397" spans="1:9" x14ac:dyDescent="0.25">
      <c r="A10397" t="str">
        <f t="shared" si="246"/>
        <v>89301000</v>
      </c>
      <c r="B10397" t="str">
        <f>"6801110393"</f>
        <v>6801110393</v>
      </c>
      <c r="C10397" s="1">
        <v>44931</v>
      </c>
      <c r="D10397" s="1">
        <v>44933</v>
      </c>
      <c r="E10397">
        <v>1</v>
      </c>
      <c r="F10397" t="str">
        <f>"08-I26-03"</f>
        <v>08-I26-03</v>
      </c>
      <c r="G10397">
        <v>0.47699999999999998</v>
      </c>
      <c r="H10397" t="s">
        <v>11</v>
      </c>
      <c r="I10397" t="s">
        <v>10</v>
      </c>
    </row>
    <row r="10398" spans="1:9" x14ac:dyDescent="0.25">
      <c r="A10398" t="str">
        <f t="shared" si="246"/>
        <v>89301000</v>
      </c>
      <c r="B10398" t="str">
        <f>"6801110393"</f>
        <v>6801110393</v>
      </c>
      <c r="C10398" s="1">
        <v>45092</v>
      </c>
      <c r="D10398" s="1">
        <v>45093</v>
      </c>
      <c r="E10398">
        <v>1</v>
      </c>
      <c r="F10398" t="str">
        <f>"11-M06-03"</f>
        <v>11-M06-03</v>
      </c>
      <c r="G10398">
        <v>0.62009999999999998</v>
      </c>
      <c r="H10398" t="s">
        <v>12</v>
      </c>
      <c r="I10398" t="s">
        <v>10</v>
      </c>
    </row>
    <row r="10399" spans="1:9" x14ac:dyDescent="0.25">
      <c r="A10399" t="str">
        <f t="shared" si="246"/>
        <v>89301000</v>
      </c>
      <c r="B10399" t="str">
        <f>"6801150543"</f>
        <v>6801150543</v>
      </c>
      <c r="C10399" s="1">
        <v>45068</v>
      </c>
      <c r="D10399" s="1">
        <v>45069</v>
      </c>
      <c r="E10399">
        <v>1</v>
      </c>
      <c r="F10399" t="str">
        <f>"10-K15-02"</f>
        <v>10-K15-02</v>
      </c>
      <c r="G10399">
        <v>0.66379999999999995</v>
      </c>
      <c r="H10399" t="s">
        <v>11</v>
      </c>
      <c r="I10399" t="s">
        <v>10</v>
      </c>
    </row>
    <row r="10400" spans="1:9" x14ac:dyDescent="0.25">
      <c r="A10400" t="str">
        <f t="shared" si="246"/>
        <v>89301000</v>
      </c>
      <c r="B10400" t="str">
        <f>"6801161763"</f>
        <v>6801161763</v>
      </c>
      <c r="C10400" s="1">
        <v>45153</v>
      </c>
      <c r="D10400" s="1">
        <v>45153</v>
      </c>
      <c r="E10400">
        <v>1</v>
      </c>
      <c r="F10400" t="str">
        <f>"05-D01-02"</f>
        <v>05-D01-02</v>
      </c>
      <c r="G10400">
        <v>1.5137</v>
      </c>
      <c r="H10400" t="s">
        <v>11</v>
      </c>
      <c r="I10400" t="s">
        <v>10</v>
      </c>
    </row>
    <row r="10401" spans="1:9" x14ac:dyDescent="0.25">
      <c r="A10401" t="str">
        <f t="shared" si="246"/>
        <v>89301000</v>
      </c>
      <c r="B10401" t="str">
        <f>"6801180463"</f>
        <v>6801180463</v>
      </c>
      <c r="C10401" s="1">
        <v>45133</v>
      </c>
      <c r="D10401" s="1">
        <v>45136</v>
      </c>
      <c r="E10401">
        <v>1</v>
      </c>
      <c r="F10401" t="str">
        <f>"08-M03-05"</f>
        <v>08-M03-05</v>
      </c>
      <c r="G10401">
        <v>0.46810000000000002</v>
      </c>
      <c r="H10401" t="s">
        <v>11</v>
      </c>
      <c r="I10401" t="s">
        <v>10</v>
      </c>
    </row>
    <row r="10402" spans="1:9" x14ac:dyDescent="0.25">
      <c r="A10402" t="str">
        <f t="shared" si="246"/>
        <v>89301000</v>
      </c>
      <c r="B10402" t="str">
        <f>"6801190528"</f>
        <v>6801190528</v>
      </c>
      <c r="C10402" s="1">
        <v>45005</v>
      </c>
      <c r="D10402" s="1">
        <v>45007</v>
      </c>
      <c r="E10402">
        <v>1</v>
      </c>
      <c r="F10402" t="str">
        <f>"11-K03-02"</f>
        <v>11-K03-02</v>
      </c>
      <c r="G10402">
        <v>0.63990000000000002</v>
      </c>
      <c r="H10402" t="s">
        <v>11</v>
      </c>
      <c r="I10402" t="s">
        <v>10</v>
      </c>
    </row>
    <row r="10403" spans="1:9" x14ac:dyDescent="0.25">
      <c r="A10403" t="str">
        <f t="shared" si="246"/>
        <v>89301000</v>
      </c>
      <c r="B10403" t="str">
        <f>"6801200450"</f>
        <v>6801200450</v>
      </c>
      <c r="C10403" s="1">
        <v>45160</v>
      </c>
      <c r="D10403" s="1">
        <v>45165</v>
      </c>
      <c r="E10403">
        <v>1</v>
      </c>
      <c r="F10403" t="str">
        <f>"11-I07-01"</f>
        <v>11-I07-01</v>
      </c>
      <c r="G10403">
        <v>2.7482000000000002</v>
      </c>
      <c r="H10403" t="s">
        <v>9</v>
      </c>
      <c r="I10403" t="s">
        <v>10</v>
      </c>
    </row>
    <row r="10404" spans="1:9" x14ac:dyDescent="0.25">
      <c r="A10404" t="str">
        <f t="shared" si="246"/>
        <v>89301000</v>
      </c>
      <c r="B10404" t="str">
        <f>"6801201418"</f>
        <v>6801201418</v>
      </c>
      <c r="C10404" s="1">
        <v>44936</v>
      </c>
      <c r="D10404" s="1">
        <v>44938</v>
      </c>
      <c r="E10404">
        <v>1</v>
      </c>
      <c r="F10404" t="str">
        <f>"03-I19-03"</f>
        <v>03-I19-03</v>
      </c>
      <c r="G10404">
        <v>0.53249999999999997</v>
      </c>
      <c r="H10404" t="s">
        <v>11</v>
      </c>
      <c r="I10404" t="s">
        <v>10</v>
      </c>
    </row>
    <row r="10405" spans="1:9" x14ac:dyDescent="0.25">
      <c r="A10405" t="str">
        <f t="shared" si="246"/>
        <v>89301000</v>
      </c>
      <c r="B10405" t="str">
        <f>"6801220580"</f>
        <v>6801220580</v>
      </c>
      <c r="C10405" s="1">
        <v>45271</v>
      </c>
      <c r="D10405" s="1">
        <v>45273</v>
      </c>
      <c r="E10405">
        <v>1</v>
      </c>
      <c r="F10405" t="str">
        <f>"08-M03-02"</f>
        <v>08-M03-02</v>
      </c>
      <c r="G10405">
        <v>0.91359999999999997</v>
      </c>
      <c r="H10405" t="s">
        <v>11</v>
      </c>
      <c r="I10405" t="s">
        <v>10</v>
      </c>
    </row>
    <row r="10406" spans="1:9" x14ac:dyDescent="0.25">
      <c r="A10406" t="str">
        <f t="shared" si="246"/>
        <v>89301000</v>
      </c>
      <c r="B10406" t="str">
        <f>"6801270498"</f>
        <v>6801270498</v>
      </c>
      <c r="C10406" s="1">
        <v>44978</v>
      </c>
      <c r="D10406" s="1">
        <v>44995</v>
      </c>
      <c r="E10406">
        <v>1</v>
      </c>
      <c r="F10406" t="str">
        <f>"04-I08-03"</f>
        <v>04-I08-03</v>
      </c>
      <c r="G10406">
        <v>1.6777</v>
      </c>
      <c r="H10406" t="s">
        <v>11</v>
      </c>
      <c r="I10406" t="s">
        <v>10</v>
      </c>
    </row>
    <row r="10407" spans="1:9" x14ac:dyDescent="0.25">
      <c r="A10407" t="str">
        <f t="shared" ref="A10407:A10469" si="247">"89301000"</f>
        <v>89301000</v>
      </c>
      <c r="B10407" t="str">
        <f>"6801270498"</f>
        <v>6801270498</v>
      </c>
      <c r="C10407" s="1">
        <v>44937</v>
      </c>
      <c r="D10407" s="1">
        <v>44945</v>
      </c>
      <c r="E10407">
        <v>1</v>
      </c>
      <c r="F10407" t="str">
        <f>"04-K09-02"</f>
        <v>04-K09-02</v>
      </c>
      <c r="G10407">
        <v>1.155</v>
      </c>
      <c r="H10407" t="s">
        <v>11</v>
      </c>
      <c r="I10407" t="s">
        <v>10</v>
      </c>
    </row>
    <row r="10408" spans="1:9" x14ac:dyDescent="0.25">
      <c r="A10408" t="str">
        <f t="shared" si="247"/>
        <v>89301000</v>
      </c>
      <c r="B10408" t="str">
        <f>"6801270498"</f>
        <v>6801270498</v>
      </c>
      <c r="C10408" s="1">
        <v>45069</v>
      </c>
      <c r="D10408" s="1">
        <v>45084</v>
      </c>
      <c r="E10408">
        <v>1</v>
      </c>
      <c r="F10408" t="str">
        <f>"04-K09-02"</f>
        <v>04-K09-02</v>
      </c>
      <c r="G10408">
        <v>1.155</v>
      </c>
      <c r="H10408" t="s">
        <v>11</v>
      </c>
      <c r="I10408" t="s">
        <v>10</v>
      </c>
    </row>
    <row r="10409" spans="1:9" x14ac:dyDescent="0.25">
      <c r="A10409" t="str">
        <f t="shared" si="247"/>
        <v>89301000</v>
      </c>
      <c r="B10409" t="str">
        <f>"6801310571"</f>
        <v>6801310571</v>
      </c>
      <c r="C10409" s="1">
        <v>45189</v>
      </c>
      <c r="D10409" s="1">
        <v>45189</v>
      </c>
      <c r="E10409">
        <v>1</v>
      </c>
      <c r="F10409" t="str">
        <f>"05-M06-08"</f>
        <v>05-M06-08</v>
      </c>
      <c r="G10409">
        <v>1.1012</v>
      </c>
      <c r="H10409" t="s">
        <v>12</v>
      </c>
      <c r="I10409" t="s">
        <v>10</v>
      </c>
    </row>
    <row r="10410" spans="1:9" x14ac:dyDescent="0.25">
      <c r="A10410" t="str">
        <f t="shared" si="247"/>
        <v>89301000</v>
      </c>
      <c r="B10410" t="str">
        <f>"6802050475"</f>
        <v>6802050475</v>
      </c>
      <c r="C10410" s="1">
        <v>44955</v>
      </c>
      <c r="D10410" s="1">
        <v>44959</v>
      </c>
      <c r="E10410">
        <v>1</v>
      </c>
      <c r="F10410" t="str">
        <f>"10-I13-02"</f>
        <v>10-I13-02</v>
      </c>
      <c r="G10410">
        <v>1.1124000000000001</v>
      </c>
      <c r="H10410" t="s">
        <v>9</v>
      </c>
      <c r="I10410" t="s">
        <v>10</v>
      </c>
    </row>
    <row r="10411" spans="1:9" x14ac:dyDescent="0.25">
      <c r="A10411" t="str">
        <f t="shared" si="247"/>
        <v>89301000</v>
      </c>
      <c r="B10411" t="str">
        <f>"6802090174"</f>
        <v>6802090174</v>
      </c>
      <c r="C10411" s="1">
        <v>45100</v>
      </c>
      <c r="D10411" s="1">
        <v>45106</v>
      </c>
      <c r="E10411">
        <v>1</v>
      </c>
      <c r="F10411" t="str">
        <f>"07-K02-03"</f>
        <v>07-K02-03</v>
      </c>
      <c r="G10411">
        <v>0.78139999999999998</v>
      </c>
      <c r="H10411" t="s">
        <v>11</v>
      </c>
      <c r="I10411" t="s">
        <v>10</v>
      </c>
    </row>
    <row r="10412" spans="1:9" x14ac:dyDescent="0.25">
      <c r="A10412" t="str">
        <f t="shared" si="247"/>
        <v>89301000</v>
      </c>
      <c r="B10412" t="str">
        <f>"6802091901"</f>
        <v>6802091901</v>
      </c>
      <c r="C10412" s="1">
        <v>45222</v>
      </c>
      <c r="D10412" s="1">
        <v>45229</v>
      </c>
      <c r="E10412">
        <v>2</v>
      </c>
      <c r="F10412" t="str">
        <f>"06-K15-01"</f>
        <v>06-K15-01</v>
      </c>
      <c r="G10412">
        <v>0.60450000000000004</v>
      </c>
      <c r="H10412" t="s">
        <v>11</v>
      </c>
      <c r="I10412" t="s">
        <v>10</v>
      </c>
    </row>
    <row r="10413" spans="1:9" x14ac:dyDescent="0.25">
      <c r="A10413" t="str">
        <f t="shared" si="247"/>
        <v>89301000</v>
      </c>
      <c r="B10413" t="str">
        <f>"6802091901"</f>
        <v>6802091901</v>
      </c>
      <c r="C10413" s="1">
        <v>45252</v>
      </c>
      <c r="D10413" s="1">
        <v>45254</v>
      </c>
      <c r="E10413">
        <v>2</v>
      </c>
      <c r="F10413" t="str">
        <f>"06-K14-02"</f>
        <v>06-K14-02</v>
      </c>
      <c r="G10413">
        <v>0.61380000000000001</v>
      </c>
      <c r="H10413" t="s">
        <v>11</v>
      </c>
      <c r="I10413" t="s">
        <v>10</v>
      </c>
    </row>
    <row r="10414" spans="1:9" x14ac:dyDescent="0.25">
      <c r="A10414" t="str">
        <f t="shared" si="247"/>
        <v>89301000</v>
      </c>
      <c r="B10414" t="str">
        <f>"6802201945"</f>
        <v>6802201945</v>
      </c>
      <c r="C10414" s="1">
        <v>45153</v>
      </c>
      <c r="D10414" s="1">
        <v>45156</v>
      </c>
      <c r="E10414">
        <v>1</v>
      </c>
      <c r="F10414" t="str">
        <f>"06-M01-02"</f>
        <v>06-M01-02</v>
      </c>
      <c r="G10414">
        <v>1.2206999999999999</v>
      </c>
      <c r="H10414" t="s">
        <v>11</v>
      </c>
      <c r="I10414" t="s">
        <v>10</v>
      </c>
    </row>
    <row r="10415" spans="1:9" x14ac:dyDescent="0.25">
      <c r="A10415" t="str">
        <f t="shared" si="247"/>
        <v>89301000</v>
      </c>
      <c r="B10415" t="str">
        <f>"6802201945"</f>
        <v>6802201945</v>
      </c>
      <c r="C10415" s="1">
        <v>45244</v>
      </c>
      <c r="D10415" s="1">
        <v>45246</v>
      </c>
      <c r="E10415">
        <v>1</v>
      </c>
      <c r="F10415" t="str">
        <f>"06-K14-02"</f>
        <v>06-K14-02</v>
      </c>
      <c r="G10415">
        <v>0.61380000000000001</v>
      </c>
      <c r="H10415" t="s">
        <v>11</v>
      </c>
      <c r="I10415" t="s">
        <v>10</v>
      </c>
    </row>
    <row r="10416" spans="1:9" x14ac:dyDescent="0.25">
      <c r="A10416" t="str">
        <f t="shared" si="247"/>
        <v>89301000</v>
      </c>
      <c r="B10416" t="str">
        <f>"6802202132"</f>
        <v>6802202132</v>
      </c>
      <c r="C10416" s="1">
        <v>45209</v>
      </c>
      <c r="D10416" s="1">
        <v>45211</v>
      </c>
      <c r="E10416">
        <v>1</v>
      </c>
      <c r="F10416" t="str">
        <f>"09-I13-04"</f>
        <v>09-I13-04</v>
      </c>
      <c r="G10416">
        <v>0.54139999999999999</v>
      </c>
      <c r="H10416" t="s">
        <v>11</v>
      </c>
      <c r="I10416" t="s">
        <v>10</v>
      </c>
    </row>
    <row r="10417" spans="1:9" x14ac:dyDescent="0.25">
      <c r="A10417" t="str">
        <f t="shared" si="247"/>
        <v>89301000</v>
      </c>
      <c r="B10417" t="str">
        <f>"6802281530"</f>
        <v>6802281530</v>
      </c>
      <c r="C10417" s="1">
        <v>45259</v>
      </c>
      <c r="D10417" s="1">
        <v>45264</v>
      </c>
      <c r="E10417">
        <v>1</v>
      </c>
      <c r="F10417" t="str">
        <f>"08-I03-04"</f>
        <v>08-I03-04</v>
      </c>
      <c r="G10417">
        <v>4.2407000000000004</v>
      </c>
      <c r="H10417" t="s">
        <v>9</v>
      </c>
      <c r="I10417" t="s">
        <v>10</v>
      </c>
    </row>
    <row r="10418" spans="1:9" x14ac:dyDescent="0.25">
      <c r="A10418" t="str">
        <f t="shared" si="247"/>
        <v>89301000</v>
      </c>
      <c r="B10418" t="str">
        <f>"6803031664"</f>
        <v>6803031664</v>
      </c>
      <c r="C10418" s="1">
        <v>45264</v>
      </c>
      <c r="D10418" s="1">
        <v>45272</v>
      </c>
      <c r="E10418">
        <v>3</v>
      </c>
      <c r="F10418" t="str">
        <f>"01-K10-01"</f>
        <v>01-K10-01</v>
      </c>
      <c r="G10418">
        <v>2.6547999999999998</v>
      </c>
      <c r="H10418" t="s">
        <v>11</v>
      </c>
      <c r="I10418" t="s">
        <v>10</v>
      </c>
    </row>
    <row r="10419" spans="1:9" x14ac:dyDescent="0.25">
      <c r="A10419" t="str">
        <f t="shared" si="247"/>
        <v>89301000</v>
      </c>
      <c r="B10419" t="str">
        <f>"6803031664"</f>
        <v>6803031664</v>
      </c>
      <c r="C10419" s="1">
        <v>45272</v>
      </c>
      <c r="D10419" s="1">
        <v>45275</v>
      </c>
      <c r="E10419">
        <v>1</v>
      </c>
      <c r="F10419" t="str">
        <f>"24-M04-00"</f>
        <v>24-M04-00</v>
      </c>
      <c r="G10419">
        <v>0.34399999999999997</v>
      </c>
      <c r="H10419" t="s">
        <v>11</v>
      </c>
      <c r="I10419" t="s">
        <v>10</v>
      </c>
    </row>
    <row r="10420" spans="1:9" x14ac:dyDescent="0.25">
      <c r="A10420" t="str">
        <f t="shared" si="247"/>
        <v>89301000</v>
      </c>
      <c r="B10420" t="str">
        <f>"6803041311"</f>
        <v>6803041311</v>
      </c>
      <c r="C10420" s="1">
        <v>45173</v>
      </c>
      <c r="D10420" s="1">
        <v>45175</v>
      </c>
      <c r="E10420">
        <v>1</v>
      </c>
      <c r="F10420" t="str">
        <f>"01-D01-03"</f>
        <v>01-D01-03</v>
      </c>
      <c r="G10420">
        <v>0.16200000000000001</v>
      </c>
      <c r="H10420" t="s">
        <v>11</v>
      </c>
      <c r="I10420" t="s">
        <v>10</v>
      </c>
    </row>
    <row r="10421" spans="1:9" x14ac:dyDescent="0.25">
      <c r="A10421" t="str">
        <f t="shared" si="247"/>
        <v>89301000</v>
      </c>
      <c r="B10421" t="str">
        <f>"6803050353"</f>
        <v>6803050353</v>
      </c>
      <c r="C10421" s="1">
        <v>44948</v>
      </c>
      <c r="D10421" s="1">
        <v>44958</v>
      </c>
      <c r="E10421">
        <v>1</v>
      </c>
      <c r="F10421" t="str">
        <f>"18-K01-06"</f>
        <v>18-K01-06</v>
      </c>
      <c r="G10421">
        <v>1.4659</v>
      </c>
      <c r="H10421" t="s">
        <v>11</v>
      </c>
      <c r="I10421" t="s">
        <v>10</v>
      </c>
    </row>
    <row r="10422" spans="1:9" x14ac:dyDescent="0.25">
      <c r="A10422" t="str">
        <f t="shared" si="247"/>
        <v>89301000</v>
      </c>
      <c r="B10422" t="str">
        <f>"6803232062"</f>
        <v>6803232062</v>
      </c>
      <c r="C10422" s="1">
        <v>45148</v>
      </c>
      <c r="D10422" s="1">
        <v>45151</v>
      </c>
      <c r="E10422">
        <v>1</v>
      </c>
      <c r="F10422" t="str">
        <f>"06-M01-02"</f>
        <v>06-M01-02</v>
      </c>
      <c r="G10422">
        <v>1.2206999999999999</v>
      </c>
      <c r="H10422" t="s">
        <v>11</v>
      </c>
      <c r="I10422" t="s">
        <v>10</v>
      </c>
    </row>
    <row r="10423" spans="1:9" x14ac:dyDescent="0.25">
      <c r="A10423" t="str">
        <f t="shared" si="247"/>
        <v>89301000</v>
      </c>
      <c r="B10423" t="str">
        <f>"6803260112"</f>
        <v>6803260112</v>
      </c>
      <c r="C10423" s="1">
        <v>45236</v>
      </c>
      <c r="D10423" s="1">
        <v>45239</v>
      </c>
      <c r="E10423">
        <v>1</v>
      </c>
      <c r="F10423" t="str">
        <f>"08-M03-05"</f>
        <v>08-M03-05</v>
      </c>
      <c r="G10423">
        <v>0.46810000000000002</v>
      </c>
      <c r="H10423" t="s">
        <v>11</v>
      </c>
      <c r="I10423" t="s">
        <v>10</v>
      </c>
    </row>
    <row r="10424" spans="1:9" x14ac:dyDescent="0.25">
      <c r="A10424" t="str">
        <f t="shared" si="247"/>
        <v>89301000</v>
      </c>
      <c r="B10424" t="str">
        <f>"6803282101"</f>
        <v>6803282101</v>
      </c>
      <c r="C10424" s="1">
        <v>44944</v>
      </c>
      <c r="D10424" s="1">
        <v>44946</v>
      </c>
      <c r="E10424">
        <v>1</v>
      </c>
      <c r="F10424" t="str">
        <f>"03-I24-00"</f>
        <v>03-I24-00</v>
      </c>
      <c r="G10424">
        <v>0.40670000000000001</v>
      </c>
      <c r="H10424" t="s">
        <v>11</v>
      </c>
      <c r="I10424" t="s">
        <v>10</v>
      </c>
    </row>
    <row r="10425" spans="1:9" x14ac:dyDescent="0.25">
      <c r="A10425" t="str">
        <f t="shared" si="247"/>
        <v>89301000</v>
      </c>
      <c r="B10425" t="str">
        <f>"6803310756"</f>
        <v>6803310756</v>
      </c>
      <c r="C10425" s="1">
        <v>44952</v>
      </c>
      <c r="D10425" s="1">
        <v>44958</v>
      </c>
      <c r="E10425">
        <v>1</v>
      </c>
      <c r="F10425" t="str">
        <f>"07-K04-03"</f>
        <v>07-K04-03</v>
      </c>
      <c r="G10425">
        <v>0.93859999999999999</v>
      </c>
      <c r="H10425" t="s">
        <v>11</v>
      </c>
      <c r="I10425" t="s">
        <v>10</v>
      </c>
    </row>
    <row r="10426" spans="1:9" x14ac:dyDescent="0.25">
      <c r="A10426" t="str">
        <f t="shared" si="247"/>
        <v>89301000</v>
      </c>
      <c r="B10426" t="str">
        <f>"6804012281"</f>
        <v>6804012281</v>
      </c>
      <c r="C10426" s="1">
        <v>45217</v>
      </c>
      <c r="D10426" s="1">
        <v>45217</v>
      </c>
      <c r="E10426">
        <v>1</v>
      </c>
      <c r="F10426" t="str">
        <f>"05-M06-08"</f>
        <v>05-M06-08</v>
      </c>
      <c r="G10426">
        <v>1.1012</v>
      </c>
      <c r="H10426" t="s">
        <v>12</v>
      </c>
      <c r="I10426" t="s">
        <v>10</v>
      </c>
    </row>
    <row r="10427" spans="1:9" x14ac:dyDescent="0.25">
      <c r="A10427" t="str">
        <f t="shared" si="247"/>
        <v>89301000</v>
      </c>
      <c r="B10427" t="str">
        <f>"6804040705"</f>
        <v>6804040705</v>
      </c>
      <c r="C10427" s="1">
        <v>45195</v>
      </c>
      <c r="D10427" s="1">
        <v>45198</v>
      </c>
      <c r="E10427">
        <v>1</v>
      </c>
      <c r="F10427" t="str">
        <f>"03-I18-01"</f>
        <v>03-I18-01</v>
      </c>
      <c r="G10427">
        <v>1.1439999999999999</v>
      </c>
      <c r="H10427" t="s">
        <v>9</v>
      </c>
      <c r="I10427" t="s">
        <v>10</v>
      </c>
    </row>
    <row r="10428" spans="1:9" x14ac:dyDescent="0.25">
      <c r="A10428" t="str">
        <f t="shared" si="247"/>
        <v>89301000</v>
      </c>
      <c r="B10428" t="str">
        <f>"6804111050"</f>
        <v>6804111050</v>
      </c>
      <c r="C10428" s="1">
        <v>45243</v>
      </c>
      <c r="D10428" s="1">
        <v>45245</v>
      </c>
      <c r="E10428">
        <v>1</v>
      </c>
      <c r="F10428" t="str">
        <f>"04-K07-03"</f>
        <v>04-K07-03</v>
      </c>
      <c r="G10428">
        <v>0.61119999999999997</v>
      </c>
      <c r="H10428" t="s">
        <v>11</v>
      </c>
      <c r="I10428" t="s">
        <v>10</v>
      </c>
    </row>
    <row r="10429" spans="1:9" x14ac:dyDescent="0.25">
      <c r="A10429" t="str">
        <f t="shared" si="247"/>
        <v>89301000</v>
      </c>
      <c r="B10429" t="str">
        <f>"6804111963"</f>
        <v>6804111963</v>
      </c>
      <c r="C10429" s="1">
        <v>44993</v>
      </c>
      <c r="D10429" s="1">
        <v>44993</v>
      </c>
      <c r="E10429">
        <v>1</v>
      </c>
      <c r="F10429" t="str">
        <f>"05-D01-08"</f>
        <v>05-D01-08</v>
      </c>
      <c r="G10429">
        <v>0.4597</v>
      </c>
      <c r="H10429" t="s">
        <v>11</v>
      </c>
      <c r="I10429" t="s">
        <v>10</v>
      </c>
    </row>
    <row r="10430" spans="1:9" x14ac:dyDescent="0.25">
      <c r="A10430" t="str">
        <f t="shared" si="247"/>
        <v>89301000</v>
      </c>
      <c r="B10430" t="str">
        <f>"6804170131"</f>
        <v>6804170131</v>
      </c>
      <c r="C10430" s="1">
        <v>44956</v>
      </c>
      <c r="D10430" s="1">
        <v>44966</v>
      </c>
      <c r="E10430">
        <v>1</v>
      </c>
      <c r="F10430" t="str">
        <f>"20-K03-01"</f>
        <v>20-K03-01</v>
      </c>
      <c r="G10430">
        <v>1.2786</v>
      </c>
      <c r="H10430" t="s">
        <v>11</v>
      </c>
      <c r="I10430" t="s">
        <v>10</v>
      </c>
    </row>
    <row r="10431" spans="1:9" x14ac:dyDescent="0.25">
      <c r="A10431" t="str">
        <f t="shared" si="247"/>
        <v>89301000</v>
      </c>
      <c r="B10431" t="str">
        <f>"6804200205"</f>
        <v>6804200205</v>
      </c>
      <c r="C10431" s="1">
        <v>45081</v>
      </c>
      <c r="D10431" s="1">
        <v>45092</v>
      </c>
      <c r="E10431">
        <v>1</v>
      </c>
      <c r="F10431" t="str">
        <f>"03-I05-01"</f>
        <v>03-I05-01</v>
      </c>
      <c r="G10431">
        <v>5.7450999999999999</v>
      </c>
      <c r="H10431" t="s">
        <v>9</v>
      </c>
      <c r="I10431" t="s">
        <v>10</v>
      </c>
    </row>
    <row r="10432" spans="1:9" x14ac:dyDescent="0.25">
      <c r="A10432" t="str">
        <f t="shared" si="247"/>
        <v>89301000</v>
      </c>
      <c r="B10432" t="str">
        <f>"6804200205"</f>
        <v>6804200205</v>
      </c>
      <c r="C10432" s="1">
        <v>45061</v>
      </c>
      <c r="D10432" s="1">
        <v>45064</v>
      </c>
      <c r="E10432">
        <v>1</v>
      </c>
      <c r="F10432" t="str">
        <f>"03-I22-01"</f>
        <v>03-I22-01</v>
      </c>
      <c r="G10432">
        <v>0.62490000000000001</v>
      </c>
      <c r="H10432" t="s">
        <v>11</v>
      </c>
      <c r="I10432" t="s">
        <v>10</v>
      </c>
    </row>
    <row r="10433" spans="1:9" x14ac:dyDescent="0.25">
      <c r="A10433" t="str">
        <f t="shared" si="247"/>
        <v>89301000</v>
      </c>
      <c r="B10433" t="str">
        <f>"6804200205"</f>
        <v>6804200205</v>
      </c>
      <c r="C10433" s="1">
        <v>44932</v>
      </c>
      <c r="D10433" s="1">
        <v>44934</v>
      </c>
      <c r="E10433">
        <v>1</v>
      </c>
      <c r="F10433" t="str">
        <f>"03-K09-01"</f>
        <v>03-K09-01</v>
      </c>
      <c r="G10433">
        <v>0.54100000000000004</v>
      </c>
      <c r="H10433" t="s">
        <v>11</v>
      </c>
      <c r="I10433" t="s">
        <v>10</v>
      </c>
    </row>
    <row r="10434" spans="1:9" x14ac:dyDescent="0.25">
      <c r="A10434" t="str">
        <f t="shared" si="247"/>
        <v>89301000</v>
      </c>
      <c r="B10434" t="str">
        <f>"6804221875"</f>
        <v>6804221875</v>
      </c>
      <c r="C10434" s="1">
        <v>45103</v>
      </c>
      <c r="D10434" s="1">
        <v>45107</v>
      </c>
      <c r="E10434">
        <v>1</v>
      </c>
      <c r="F10434" t="str">
        <f>"04-K05-03"</f>
        <v>04-K05-03</v>
      </c>
      <c r="G10434">
        <v>0.74039999999999995</v>
      </c>
      <c r="H10434" t="s">
        <v>11</v>
      </c>
      <c r="I10434" t="s">
        <v>10</v>
      </c>
    </row>
    <row r="10435" spans="1:9" x14ac:dyDescent="0.25">
      <c r="A10435" t="str">
        <f t="shared" si="247"/>
        <v>89301000</v>
      </c>
      <c r="B10435" t="str">
        <f>"6804277062"</f>
        <v>6804277062</v>
      </c>
      <c r="C10435" s="1">
        <v>45056</v>
      </c>
      <c r="D10435" s="1">
        <v>45063</v>
      </c>
      <c r="E10435">
        <v>1</v>
      </c>
      <c r="F10435" t="str">
        <f>"08-I15-02"</f>
        <v>08-I15-02</v>
      </c>
      <c r="G10435">
        <v>1.5535000000000001</v>
      </c>
      <c r="H10435" t="s">
        <v>12</v>
      </c>
      <c r="I10435" t="s">
        <v>10</v>
      </c>
    </row>
    <row r="10436" spans="1:9" x14ac:dyDescent="0.25">
      <c r="A10436" t="str">
        <f t="shared" si="247"/>
        <v>89301000</v>
      </c>
      <c r="B10436" t="str">
        <f>"6804291956"</f>
        <v>6804291956</v>
      </c>
      <c r="C10436" s="1">
        <v>45058</v>
      </c>
      <c r="D10436" s="1">
        <v>45060</v>
      </c>
      <c r="E10436">
        <v>1</v>
      </c>
      <c r="F10436" t="str">
        <f>"03-I24-00"</f>
        <v>03-I24-00</v>
      </c>
      <c r="G10436">
        <v>0.40670000000000001</v>
      </c>
      <c r="H10436" t="s">
        <v>11</v>
      </c>
      <c r="I10436" t="s">
        <v>10</v>
      </c>
    </row>
    <row r="10437" spans="1:9" x14ac:dyDescent="0.25">
      <c r="A10437" t="str">
        <f t="shared" si="247"/>
        <v>89301000</v>
      </c>
      <c r="B10437" t="str">
        <f>"6804291956"</f>
        <v>6804291956</v>
      </c>
      <c r="C10437" s="1">
        <v>44924</v>
      </c>
      <c r="D10437" s="1">
        <v>44935</v>
      </c>
      <c r="E10437">
        <v>1</v>
      </c>
      <c r="F10437" t="str">
        <f>"04-K09-02"</f>
        <v>04-K09-02</v>
      </c>
      <c r="G10437">
        <v>1.155</v>
      </c>
      <c r="H10437" t="s">
        <v>11</v>
      </c>
      <c r="I10437" t="s">
        <v>10</v>
      </c>
    </row>
    <row r="10438" spans="1:9" x14ac:dyDescent="0.25">
      <c r="A10438" t="str">
        <f t="shared" si="247"/>
        <v>89301000</v>
      </c>
      <c r="B10438" t="str">
        <f>"6805050120"</f>
        <v>6805050120</v>
      </c>
      <c r="C10438" s="1">
        <v>45084</v>
      </c>
      <c r="D10438" s="1">
        <v>45086</v>
      </c>
      <c r="E10438">
        <v>1</v>
      </c>
      <c r="F10438" t="str">
        <f>"05-M06-06"</f>
        <v>05-M06-06</v>
      </c>
      <c r="G10438">
        <v>1.8264</v>
      </c>
      <c r="H10438" t="s">
        <v>12</v>
      </c>
      <c r="I10438" t="s">
        <v>10</v>
      </c>
    </row>
    <row r="10439" spans="1:9" x14ac:dyDescent="0.25">
      <c r="A10439" t="str">
        <f t="shared" si="247"/>
        <v>89301000</v>
      </c>
      <c r="B10439" t="str">
        <f>"6805050351"</f>
        <v>6805050351</v>
      </c>
      <c r="C10439" s="1">
        <v>44942</v>
      </c>
      <c r="D10439" s="1">
        <v>44949</v>
      </c>
      <c r="E10439">
        <v>4</v>
      </c>
      <c r="F10439" t="str">
        <f>"08-I05-04"</f>
        <v>08-I05-04</v>
      </c>
      <c r="G10439">
        <v>2.4445000000000001</v>
      </c>
      <c r="H10439" t="s">
        <v>12</v>
      </c>
      <c r="I10439" t="s">
        <v>10</v>
      </c>
    </row>
    <row r="10440" spans="1:9" x14ac:dyDescent="0.25">
      <c r="A10440" t="str">
        <f t="shared" si="247"/>
        <v>89301000</v>
      </c>
      <c r="B10440" t="str">
        <f>"6805067203"</f>
        <v>6805067203</v>
      </c>
      <c r="C10440" s="1">
        <v>45040</v>
      </c>
      <c r="D10440" s="1">
        <v>45042</v>
      </c>
      <c r="E10440">
        <v>1</v>
      </c>
      <c r="F10440" t="str">
        <f>"08-K02-03"</f>
        <v>08-K02-03</v>
      </c>
      <c r="G10440">
        <v>0.6361</v>
      </c>
      <c r="H10440" t="s">
        <v>11</v>
      </c>
      <c r="I10440" t="s">
        <v>10</v>
      </c>
    </row>
    <row r="10441" spans="1:9" x14ac:dyDescent="0.25">
      <c r="A10441" t="str">
        <f t="shared" si="247"/>
        <v>89301000</v>
      </c>
      <c r="B10441" t="str">
        <f>"6805100335"</f>
        <v>6805100335</v>
      </c>
      <c r="C10441" s="1">
        <v>44957</v>
      </c>
      <c r="D10441" s="1">
        <v>44964</v>
      </c>
      <c r="E10441">
        <v>4</v>
      </c>
      <c r="F10441" t="str">
        <f>"08-I05-04"</f>
        <v>08-I05-04</v>
      </c>
      <c r="G10441">
        <v>2.4445000000000001</v>
      </c>
      <c r="H10441" t="s">
        <v>12</v>
      </c>
      <c r="I10441" t="s">
        <v>10</v>
      </c>
    </row>
    <row r="10442" spans="1:9" x14ac:dyDescent="0.25">
      <c r="A10442" t="str">
        <f t="shared" si="247"/>
        <v>89301000</v>
      </c>
      <c r="B10442" t="str">
        <f>"6805110983"</f>
        <v>6805110983</v>
      </c>
      <c r="C10442" s="1">
        <v>45103</v>
      </c>
      <c r="D10442" s="1">
        <v>45114</v>
      </c>
      <c r="E10442">
        <v>4</v>
      </c>
      <c r="F10442" t="str">
        <f>"24-M06-02"</f>
        <v>24-M06-02</v>
      </c>
      <c r="G10442">
        <v>1.0699000000000001</v>
      </c>
      <c r="H10442" t="s">
        <v>11</v>
      </c>
      <c r="I10442" t="s">
        <v>10</v>
      </c>
    </row>
    <row r="10443" spans="1:9" x14ac:dyDescent="0.25">
      <c r="A10443" t="str">
        <f t="shared" si="247"/>
        <v>89301000</v>
      </c>
      <c r="B10443" t="str">
        <f>"6805110983"</f>
        <v>6805110983</v>
      </c>
      <c r="C10443" s="1">
        <v>45098</v>
      </c>
      <c r="D10443" s="1">
        <v>45103</v>
      </c>
      <c r="E10443">
        <v>3</v>
      </c>
      <c r="F10443" t="str">
        <f>"08-I05-04"</f>
        <v>08-I05-04</v>
      </c>
      <c r="G10443">
        <v>2.4445000000000001</v>
      </c>
      <c r="H10443" t="s">
        <v>12</v>
      </c>
      <c r="I10443" t="s">
        <v>10</v>
      </c>
    </row>
    <row r="10444" spans="1:9" x14ac:dyDescent="0.25">
      <c r="A10444" t="str">
        <f t="shared" si="247"/>
        <v>89301000</v>
      </c>
      <c r="B10444" t="str">
        <f>"6805112578"</f>
        <v>6805112578</v>
      </c>
      <c r="C10444" s="1">
        <v>45179</v>
      </c>
      <c r="D10444" s="1">
        <v>45189</v>
      </c>
      <c r="E10444">
        <v>1</v>
      </c>
      <c r="F10444" t="str">
        <f>"03-I14-01"</f>
        <v>03-I14-01</v>
      </c>
      <c r="G10444">
        <v>1.9895</v>
      </c>
      <c r="H10444" t="s">
        <v>11</v>
      </c>
      <c r="I10444" t="s">
        <v>10</v>
      </c>
    </row>
    <row r="10445" spans="1:9" x14ac:dyDescent="0.25">
      <c r="A10445" t="str">
        <f t="shared" si="247"/>
        <v>89301000</v>
      </c>
      <c r="B10445" t="str">
        <f>"6805112578"</f>
        <v>6805112578</v>
      </c>
      <c r="C10445" s="1">
        <v>45020</v>
      </c>
      <c r="D10445" s="1">
        <v>45022</v>
      </c>
      <c r="E10445">
        <v>1</v>
      </c>
      <c r="F10445" t="str">
        <f>"03-I14-02"</f>
        <v>03-I14-02</v>
      </c>
      <c r="G10445">
        <v>1.0793999999999999</v>
      </c>
      <c r="H10445" t="s">
        <v>11</v>
      </c>
      <c r="I10445" t="s">
        <v>10</v>
      </c>
    </row>
    <row r="10446" spans="1:9" x14ac:dyDescent="0.25">
      <c r="A10446" t="str">
        <f t="shared" si="247"/>
        <v>89301000</v>
      </c>
      <c r="B10446" t="str">
        <f>"6805130134"</f>
        <v>6805130134</v>
      </c>
      <c r="C10446" s="1">
        <v>44978</v>
      </c>
      <c r="D10446" s="1">
        <v>44979</v>
      </c>
      <c r="E10446">
        <v>1</v>
      </c>
      <c r="F10446" t="str">
        <f>"03-K09-01"</f>
        <v>03-K09-01</v>
      </c>
      <c r="G10446">
        <v>0.58250000000000002</v>
      </c>
      <c r="H10446" t="s">
        <v>11</v>
      </c>
      <c r="I10446" t="s">
        <v>10</v>
      </c>
    </row>
    <row r="10447" spans="1:9" x14ac:dyDescent="0.25">
      <c r="A10447" t="str">
        <f t="shared" si="247"/>
        <v>89301000</v>
      </c>
      <c r="B10447" t="str">
        <f>"6805151001"</f>
        <v>6805151001</v>
      </c>
      <c r="C10447" s="1">
        <v>45204</v>
      </c>
      <c r="D10447" s="1">
        <v>45210</v>
      </c>
      <c r="E10447">
        <v>1</v>
      </c>
      <c r="F10447" t="str">
        <f>"01-I06-04"</f>
        <v>01-I06-04</v>
      </c>
      <c r="G10447">
        <v>3.6478999999999999</v>
      </c>
      <c r="H10447" t="s">
        <v>12</v>
      </c>
      <c r="I10447" t="s">
        <v>10</v>
      </c>
    </row>
    <row r="10448" spans="1:9" x14ac:dyDescent="0.25">
      <c r="A10448" t="str">
        <f t="shared" si="247"/>
        <v>89301000</v>
      </c>
      <c r="B10448" t="str">
        <f>"6805170185"</f>
        <v>6805170185</v>
      </c>
      <c r="C10448" s="1">
        <v>44998</v>
      </c>
      <c r="D10448" s="1">
        <v>45001</v>
      </c>
      <c r="E10448">
        <v>1</v>
      </c>
      <c r="F10448" t="str">
        <f>"08-M03-05"</f>
        <v>08-M03-05</v>
      </c>
      <c r="G10448">
        <v>0.46810000000000002</v>
      </c>
      <c r="H10448" t="s">
        <v>11</v>
      </c>
      <c r="I10448" t="s">
        <v>10</v>
      </c>
    </row>
    <row r="10449" spans="1:9" x14ac:dyDescent="0.25">
      <c r="A10449" t="str">
        <f t="shared" si="247"/>
        <v>89301000</v>
      </c>
      <c r="B10449" t="str">
        <f>"6805210797"</f>
        <v>6805210797</v>
      </c>
      <c r="C10449" s="1">
        <v>44932</v>
      </c>
      <c r="D10449" s="1">
        <v>44946</v>
      </c>
      <c r="E10449">
        <v>1</v>
      </c>
      <c r="F10449" t="str">
        <f>"24-M07-02"</f>
        <v>24-M07-02</v>
      </c>
      <c r="G10449">
        <v>1.573</v>
      </c>
      <c r="H10449" t="s">
        <v>11</v>
      </c>
      <c r="I10449" t="s">
        <v>10</v>
      </c>
    </row>
    <row r="10450" spans="1:9" x14ac:dyDescent="0.25">
      <c r="A10450" t="str">
        <f t="shared" si="247"/>
        <v>89301000</v>
      </c>
      <c r="B10450" t="str">
        <f>"6805210797"</f>
        <v>6805210797</v>
      </c>
      <c r="C10450" s="1">
        <v>45082</v>
      </c>
      <c r="D10450" s="1">
        <v>45100</v>
      </c>
      <c r="E10450">
        <v>1</v>
      </c>
      <c r="F10450" t="str">
        <f>"24-M08-02"</f>
        <v>24-M08-02</v>
      </c>
      <c r="G10450">
        <v>2.024</v>
      </c>
      <c r="H10450" t="s">
        <v>11</v>
      </c>
      <c r="I10450" t="s">
        <v>10</v>
      </c>
    </row>
    <row r="10451" spans="1:9" x14ac:dyDescent="0.25">
      <c r="A10451" t="str">
        <f t="shared" si="247"/>
        <v>89301000</v>
      </c>
      <c r="B10451" t="str">
        <f>"6805210797"</f>
        <v>6805210797</v>
      </c>
      <c r="C10451" s="1">
        <v>44927</v>
      </c>
      <c r="D10451" s="1">
        <v>44932</v>
      </c>
      <c r="E10451">
        <v>3</v>
      </c>
      <c r="F10451" t="str">
        <f>"08-M03-05"</f>
        <v>08-M03-05</v>
      </c>
      <c r="G10451">
        <v>0.56169999999999998</v>
      </c>
      <c r="H10451" t="s">
        <v>11</v>
      </c>
      <c r="I10451" t="s">
        <v>10</v>
      </c>
    </row>
    <row r="10452" spans="1:9" x14ac:dyDescent="0.25">
      <c r="A10452" t="str">
        <f t="shared" si="247"/>
        <v>89301000</v>
      </c>
      <c r="B10452" t="str">
        <f>"6805210797"</f>
        <v>6805210797</v>
      </c>
      <c r="C10452" s="1">
        <v>45047</v>
      </c>
      <c r="D10452" s="1">
        <v>45050</v>
      </c>
      <c r="E10452">
        <v>1</v>
      </c>
      <c r="F10452" t="str">
        <f>"08-M03-02"</f>
        <v>08-M03-02</v>
      </c>
      <c r="G10452">
        <v>0.91359999999999997</v>
      </c>
      <c r="H10452" t="s">
        <v>11</v>
      </c>
      <c r="I10452" t="s">
        <v>10</v>
      </c>
    </row>
    <row r="10453" spans="1:9" x14ac:dyDescent="0.25">
      <c r="A10453" t="str">
        <f t="shared" si="247"/>
        <v>89301000</v>
      </c>
      <c r="B10453" t="str">
        <f>"6805211512"</f>
        <v>6805211512</v>
      </c>
      <c r="C10453" s="1">
        <v>45168</v>
      </c>
      <c r="D10453" s="1">
        <v>45168</v>
      </c>
      <c r="E10453">
        <v>1</v>
      </c>
      <c r="F10453" t="str">
        <f>"05-D01-08"</f>
        <v>05-D01-08</v>
      </c>
      <c r="G10453">
        <v>0.2303</v>
      </c>
      <c r="H10453" t="s">
        <v>11</v>
      </c>
      <c r="I10453" t="s">
        <v>10</v>
      </c>
    </row>
    <row r="10454" spans="1:9" x14ac:dyDescent="0.25">
      <c r="A10454" t="str">
        <f t="shared" si="247"/>
        <v>89301000</v>
      </c>
      <c r="B10454" t="str">
        <f>"6805220378"</f>
        <v>6805220378</v>
      </c>
      <c r="C10454" s="1">
        <v>45105</v>
      </c>
      <c r="D10454" s="1">
        <v>45107</v>
      </c>
      <c r="E10454">
        <v>1</v>
      </c>
      <c r="F10454" t="str">
        <f>"12-M02-02"</f>
        <v>12-M02-02</v>
      </c>
      <c r="G10454">
        <v>0.95020000000000004</v>
      </c>
      <c r="H10454" t="s">
        <v>9</v>
      </c>
      <c r="I10454" t="s">
        <v>10</v>
      </c>
    </row>
    <row r="10455" spans="1:9" x14ac:dyDescent="0.25">
      <c r="A10455" t="str">
        <f t="shared" si="247"/>
        <v>89301000</v>
      </c>
      <c r="B10455" t="str">
        <f>"6805270241"</f>
        <v>6805270241</v>
      </c>
      <c r="C10455" s="1">
        <v>45204</v>
      </c>
      <c r="D10455" s="1">
        <v>45210</v>
      </c>
      <c r="E10455">
        <v>1</v>
      </c>
      <c r="F10455" t="str">
        <f>"12-I03-01"</f>
        <v>12-I03-01</v>
      </c>
      <c r="G10455">
        <v>2.6934999999999998</v>
      </c>
      <c r="H10455" t="s">
        <v>9</v>
      </c>
      <c r="I10455" t="s">
        <v>10</v>
      </c>
    </row>
    <row r="10456" spans="1:9" x14ac:dyDescent="0.25">
      <c r="A10456" t="str">
        <f t="shared" si="247"/>
        <v>89301000</v>
      </c>
      <c r="B10456" t="str">
        <f>"6805290206"</f>
        <v>6805290206</v>
      </c>
      <c r="C10456" s="1">
        <v>45093</v>
      </c>
      <c r="D10456" s="1">
        <v>45094</v>
      </c>
      <c r="E10456">
        <v>1</v>
      </c>
      <c r="F10456" t="str">
        <f>"01-K16-06"</f>
        <v>01-K16-06</v>
      </c>
      <c r="G10456">
        <v>0.27150000000000002</v>
      </c>
      <c r="H10456" t="s">
        <v>11</v>
      </c>
      <c r="I10456" t="s">
        <v>10</v>
      </c>
    </row>
    <row r="10457" spans="1:9" x14ac:dyDescent="0.25">
      <c r="A10457" t="str">
        <f t="shared" si="247"/>
        <v>89301000</v>
      </c>
      <c r="B10457" t="str">
        <f>"6806030440"</f>
        <v>6806030440</v>
      </c>
      <c r="C10457" s="1">
        <v>45005</v>
      </c>
      <c r="D10457" s="1">
        <v>45007</v>
      </c>
      <c r="E10457">
        <v>1</v>
      </c>
      <c r="F10457" t="str">
        <f>"01-C01-03"</f>
        <v>01-C01-03</v>
      </c>
      <c r="G10457">
        <v>1.66</v>
      </c>
      <c r="H10457" t="s">
        <v>11</v>
      </c>
      <c r="I10457" t="s">
        <v>10</v>
      </c>
    </row>
    <row r="10458" spans="1:9" x14ac:dyDescent="0.25">
      <c r="A10458" t="str">
        <f t="shared" si="247"/>
        <v>89301000</v>
      </c>
      <c r="B10458" t="str">
        <f>"6806050416"</f>
        <v>6806050416</v>
      </c>
      <c r="C10458" s="1">
        <v>45043</v>
      </c>
      <c r="D10458" s="1">
        <v>45044</v>
      </c>
      <c r="E10458">
        <v>1</v>
      </c>
      <c r="F10458" t="str">
        <f>"01-D01-03"</f>
        <v>01-D01-03</v>
      </c>
      <c r="G10458">
        <v>0.16200000000000001</v>
      </c>
      <c r="H10458" t="s">
        <v>11</v>
      </c>
      <c r="I10458" t="s">
        <v>10</v>
      </c>
    </row>
    <row r="10459" spans="1:9" x14ac:dyDescent="0.25">
      <c r="A10459" t="str">
        <f t="shared" si="247"/>
        <v>89301000</v>
      </c>
      <c r="B10459" t="str">
        <f>"6806062252"</f>
        <v>6806062252</v>
      </c>
      <c r="C10459" s="1">
        <v>45151</v>
      </c>
      <c r="D10459" s="1">
        <v>45160</v>
      </c>
      <c r="E10459">
        <v>5</v>
      </c>
      <c r="F10459" t="str">
        <f>"07-K02-03"</f>
        <v>07-K02-03</v>
      </c>
      <c r="G10459">
        <v>1.1988000000000001</v>
      </c>
      <c r="H10459" t="s">
        <v>11</v>
      </c>
      <c r="I10459" t="s">
        <v>10</v>
      </c>
    </row>
    <row r="10460" spans="1:9" x14ac:dyDescent="0.25">
      <c r="A10460" t="str">
        <f t="shared" si="247"/>
        <v>89301000</v>
      </c>
      <c r="B10460" t="str">
        <f>"6806070964"</f>
        <v>6806070964</v>
      </c>
      <c r="C10460" s="1">
        <v>45281</v>
      </c>
      <c r="D10460" s="1">
        <v>45284</v>
      </c>
      <c r="E10460">
        <v>1</v>
      </c>
      <c r="F10460" t="str">
        <f>"01-K12-01"</f>
        <v>01-K12-01</v>
      </c>
      <c r="G10460">
        <v>0.73780000000000001</v>
      </c>
      <c r="H10460" t="s">
        <v>11</v>
      </c>
      <c r="I10460" t="s">
        <v>10</v>
      </c>
    </row>
    <row r="10461" spans="1:9" x14ac:dyDescent="0.25">
      <c r="A10461" t="str">
        <f t="shared" si="247"/>
        <v>89301000</v>
      </c>
      <c r="B10461" t="str">
        <f>"6806080644"</f>
        <v>6806080644</v>
      </c>
      <c r="C10461" s="1">
        <v>44971</v>
      </c>
      <c r="D10461" s="1">
        <v>44978</v>
      </c>
      <c r="E10461">
        <v>3</v>
      </c>
      <c r="F10461" t="str">
        <f>"24-M06-02"</f>
        <v>24-M06-02</v>
      </c>
      <c r="G10461">
        <v>1.0699000000000001</v>
      </c>
      <c r="H10461" t="s">
        <v>11</v>
      </c>
      <c r="I10461" t="s">
        <v>10</v>
      </c>
    </row>
    <row r="10462" spans="1:9" x14ac:dyDescent="0.25">
      <c r="A10462" t="str">
        <f t="shared" si="247"/>
        <v>89301000</v>
      </c>
      <c r="B10462" t="str">
        <f>"6806080644"</f>
        <v>6806080644</v>
      </c>
      <c r="C10462" s="1">
        <v>44992</v>
      </c>
      <c r="D10462" s="1">
        <v>45001</v>
      </c>
      <c r="E10462">
        <v>1</v>
      </c>
      <c r="F10462" t="str">
        <f>"24-M06-02"</f>
        <v>24-M06-02</v>
      </c>
      <c r="G10462">
        <v>1.0699000000000001</v>
      </c>
      <c r="H10462" t="s">
        <v>11</v>
      </c>
      <c r="I10462" t="s">
        <v>10</v>
      </c>
    </row>
    <row r="10463" spans="1:9" x14ac:dyDescent="0.25">
      <c r="A10463" t="str">
        <f t="shared" si="247"/>
        <v>89301000</v>
      </c>
      <c r="B10463" t="str">
        <f>"6806080644"</f>
        <v>6806080644</v>
      </c>
      <c r="C10463" s="1">
        <v>44978</v>
      </c>
      <c r="D10463" s="1">
        <v>44988</v>
      </c>
      <c r="E10463">
        <v>1</v>
      </c>
      <c r="F10463" t="str">
        <f>"01-K04-02"</f>
        <v>01-K04-02</v>
      </c>
      <c r="G10463">
        <v>0.79990000000000006</v>
      </c>
      <c r="H10463" t="s">
        <v>11</v>
      </c>
      <c r="I10463" t="s">
        <v>10</v>
      </c>
    </row>
    <row r="10464" spans="1:9" x14ac:dyDescent="0.25">
      <c r="A10464" t="str">
        <f t="shared" si="247"/>
        <v>89301000</v>
      </c>
      <c r="B10464" t="str">
        <f>"6806080644"</f>
        <v>6806080644</v>
      </c>
      <c r="C10464" s="1">
        <v>45194</v>
      </c>
      <c r="D10464" s="1">
        <v>45198</v>
      </c>
      <c r="E10464">
        <v>1</v>
      </c>
      <c r="F10464" t="str">
        <f>"01-K04-02"</f>
        <v>01-K04-02</v>
      </c>
      <c r="G10464">
        <v>0.79990000000000006</v>
      </c>
      <c r="H10464" t="s">
        <v>11</v>
      </c>
      <c r="I10464" t="s">
        <v>10</v>
      </c>
    </row>
    <row r="10465" spans="1:9" x14ac:dyDescent="0.25">
      <c r="A10465" t="str">
        <f t="shared" si="247"/>
        <v>89301000</v>
      </c>
      <c r="B10465" t="str">
        <f>"6806101280"</f>
        <v>6806101280</v>
      </c>
      <c r="C10465" s="1">
        <v>44952</v>
      </c>
      <c r="D10465" s="1">
        <v>44953</v>
      </c>
      <c r="E10465">
        <v>1</v>
      </c>
      <c r="F10465" t="str">
        <f>"05-K14-03"</f>
        <v>05-K14-03</v>
      </c>
      <c r="G10465">
        <v>0.60489999999999999</v>
      </c>
      <c r="H10465" t="s">
        <v>11</v>
      </c>
      <c r="I10465" t="s">
        <v>10</v>
      </c>
    </row>
    <row r="10466" spans="1:9" x14ac:dyDescent="0.25">
      <c r="A10466" t="str">
        <f t="shared" si="247"/>
        <v>89301000</v>
      </c>
      <c r="B10466" t="str">
        <f>"6806240287"</f>
        <v>6806240287</v>
      </c>
      <c r="C10466" s="1">
        <v>44977</v>
      </c>
      <c r="D10466" s="1">
        <v>44979</v>
      </c>
      <c r="E10466">
        <v>1</v>
      </c>
      <c r="F10466" t="str">
        <f>"08-I21-02"</f>
        <v>08-I21-02</v>
      </c>
      <c r="G10466">
        <v>1.2658</v>
      </c>
      <c r="H10466" t="s">
        <v>12</v>
      </c>
      <c r="I10466" t="s">
        <v>10</v>
      </c>
    </row>
    <row r="10467" spans="1:9" x14ac:dyDescent="0.25">
      <c r="A10467" t="str">
        <f t="shared" si="247"/>
        <v>89301000</v>
      </c>
      <c r="B10467" t="str">
        <f>"6806270273"</f>
        <v>6806270273</v>
      </c>
      <c r="C10467" s="1">
        <v>44980</v>
      </c>
      <c r="D10467" s="1">
        <v>44987</v>
      </c>
      <c r="E10467">
        <v>1</v>
      </c>
      <c r="F10467" t="str">
        <f>"05-K12-02"</f>
        <v>05-K12-02</v>
      </c>
      <c r="G10467">
        <v>0.48820000000000002</v>
      </c>
      <c r="H10467" t="s">
        <v>11</v>
      </c>
      <c r="I10467" t="s">
        <v>10</v>
      </c>
    </row>
    <row r="10468" spans="1:9" x14ac:dyDescent="0.25">
      <c r="A10468" t="str">
        <f t="shared" si="247"/>
        <v>89301000</v>
      </c>
      <c r="B10468" t="str">
        <f>"6806270273"</f>
        <v>6806270273</v>
      </c>
      <c r="C10468" s="1">
        <v>45006</v>
      </c>
      <c r="D10468" s="1">
        <v>45028</v>
      </c>
      <c r="E10468">
        <v>1</v>
      </c>
      <c r="F10468" t="str">
        <f>"10-K04-04"</f>
        <v>10-K04-04</v>
      </c>
      <c r="G10468">
        <v>1.1573</v>
      </c>
      <c r="H10468" t="s">
        <v>11</v>
      </c>
      <c r="I10468" t="s">
        <v>10</v>
      </c>
    </row>
    <row r="10469" spans="1:9" x14ac:dyDescent="0.25">
      <c r="A10469" t="str">
        <f t="shared" si="247"/>
        <v>89301000</v>
      </c>
      <c r="B10469" t="str">
        <f>"6806301876"</f>
        <v>6806301876</v>
      </c>
      <c r="C10469" s="1">
        <v>45096</v>
      </c>
      <c r="D10469" s="1">
        <v>45103</v>
      </c>
      <c r="E10469">
        <v>1</v>
      </c>
      <c r="F10469" t="str">
        <f>"08-I05-04"</f>
        <v>08-I05-04</v>
      </c>
      <c r="G10469">
        <v>2.4445000000000001</v>
      </c>
      <c r="H10469" t="s">
        <v>12</v>
      </c>
      <c r="I10469" t="s">
        <v>10</v>
      </c>
    </row>
    <row r="10470" spans="1:9" x14ac:dyDescent="0.25">
      <c r="A10470" t="str">
        <f t="shared" ref="A10470:A10533" si="248">"89301000"</f>
        <v>89301000</v>
      </c>
      <c r="B10470" t="str">
        <f>"6807051251"</f>
        <v>6807051251</v>
      </c>
      <c r="C10470" s="1">
        <v>45208</v>
      </c>
      <c r="D10470" s="1">
        <v>45212</v>
      </c>
      <c r="E10470">
        <v>1</v>
      </c>
      <c r="F10470" t="str">
        <f>"06-I17-02"</f>
        <v>06-I17-02</v>
      </c>
      <c r="G10470">
        <v>1.0106999999999999</v>
      </c>
      <c r="H10470" t="s">
        <v>12</v>
      </c>
      <c r="I10470" t="s">
        <v>10</v>
      </c>
    </row>
    <row r="10471" spans="1:9" x14ac:dyDescent="0.25">
      <c r="A10471" t="str">
        <f t="shared" si="248"/>
        <v>89301000</v>
      </c>
      <c r="B10471" t="str">
        <f>"6807160888"</f>
        <v>6807160888</v>
      </c>
      <c r="C10471" s="1">
        <v>45074</v>
      </c>
      <c r="D10471" s="1">
        <v>45078</v>
      </c>
      <c r="E10471">
        <v>1</v>
      </c>
      <c r="F10471" t="str">
        <f>"08-I03-06"</f>
        <v>08-I03-06</v>
      </c>
      <c r="G10471">
        <v>3.2263000000000002</v>
      </c>
      <c r="H10471" t="s">
        <v>9</v>
      </c>
      <c r="I10471" t="s">
        <v>10</v>
      </c>
    </row>
    <row r="10472" spans="1:9" x14ac:dyDescent="0.25">
      <c r="A10472" t="str">
        <f t="shared" si="248"/>
        <v>89301000</v>
      </c>
      <c r="B10472" t="str">
        <f>"6807191105"</f>
        <v>6807191105</v>
      </c>
      <c r="C10472" s="1">
        <v>45101</v>
      </c>
      <c r="D10472" s="1">
        <v>45104</v>
      </c>
      <c r="E10472">
        <v>1</v>
      </c>
      <c r="F10472" t="str">
        <f>"05-M06-06"</f>
        <v>05-M06-06</v>
      </c>
      <c r="G10472">
        <v>1.8348</v>
      </c>
      <c r="H10472" t="s">
        <v>12</v>
      </c>
      <c r="I10472" t="s">
        <v>10</v>
      </c>
    </row>
    <row r="10473" spans="1:9" x14ac:dyDescent="0.25">
      <c r="A10473" t="str">
        <f t="shared" si="248"/>
        <v>89301000</v>
      </c>
      <c r="B10473" t="str">
        <f>"6807282218"</f>
        <v>6807282218</v>
      </c>
      <c r="C10473" s="1">
        <v>45258</v>
      </c>
      <c r="D10473" s="1">
        <v>45261</v>
      </c>
      <c r="E10473">
        <v>1</v>
      </c>
      <c r="F10473" t="str">
        <f>"24-M04-00"</f>
        <v>24-M04-00</v>
      </c>
      <c r="G10473">
        <v>0.34399999999999997</v>
      </c>
      <c r="H10473" t="s">
        <v>11</v>
      </c>
      <c r="I10473" t="s">
        <v>10</v>
      </c>
    </row>
    <row r="10474" spans="1:9" x14ac:dyDescent="0.25">
      <c r="A10474" t="str">
        <f t="shared" si="248"/>
        <v>89301000</v>
      </c>
      <c r="B10474" t="str">
        <f>"6807300841"</f>
        <v>6807300841</v>
      </c>
      <c r="C10474" s="1">
        <v>44965</v>
      </c>
      <c r="D10474" s="1">
        <v>44968</v>
      </c>
      <c r="E10474">
        <v>1</v>
      </c>
      <c r="F10474" t="str">
        <f>"08-M03-02"</f>
        <v>08-M03-02</v>
      </c>
      <c r="G10474">
        <v>0.91359999999999997</v>
      </c>
      <c r="H10474" t="s">
        <v>11</v>
      </c>
      <c r="I10474" t="s">
        <v>10</v>
      </c>
    </row>
    <row r="10475" spans="1:9" x14ac:dyDescent="0.25">
      <c r="A10475" t="str">
        <f t="shared" si="248"/>
        <v>89301000</v>
      </c>
      <c r="B10475" t="str">
        <f>"6808041075"</f>
        <v>6808041075</v>
      </c>
      <c r="C10475" s="1">
        <v>45257</v>
      </c>
      <c r="D10475" s="1">
        <v>45258</v>
      </c>
      <c r="E10475">
        <v>1</v>
      </c>
      <c r="F10475" t="str">
        <f>"05-D01-08"</f>
        <v>05-D01-08</v>
      </c>
      <c r="G10475">
        <v>0.43159999999999998</v>
      </c>
      <c r="H10475" t="s">
        <v>11</v>
      </c>
      <c r="I10475" t="s">
        <v>10</v>
      </c>
    </row>
    <row r="10476" spans="1:9" x14ac:dyDescent="0.25">
      <c r="A10476" t="str">
        <f t="shared" si="248"/>
        <v>89301000</v>
      </c>
      <c r="B10476" t="str">
        <f>"6808051943"</f>
        <v>6808051943</v>
      </c>
      <c r="C10476" s="1">
        <v>45174</v>
      </c>
      <c r="D10476" s="1">
        <v>45180</v>
      </c>
      <c r="E10476">
        <v>1</v>
      </c>
      <c r="F10476" t="str">
        <f>"12-K11-00"</f>
        <v>12-K11-00</v>
      </c>
      <c r="G10476">
        <v>0.68740000000000001</v>
      </c>
      <c r="H10476" t="s">
        <v>11</v>
      </c>
      <c r="I10476" t="s">
        <v>16</v>
      </c>
    </row>
    <row r="10477" spans="1:9" x14ac:dyDescent="0.25">
      <c r="A10477" t="str">
        <f t="shared" si="248"/>
        <v>89301000</v>
      </c>
      <c r="B10477" t="str">
        <f>"6808091169"</f>
        <v>6808091169</v>
      </c>
      <c r="C10477" s="1">
        <v>45045</v>
      </c>
      <c r="D10477" s="1">
        <v>45051</v>
      </c>
      <c r="E10477">
        <v>1</v>
      </c>
      <c r="F10477" t="str">
        <f>"04-K05-02"</f>
        <v>04-K05-02</v>
      </c>
      <c r="G10477">
        <v>1.4463999999999999</v>
      </c>
      <c r="H10477" t="s">
        <v>11</v>
      </c>
      <c r="I10477" t="s">
        <v>10</v>
      </c>
    </row>
    <row r="10478" spans="1:9" x14ac:dyDescent="0.25">
      <c r="A10478" t="str">
        <f t="shared" si="248"/>
        <v>89301000</v>
      </c>
      <c r="B10478" t="str">
        <f>"6808091169"</f>
        <v>6808091169</v>
      </c>
      <c r="C10478" s="1">
        <v>45075</v>
      </c>
      <c r="D10478" s="1">
        <v>45097</v>
      </c>
      <c r="E10478">
        <v>7</v>
      </c>
      <c r="F10478" t="str">
        <f>"06-C02-01"</f>
        <v>06-C02-01</v>
      </c>
      <c r="G10478">
        <v>1.4963</v>
      </c>
      <c r="H10478" t="s">
        <v>11</v>
      </c>
      <c r="I10478" t="s">
        <v>10</v>
      </c>
    </row>
    <row r="10479" spans="1:9" x14ac:dyDescent="0.25">
      <c r="A10479" t="str">
        <f t="shared" si="248"/>
        <v>89301000</v>
      </c>
      <c r="B10479" t="str">
        <f>"6808111871"</f>
        <v>6808111871</v>
      </c>
      <c r="C10479" s="1">
        <v>45188</v>
      </c>
      <c r="D10479" s="1">
        <v>45191</v>
      </c>
      <c r="E10479">
        <v>1</v>
      </c>
      <c r="F10479" t="str">
        <f>"03-K04-01"</f>
        <v>03-K04-01</v>
      </c>
      <c r="G10479">
        <v>0.46479999999999999</v>
      </c>
      <c r="H10479" t="s">
        <v>11</v>
      </c>
      <c r="I10479" t="s">
        <v>10</v>
      </c>
    </row>
    <row r="10480" spans="1:9" x14ac:dyDescent="0.25">
      <c r="A10480" t="str">
        <f t="shared" si="248"/>
        <v>89301000</v>
      </c>
      <c r="B10480" t="str">
        <f>"6808150943"</f>
        <v>6808150943</v>
      </c>
      <c r="C10480" s="1">
        <v>44935</v>
      </c>
      <c r="D10480" s="1">
        <v>44943</v>
      </c>
      <c r="E10480">
        <v>1</v>
      </c>
      <c r="F10480" t="str">
        <f>"05-I24-04"</f>
        <v>05-I24-04</v>
      </c>
      <c r="G10480">
        <v>2.2235999999999998</v>
      </c>
      <c r="H10480" t="s">
        <v>12</v>
      </c>
      <c r="I10480" t="s">
        <v>10</v>
      </c>
    </row>
    <row r="10481" spans="1:9" x14ac:dyDescent="0.25">
      <c r="A10481" t="str">
        <f t="shared" si="248"/>
        <v>89301000</v>
      </c>
      <c r="B10481" t="str">
        <f>"6808150954"</f>
        <v>6808150954</v>
      </c>
      <c r="C10481" s="1">
        <v>45092</v>
      </c>
      <c r="D10481" s="1">
        <v>45097</v>
      </c>
      <c r="E10481">
        <v>1</v>
      </c>
      <c r="F10481" t="str">
        <f>"05-I14-04"</f>
        <v>05-I14-04</v>
      </c>
      <c r="G10481">
        <v>5.2220000000000004</v>
      </c>
      <c r="H10481" t="s">
        <v>12</v>
      </c>
      <c r="I10481" t="s">
        <v>10</v>
      </c>
    </row>
    <row r="10482" spans="1:9" x14ac:dyDescent="0.25">
      <c r="A10482" t="str">
        <f t="shared" si="248"/>
        <v>89301000</v>
      </c>
      <c r="B10482" t="str">
        <f>"6808150954"</f>
        <v>6808150954</v>
      </c>
      <c r="C10482" s="1">
        <v>45147</v>
      </c>
      <c r="D10482" s="1">
        <v>45148</v>
      </c>
      <c r="E10482">
        <v>1</v>
      </c>
      <c r="F10482" t="str">
        <f>"05-M05-03"</f>
        <v>05-M05-03</v>
      </c>
      <c r="G10482">
        <v>2.0312999999999999</v>
      </c>
      <c r="H10482" t="s">
        <v>14</v>
      </c>
      <c r="I10482" t="s">
        <v>10</v>
      </c>
    </row>
    <row r="10483" spans="1:9" x14ac:dyDescent="0.25">
      <c r="A10483" t="str">
        <f t="shared" si="248"/>
        <v>89301000</v>
      </c>
      <c r="B10483" t="str">
        <f>"6808150954"</f>
        <v>6808150954</v>
      </c>
      <c r="C10483" s="1">
        <v>45084</v>
      </c>
      <c r="D10483" s="1">
        <v>45089</v>
      </c>
      <c r="E10483">
        <v>1</v>
      </c>
      <c r="F10483" t="str">
        <f>"05-M06-06"</f>
        <v>05-M06-06</v>
      </c>
      <c r="G10483">
        <v>1.8264</v>
      </c>
      <c r="H10483" t="s">
        <v>12</v>
      </c>
      <c r="I10483" t="s">
        <v>10</v>
      </c>
    </row>
    <row r="10484" spans="1:9" x14ac:dyDescent="0.25">
      <c r="A10484" t="str">
        <f t="shared" si="248"/>
        <v>89301000</v>
      </c>
      <c r="B10484" t="str">
        <f>"6808201191"</f>
        <v>6808201191</v>
      </c>
      <c r="C10484" s="1">
        <v>45245</v>
      </c>
      <c r="D10484" s="1">
        <v>45247</v>
      </c>
      <c r="E10484">
        <v>1</v>
      </c>
      <c r="F10484" t="str">
        <f>"08-I26-03"</f>
        <v>08-I26-03</v>
      </c>
      <c r="G10484">
        <v>0.47699999999999998</v>
      </c>
      <c r="H10484" t="s">
        <v>11</v>
      </c>
      <c r="I10484" t="s">
        <v>10</v>
      </c>
    </row>
    <row r="10485" spans="1:9" x14ac:dyDescent="0.25">
      <c r="A10485" t="str">
        <f t="shared" si="248"/>
        <v>89301000</v>
      </c>
      <c r="B10485" t="str">
        <f>"6808281766"</f>
        <v>6808281766</v>
      </c>
      <c r="C10485" s="1">
        <v>45279</v>
      </c>
      <c r="D10485" s="1">
        <v>45281</v>
      </c>
      <c r="E10485">
        <v>1</v>
      </c>
      <c r="F10485" t="str">
        <f>"05-M05-03"</f>
        <v>05-M05-03</v>
      </c>
      <c r="G10485">
        <v>2.2866</v>
      </c>
      <c r="H10485" t="s">
        <v>14</v>
      </c>
      <c r="I10485" t="s">
        <v>10</v>
      </c>
    </row>
    <row r="10486" spans="1:9" x14ac:dyDescent="0.25">
      <c r="A10486" t="str">
        <f t="shared" si="248"/>
        <v>89301000</v>
      </c>
      <c r="B10486" t="str">
        <f>"6809021010"</f>
        <v>6809021010</v>
      </c>
      <c r="C10486" s="1">
        <v>45273</v>
      </c>
      <c r="D10486" s="1">
        <v>45275</v>
      </c>
      <c r="E10486">
        <v>1</v>
      </c>
      <c r="F10486" t="str">
        <f>"08-M03-05"</f>
        <v>08-M03-05</v>
      </c>
      <c r="G10486">
        <v>0.46810000000000002</v>
      </c>
      <c r="H10486" t="s">
        <v>11</v>
      </c>
      <c r="I10486" t="s">
        <v>10</v>
      </c>
    </row>
    <row r="10487" spans="1:9" x14ac:dyDescent="0.25">
      <c r="A10487" t="str">
        <f t="shared" si="248"/>
        <v>89301000</v>
      </c>
      <c r="B10487" t="str">
        <f>"6809021010"</f>
        <v>6809021010</v>
      </c>
      <c r="C10487" s="1">
        <v>45251</v>
      </c>
      <c r="D10487" s="1">
        <v>45253</v>
      </c>
      <c r="E10487">
        <v>1</v>
      </c>
      <c r="F10487" t="str">
        <f>"08-K08-00"</f>
        <v>08-K08-00</v>
      </c>
      <c r="G10487">
        <v>0.5272</v>
      </c>
      <c r="H10487" t="s">
        <v>11</v>
      </c>
      <c r="I10487" t="s">
        <v>10</v>
      </c>
    </row>
    <row r="10488" spans="1:9" x14ac:dyDescent="0.25">
      <c r="A10488" t="str">
        <f t="shared" si="248"/>
        <v>89301000</v>
      </c>
      <c r="B10488" t="str">
        <f>"6809052129"</f>
        <v>6809052129</v>
      </c>
      <c r="C10488" s="1">
        <v>45021</v>
      </c>
      <c r="D10488" s="1">
        <v>45024</v>
      </c>
      <c r="E10488">
        <v>1</v>
      </c>
      <c r="F10488" t="str">
        <f>"08-M03-05"</f>
        <v>08-M03-05</v>
      </c>
      <c r="G10488">
        <v>0.46810000000000002</v>
      </c>
      <c r="H10488" t="s">
        <v>11</v>
      </c>
      <c r="I10488" t="s">
        <v>10</v>
      </c>
    </row>
    <row r="10489" spans="1:9" x14ac:dyDescent="0.25">
      <c r="A10489" t="str">
        <f t="shared" si="248"/>
        <v>89301000</v>
      </c>
      <c r="B10489" t="str">
        <f>"6809160798"</f>
        <v>6809160798</v>
      </c>
      <c r="C10489" s="1">
        <v>45105</v>
      </c>
      <c r="D10489" s="1">
        <v>45111</v>
      </c>
      <c r="E10489">
        <v>1</v>
      </c>
      <c r="F10489" t="str">
        <f>"11-K03-02"</f>
        <v>11-K03-02</v>
      </c>
      <c r="G10489">
        <v>0.63990000000000002</v>
      </c>
      <c r="H10489" t="s">
        <v>11</v>
      </c>
      <c r="I10489" t="s">
        <v>10</v>
      </c>
    </row>
    <row r="10490" spans="1:9" x14ac:dyDescent="0.25">
      <c r="A10490" t="str">
        <f t="shared" si="248"/>
        <v>89301000</v>
      </c>
      <c r="B10490" t="str">
        <f>"6809160798"</f>
        <v>6809160798</v>
      </c>
      <c r="C10490" s="1">
        <v>45097</v>
      </c>
      <c r="D10490" s="1">
        <v>45100</v>
      </c>
      <c r="E10490">
        <v>1</v>
      </c>
      <c r="F10490" t="str">
        <f>"05-I29-03"</f>
        <v>05-I29-03</v>
      </c>
      <c r="G10490">
        <v>1.0078</v>
      </c>
      <c r="H10490" t="s">
        <v>12</v>
      </c>
      <c r="I10490" t="s">
        <v>10</v>
      </c>
    </row>
    <row r="10491" spans="1:9" x14ac:dyDescent="0.25">
      <c r="A10491" t="str">
        <f t="shared" si="248"/>
        <v>89301000</v>
      </c>
      <c r="B10491" t="str">
        <f>"6809160798"</f>
        <v>6809160798</v>
      </c>
      <c r="C10491" s="1">
        <v>44957</v>
      </c>
      <c r="D10491" s="1">
        <v>44958</v>
      </c>
      <c r="E10491">
        <v>1</v>
      </c>
      <c r="F10491" t="str">
        <f>"11-K03-02"</f>
        <v>11-K03-02</v>
      </c>
      <c r="G10491">
        <v>0.622</v>
      </c>
      <c r="H10491" t="s">
        <v>11</v>
      </c>
      <c r="I10491" t="s">
        <v>10</v>
      </c>
    </row>
    <row r="10492" spans="1:9" x14ac:dyDescent="0.25">
      <c r="A10492" t="str">
        <f t="shared" si="248"/>
        <v>89301000</v>
      </c>
      <c r="B10492" t="str">
        <f>"6809221023"</f>
        <v>6809221023</v>
      </c>
      <c r="C10492" s="1">
        <v>45267</v>
      </c>
      <c r="D10492" s="1">
        <v>45269</v>
      </c>
      <c r="E10492">
        <v>1</v>
      </c>
      <c r="F10492" t="str">
        <f>"09-I13-04"</f>
        <v>09-I13-04</v>
      </c>
      <c r="G10492">
        <v>0.54139999999999999</v>
      </c>
      <c r="H10492" t="s">
        <v>11</v>
      </c>
      <c r="I10492" t="s">
        <v>10</v>
      </c>
    </row>
    <row r="10493" spans="1:9" x14ac:dyDescent="0.25">
      <c r="A10493" t="str">
        <f t="shared" si="248"/>
        <v>89301000</v>
      </c>
      <c r="B10493" t="str">
        <f>"6809291104"</f>
        <v>6809291104</v>
      </c>
      <c r="C10493" s="1">
        <v>45055</v>
      </c>
      <c r="D10493" s="1">
        <v>45061</v>
      </c>
      <c r="E10493">
        <v>1</v>
      </c>
      <c r="F10493" t="str">
        <f>"07-I10-04"</f>
        <v>07-I10-04</v>
      </c>
      <c r="G10493">
        <v>1.4211</v>
      </c>
      <c r="H10493" t="s">
        <v>12</v>
      </c>
      <c r="I10493" t="s">
        <v>10</v>
      </c>
    </row>
    <row r="10494" spans="1:9" x14ac:dyDescent="0.25">
      <c r="A10494" t="str">
        <f t="shared" si="248"/>
        <v>89301000</v>
      </c>
      <c r="B10494" t="str">
        <f>"6810021251"</f>
        <v>6810021251</v>
      </c>
      <c r="C10494" s="1">
        <v>45048</v>
      </c>
      <c r="D10494" s="1">
        <v>45055</v>
      </c>
      <c r="E10494">
        <v>1</v>
      </c>
      <c r="F10494" t="str">
        <f>"08-I03-08"</f>
        <v>08-I03-08</v>
      </c>
      <c r="G10494">
        <v>1.9455</v>
      </c>
      <c r="H10494" t="s">
        <v>9</v>
      </c>
      <c r="I10494" t="s">
        <v>10</v>
      </c>
    </row>
    <row r="10495" spans="1:9" x14ac:dyDescent="0.25">
      <c r="A10495" t="str">
        <f t="shared" si="248"/>
        <v>89301000</v>
      </c>
      <c r="B10495" t="str">
        <f>"6810051391"</f>
        <v>6810051391</v>
      </c>
      <c r="C10495" s="1">
        <v>45072</v>
      </c>
      <c r="D10495" s="1">
        <v>45076</v>
      </c>
      <c r="E10495">
        <v>5</v>
      </c>
      <c r="F10495" t="str">
        <f>"25-K01-02"</f>
        <v>25-K01-02</v>
      </c>
      <c r="G10495">
        <v>2.3247</v>
      </c>
      <c r="H10495" t="s">
        <v>14</v>
      </c>
      <c r="I10495" t="s">
        <v>10</v>
      </c>
    </row>
    <row r="10496" spans="1:9" x14ac:dyDescent="0.25">
      <c r="A10496" t="str">
        <f t="shared" si="248"/>
        <v>89301000</v>
      </c>
      <c r="B10496" t="str">
        <f>"6810216556"</f>
        <v>6810216556</v>
      </c>
      <c r="C10496" s="1">
        <v>45133</v>
      </c>
      <c r="D10496" s="1">
        <v>45156</v>
      </c>
      <c r="E10496">
        <v>1</v>
      </c>
      <c r="F10496" t="str">
        <f>"88-I11-00"</f>
        <v>88-I11-00</v>
      </c>
      <c r="G10496">
        <v>1.7016</v>
      </c>
      <c r="H10496" t="s">
        <v>11</v>
      </c>
      <c r="I10496" t="s">
        <v>10</v>
      </c>
    </row>
    <row r="10497" spans="1:9" x14ac:dyDescent="0.25">
      <c r="A10497" t="str">
        <f t="shared" si="248"/>
        <v>89301000</v>
      </c>
      <c r="B10497" t="str">
        <f t="shared" ref="B10497:B10510" si="249">"6811020898"</f>
        <v>6811020898</v>
      </c>
      <c r="C10497" s="1">
        <v>45215</v>
      </c>
      <c r="D10497" s="1">
        <v>45217</v>
      </c>
      <c r="E10497">
        <v>1</v>
      </c>
      <c r="F10497" t="str">
        <f t="shared" ref="F10497:F10510" si="250">"06-C02-01"</f>
        <v>06-C02-01</v>
      </c>
      <c r="G10497">
        <v>0.31909999999999999</v>
      </c>
      <c r="H10497" t="s">
        <v>11</v>
      </c>
      <c r="I10497" t="s">
        <v>10</v>
      </c>
    </row>
    <row r="10498" spans="1:9" x14ac:dyDescent="0.25">
      <c r="A10498" t="str">
        <f t="shared" si="248"/>
        <v>89301000</v>
      </c>
      <c r="B10498" t="str">
        <f t="shared" si="249"/>
        <v>6811020898</v>
      </c>
      <c r="C10498" s="1">
        <v>45229</v>
      </c>
      <c r="D10498" s="1">
        <v>45231</v>
      </c>
      <c r="E10498">
        <v>1</v>
      </c>
      <c r="F10498" t="str">
        <f t="shared" si="250"/>
        <v>06-C02-01</v>
      </c>
      <c r="G10498">
        <v>0.31909999999999999</v>
      </c>
      <c r="H10498" t="s">
        <v>11</v>
      </c>
      <c r="I10498" t="s">
        <v>10</v>
      </c>
    </row>
    <row r="10499" spans="1:9" x14ac:dyDescent="0.25">
      <c r="A10499" t="str">
        <f t="shared" si="248"/>
        <v>89301000</v>
      </c>
      <c r="B10499" t="str">
        <f t="shared" si="249"/>
        <v>6811020898</v>
      </c>
      <c r="C10499" s="1">
        <v>45201</v>
      </c>
      <c r="D10499" s="1">
        <v>45203</v>
      </c>
      <c r="E10499">
        <v>1</v>
      </c>
      <c r="F10499" t="str">
        <f t="shared" si="250"/>
        <v>06-C02-01</v>
      </c>
      <c r="G10499">
        <v>0.31909999999999999</v>
      </c>
      <c r="H10499" t="s">
        <v>11</v>
      </c>
      <c r="I10499" t="s">
        <v>10</v>
      </c>
    </row>
    <row r="10500" spans="1:9" x14ac:dyDescent="0.25">
      <c r="A10500" t="str">
        <f t="shared" si="248"/>
        <v>89301000</v>
      </c>
      <c r="B10500" t="str">
        <f t="shared" si="249"/>
        <v>6811020898</v>
      </c>
      <c r="C10500" s="1">
        <v>45187</v>
      </c>
      <c r="D10500" s="1">
        <v>45189</v>
      </c>
      <c r="E10500">
        <v>1</v>
      </c>
      <c r="F10500" t="str">
        <f t="shared" si="250"/>
        <v>06-C02-01</v>
      </c>
      <c r="G10500">
        <v>0.31909999999999999</v>
      </c>
      <c r="H10500" t="s">
        <v>11</v>
      </c>
      <c r="I10500" t="s">
        <v>10</v>
      </c>
    </row>
    <row r="10501" spans="1:9" x14ac:dyDescent="0.25">
      <c r="A10501" t="str">
        <f t="shared" si="248"/>
        <v>89301000</v>
      </c>
      <c r="B10501" t="str">
        <f t="shared" si="249"/>
        <v>6811020898</v>
      </c>
      <c r="C10501" s="1">
        <v>45170</v>
      </c>
      <c r="D10501" s="1">
        <v>45172</v>
      </c>
      <c r="E10501">
        <v>1</v>
      </c>
      <c r="F10501" t="str">
        <f t="shared" si="250"/>
        <v>06-C02-01</v>
      </c>
      <c r="G10501">
        <v>0.31909999999999999</v>
      </c>
      <c r="H10501" t="s">
        <v>11</v>
      </c>
      <c r="I10501" t="s">
        <v>10</v>
      </c>
    </row>
    <row r="10502" spans="1:9" x14ac:dyDescent="0.25">
      <c r="A10502" t="str">
        <f t="shared" si="248"/>
        <v>89301000</v>
      </c>
      <c r="B10502" t="str">
        <f t="shared" si="249"/>
        <v>6811020898</v>
      </c>
      <c r="C10502" s="1">
        <v>45156</v>
      </c>
      <c r="D10502" s="1">
        <v>45158</v>
      </c>
      <c r="E10502">
        <v>1</v>
      </c>
      <c r="F10502" t="str">
        <f t="shared" si="250"/>
        <v>06-C02-01</v>
      </c>
      <c r="G10502">
        <v>0.31909999999999999</v>
      </c>
      <c r="H10502" t="s">
        <v>11</v>
      </c>
      <c r="I10502" t="s">
        <v>10</v>
      </c>
    </row>
    <row r="10503" spans="1:9" x14ac:dyDescent="0.25">
      <c r="A10503" t="str">
        <f t="shared" si="248"/>
        <v>89301000</v>
      </c>
      <c r="B10503" t="str">
        <f t="shared" si="249"/>
        <v>6811020898</v>
      </c>
      <c r="C10503" s="1">
        <v>45141</v>
      </c>
      <c r="D10503" s="1">
        <v>45143</v>
      </c>
      <c r="E10503">
        <v>1</v>
      </c>
      <c r="F10503" t="str">
        <f t="shared" si="250"/>
        <v>06-C02-01</v>
      </c>
      <c r="G10503">
        <v>0.31909999999999999</v>
      </c>
      <c r="H10503" t="s">
        <v>11</v>
      </c>
      <c r="I10503" t="s">
        <v>10</v>
      </c>
    </row>
    <row r="10504" spans="1:9" x14ac:dyDescent="0.25">
      <c r="A10504" t="str">
        <f t="shared" si="248"/>
        <v>89301000</v>
      </c>
      <c r="B10504" t="str">
        <f t="shared" si="249"/>
        <v>6811020898</v>
      </c>
      <c r="C10504" s="1">
        <v>45126</v>
      </c>
      <c r="D10504" s="1">
        <v>45128</v>
      </c>
      <c r="E10504">
        <v>1</v>
      </c>
      <c r="F10504" t="str">
        <f t="shared" si="250"/>
        <v>06-C02-01</v>
      </c>
      <c r="G10504">
        <v>0.31909999999999999</v>
      </c>
      <c r="H10504" t="s">
        <v>11</v>
      </c>
      <c r="I10504" t="s">
        <v>10</v>
      </c>
    </row>
    <row r="10505" spans="1:9" x14ac:dyDescent="0.25">
      <c r="A10505" t="str">
        <f t="shared" si="248"/>
        <v>89301000</v>
      </c>
      <c r="B10505" t="str">
        <f t="shared" si="249"/>
        <v>6811020898</v>
      </c>
      <c r="C10505" s="1">
        <v>45105</v>
      </c>
      <c r="D10505" s="1">
        <v>45107</v>
      </c>
      <c r="E10505">
        <v>1</v>
      </c>
      <c r="F10505" t="str">
        <f t="shared" si="250"/>
        <v>06-C02-01</v>
      </c>
      <c r="G10505">
        <v>0.31909999999999999</v>
      </c>
      <c r="H10505" t="s">
        <v>11</v>
      </c>
      <c r="I10505" t="s">
        <v>10</v>
      </c>
    </row>
    <row r="10506" spans="1:9" x14ac:dyDescent="0.25">
      <c r="A10506" t="str">
        <f t="shared" si="248"/>
        <v>89301000</v>
      </c>
      <c r="B10506" t="str">
        <f t="shared" si="249"/>
        <v>6811020898</v>
      </c>
      <c r="C10506" s="1">
        <v>45091</v>
      </c>
      <c r="D10506" s="1">
        <v>45093</v>
      </c>
      <c r="E10506">
        <v>1</v>
      </c>
      <c r="F10506" t="str">
        <f t="shared" si="250"/>
        <v>06-C02-01</v>
      </c>
      <c r="G10506">
        <v>0.31909999999999999</v>
      </c>
      <c r="H10506" t="s">
        <v>11</v>
      </c>
      <c r="I10506" t="s">
        <v>10</v>
      </c>
    </row>
    <row r="10507" spans="1:9" x14ac:dyDescent="0.25">
      <c r="A10507" t="str">
        <f t="shared" si="248"/>
        <v>89301000</v>
      </c>
      <c r="B10507" t="str">
        <f t="shared" si="249"/>
        <v>6811020898</v>
      </c>
      <c r="C10507" s="1">
        <v>45077</v>
      </c>
      <c r="D10507" s="1">
        <v>45079</v>
      </c>
      <c r="E10507">
        <v>1</v>
      </c>
      <c r="F10507" t="str">
        <f t="shared" si="250"/>
        <v>06-C02-01</v>
      </c>
      <c r="G10507">
        <v>0.31909999999999999</v>
      </c>
      <c r="H10507" t="s">
        <v>11</v>
      </c>
      <c r="I10507" t="s">
        <v>10</v>
      </c>
    </row>
    <row r="10508" spans="1:9" x14ac:dyDescent="0.25">
      <c r="A10508" t="str">
        <f t="shared" si="248"/>
        <v>89301000</v>
      </c>
      <c r="B10508" t="str">
        <f t="shared" si="249"/>
        <v>6811020898</v>
      </c>
      <c r="C10508" s="1">
        <v>45063</v>
      </c>
      <c r="D10508" s="1">
        <v>45065</v>
      </c>
      <c r="E10508">
        <v>1</v>
      </c>
      <c r="F10508" t="str">
        <f t="shared" si="250"/>
        <v>06-C02-01</v>
      </c>
      <c r="G10508">
        <v>0.31909999999999999</v>
      </c>
      <c r="H10508" t="s">
        <v>11</v>
      </c>
      <c r="I10508" t="s">
        <v>10</v>
      </c>
    </row>
    <row r="10509" spans="1:9" x14ac:dyDescent="0.25">
      <c r="A10509" t="str">
        <f t="shared" si="248"/>
        <v>89301000</v>
      </c>
      <c r="B10509" t="str">
        <f t="shared" si="249"/>
        <v>6811020898</v>
      </c>
      <c r="C10509" s="1">
        <v>45049</v>
      </c>
      <c r="D10509" s="1">
        <v>45051</v>
      </c>
      <c r="E10509">
        <v>1</v>
      </c>
      <c r="F10509" t="str">
        <f t="shared" si="250"/>
        <v>06-C02-01</v>
      </c>
      <c r="G10509">
        <v>0.31909999999999999</v>
      </c>
      <c r="H10509" t="s">
        <v>11</v>
      </c>
      <c r="I10509" t="s">
        <v>10</v>
      </c>
    </row>
    <row r="10510" spans="1:9" x14ac:dyDescent="0.25">
      <c r="A10510" t="str">
        <f t="shared" si="248"/>
        <v>89301000</v>
      </c>
      <c r="B10510" t="str">
        <f t="shared" si="249"/>
        <v>6811020898</v>
      </c>
      <c r="C10510" s="1">
        <v>45033</v>
      </c>
      <c r="D10510" s="1">
        <v>45036</v>
      </c>
      <c r="E10510">
        <v>1</v>
      </c>
      <c r="F10510" t="str">
        <f t="shared" si="250"/>
        <v>06-C02-01</v>
      </c>
      <c r="G10510">
        <v>0.31909999999999999</v>
      </c>
      <c r="H10510" t="s">
        <v>11</v>
      </c>
      <c r="I10510" t="s">
        <v>10</v>
      </c>
    </row>
    <row r="10511" spans="1:9" x14ac:dyDescent="0.25">
      <c r="A10511" t="str">
        <f t="shared" si="248"/>
        <v>89301000</v>
      </c>
      <c r="B10511" t="str">
        <f>"6811031084"</f>
        <v>6811031084</v>
      </c>
      <c r="C10511" s="1">
        <v>44973</v>
      </c>
      <c r="D10511" s="1">
        <v>44974</v>
      </c>
      <c r="E10511">
        <v>6</v>
      </c>
      <c r="F10511" t="str">
        <f>"01-K10-03"</f>
        <v>01-K10-03</v>
      </c>
      <c r="G10511">
        <v>0.69930000000000003</v>
      </c>
      <c r="H10511" t="s">
        <v>11</v>
      </c>
      <c r="I10511" t="s">
        <v>10</v>
      </c>
    </row>
    <row r="10512" spans="1:9" x14ac:dyDescent="0.25">
      <c r="A10512" t="str">
        <f t="shared" si="248"/>
        <v>89301000</v>
      </c>
      <c r="B10512" t="str">
        <f>"6811080804"</f>
        <v>6811080804</v>
      </c>
      <c r="C10512" s="1">
        <v>45203</v>
      </c>
      <c r="D10512" s="1">
        <v>45204</v>
      </c>
      <c r="E10512">
        <v>1</v>
      </c>
      <c r="F10512" t="str">
        <f>"08-I26-03"</f>
        <v>08-I26-03</v>
      </c>
      <c r="G10512">
        <v>0.47699999999999998</v>
      </c>
      <c r="H10512" t="s">
        <v>11</v>
      </c>
      <c r="I10512" t="s">
        <v>10</v>
      </c>
    </row>
    <row r="10513" spans="1:9" x14ac:dyDescent="0.25">
      <c r="A10513" t="str">
        <f t="shared" si="248"/>
        <v>89301000</v>
      </c>
      <c r="B10513" t="str">
        <f>"6811090363"</f>
        <v>6811090363</v>
      </c>
      <c r="C10513" s="1">
        <v>44965</v>
      </c>
      <c r="D10513" s="1">
        <v>44967</v>
      </c>
      <c r="E10513">
        <v>1</v>
      </c>
      <c r="F10513" t="str">
        <f>"08-M03-05"</f>
        <v>08-M03-05</v>
      </c>
      <c r="G10513">
        <v>0.46810000000000002</v>
      </c>
      <c r="H10513" t="s">
        <v>11</v>
      </c>
      <c r="I10513" t="s">
        <v>10</v>
      </c>
    </row>
    <row r="10514" spans="1:9" x14ac:dyDescent="0.25">
      <c r="A10514" t="str">
        <f t="shared" si="248"/>
        <v>89301000</v>
      </c>
      <c r="B10514" t="str">
        <f>"6811131107"</f>
        <v>6811131107</v>
      </c>
      <c r="C10514" s="1">
        <v>45015</v>
      </c>
      <c r="D10514" s="1">
        <v>45019</v>
      </c>
      <c r="E10514">
        <v>1</v>
      </c>
      <c r="F10514" t="str">
        <f>"06-I22-02"</f>
        <v>06-I22-02</v>
      </c>
      <c r="G10514">
        <v>0.41810000000000003</v>
      </c>
      <c r="H10514" t="s">
        <v>12</v>
      </c>
      <c r="I10514" t="s">
        <v>10</v>
      </c>
    </row>
    <row r="10515" spans="1:9" x14ac:dyDescent="0.25">
      <c r="A10515" t="str">
        <f t="shared" si="248"/>
        <v>89301000</v>
      </c>
      <c r="B10515" t="str">
        <f>"6811211550"</f>
        <v>6811211550</v>
      </c>
      <c r="C10515" s="1">
        <v>45000</v>
      </c>
      <c r="D10515" s="1">
        <v>45020</v>
      </c>
      <c r="E10515">
        <v>5</v>
      </c>
      <c r="F10515" t="str">
        <f>"05-K07-03"</f>
        <v>05-K07-03</v>
      </c>
      <c r="G10515">
        <v>1.7626999999999999</v>
      </c>
      <c r="H10515" t="s">
        <v>11</v>
      </c>
      <c r="I10515" t="s">
        <v>10</v>
      </c>
    </row>
    <row r="10516" spans="1:9" x14ac:dyDescent="0.25">
      <c r="A10516" t="str">
        <f t="shared" si="248"/>
        <v>89301000</v>
      </c>
      <c r="B10516" t="str">
        <f>"6811211550"</f>
        <v>6811211550</v>
      </c>
      <c r="C10516" s="1">
        <v>44933</v>
      </c>
      <c r="D10516" s="1">
        <v>44935</v>
      </c>
      <c r="E10516">
        <v>1</v>
      </c>
      <c r="F10516" t="str">
        <f>"05-K07-05"</f>
        <v>05-K07-05</v>
      </c>
      <c r="G10516">
        <v>0.74719999999999998</v>
      </c>
      <c r="H10516" t="s">
        <v>11</v>
      </c>
      <c r="I10516" t="s">
        <v>10</v>
      </c>
    </row>
    <row r="10517" spans="1:9" x14ac:dyDescent="0.25">
      <c r="A10517" t="str">
        <f t="shared" si="248"/>
        <v>89301000</v>
      </c>
      <c r="B10517" t="str">
        <f>"6811231174"</f>
        <v>6811231174</v>
      </c>
      <c r="C10517" s="1">
        <v>45007</v>
      </c>
      <c r="D10517" s="1">
        <v>45010</v>
      </c>
      <c r="E10517">
        <v>1</v>
      </c>
      <c r="F10517" t="str">
        <f>"08-M03-04"</f>
        <v>08-M03-04</v>
      </c>
      <c r="G10517">
        <v>0.87760000000000005</v>
      </c>
      <c r="H10517" t="s">
        <v>11</v>
      </c>
      <c r="I10517" t="s">
        <v>10</v>
      </c>
    </row>
    <row r="10518" spans="1:9" x14ac:dyDescent="0.25">
      <c r="A10518" t="str">
        <f t="shared" si="248"/>
        <v>89301000</v>
      </c>
      <c r="B10518" t="str">
        <f>"6811251084"</f>
        <v>6811251084</v>
      </c>
      <c r="C10518" s="1">
        <v>45007</v>
      </c>
      <c r="D10518" s="1">
        <v>45012</v>
      </c>
      <c r="E10518">
        <v>1</v>
      </c>
      <c r="F10518" t="str">
        <f>"08-I23-01"</f>
        <v>08-I23-01</v>
      </c>
      <c r="G10518">
        <v>1.6314</v>
      </c>
      <c r="H10518" t="s">
        <v>12</v>
      </c>
      <c r="I10518" t="s">
        <v>10</v>
      </c>
    </row>
    <row r="10519" spans="1:9" x14ac:dyDescent="0.25">
      <c r="A10519" t="str">
        <f t="shared" si="248"/>
        <v>89301000</v>
      </c>
      <c r="B10519" t="str">
        <f>"6811280465"</f>
        <v>6811280465</v>
      </c>
      <c r="C10519" s="1">
        <v>45280</v>
      </c>
      <c r="D10519" s="1">
        <v>45283</v>
      </c>
      <c r="E10519">
        <v>1</v>
      </c>
      <c r="F10519" t="str">
        <f>"08-M03-05"</f>
        <v>08-M03-05</v>
      </c>
      <c r="G10519">
        <v>0.46810000000000002</v>
      </c>
      <c r="H10519" t="s">
        <v>11</v>
      </c>
      <c r="I10519" t="s">
        <v>10</v>
      </c>
    </row>
    <row r="10520" spans="1:9" x14ac:dyDescent="0.25">
      <c r="A10520" t="str">
        <f t="shared" si="248"/>
        <v>89301000</v>
      </c>
      <c r="B10520" t="str">
        <f t="shared" ref="B10520:B10526" si="251">"6811290915"</f>
        <v>6811290915</v>
      </c>
      <c r="C10520" s="1">
        <v>45033</v>
      </c>
      <c r="D10520" s="1">
        <v>45035</v>
      </c>
      <c r="E10520">
        <v>1</v>
      </c>
      <c r="F10520" t="str">
        <f>"17-K09-02"</f>
        <v>17-K09-02</v>
      </c>
      <c r="G10520">
        <v>0.77080000000000004</v>
      </c>
      <c r="H10520" t="s">
        <v>11</v>
      </c>
      <c r="I10520" t="s">
        <v>10</v>
      </c>
    </row>
    <row r="10521" spans="1:9" x14ac:dyDescent="0.25">
      <c r="A10521" t="str">
        <f t="shared" si="248"/>
        <v>89301000</v>
      </c>
      <c r="B10521" t="str">
        <f t="shared" si="251"/>
        <v>6811290915</v>
      </c>
      <c r="C10521" s="1">
        <v>45041</v>
      </c>
      <c r="D10521" s="1">
        <v>45058</v>
      </c>
      <c r="E10521">
        <v>1</v>
      </c>
      <c r="F10521" t="str">
        <f>"17-C05-01"</f>
        <v>17-C05-01</v>
      </c>
      <c r="G10521">
        <v>7.1651999999999996</v>
      </c>
      <c r="H10521" t="s">
        <v>11</v>
      </c>
      <c r="I10521" t="s">
        <v>10</v>
      </c>
    </row>
    <row r="10522" spans="1:9" x14ac:dyDescent="0.25">
      <c r="A10522" t="str">
        <f t="shared" si="248"/>
        <v>89301000</v>
      </c>
      <c r="B10522" t="str">
        <f t="shared" si="251"/>
        <v>6811290915</v>
      </c>
      <c r="C10522" s="1">
        <v>45139</v>
      </c>
      <c r="D10522" s="1">
        <v>45166</v>
      </c>
      <c r="E10522">
        <v>1</v>
      </c>
      <c r="F10522" t="str">
        <f>"17-C05-01"</f>
        <v>17-C05-01</v>
      </c>
      <c r="G10522">
        <v>6.8254999999999999</v>
      </c>
      <c r="H10522" t="s">
        <v>11</v>
      </c>
      <c r="I10522" t="s">
        <v>10</v>
      </c>
    </row>
    <row r="10523" spans="1:9" x14ac:dyDescent="0.25">
      <c r="A10523" t="str">
        <f t="shared" si="248"/>
        <v>89301000</v>
      </c>
      <c r="B10523" t="str">
        <f t="shared" si="251"/>
        <v>6811290915</v>
      </c>
      <c r="C10523" s="1">
        <v>45181</v>
      </c>
      <c r="D10523" s="1">
        <v>45202</v>
      </c>
      <c r="E10523">
        <v>1</v>
      </c>
      <c r="F10523" t="str">
        <f>"17-C05-02"</f>
        <v>17-C05-02</v>
      </c>
      <c r="G10523">
        <v>2.3085</v>
      </c>
      <c r="H10523" t="s">
        <v>11</v>
      </c>
      <c r="I10523" t="s">
        <v>10</v>
      </c>
    </row>
    <row r="10524" spans="1:9" x14ac:dyDescent="0.25">
      <c r="A10524" t="str">
        <f t="shared" si="248"/>
        <v>89301000</v>
      </c>
      <c r="B10524" t="str">
        <f t="shared" si="251"/>
        <v>6811290915</v>
      </c>
      <c r="C10524" s="1">
        <v>45231</v>
      </c>
      <c r="D10524" s="1">
        <v>45233</v>
      </c>
      <c r="E10524">
        <v>1</v>
      </c>
      <c r="F10524" t="str">
        <f>"17-K05-02"</f>
        <v>17-K05-02</v>
      </c>
      <c r="G10524">
        <v>0.67759999999999998</v>
      </c>
      <c r="H10524" t="s">
        <v>11</v>
      </c>
      <c r="I10524" t="s">
        <v>10</v>
      </c>
    </row>
    <row r="10525" spans="1:9" x14ac:dyDescent="0.25">
      <c r="A10525" t="str">
        <f t="shared" si="248"/>
        <v>89301000</v>
      </c>
      <c r="B10525" t="str">
        <f t="shared" si="251"/>
        <v>6811290915</v>
      </c>
      <c r="C10525" s="1">
        <v>45110</v>
      </c>
      <c r="D10525" s="1">
        <v>45132</v>
      </c>
      <c r="E10525">
        <v>1</v>
      </c>
      <c r="F10525" t="str">
        <f>"17-C05-01"</f>
        <v>17-C05-01</v>
      </c>
      <c r="G10525">
        <v>6.5636999999999999</v>
      </c>
      <c r="H10525" t="s">
        <v>11</v>
      </c>
      <c r="I10525" t="s">
        <v>10</v>
      </c>
    </row>
    <row r="10526" spans="1:9" x14ac:dyDescent="0.25">
      <c r="A10526" t="str">
        <f t="shared" si="248"/>
        <v>89301000</v>
      </c>
      <c r="B10526" t="str">
        <f t="shared" si="251"/>
        <v>6811290915</v>
      </c>
      <c r="C10526" s="1">
        <v>45237</v>
      </c>
      <c r="D10526" s="1">
        <v>45239</v>
      </c>
      <c r="E10526">
        <v>1</v>
      </c>
      <c r="F10526" t="str">
        <f>"17-K05-02"</f>
        <v>17-K05-02</v>
      </c>
      <c r="G10526">
        <v>0.71850000000000003</v>
      </c>
      <c r="H10526" t="s">
        <v>11</v>
      </c>
      <c r="I10526" t="s">
        <v>10</v>
      </c>
    </row>
    <row r="10527" spans="1:9" x14ac:dyDescent="0.25">
      <c r="A10527" t="str">
        <f t="shared" si="248"/>
        <v>89301000</v>
      </c>
      <c r="B10527" t="str">
        <f>"6812130930"</f>
        <v>6812130930</v>
      </c>
      <c r="C10527" s="1">
        <v>44942</v>
      </c>
      <c r="D10527" s="1">
        <v>44951</v>
      </c>
      <c r="E10527">
        <v>1</v>
      </c>
      <c r="F10527" t="str">
        <f>"03-C01-02"</f>
        <v>03-C01-02</v>
      </c>
      <c r="G10527">
        <v>0.45800000000000002</v>
      </c>
      <c r="H10527" t="s">
        <v>11</v>
      </c>
      <c r="I10527" t="s">
        <v>10</v>
      </c>
    </row>
    <row r="10528" spans="1:9" x14ac:dyDescent="0.25">
      <c r="A10528" t="str">
        <f t="shared" si="248"/>
        <v>89301000</v>
      </c>
      <c r="B10528" t="str">
        <f>"6812190979"</f>
        <v>6812190979</v>
      </c>
      <c r="C10528" s="1">
        <v>44945</v>
      </c>
      <c r="D10528" s="1">
        <v>44951</v>
      </c>
      <c r="E10528">
        <v>1</v>
      </c>
      <c r="F10528" t="str">
        <f>"12-I02-01"</f>
        <v>12-I02-01</v>
      </c>
      <c r="G10528">
        <v>3.3855</v>
      </c>
      <c r="H10528" t="s">
        <v>9</v>
      </c>
      <c r="I10528" t="s">
        <v>10</v>
      </c>
    </row>
    <row r="10529" spans="1:9" x14ac:dyDescent="0.25">
      <c r="A10529" t="str">
        <f t="shared" si="248"/>
        <v>89301000</v>
      </c>
      <c r="B10529" t="str">
        <f>"6812201253"</f>
        <v>6812201253</v>
      </c>
      <c r="C10529" s="1">
        <v>44992</v>
      </c>
      <c r="D10529" s="1">
        <v>44998</v>
      </c>
      <c r="E10529">
        <v>1</v>
      </c>
      <c r="F10529" t="str">
        <f>"10-K04-04"</f>
        <v>10-K04-04</v>
      </c>
      <c r="G10529">
        <v>0.53949999999999998</v>
      </c>
      <c r="H10529" t="s">
        <v>11</v>
      </c>
      <c r="I10529" t="s">
        <v>10</v>
      </c>
    </row>
    <row r="10530" spans="1:9" x14ac:dyDescent="0.25">
      <c r="A10530" t="str">
        <f t="shared" si="248"/>
        <v>89301000</v>
      </c>
      <c r="B10530" t="str">
        <f>"6812201484"</f>
        <v>6812201484</v>
      </c>
      <c r="C10530" s="1">
        <v>45189</v>
      </c>
      <c r="D10530" s="1">
        <v>45191</v>
      </c>
      <c r="E10530">
        <v>1</v>
      </c>
      <c r="F10530" t="str">
        <f>"08-I23-02"</f>
        <v>08-I23-02</v>
      </c>
      <c r="G10530">
        <v>0.95350000000000001</v>
      </c>
      <c r="H10530" t="s">
        <v>12</v>
      </c>
      <c r="I10530" t="s">
        <v>10</v>
      </c>
    </row>
    <row r="10531" spans="1:9" x14ac:dyDescent="0.25">
      <c r="A10531" t="str">
        <f t="shared" si="248"/>
        <v>89301000</v>
      </c>
      <c r="B10531" t="str">
        <f>"6812231580"</f>
        <v>6812231580</v>
      </c>
      <c r="C10531" s="1">
        <v>44943</v>
      </c>
      <c r="D10531" s="1">
        <v>44950</v>
      </c>
      <c r="E10531">
        <v>1</v>
      </c>
      <c r="F10531" t="str">
        <f>"01-K04-02"</f>
        <v>01-K04-02</v>
      </c>
      <c r="G10531">
        <v>0.79990000000000006</v>
      </c>
      <c r="H10531" t="s">
        <v>11</v>
      </c>
      <c r="I10531" t="s">
        <v>10</v>
      </c>
    </row>
    <row r="10532" spans="1:9" x14ac:dyDescent="0.25">
      <c r="A10532" t="str">
        <f t="shared" si="248"/>
        <v>89301000</v>
      </c>
      <c r="B10532" t="str">
        <f>"6851131529"</f>
        <v>6851131529</v>
      </c>
      <c r="C10532" s="1">
        <v>45063</v>
      </c>
      <c r="D10532" s="1">
        <v>45065</v>
      </c>
      <c r="E10532">
        <v>1</v>
      </c>
      <c r="F10532" t="str">
        <f>"13-I19-00"</f>
        <v>13-I19-00</v>
      </c>
      <c r="G10532">
        <v>0.28249999999999997</v>
      </c>
      <c r="H10532" t="s">
        <v>11</v>
      </c>
      <c r="I10532" t="s">
        <v>10</v>
      </c>
    </row>
    <row r="10533" spans="1:9" x14ac:dyDescent="0.25">
      <c r="A10533" t="str">
        <f t="shared" si="248"/>
        <v>89301000</v>
      </c>
      <c r="B10533" t="str">
        <f>"6851232036"</f>
        <v>6851232036</v>
      </c>
      <c r="C10533" s="1">
        <v>45025</v>
      </c>
      <c r="D10533" s="1">
        <v>45027</v>
      </c>
      <c r="E10533">
        <v>1</v>
      </c>
      <c r="F10533" t="str">
        <f>"03-K03-02"</f>
        <v>03-K03-02</v>
      </c>
      <c r="G10533">
        <v>0.51949999999999996</v>
      </c>
      <c r="H10533" t="s">
        <v>11</v>
      </c>
      <c r="I10533" t="s">
        <v>10</v>
      </c>
    </row>
    <row r="10534" spans="1:9" x14ac:dyDescent="0.25">
      <c r="A10534" t="str">
        <f t="shared" ref="A10534:A10597" si="252">"89301000"</f>
        <v>89301000</v>
      </c>
      <c r="B10534" t="str">
        <f>"6851260394"</f>
        <v>6851260394</v>
      </c>
      <c r="C10534" s="1">
        <v>45173</v>
      </c>
      <c r="D10534" s="1">
        <v>45177</v>
      </c>
      <c r="E10534">
        <v>1</v>
      </c>
      <c r="F10534" t="str">
        <f>"09-K14-02"</f>
        <v>09-K14-02</v>
      </c>
      <c r="G10534">
        <v>0.5</v>
      </c>
      <c r="H10534" t="s">
        <v>11</v>
      </c>
      <c r="I10534" t="s">
        <v>10</v>
      </c>
    </row>
    <row r="10535" spans="1:9" x14ac:dyDescent="0.25">
      <c r="A10535" t="str">
        <f t="shared" si="252"/>
        <v>89301000</v>
      </c>
      <c r="B10535" t="str">
        <f>"6852101333"</f>
        <v>6852101333</v>
      </c>
      <c r="C10535" s="1">
        <v>44963</v>
      </c>
      <c r="D10535" s="1">
        <v>44974</v>
      </c>
      <c r="E10535">
        <v>1</v>
      </c>
      <c r="F10535" t="str">
        <f>"24-M06-02"</f>
        <v>24-M06-02</v>
      </c>
      <c r="G10535">
        <v>1.0699000000000001</v>
      </c>
      <c r="H10535" t="s">
        <v>11</v>
      </c>
      <c r="I10535" t="s">
        <v>10</v>
      </c>
    </row>
    <row r="10536" spans="1:9" x14ac:dyDescent="0.25">
      <c r="A10536" t="str">
        <f t="shared" si="252"/>
        <v>89301000</v>
      </c>
      <c r="B10536" t="str">
        <f>"6852110067"</f>
        <v>6852110067</v>
      </c>
      <c r="C10536" s="1">
        <v>44959</v>
      </c>
      <c r="D10536" s="1">
        <v>44962</v>
      </c>
      <c r="E10536">
        <v>1</v>
      </c>
      <c r="F10536" t="str">
        <f>"05-I30-01"</f>
        <v>05-I30-01</v>
      </c>
      <c r="G10536">
        <v>0.60309999999999997</v>
      </c>
      <c r="H10536" t="s">
        <v>12</v>
      </c>
      <c r="I10536" t="s">
        <v>10</v>
      </c>
    </row>
    <row r="10537" spans="1:9" x14ac:dyDescent="0.25">
      <c r="A10537" t="str">
        <f t="shared" si="252"/>
        <v>89301000</v>
      </c>
      <c r="B10537" t="str">
        <f>"6852130087"</f>
        <v>6852130087</v>
      </c>
      <c r="C10537" s="1">
        <v>45069</v>
      </c>
      <c r="D10537" s="1">
        <v>45073</v>
      </c>
      <c r="E10537">
        <v>1</v>
      </c>
      <c r="F10537" t="str">
        <f>"06-I22-01"</f>
        <v>06-I22-01</v>
      </c>
      <c r="G10537">
        <v>0.68120000000000003</v>
      </c>
      <c r="H10537" t="s">
        <v>12</v>
      </c>
      <c r="I10537" t="s">
        <v>10</v>
      </c>
    </row>
    <row r="10538" spans="1:9" x14ac:dyDescent="0.25">
      <c r="A10538" t="str">
        <f t="shared" si="252"/>
        <v>89301000</v>
      </c>
      <c r="B10538" t="str">
        <f>"6852150272"</f>
        <v>6852150272</v>
      </c>
      <c r="C10538" s="1">
        <v>45211</v>
      </c>
      <c r="D10538" s="1">
        <v>45215</v>
      </c>
      <c r="E10538">
        <v>1</v>
      </c>
      <c r="F10538" t="str">
        <f>"09-I06-04"</f>
        <v>09-I06-04</v>
      </c>
      <c r="G10538">
        <v>0.97140000000000004</v>
      </c>
      <c r="H10538" t="s">
        <v>12</v>
      </c>
      <c r="I10538" t="s">
        <v>10</v>
      </c>
    </row>
    <row r="10539" spans="1:9" x14ac:dyDescent="0.25">
      <c r="A10539" t="str">
        <f t="shared" si="252"/>
        <v>89301000</v>
      </c>
      <c r="B10539" t="str">
        <f>"6853012221"</f>
        <v>6853012221</v>
      </c>
      <c r="C10539" s="1">
        <v>44942</v>
      </c>
      <c r="D10539" s="1">
        <v>44943</v>
      </c>
      <c r="E10539">
        <v>1</v>
      </c>
      <c r="F10539" t="str">
        <f>"02-I13-02"</f>
        <v>02-I13-02</v>
      </c>
      <c r="G10539">
        <v>0.4259</v>
      </c>
      <c r="H10539" t="s">
        <v>11</v>
      </c>
      <c r="I10539" t="s">
        <v>10</v>
      </c>
    </row>
    <row r="10540" spans="1:9" x14ac:dyDescent="0.25">
      <c r="A10540" t="str">
        <f t="shared" si="252"/>
        <v>89301000</v>
      </c>
      <c r="B10540" t="str">
        <f>"6853101288"</f>
        <v>6853101288</v>
      </c>
      <c r="C10540" s="1">
        <v>45230</v>
      </c>
      <c r="D10540" s="1">
        <v>45232</v>
      </c>
      <c r="E10540">
        <v>1</v>
      </c>
      <c r="F10540" t="str">
        <f>"08-M03-02"</f>
        <v>08-M03-02</v>
      </c>
      <c r="G10540">
        <v>0.91359999999999997</v>
      </c>
      <c r="H10540" t="s">
        <v>11</v>
      </c>
      <c r="I10540" t="s">
        <v>10</v>
      </c>
    </row>
    <row r="10541" spans="1:9" x14ac:dyDescent="0.25">
      <c r="A10541" t="str">
        <f t="shared" si="252"/>
        <v>89301000</v>
      </c>
      <c r="B10541" t="str">
        <f>"6853140393"</f>
        <v>6853140393</v>
      </c>
      <c r="C10541" s="1">
        <v>45119</v>
      </c>
      <c r="D10541" s="1">
        <v>45124</v>
      </c>
      <c r="E10541">
        <v>1</v>
      </c>
      <c r="F10541" t="str">
        <f>"04-K02-02"</f>
        <v>04-K02-02</v>
      </c>
      <c r="G10541">
        <v>2.8616999999999999</v>
      </c>
      <c r="H10541" t="s">
        <v>11</v>
      </c>
      <c r="I10541" t="s">
        <v>10</v>
      </c>
    </row>
    <row r="10542" spans="1:9" x14ac:dyDescent="0.25">
      <c r="A10542" t="str">
        <f t="shared" si="252"/>
        <v>89301000</v>
      </c>
      <c r="B10542" t="str">
        <f>"6853141405"</f>
        <v>6853141405</v>
      </c>
      <c r="C10542" s="1">
        <v>45275</v>
      </c>
      <c r="D10542" s="1">
        <v>45276</v>
      </c>
      <c r="E10542">
        <v>1</v>
      </c>
      <c r="F10542" t="str">
        <f>"05-D01-08"</f>
        <v>05-D01-08</v>
      </c>
      <c r="G10542">
        <v>0.43159999999999998</v>
      </c>
      <c r="H10542" t="s">
        <v>11</v>
      </c>
      <c r="I10542" t="s">
        <v>10</v>
      </c>
    </row>
    <row r="10543" spans="1:9" x14ac:dyDescent="0.25">
      <c r="A10543" t="str">
        <f t="shared" si="252"/>
        <v>89301000</v>
      </c>
      <c r="B10543" t="str">
        <f>"6853180103"</f>
        <v>6853180103</v>
      </c>
      <c r="C10543" s="1">
        <v>45125</v>
      </c>
      <c r="D10543" s="1">
        <v>45127</v>
      </c>
      <c r="E10543">
        <v>1</v>
      </c>
      <c r="F10543" t="str">
        <f>"08-M03-05"</f>
        <v>08-M03-05</v>
      </c>
      <c r="G10543">
        <v>0.46810000000000002</v>
      </c>
      <c r="H10543" t="s">
        <v>11</v>
      </c>
      <c r="I10543" t="s">
        <v>10</v>
      </c>
    </row>
    <row r="10544" spans="1:9" x14ac:dyDescent="0.25">
      <c r="A10544" t="str">
        <f t="shared" si="252"/>
        <v>89301000</v>
      </c>
      <c r="B10544" t="str">
        <f>"6853190025"</f>
        <v>6853190025</v>
      </c>
      <c r="C10544" s="1">
        <v>44965</v>
      </c>
      <c r="D10544" s="1">
        <v>44968</v>
      </c>
      <c r="E10544">
        <v>1</v>
      </c>
      <c r="F10544" t="str">
        <f>"09-I08-02"</f>
        <v>09-I08-02</v>
      </c>
      <c r="G10544">
        <v>1.0949</v>
      </c>
      <c r="H10544" t="s">
        <v>14</v>
      </c>
      <c r="I10544" t="s">
        <v>10</v>
      </c>
    </row>
    <row r="10545" spans="1:9" x14ac:dyDescent="0.25">
      <c r="A10545" t="str">
        <f t="shared" si="252"/>
        <v>89301000</v>
      </c>
      <c r="B10545" t="str">
        <f>"6853200827"</f>
        <v>6853200827</v>
      </c>
      <c r="C10545" s="1">
        <v>45061</v>
      </c>
      <c r="D10545" s="1">
        <v>45064</v>
      </c>
      <c r="E10545">
        <v>1</v>
      </c>
      <c r="F10545" t="str">
        <f>"08-I03-08"</f>
        <v>08-I03-08</v>
      </c>
      <c r="G10545">
        <v>1.9455</v>
      </c>
      <c r="H10545" t="s">
        <v>9</v>
      </c>
      <c r="I10545" t="s">
        <v>10</v>
      </c>
    </row>
    <row r="10546" spans="1:9" x14ac:dyDescent="0.25">
      <c r="A10546" t="str">
        <f t="shared" si="252"/>
        <v>89301000</v>
      </c>
      <c r="B10546" t="str">
        <f>"6853202015"</f>
        <v>6853202015</v>
      </c>
      <c r="C10546" s="1">
        <v>45264</v>
      </c>
      <c r="D10546" s="1">
        <v>45272</v>
      </c>
      <c r="E10546">
        <v>1</v>
      </c>
      <c r="F10546" t="str">
        <f>"01-D01-02"</f>
        <v>01-D01-02</v>
      </c>
      <c r="G10546">
        <v>0.51300000000000001</v>
      </c>
      <c r="H10546" t="s">
        <v>11</v>
      </c>
      <c r="I10546" t="s">
        <v>10</v>
      </c>
    </row>
    <row r="10547" spans="1:9" x14ac:dyDescent="0.25">
      <c r="A10547" t="str">
        <f t="shared" si="252"/>
        <v>89301000</v>
      </c>
      <c r="B10547" t="str">
        <f>"6853210804"</f>
        <v>6853210804</v>
      </c>
      <c r="C10547" s="1">
        <v>45064</v>
      </c>
      <c r="D10547" s="1">
        <v>45066</v>
      </c>
      <c r="E10547">
        <v>1</v>
      </c>
      <c r="F10547" t="str">
        <f>"13-I19-00"</f>
        <v>13-I19-00</v>
      </c>
      <c r="G10547">
        <v>0.28249999999999997</v>
      </c>
      <c r="H10547" t="s">
        <v>11</v>
      </c>
      <c r="I10547" t="s">
        <v>10</v>
      </c>
    </row>
    <row r="10548" spans="1:9" x14ac:dyDescent="0.25">
      <c r="A10548" t="str">
        <f t="shared" si="252"/>
        <v>89301000</v>
      </c>
      <c r="B10548" t="str">
        <f>"6853251592"</f>
        <v>6853251592</v>
      </c>
      <c r="C10548" s="1">
        <v>45114</v>
      </c>
      <c r="D10548" s="1">
        <v>45124</v>
      </c>
      <c r="E10548">
        <v>1</v>
      </c>
      <c r="F10548" t="str">
        <f>"07-I10-04"</f>
        <v>07-I10-04</v>
      </c>
      <c r="G10548">
        <v>1.4211</v>
      </c>
      <c r="H10548" t="s">
        <v>12</v>
      </c>
      <c r="I10548" t="s">
        <v>10</v>
      </c>
    </row>
    <row r="10549" spans="1:9" x14ac:dyDescent="0.25">
      <c r="A10549" t="str">
        <f t="shared" si="252"/>
        <v>89301000</v>
      </c>
      <c r="B10549" t="str">
        <f>"6853251592"</f>
        <v>6853251592</v>
      </c>
      <c r="C10549" s="1">
        <v>45093</v>
      </c>
      <c r="D10549" s="1">
        <v>45096</v>
      </c>
      <c r="E10549">
        <v>1</v>
      </c>
      <c r="F10549" t="str">
        <f>"07-M02-02"</f>
        <v>07-M02-02</v>
      </c>
      <c r="G10549">
        <v>2.0733000000000001</v>
      </c>
      <c r="H10549" t="s">
        <v>12</v>
      </c>
      <c r="I10549" t="s">
        <v>10</v>
      </c>
    </row>
    <row r="10550" spans="1:9" x14ac:dyDescent="0.25">
      <c r="A10550" t="str">
        <f t="shared" si="252"/>
        <v>89301000</v>
      </c>
      <c r="B10550" t="str">
        <f>"6854050775"</f>
        <v>6854050775</v>
      </c>
      <c r="C10550" s="1">
        <v>44969</v>
      </c>
      <c r="D10550" s="1">
        <v>44971</v>
      </c>
      <c r="E10550">
        <v>1</v>
      </c>
      <c r="F10550" t="str">
        <f>"08-M03-05"</f>
        <v>08-M03-05</v>
      </c>
      <c r="G10550">
        <v>0.46810000000000002</v>
      </c>
      <c r="H10550" t="s">
        <v>11</v>
      </c>
      <c r="I10550" t="s">
        <v>10</v>
      </c>
    </row>
    <row r="10551" spans="1:9" x14ac:dyDescent="0.25">
      <c r="A10551" t="str">
        <f t="shared" si="252"/>
        <v>89301000</v>
      </c>
      <c r="B10551" t="str">
        <f>"6854110274"</f>
        <v>6854110274</v>
      </c>
      <c r="C10551" s="1">
        <v>45261</v>
      </c>
      <c r="D10551" s="1">
        <v>45267</v>
      </c>
      <c r="E10551">
        <v>8</v>
      </c>
      <c r="F10551" t="str">
        <f>"09-K08-01"</f>
        <v>09-K08-01</v>
      </c>
      <c r="G10551">
        <v>1.0841000000000001</v>
      </c>
      <c r="H10551" t="s">
        <v>11</v>
      </c>
      <c r="I10551" t="s">
        <v>10</v>
      </c>
    </row>
    <row r="10552" spans="1:9" x14ac:dyDescent="0.25">
      <c r="A10552" t="str">
        <f t="shared" si="252"/>
        <v>89301000</v>
      </c>
      <c r="B10552" t="str">
        <f>"6854110274"</f>
        <v>6854110274</v>
      </c>
      <c r="C10552" s="1">
        <v>45223</v>
      </c>
      <c r="D10552" s="1">
        <v>45237</v>
      </c>
      <c r="E10552">
        <v>1</v>
      </c>
      <c r="F10552" t="str">
        <f>"09-K08-01"</f>
        <v>09-K08-01</v>
      </c>
      <c r="G10552">
        <v>1.1941999999999999</v>
      </c>
      <c r="H10552" t="s">
        <v>11</v>
      </c>
      <c r="I10552" t="s">
        <v>10</v>
      </c>
    </row>
    <row r="10553" spans="1:9" x14ac:dyDescent="0.25">
      <c r="A10553" t="str">
        <f t="shared" si="252"/>
        <v>89301000</v>
      </c>
      <c r="B10553" t="str">
        <f>"6854110274"</f>
        <v>6854110274</v>
      </c>
      <c r="C10553" s="1">
        <v>45034</v>
      </c>
      <c r="D10553" s="1">
        <v>45037</v>
      </c>
      <c r="E10553">
        <v>1</v>
      </c>
      <c r="F10553" t="str">
        <f>"09-I07-02"</f>
        <v>09-I07-02</v>
      </c>
      <c r="G10553">
        <v>1.4584999999999999</v>
      </c>
      <c r="H10553" t="s">
        <v>14</v>
      </c>
      <c r="I10553" t="s">
        <v>10</v>
      </c>
    </row>
    <row r="10554" spans="1:9" x14ac:dyDescent="0.25">
      <c r="A10554" t="str">
        <f t="shared" si="252"/>
        <v>89301000</v>
      </c>
      <c r="B10554" t="str">
        <f>"6854110274"</f>
        <v>6854110274</v>
      </c>
      <c r="C10554" s="1">
        <v>45057</v>
      </c>
      <c r="D10554" s="1">
        <v>45058</v>
      </c>
      <c r="E10554">
        <v>1</v>
      </c>
      <c r="F10554" t="str">
        <f>"09-K08-02"</f>
        <v>09-K08-02</v>
      </c>
      <c r="G10554">
        <v>0.49280000000000002</v>
      </c>
      <c r="H10554" t="s">
        <v>11</v>
      </c>
      <c r="I10554" t="s">
        <v>10</v>
      </c>
    </row>
    <row r="10555" spans="1:9" x14ac:dyDescent="0.25">
      <c r="A10555" t="str">
        <f t="shared" si="252"/>
        <v>89301000</v>
      </c>
      <c r="B10555" t="str">
        <f>"6854220362"</f>
        <v>6854220362</v>
      </c>
      <c r="C10555" s="1">
        <v>45090</v>
      </c>
      <c r="D10555" s="1">
        <v>45096</v>
      </c>
      <c r="E10555">
        <v>1</v>
      </c>
      <c r="F10555" t="str">
        <f>"08-K08-00"</f>
        <v>08-K08-00</v>
      </c>
      <c r="G10555">
        <v>0.5272</v>
      </c>
      <c r="H10555" t="s">
        <v>11</v>
      </c>
      <c r="I10555" t="s">
        <v>10</v>
      </c>
    </row>
    <row r="10556" spans="1:9" x14ac:dyDescent="0.25">
      <c r="A10556" t="str">
        <f t="shared" si="252"/>
        <v>89301000</v>
      </c>
      <c r="B10556" t="str">
        <f>"6854232011"</f>
        <v>6854232011</v>
      </c>
      <c r="C10556" s="1">
        <v>45212</v>
      </c>
      <c r="D10556" s="1">
        <v>45214</v>
      </c>
      <c r="E10556">
        <v>1</v>
      </c>
      <c r="F10556" t="str">
        <f>"02-K11-02"</f>
        <v>02-K11-02</v>
      </c>
      <c r="G10556">
        <v>0.56559999999999999</v>
      </c>
      <c r="H10556" t="s">
        <v>11</v>
      </c>
      <c r="I10556" t="s">
        <v>10</v>
      </c>
    </row>
    <row r="10557" spans="1:9" x14ac:dyDescent="0.25">
      <c r="A10557" t="str">
        <f t="shared" si="252"/>
        <v>89301000</v>
      </c>
      <c r="B10557" t="str">
        <f>"6854232011"</f>
        <v>6854232011</v>
      </c>
      <c r="C10557" s="1">
        <v>45154</v>
      </c>
      <c r="D10557" s="1">
        <v>45156</v>
      </c>
      <c r="E10557">
        <v>1</v>
      </c>
      <c r="F10557" t="str">
        <f>"02-K11-02"</f>
        <v>02-K11-02</v>
      </c>
      <c r="G10557">
        <v>0.56559999999999999</v>
      </c>
      <c r="H10557" t="s">
        <v>11</v>
      </c>
      <c r="I10557" t="s">
        <v>10</v>
      </c>
    </row>
    <row r="10558" spans="1:9" x14ac:dyDescent="0.25">
      <c r="A10558" t="str">
        <f t="shared" si="252"/>
        <v>89301000</v>
      </c>
      <c r="B10558" t="str">
        <f>"6854232011"</f>
        <v>6854232011</v>
      </c>
      <c r="C10558" s="1">
        <v>45184</v>
      </c>
      <c r="D10558" s="1">
        <v>45186</v>
      </c>
      <c r="E10558">
        <v>1</v>
      </c>
      <c r="F10558" t="str">
        <f>"02-K11-02"</f>
        <v>02-K11-02</v>
      </c>
      <c r="G10558">
        <v>0.56559999999999999</v>
      </c>
      <c r="H10558" t="s">
        <v>11</v>
      </c>
      <c r="I10558" t="s">
        <v>10</v>
      </c>
    </row>
    <row r="10559" spans="1:9" x14ac:dyDescent="0.25">
      <c r="A10559" t="str">
        <f t="shared" si="252"/>
        <v>89301000</v>
      </c>
      <c r="B10559" t="str">
        <f>"6854242153"</f>
        <v>6854242153</v>
      </c>
      <c r="C10559" s="1">
        <v>45212</v>
      </c>
      <c r="D10559" s="1">
        <v>45214</v>
      </c>
      <c r="E10559">
        <v>1</v>
      </c>
      <c r="F10559" t="str">
        <f>"09-I13-04"</f>
        <v>09-I13-04</v>
      </c>
      <c r="G10559">
        <v>0.54139999999999999</v>
      </c>
      <c r="H10559" t="s">
        <v>11</v>
      </c>
      <c r="I10559" t="s">
        <v>10</v>
      </c>
    </row>
    <row r="10560" spans="1:9" x14ac:dyDescent="0.25">
      <c r="A10560" t="str">
        <f t="shared" si="252"/>
        <v>89301000</v>
      </c>
      <c r="B10560" t="str">
        <f>"6854300112"</f>
        <v>6854300112</v>
      </c>
      <c r="C10560" s="1">
        <v>45032</v>
      </c>
      <c r="D10560" s="1">
        <v>45034</v>
      </c>
      <c r="E10560">
        <v>1</v>
      </c>
      <c r="F10560" t="str">
        <f>"03-I19-03"</f>
        <v>03-I19-03</v>
      </c>
      <c r="G10560">
        <v>0.53420000000000001</v>
      </c>
      <c r="H10560" t="s">
        <v>11</v>
      </c>
      <c r="I10560" t="s">
        <v>10</v>
      </c>
    </row>
    <row r="10561" spans="1:9" x14ac:dyDescent="0.25">
      <c r="A10561" t="str">
        <f t="shared" si="252"/>
        <v>89301000</v>
      </c>
      <c r="B10561" t="str">
        <f>"6855030215"</f>
        <v>6855030215</v>
      </c>
      <c r="C10561" s="1">
        <v>45229</v>
      </c>
      <c r="D10561" s="1">
        <v>45232</v>
      </c>
      <c r="E10561">
        <v>1</v>
      </c>
      <c r="F10561" t="str">
        <f>"05-I30-01"</f>
        <v>05-I30-01</v>
      </c>
      <c r="G10561">
        <v>0.60309999999999997</v>
      </c>
      <c r="H10561" t="s">
        <v>12</v>
      </c>
      <c r="I10561" t="s">
        <v>10</v>
      </c>
    </row>
    <row r="10562" spans="1:9" x14ac:dyDescent="0.25">
      <c r="A10562" t="str">
        <f t="shared" si="252"/>
        <v>89301000</v>
      </c>
      <c r="B10562" t="str">
        <f>"6855080067"</f>
        <v>6855080067</v>
      </c>
      <c r="C10562" s="1">
        <v>45126</v>
      </c>
      <c r="D10562" s="1">
        <v>45127</v>
      </c>
      <c r="E10562">
        <v>1</v>
      </c>
      <c r="F10562" t="str">
        <f>"01-K07-03"</f>
        <v>01-K07-03</v>
      </c>
      <c r="G10562">
        <v>0.48680000000000001</v>
      </c>
      <c r="H10562" t="s">
        <v>11</v>
      </c>
      <c r="I10562" t="s">
        <v>10</v>
      </c>
    </row>
    <row r="10563" spans="1:9" x14ac:dyDescent="0.25">
      <c r="A10563" t="str">
        <f t="shared" si="252"/>
        <v>89301000</v>
      </c>
      <c r="B10563" t="str">
        <f>"6855256804"</f>
        <v>6855256804</v>
      </c>
      <c r="C10563" s="1">
        <v>45135</v>
      </c>
      <c r="D10563" s="1">
        <v>45138</v>
      </c>
      <c r="E10563">
        <v>1</v>
      </c>
      <c r="F10563" t="str">
        <f>"01-D01-03"</f>
        <v>01-D01-03</v>
      </c>
      <c r="G10563">
        <v>0.21060000000000001</v>
      </c>
      <c r="H10563" t="s">
        <v>11</v>
      </c>
      <c r="I10563" t="s">
        <v>10</v>
      </c>
    </row>
    <row r="10564" spans="1:9" x14ac:dyDescent="0.25">
      <c r="A10564" t="str">
        <f t="shared" si="252"/>
        <v>89301000</v>
      </c>
      <c r="B10564" t="str">
        <f>"6855256804"</f>
        <v>6855256804</v>
      </c>
      <c r="C10564" s="1">
        <v>45034</v>
      </c>
      <c r="D10564" s="1">
        <v>45035</v>
      </c>
      <c r="E10564">
        <v>1</v>
      </c>
      <c r="F10564" t="str">
        <f>"01-D01-03"</f>
        <v>01-D01-03</v>
      </c>
      <c r="G10564">
        <v>0.16200000000000001</v>
      </c>
      <c r="H10564" t="s">
        <v>11</v>
      </c>
      <c r="I10564" t="s">
        <v>10</v>
      </c>
    </row>
    <row r="10565" spans="1:9" x14ac:dyDescent="0.25">
      <c r="A10565" t="str">
        <f t="shared" si="252"/>
        <v>89301000</v>
      </c>
      <c r="B10565" t="str">
        <f>"6855291212"</f>
        <v>6855291212</v>
      </c>
      <c r="C10565" s="1">
        <v>45244</v>
      </c>
      <c r="D10565" s="1">
        <v>45281</v>
      </c>
      <c r="E10565">
        <v>1</v>
      </c>
      <c r="F10565" t="str">
        <f>"19-K08-02"</f>
        <v>19-K08-02</v>
      </c>
      <c r="G10565">
        <v>4.4416000000000002</v>
      </c>
      <c r="H10565" t="s">
        <v>15</v>
      </c>
      <c r="I10565" t="s">
        <v>10</v>
      </c>
    </row>
    <row r="10566" spans="1:9" x14ac:dyDescent="0.25">
      <c r="A10566" t="str">
        <f t="shared" si="252"/>
        <v>89301000</v>
      </c>
      <c r="B10566" t="str">
        <f>"6856010557"</f>
        <v>6856010557</v>
      </c>
      <c r="C10566" s="1">
        <v>45266</v>
      </c>
      <c r="D10566" s="1">
        <v>45269</v>
      </c>
      <c r="E10566">
        <v>1</v>
      </c>
      <c r="F10566" t="str">
        <f>"09-I07-02"</f>
        <v>09-I07-02</v>
      </c>
      <c r="G10566">
        <v>1.3992</v>
      </c>
      <c r="H10566" t="s">
        <v>14</v>
      </c>
      <c r="I10566" t="s">
        <v>10</v>
      </c>
    </row>
    <row r="10567" spans="1:9" x14ac:dyDescent="0.25">
      <c r="A10567" t="str">
        <f t="shared" si="252"/>
        <v>89301000</v>
      </c>
      <c r="B10567" t="str">
        <f>"6856030379"</f>
        <v>6856030379</v>
      </c>
      <c r="C10567" s="1">
        <v>45233</v>
      </c>
      <c r="D10567" s="1">
        <v>45272</v>
      </c>
      <c r="E10567">
        <v>1</v>
      </c>
      <c r="F10567" t="str">
        <f>"04-K05-03"</f>
        <v>04-K05-03</v>
      </c>
      <c r="G10567">
        <v>2.5832000000000002</v>
      </c>
      <c r="H10567" t="s">
        <v>11</v>
      </c>
      <c r="I10567" t="s">
        <v>10</v>
      </c>
    </row>
    <row r="10568" spans="1:9" x14ac:dyDescent="0.25">
      <c r="A10568" t="str">
        <f t="shared" si="252"/>
        <v>89301000</v>
      </c>
      <c r="B10568" t="str">
        <f>"6856030379"</f>
        <v>6856030379</v>
      </c>
      <c r="C10568" s="1">
        <v>45215</v>
      </c>
      <c r="D10568" s="1">
        <v>45217</v>
      </c>
      <c r="E10568">
        <v>1</v>
      </c>
      <c r="F10568" t="str">
        <f>"05-K13-02"</f>
        <v>05-K13-02</v>
      </c>
      <c r="G10568">
        <v>0.57220000000000004</v>
      </c>
      <c r="H10568" t="s">
        <v>11</v>
      </c>
      <c r="I10568" t="s">
        <v>10</v>
      </c>
    </row>
    <row r="10569" spans="1:9" x14ac:dyDescent="0.25">
      <c r="A10569" t="str">
        <f t="shared" si="252"/>
        <v>89301000</v>
      </c>
      <c r="B10569" t="str">
        <f>"6856030379"</f>
        <v>6856030379</v>
      </c>
      <c r="C10569" s="1">
        <v>45163</v>
      </c>
      <c r="D10569" s="1">
        <v>45175</v>
      </c>
      <c r="E10569">
        <v>1</v>
      </c>
      <c r="F10569" t="str">
        <f>"01-K12-01"</f>
        <v>01-K12-01</v>
      </c>
      <c r="G10569">
        <v>0.9123</v>
      </c>
      <c r="H10569" t="s">
        <v>11</v>
      </c>
      <c r="I10569" t="s">
        <v>10</v>
      </c>
    </row>
    <row r="10570" spans="1:9" x14ac:dyDescent="0.25">
      <c r="A10570" t="str">
        <f t="shared" si="252"/>
        <v>89301000</v>
      </c>
      <c r="B10570" t="str">
        <f>"6856030379"</f>
        <v>6856030379</v>
      </c>
      <c r="C10570" s="1">
        <v>45093</v>
      </c>
      <c r="D10570" s="1">
        <v>45121</v>
      </c>
      <c r="E10570">
        <v>1</v>
      </c>
      <c r="F10570" t="str">
        <f>"19-K07-01"</f>
        <v>19-K07-01</v>
      </c>
      <c r="G10570">
        <v>2.9567000000000001</v>
      </c>
      <c r="H10570" t="s">
        <v>15</v>
      </c>
      <c r="I10570" t="s">
        <v>10</v>
      </c>
    </row>
    <row r="10571" spans="1:9" x14ac:dyDescent="0.25">
      <c r="A10571" t="str">
        <f t="shared" si="252"/>
        <v>89301000</v>
      </c>
      <c r="B10571" t="str">
        <f>"6856030379"</f>
        <v>6856030379</v>
      </c>
      <c r="C10571" s="1">
        <v>45065</v>
      </c>
      <c r="D10571" s="1">
        <v>45089</v>
      </c>
      <c r="E10571">
        <v>1</v>
      </c>
      <c r="F10571" t="str">
        <f>"09-K03-02"</f>
        <v>09-K03-02</v>
      </c>
      <c r="G10571">
        <v>1.3834</v>
      </c>
      <c r="H10571" t="s">
        <v>11</v>
      </c>
      <c r="I10571" t="s">
        <v>10</v>
      </c>
    </row>
    <row r="10572" spans="1:9" x14ac:dyDescent="0.25">
      <c r="A10572" t="str">
        <f t="shared" si="252"/>
        <v>89301000</v>
      </c>
      <c r="B10572" t="str">
        <f>"6856050190"</f>
        <v>6856050190</v>
      </c>
      <c r="C10572" s="1">
        <v>45264</v>
      </c>
      <c r="D10572" s="1">
        <v>45266</v>
      </c>
      <c r="E10572">
        <v>1</v>
      </c>
      <c r="F10572" t="str">
        <f>"08-M03-05"</f>
        <v>08-M03-05</v>
      </c>
      <c r="G10572">
        <v>0.46810000000000002</v>
      </c>
      <c r="H10572" t="s">
        <v>11</v>
      </c>
      <c r="I10572" t="s">
        <v>10</v>
      </c>
    </row>
    <row r="10573" spans="1:9" x14ac:dyDescent="0.25">
      <c r="A10573" t="str">
        <f t="shared" si="252"/>
        <v>89301000</v>
      </c>
      <c r="B10573" t="str">
        <f>"6856081650"</f>
        <v>6856081650</v>
      </c>
      <c r="C10573" s="1">
        <v>44944</v>
      </c>
      <c r="D10573" s="1">
        <v>44946</v>
      </c>
      <c r="E10573">
        <v>1</v>
      </c>
      <c r="F10573" t="str">
        <f>"01-K18-04"</f>
        <v>01-K18-04</v>
      </c>
      <c r="G10573">
        <v>0.54610000000000003</v>
      </c>
      <c r="H10573" t="s">
        <v>11</v>
      </c>
      <c r="I10573" t="s">
        <v>10</v>
      </c>
    </row>
    <row r="10574" spans="1:9" x14ac:dyDescent="0.25">
      <c r="A10574" t="str">
        <f t="shared" si="252"/>
        <v>89301000</v>
      </c>
      <c r="B10574" t="str">
        <f>"6856131942"</f>
        <v>6856131942</v>
      </c>
      <c r="C10574" s="1">
        <v>45028</v>
      </c>
      <c r="D10574" s="1">
        <v>45036</v>
      </c>
      <c r="E10574">
        <v>1</v>
      </c>
      <c r="F10574" t="str">
        <f>"08-K08-00"</f>
        <v>08-K08-00</v>
      </c>
      <c r="G10574">
        <v>0.5272</v>
      </c>
      <c r="H10574" t="s">
        <v>11</v>
      </c>
      <c r="I10574" t="s">
        <v>10</v>
      </c>
    </row>
    <row r="10575" spans="1:9" x14ac:dyDescent="0.25">
      <c r="A10575" t="str">
        <f t="shared" si="252"/>
        <v>89301000</v>
      </c>
      <c r="B10575" t="str">
        <f>"6856241722"</f>
        <v>6856241722</v>
      </c>
      <c r="C10575" s="1">
        <v>45273</v>
      </c>
      <c r="D10575" s="1">
        <v>45275</v>
      </c>
      <c r="E10575">
        <v>2</v>
      </c>
      <c r="F10575" t="str">
        <f>"02-K01-02"</f>
        <v>02-K01-02</v>
      </c>
      <c r="G10575">
        <v>0.90510000000000002</v>
      </c>
      <c r="H10575" t="s">
        <v>11</v>
      </c>
      <c r="I10575" t="s">
        <v>10</v>
      </c>
    </row>
    <row r="10576" spans="1:9" x14ac:dyDescent="0.25">
      <c r="A10576" t="str">
        <f t="shared" si="252"/>
        <v>89301000</v>
      </c>
      <c r="B10576" t="str">
        <f>"6856241722"</f>
        <v>6856241722</v>
      </c>
      <c r="C10576" s="1">
        <v>45153</v>
      </c>
      <c r="D10576" s="1">
        <v>45155</v>
      </c>
      <c r="E10576">
        <v>1</v>
      </c>
      <c r="F10576" t="str">
        <f>"02-I08-02"</f>
        <v>02-I08-02</v>
      </c>
      <c r="G10576">
        <v>0.60729999999999995</v>
      </c>
      <c r="H10576" t="s">
        <v>12</v>
      </c>
      <c r="I10576" t="s">
        <v>10</v>
      </c>
    </row>
    <row r="10577" spans="1:9" x14ac:dyDescent="0.25">
      <c r="A10577" t="str">
        <f t="shared" si="252"/>
        <v>89301000</v>
      </c>
      <c r="B10577" t="str">
        <f>"6856250137"</f>
        <v>6856250137</v>
      </c>
      <c r="C10577" s="1">
        <v>45197</v>
      </c>
      <c r="D10577" s="1">
        <v>45200</v>
      </c>
      <c r="E10577">
        <v>1</v>
      </c>
      <c r="F10577" t="str">
        <f>"08-I22-02"</f>
        <v>08-I22-02</v>
      </c>
      <c r="G10577">
        <v>1.131</v>
      </c>
      <c r="H10577" t="s">
        <v>12</v>
      </c>
      <c r="I10577" t="s">
        <v>10</v>
      </c>
    </row>
    <row r="10578" spans="1:9" x14ac:dyDescent="0.25">
      <c r="A10578" t="str">
        <f t="shared" si="252"/>
        <v>89301000</v>
      </c>
      <c r="B10578" t="str">
        <f>"6856270102"</f>
        <v>6856270102</v>
      </c>
      <c r="C10578" s="1">
        <v>45195</v>
      </c>
      <c r="D10578" s="1">
        <v>45215</v>
      </c>
      <c r="E10578">
        <v>1</v>
      </c>
      <c r="F10578" t="str">
        <f>"19-K05-02"</f>
        <v>19-K05-02</v>
      </c>
      <c r="G10578">
        <v>1.7688999999999999</v>
      </c>
      <c r="H10578" t="s">
        <v>15</v>
      </c>
      <c r="I10578" t="s">
        <v>10</v>
      </c>
    </row>
    <row r="10579" spans="1:9" x14ac:dyDescent="0.25">
      <c r="A10579" t="str">
        <f t="shared" si="252"/>
        <v>89301000</v>
      </c>
      <c r="B10579" t="str">
        <f>"6856270806"</f>
        <v>6856270806</v>
      </c>
      <c r="C10579" s="1">
        <v>44972</v>
      </c>
      <c r="D10579" s="1">
        <v>44973</v>
      </c>
      <c r="E10579">
        <v>1</v>
      </c>
      <c r="F10579" t="str">
        <f>"17-K03-02"</f>
        <v>17-K03-02</v>
      </c>
      <c r="G10579">
        <v>0.92989999999999995</v>
      </c>
      <c r="H10579" t="s">
        <v>11</v>
      </c>
      <c r="I10579" t="s">
        <v>10</v>
      </c>
    </row>
    <row r="10580" spans="1:9" x14ac:dyDescent="0.25">
      <c r="A10580" t="str">
        <f t="shared" si="252"/>
        <v>89301000</v>
      </c>
      <c r="B10580" t="str">
        <f>"6857060705"</f>
        <v>6857060705</v>
      </c>
      <c r="C10580" s="1">
        <v>44952</v>
      </c>
      <c r="D10580" s="1">
        <v>44958</v>
      </c>
      <c r="E10580">
        <v>1</v>
      </c>
      <c r="F10580" t="str">
        <f>"10-I13-02"</f>
        <v>10-I13-02</v>
      </c>
      <c r="G10580">
        <v>1.1124000000000001</v>
      </c>
      <c r="H10580" t="s">
        <v>9</v>
      </c>
      <c r="I10580" t="s">
        <v>10</v>
      </c>
    </row>
    <row r="10581" spans="1:9" x14ac:dyDescent="0.25">
      <c r="A10581" t="str">
        <f t="shared" si="252"/>
        <v>89301000</v>
      </c>
      <c r="B10581" t="str">
        <f>"6857100470"</f>
        <v>6857100470</v>
      </c>
      <c r="C10581" s="1">
        <v>45276</v>
      </c>
      <c r="D10581" s="1">
        <v>45283</v>
      </c>
      <c r="E10581">
        <v>5</v>
      </c>
      <c r="F10581" t="str">
        <f>"00-M01-03"</f>
        <v>00-M01-03</v>
      </c>
      <c r="G10581">
        <v>10.3605</v>
      </c>
      <c r="H10581" t="s">
        <v>11</v>
      </c>
      <c r="I10581" t="s">
        <v>10</v>
      </c>
    </row>
    <row r="10582" spans="1:9" x14ac:dyDescent="0.25">
      <c r="A10582" t="str">
        <f t="shared" si="252"/>
        <v>89301000</v>
      </c>
      <c r="B10582" t="str">
        <f>"6857240775"</f>
        <v>6857240775</v>
      </c>
      <c r="C10582" s="1">
        <v>45179</v>
      </c>
      <c r="D10582" s="1">
        <v>45182</v>
      </c>
      <c r="E10582">
        <v>1</v>
      </c>
      <c r="F10582" t="str">
        <f>"08-M03-05"</f>
        <v>08-M03-05</v>
      </c>
      <c r="G10582">
        <v>0.46810000000000002</v>
      </c>
      <c r="H10582" t="s">
        <v>11</v>
      </c>
      <c r="I10582" t="s">
        <v>10</v>
      </c>
    </row>
    <row r="10583" spans="1:9" x14ac:dyDescent="0.25">
      <c r="A10583" t="str">
        <f t="shared" si="252"/>
        <v>89301000</v>
      </c>
      <c r="B10583" t="str">
        <f>"6857260828"</f>
        <v>6857260828</v>
      </c>
      <c r="C10583" s="1">
        <v>44978</v>
      </c>
      <c r="D10583" s="1">
        <v>44983</v>
      </c>
      <c r="E10583">
        <v>1</v>
      </c>
      <c r="F10583" t="str">
        <f>"03-I18-03"</f>
        <v>03-I18-03</v>
      </c>
      <c r="G10583">
        <v>0.83940000000000003</v>
      </c>
      <c r="H10583" t="s">
        <v>9</v>
      </c>
      <c r="I10583" t="s">
        <v>10</v>
      </c>
    </row>
    <row r="10584" spans="1:9" x14ac:dyDescent="0.25">
      <c r="A10584" t="str">
        <f t="shared" si="252"/>
        <v>89301000</v>
      </c>
      <c r="B10584" t="str">
        <f>"6857302034"</f>
        <v>6857302034</v>
      </c>
      <c r="C10584" s="1">
        <v>44956</v>
      </c>
      <c r="D10584" s="1">
        <v>44964</v>
      </c>
      <c r="E10584">
        <v>1</v>
      </c>
      <c r="F10584" t="str">
        <f>"08-K08-00"</f>
        <v>08-K08-00</v>
      </c>
      <c r="G10584">
        <v>0.5272</v>
      </c>
      <c r="H10584" t="s">
        <v>11</v>
      </c>
      <c r="I10584" t="s">
        <v>10</v>
      </c>
    </row>
    <row r="10585" spans="1:9" x14ac:dyDescent="0.25">
      <c r="A10585" t="str">
        <f t="shared" si="252"/>
        <v>89301000</v>
      </c>
      <c r="B10585" t="str">
        <f>"6858020708"</f>
        <v>6858020708</v>
      </c>
      <c r="C10585" s="1">
        <v>44920</v>
      </c>
      <c r="D10585" s="1">
        <v>44930</v>
      </c>
      <c r="E10585">
        <v>1</v>
      </c>
      <c r="F10585" t="str">
        <f>"19-K04-01"</f>
        <v>19-K04-01</v>
      </c>
      <c r="G10585">
        <v>1.5724</v>
      </c>
      <c r="H10585" t="s">
        <v>15</v>
      </c>
      <c r="I10585" t="s">
        <v>10</v>
      </c>
    </row>
    <row r="10586" spans="1:9" x14ac:dyDescent="0.25">
      <c r="A10586" t="str">
        <f t="shared" si="252"/>
        <v>89301000</v>
      </c>
      <c r="B10586" t="str">
        <f>"6858031081"</f>
        <v>6858031081</v>
      </c>
      <c r="C10586" s="1">
        <v>45124</v>
      </c>
      <c r="D10586" s="1">
        <v>45125</v>
      </c>
      <c r="E10586">
        <v>1</v>
      </c>
      <c r="F10586" t="str">
        <f>"05-D01-08"</f>
        <v>05-D01-08</v>
      </c>
      <c r="G10586">
        <v>0.43159999999999998</v>
      </c>
      <c r="H10586" t="s">
        <v>11</v>
      </c>
      <c r="I10586" t="s">
        <v>10</v>
      </c>
    </row>
    <row r="10587" spans="1:9" x14ac:dyDescent="0.25">
      <c r="A10587" t="str">
        <f t="shared" si="252"/>
        <v>89301000</v>
      </c>
      <c r="B10587" t="str">
        <f>"6858050551"</f>
        <v>6858050551</v>
      </c>
      <c r="C10587" s="1">
        <v>45043</v>
      </c>
      <c r="D10587" s="1">
        <v>45063</v>
      </c>
      <c r="E10587">
        <v>1</v>
      </c>
      <c r="F10587" t="str">
        <f>"19-K06-02"</f>
        <v>19-K06-02</v>
      </c>
      <c r="G10587">
        <v>2.2334999999999998</v>
      </c>
      <c r="H10587" t="s">
        <v>15</v>
      </c>
      <c r="I10587" t="s">
        <v>10</v>
      </c>
    </row>
    <row r="10588" spans="1:9" x14ac:dyDescent="0.25">
      <c r="A10588" t="str">
        <f t="shared" si="252"/>
        <v>89301000</v>
      </c>
      <c r="B10588" t="str">
        <f>"6858060583"</f>
        <v>6858060583</v>
      </c>
      <c r="C10588" s="1">
        <v>45277</v>
      </c>
      <c r="D10588" s="1">
        <v>45282</v>
      </c>
      <c r="E10588">
        <v>1</v>
      </c>
      <c r="F10588" t="str">
        <f>"05-K12-02"</f>
        <v>05-K12-02</v>
      </c>
      <c r="G10588">
        <v>0.48820000000000002</v>
      </c>
      <c r="H10588" t="s">
        <v>11</v>
      </c>
      <c r="I10588" t="s">
        <v>10</v>
      </c>
    </row>
    <row r="10589" spans="1:9" x14ac:dyDescent="0.25">
      <c r="A10589" t="str">
        <f t="shared" si="252"/>
        <v>89301000</v>
      </c>
      <c r="B10589" t="str">
        <f>"6858130686"</f>
        <v>6858130686</v>
      </c>
      <c r="C10589" s="1">
        <v>45021</v>
      </c>
      <c r="D10589" s="1">
        <v>45023</v>
      </c>
      <c r="E10589">
        <v>1</v>
      </c>
      <c r="F10589" t="str">
        <f>"08-I17-02"</f>
        <v>08-I17-02</v>
      </c>
      <c r="G10589">
        <v>0.89680000000000004</v>
      </c>
      <c r="H10589" t="s">
        <v>11</v>
      </c>
      <c r="I10589" t="s">
        <v>10</v>
      </c>
    </row>
    <row r="10590" spans="1:9" x14ac:dyDescent="0.25">
      <c r="A10590" t="str">
        <f t="shared" si="252"/>
        <v>89301000</v>
      </c>
      <c r="B10590" t="str">
        <f>"6858141587"</f>
        <v>6858141587</v>
      </c>
      <c r="C10590" s="1">
        <v>45091</v>
      </c>
      <c r="D10590" s="1">
        <v>45098</v>
      </c>
      <c r="E10590">
        <v>1</v>
      </c>
      <c r="F10590" t="str">
        <f>"07-I04-02"</f>
        <v>07-I04-02</v>
      </c>
      <c r="G10590">
        <v>2.2502</v>
      </c>
      <c r="H10590" t="s">
        <v>14</v>
      </c>
      <c r="I10590" t="s">
        <v>10</v>
      </c>
    </row>
    <row r="10591" spans="1:9" x14ac:dyDescent="0.25">
      <c r="A10591" t="str">
        <f t="shared" si="252"/>
        <v>89301000</v>
      </c>
      <c r="B10591" t="str">
        <f>"6858150838"</f>
        <v>6858150838</v>
      </c>
      <c r="C10591" s="1">
        <v>45142</v>
      </c>
      <c r="D10591" s="1">
        <v>45145</v>
      </c>
      <c r="E10591">
        <v>1</v>
      </c>
      <c r="F10591" t="str">
        <f>"10-K15-02"</f>
        <v>10-K15-02</v>
      </c>
      <c r="G10591">
        <v>0.66379999999999995</v>
      </c>
      <c r="H10591" t="s">
        <v>11</v>
      </c>
      <c r="I10591" t="s">
        <v>10</v>
      </c>
    </row>
    <row r="10592" spans="1:9" x14ac:dyDescent="0.25">
      <c r="A10592" t="str">
        <f t="shared" si="252"/>
        <v>89301000</v>
      </c>
      <c r="B10592" t="str">
        <f>"6858150838"</f>
        <v>6858150838</v>
      </c>
      <c r="C10592" s="1">
        <v>45061</v>
      </c>
      <c r="D10592" s="1">
        <v>45062</v>
      </c>
      <c r="E10592">
        <v>1</v>
      </c>
      <c r="F10592" t="str">
        <f>"10-K15-02"</f>
        <v>10-K15-02</v>
      </c>
      <c r="G10592">
        <v>0.66379999999999995</v>
      </c>
      <c r="H10592" t="s">
        <v>11</v>
      </c>
      <c r="I10592" t="s">
        <v>10</v>
      </c>
    </row>
    <row r="10593" spans="1:9" x14ac:dyDescent="0.25">
      <c r="A10593" t="str">
        <f t="shared" si="252"/>
        <v>89301000</v>
      </c>
      <c r="B10593" t="str">
        <f>"6858250894"</f>
        <v>6858250894</v>
      </c>
      <c r="C10593" s="1">
        <v>45069</v>
      </c>
      <c r="D10593" s="1">
        <v>45077</v>
      </c>
      <c r="E10593">
        <v>1</v>
      </c>
      <c r="F10593" t="str">
        <f>"05-I24-02"</f>
        <v>05-I24-02</v>
      </c>
      <c r="G10593">
        <v>3.9392</v>
      </c>
      <c r="H10593" t="s">
        <v>12</v>
      </c>
      <c r="I10593" t="s">
        <v>10</v>
      </c>
    </row>
    <row r="10594" spans="1:9" x14ac:dyDescent="0.25">
      <c r="A10594" t="str">
        <f t="shared" si="252"/>
        <v>89301000</v>
      </c>
      <c r="B10594" t="str">
        <f>"6859071538"</f>
        <v>6859071538</v>
      </c>
      <c r="C10594" s="1">
        <v>45259</v>
      </c>
      <c r="D10594" s="1">
        <v>45261</v>
      </c>
      <c r="E10594">
        <v>1</v>
      </c>
      <c r="F10594" t="str">
        <f>"08-I24-01"</f>
        <v>08-I24-01</v>
      </c>
      <c r="G10594">
        <v>1.1051</v>
      </c>
      <c r="H10594" t="s">
        <v>11</v>
      </c>
      <c r="I10594" t="s">
        <v>10</v>
      </c>
    </row>
    <row r="10595" spans="1:9" x14ac:dyDescent="0.25">
      <c r="A10595" t="str">
        <f t="shared" si="252"/>
        <v>89301000</v>
      </c>
      <c r="B10595" t="str">
        <f>"6859080338"</f>
        <v>6859080338</v>
      </c>
      <c r="C10595" s="1">
        <v>45070</v>
      </c>
      <c r="D10595" s="1">
        <v>45074</v>
      </c>
      <c r="E10595">
        <v>1</v>
      </c>
      <c r="F10595" t="str">
        <f>"02-K11-02"</f>
        <v>02-K11-02</v>
      </c>
      <c r="G10595">
        <v>0.56559999999999999</v>
      </c>
      <c r="H10595" t="s">
        <v>11</v>
      </c>
      <c r="I10595" t="s">
        <v>10</v>
      </c>
    </row>
    <row r="10596" spans="1:9" x14ac:dyDescent="0.25">
      <c r="A10596" t="str">
        <f t="shared" si="252"/>
        <v>89301000</v>
      </c>
      <c r="B10596" t="str">
        <f>"6859080338"</f>
        <v>6859080338</v>
      </c>
      <c r="C10596" s="1">
        <v>45128</v>
      </c>
      <c r="D10596" s="1">
        <v>45132</v>
      </c>
      <c r="E10596">
        <v>1</v>
      </c>
      <c r="F10596" t="str">
        <f>"02-K11-02"</f>
        <v>02-K11-02</v>
      </c>
      <c r="G10596">
        <v>0.56559999999999999</v>
      </c>
      <c r="H10596" t="s">
        <v>11</v>
      </c>
      <c r="I10596" t="s">
        <v>10</v>
      </c>
    </row>
    <row r="10597" spans="1:9" x14ac:dyDescent="0.25">
      <c r="A10597" t="str">
        <f t="shared" si="252"/>
        <v>89301000</v>
      </c>
      <c r="B10597" t="str">
        <f>"6859080338"</f>
        <v>6859080338</v>
      </c>
      <c r="C10597" s="1">
        <v>45099</v>
      </c>
      <c r="D10597" s="1">
        <v>45103</v>
      </c>
      <c r="E10597">
        <v>1</v>
      </c>
      <c r="F10597" t="str">
        <f>"02-K11-02"</f>
        <v>02-K11-02</v>
      </c>
      <c r="G10597">
        <v>0.56559999999999999</v>
      </c>
      <c r="H10597" t="s">
        <v>11</v>
      </c>
      <c r="I10597" t="s">
        <v>10</v>
      </c>
    </row>
    <row r="10598" spans="1:9" x14ac:dyDescent="0.25">
      <c r="A10598" t="str">
        <f t="shared" ref="A10598:A10661" si="253">"89301000"</f>
        <v>89301000</v>
      </c>
      <c r="B10598" t="str">
        <f>"6859140233"</f>
        <v>6859140233</v>
      </c>
      <c r="C10598" s="1">
        <v>45000</v>
      </c>
      <c r="D10598" s="1">
        <v>45002</v>
      </c>
      <c r="E10598">
        <v>1</v>
      </c>
      <c r="F10598" t="str">
        <f>"09-I04-02"</f>
        <v>09-I04-02</v>
      </c>
      <c r="G10598">
        <v>1.0899000000000001</v>
      </c>
      <c r="H10598" t="s">
        <v>12</v>
      </c>
      <c r="I10598" t="s">
        <v>10</v>
      </c>
    </row>
    <row r="10599" spans="1:9" x14ac:dyDescent="0.25">
      <c r="A10599" t="str">
        <f t="shared" si="253"/>
        <v>89301000</v>
      </c>
      <c r="B10599" t="str">
        <f>"6859140233"</f>
        <v>6859140233</v>
      </c>
      <c r="C10599" s="1">
        <v>45161</v>
      </c>
      <c r="D10599" s="1">
        <v>45164</v>
      </c>
      <c r="E10599">
        <v>1</v>
      </c>
      <c r="F10599" t="str">
        <f>"09-I09-05"</f>
        <v>09-I09-05</v>
      </c>
      <c r="G10599">
        <v>0.46870000000000001</v>
      </c>
      <c r="H10599" t="s">
        <v>12</v>
      </c>
      <c r="I10599" t="s">
        <v>10</v>
      </c>
    </row>
    <row r="10600" spans="1:9" x14ac:dyDescent="0.25">
      <c r="A10600" t="str">
        <f t="shared" si="253"/>
        <v>89301000</v>
      </c>
      <c r="B10600" t="str">
        <f>"6859190778"</f>
        <v>6859190778</v>
      </c>
      <c r="C10600" s="1">
        <v>44962</v>
      </c>
      <c r="D10600" s="1">
        <v>44965</v>
      </c>
      <c r="E10600">
        <v>1</v>
      </c>
      <c r="F10600" t="str">
        <f>"08-M03-05"</f>
        <v>08-M03-05</v>
      </c>
      <c r="G10600">
        <v>0.46810000000000002</v>
      </c>
      <c r="H10600" t="s">
        <v>11</v>
      </c>
      <c r="I10600" t="s">
        <v>10</v>
      </c>
    </row>
    <row r="10601" spans="1:9" x14ac:dyDescent="0.25">
      <c r="A10601" t="str">
        <f t="shared" si="253"/>
        <v>89301000</v>
      </c>
      <c r="B10601" t="str">
        <f>"6859201063"</f>
        <v>6859201063</v>
      </c>
      <c r="C10601" s="1">
        <v>45240</v>
      </c>
      <c r="D10601" s="1">
        <v>45241</v>
      </c>
      <c r="E10601">
        <v>1</v>
      </c>
      <c r="F10601" t="str">
        <f>"08-M03-05"</f>
        <v>08-M03-05</v>
      </c>
      <c r="G10601">
        <v>0.46910000000000002</v>
      </c>
      <c r="H10601" t="s">
        <v>11</v>
      </c>
      <c r="I10601" t="s">
        <v>10</v>
      </c>
    </row>
    <row r="10602" spans="1:9" x14ac:dyDescent="0.25">
      <c r="A10602" t="str">
        <f t="shared" si="253"/>
        <v>89301000</v>
      </c>
      <c r="B10602" t="str">
        <f>"6859262157"</f>
        <v>6859262157</v>
      </c>
      <c r="C10602" s="1">
        <v>45167</v>
      </c>
      <c r="D10602" s="1">
        <v>45169</v>
      </c>
      <c r="E10602">
        <v>1</v>
      </c>
      <c r="F10602" t="str">
        <f>"08-M03-02"</f>
        <v>08-M03-02</v>
      </c>
      <c r="G10602">
        <v>0.91359999999999997</v>
      </c>
      <c r="H10602" t="s">
        <v>11</v>
      </c>
      <c r="I10602" t="s">
        <v>10</v>
      </c>
    </row>
    <row r="10603" spans="1:9" x14ac:dyDescent="0.25">
      <c r="A10603" t="str">
        <f t="shared" si="253"/>
        <v>89301000</v>
      </c>
      <c r="B10603" t="str">
        <f>"6860140672"</f>
        <v>6860140672</v>
      </c>
      <c r="C10603" s="1">
        <v>45238</v>
      </c>
      <c r="D10603" s="1">
        <v>45240</v>
      </c>
      <c r="E10603">
        <v>1</v>
      </c>
      <c r="F10603" t="str">
        <f>"09-I09-05"</f>
        <v>09-I09-05</v>
      </c>
      <c r="G10603">
        <v>0.46870000000000001</v>
      </c>
      <c r="H10603" t="s">
        <v>12</v>
      </c>
      <c r="I10603" t="s">
        <v>10</v>
      </c>
    </row>
    <row r="10604" spans="1:9" x14ac:dyDescent="0.25">
      <c r="A10604" t="str">
        <f t="shared" si="253"/>
        <v>89301000</v>
      </c>
      <c r="B10604" t="str">
        <f>"6860160736"</f>
        <v>6860160736</v>
      </c>
      <c r="C10604" s="1">
        <v>45012</v>
      </c>
      <c r="D10604" s="1">
        <v>45016</v>
      </c>
      <c r="E10604">
        <v>1</v>
      </c>
      <c r="F10604" t="str">
        <f>"08-I03-06"</f>
        <v>08-I03-06</v>
      </c>
      <c r="G10604">
        <v>3.2523</v>
      </c>
      <c r="H10604" t="s">
        <v>9</v>
      </c>
      <c r="I10604" t="s">
        <v>10</v>
      </c>
    </row>
    <row r="10605" spans="1:9" x14ac:dyDescent="0.25">
      <c r="A10605" t="str">
        <f t="shared" si="253"/>
        <v>89301000</v>
      </c>
      <c r="B10605" t="str">
        <f>"6860160736"</f>
        <v>6860160736</v>
      </c>
      <c r="C10605" s="1">
        <v>45261</v>
      </c>
      <c r="D10605" s="1">
        <v>45263</v>
      </c>
      <c r="E10605">
        <v>1</v>
      </c>
      <c r="F10605" t="str">
        <f>"03-I24-00"</f>
        <v>03-I24-00</v>
      </c>
      <c r="G10605">
        <v>0.40670000000000001</v>
      </c>
      <c r="H10605" t="s">
        <v>11</v>
      </c>
      <c r="I10605" t="s">
        <v>10</v>
      </c>
    </row>
    <row r="10606" spans="1:9" x14ac:dyDescent="0.25">
      <c r="A10606" t="str">
        <f t="shared" si="253"/>
        <v>89301000</v>
      </c>
      <c r="B10606" t="str">
        <f>"6860220818"</f>
        <v>6860220818</v>
      </c>
      <c r="C10606" s="1">
        <v>45027</v>
      </c>
      <c r="D10606" s="1">
        <v>45028</v>
      </c>
      <c r="E10606">
        <v>1</v>
      </c>
      <c r="F10606" t="str">
        <f>"02-I13-02"</f>
        <v>02-I13-02</v>
      </c>
      <c r="G10606">
        <v>0.4259</v>
      </c>
      <c r="H10606" t="s">
        <v>11</v>
      </c>
      <c r="I10606" t="s">
        <v>10</v>
      </c>
    </row>
    <row r="10607" spans="1:9" x14ac:dyDescent="0.25">
      <c r="A10607" t="str">
        <f t="shared" si="253"/>
        <v>89301000</v>
      </c>
      <c r="B10607" t="str">
        <f>"6860280768"</f>
        <v>6860280768</v>
      </c>
      <c r="C10607" s="1">
        <v>45142</v>
      </c>
      <c r="D10607" s="1">
        <v>45145</v>
      </c>
      <c r="E10607">
        <v>1</v>
      </c>
      <c r="F10607" t="str">
        <f>"02-I06-04"</f>
        <v>02-I06-04</v>
      </c>
      <c r="G10607">
        <v>0.79630000000000001</v>
      </c>
      <c r="H10607" t="s">
        <v>12</v>
      </c>
      <c r="I10607" t="s">
        <v>10</v>
      </c>
    </row>
    <row r="10608" spans="1:9" x14ac:dyDescent="0.25">
      <c r="A10608" t="str">
        <f t="shared" si="253"/>
        <v>89301000</v>
      </c>
      <c r="B10608" t="str">
        <f>"6861030099"</f>
        <v>6861030099</v>
      </c>
      <c r="C10608" s="1">
        <v>45182</v>
      </c>
      <c r="D10608" s="1">
        <v>45188</v>
      </c>
      <c r="E10608">
        <v>1</v>
      </c>
      <c r="F10608" t="str">
        <f>"08-I03-04"</f>
        <v>08-I03-04</v>
      </c>
      <c r="G10608">
        <v>4.7615999999999996</v>
      </c>
      <c r="H10608" t="s">
        <v>9</v>
      </c>
      <c r="I10608" t="s">
        <v>10</v>
      </c>
    </row>
    <row r="10609" spans="1:9" x14ac:dyDescent="0.25">
      <c r="A10609" t="str">
        <f t="shared" si="253"/>
        <v>89301000</v>
      </c>
      <c r="B10609" t="str">
        <f>"6861111576"</f>
        <v>6861111576</v>
      </c>
      <c r="C10609" s="1">
        <v>44936</v>
      </c>
      <c r="D10609" s="1">
        <v>44938</v>
      </c>
      <c r="E10609">
        <v>1</v>
      </c>
      <c r="F10609" t="str">
        <f>"05-M05-02"</f>
        <v>05-M05-02</v>
      </c>
      <c r="G10609">
        <v>3.4817999999999998</v>
      </c>
      <c r="H10609" t="s">
        <v>14</v>
      </c>
      <c r="I10609" t="s">
        <v>10</v>
      </c>
    </row>
    <row r="10610" spans="1:9" x14ac:dyDescent="0.25">
      <c r="A10610" t="str">
        <f t="shared" si="253"/>
        <v>89301000</v>
      </c>
      <c r="B10610" t="str">
        <f>"6861111741"</f>
        <v>6861111741</v>
      </c>
      <c r="C10610" s="1">
        <v>45232</v>
      </c>
      <c r="D10610" s="1">
        <v>45234</v>
      </c>
      <c r="E10610">
        <v>1</v>
      </c>
      <c r="F10610" t="str">
        <f>"17-C05-05"</f>
        <v>17-C05-05</v>
      </c>
      <c r="G10610">
        <v>0.66069999999999995</v>
      </c>
      <c r="H10610" t="s">
        <v>11</v>
      </c>
      <c r="I10610" t="s">
        <v>10</v>
      </c>
    </row>
    <row r="10611" spans="1:9" x14ac:dyDescent="0.25">
      <c r="A10611" t="str">
        <f t="shared" si="253"/>
        <v>89301000</v>
      </c>
      <c r="B10611" t="str">
        <f>"6861111741"</f>
        <v>6861111741</v>
      </c>
      <c r="C10611" s="1">
        <v>45263</v>
      </c>
      <c r="D10611" s="1">
        <v>45268</v>
      </c>
      <c r="E10611">
        <v>1</v>
      </c>
      <c r="F10611" t="str">
        <f>"17-K05-01"</f>
        <v>17-K05-01</v>
      </c>
      <c r="G10611">
        <v>1.9595</v>
      </c>
      <c r="H10611" t="s">
        <v>11</v>
      </c>
      <c r="I10611" t="s">
        <v>10</v>
      </c>
    </row>
    <row r="10612" spans="1:9" x14ac:dyDescent="0.25">
      <c r="A10612" t="str">
        <f t="shared" si="253"/>
        <v>89301000</v>
      </c>
      <c r="B10612" t="str">
        <f>"6861111741"</f>
        <v>6861111741</v>
      </c>
      <c r="C10612" s="1">
        <v>45205</v>
      </c>
      <c r="D10612" s="1">
        <v>45211</v>
      </c>
      <c r="E10612">
        <v>1</v>
      </c>
      <c r="F10612" t="str">
        <f>"17-C05-05"</f>
        <v>17-C05-05</v>
      </c>
      <c r="G10612">
        <v>0.66069999999999995</v>
      </c>
      <c r="H10612" t="s">
        <v>11</v>
      </c>
      <c r="I10612" t="s">
        <v>10</v>
      </c>
    </row>
    <row r="10613" spans="1:9" x14ac:dyDescent="0.25">
      <c r="A10613" t="str">
        <f t="shared" si="253"/>
        <v>89301000</v>
      </c>
      <c r="B10613" t="str">
        <f>"6861201391"</f>
        <v>6861201391</v>
      </c>
      <c r="C10613" s="1">
        <v>45004</v>
      </c>
      <c r="D10613" s="1">
        <v>45006</v>
      </c>
      <c r="E10613">
        <v>1</v>
      </c>
      <c r="F10613" t="str">
        <f>"13-I19-00"</f>
        <v>13-I19-00</v>
      </c>
      <c r="G10613">
        <v>0.28249999999999997</v>
      </c>
      <c r="H10613" t="s">
        <v>11</v>
      </c>
      <c r="I10613" t="s">
        <v>10</v>
      </c>
    </row>
    <row r="10614" spans="1:9" x14ac:dyDescent="0.25">
      <c r="A10614" t="str">
        <f t="shared" si="253"/>
        <v>89301000</v>
      </c>
      <c r="B10614" t="str">
        <f>"6861210807"</f>
        <v>6861210807</v>
      </c>
      <c r="C10614" s="1">
        <v>44936</v>
      </c>
      <c r="D10614" s="1">
        <v>44937</v>
      </c>
      <c r="E10614">
        <v>1</v>
      </c>
      <c r="F10614" t="str">
        <f>"13-I19-00"</f>
        <v>13-I19-00</v>
      </c>
      <c r="G10614">
        <v>0.28249999999999997</v>
      </c>
      <c r="H10614" t="s">
        <v>11</v>
      </c>
      <c r="I10614" t="s">
        <v>10</v>
      </c>
    </row>
    <row r="10615" spans="1:9" x14ac:dyDescent="0.25">
      <c r="A10615" t="str">
        <f t="shared" si="253"/>
        <v>89301000</v>
      </c>
      <c r="B10615" t="str">
        <f>"6861240386"</f>
        <v>6861240386</v>
      </c>
      <c r="C10615" s="1">
        <v>45204</v>
      </c>
      <c r="D10615" s="1">
        <v>45207</v>
      </c>
      <c r="E10615">
        <v>1</v>
      </c>
      <c r="F10615" t="str">
        <f>"13-I14-03"</f>
        <v>13-I14-03</v>
      </c>
      <c r="G10615">
        <v>0.87760000000000005</v>
      </c>
      <c r="H10615" t="s">
        <v>9</v>
      </c>
      <c r="I10615" t="s">
        <v>10</v>
      </c>
    </row>
    <row r="10616" spans="1:9" x14ac:dyDescent="0.25">
      <c r="A10616" t="str">
        <f t="shared" si="253"/>
        <v>89301000</v>
      </c>
      <c r="B10616" t="str">
        <f t="shared" ref="B10616:B10628" si="254">"6861260571"</f>
        <v>6861260571</v>
      </c>
      <c r="C10616" s="1">
        <v>44959</v>
      </c>
      <c r="D10616" s="1">
        <v>44977</v>
      </c>
      <c r="E10616">
        <v>1</v>
      </c>
      <c r="F10616" t="str">
        <f>"07-I01-02"</f>
        <v>07-I01-02</v>
      </c>
      <c r="G10616">
        <v>5.4336000000000002</v>
      </c>
      <c r="H10616" t="s">
        <v>14</v>
      </c>
      <c r="I10616" t="s">
        <v>10</v>
      </c>
    </row>
    <row r="10617" spans="1:9" x14ac:dyDescent="0.25">
      <c r="A10617" t="str">
        <f t="shared" si="253"/>
        <v>89301000</v>
      </c>
      <c r="B10617" t="str">
        <f t="shared" si="254"/>
        <v>6861260571</v>
      </c>
      <c r="C10617" s="1">
        <v>45195</v>
      </c>
      <c r="D10617" s="1">
        <v>45197</v>
      </c>
      <c r="E10617">
        <v>1</v>
      </c>
      <c r="F10617" t="str">
        <f t="shared" ref="F10617:F10628" si="255">"07-C01-02"</f>
        <v>07-C01-02</v>
      </c>
      <c r="G10617">
        <v>0.3483</v>
      </c>
      <c r="H10617" t="s">
        <v>11</v>
      </c>
      <c r="I10617" t="s">
        <v>10</v>
      </c>
    </row>
    <row r="10618" spans="1:9" x14ac:dyDescent="0.25">
      <c r="A10618" t="str">
        <f t="shared" si="253"/>
        <v>89301000</v>
      </c>
      <c r="B10618" t="str">
        <f t="shared" si="254"/>
        <v>6861260571</v>
      </c>
      <c r="C10618" s="1">
        <v>45181</v>
      </c>
      <c r="D10618" s="1">
        <v>45183</v>
      </c>
      <c r="E10618">
        <v>1</v>
      </c>
      <c r="F10618" t="str">
        <f t="shared" si="255"/>
        <v>07-C01-02</v>
      </c>
      <c r="G10618">
        <v>0.3483</v>
      </c>
      <c r="H10618" t="s">
        <v>11</v>
      </c>
      <c r="I10618" t="s">
        <v>10</v>
      </c>
    </row>
    <row r="10619" spans="1:9" x14ac:dyDescent="0.25">
      <c r="A10619" t="str">
        <f t="shared" si="253"/>
        <v>89301000</v>
      </c>
      <c r="B10619" t="str">
        <f t="shared" si="254"/>
        <v>6861260571</v>
      </c>
      <c r="C10619" s="1">
        <v>45162</v>
      </c>
      <c r="D10619" s="1">
        <v>45164</v>
      </c>
      <c r="E10619">
        <v>1</v>
      </c>
      <c r="F10619" t="str">
        <f t="shared" si="255"/>
        <v>07-C01-02</v>
      </c>
      <c r="G10619">
        <v>0.3483</v>
      </c>
      <c r="H10619" t="s">
        <v>11</v>
      </c>
      <c r="I10619" t="s">
        <v>10</v>
      </c>
    </row>
    <row r="10620" spans="1:9" x14ac:dyDescent="0.25">
      <c r="A10620" t="str">
        <f t="shared" si="253"/>
        <v>89301000</v>
      </c>
      <c r="B10620" t="str">
        <f t="shared" si="254"/>
        <v>6861260571</v>
      </c>
      <c r="C10620" s="1">
        <v>45148</v>
      </c>
      <c r="D10620" s="1">
        <v>45151</v>
      </c>
      <c r="E10620">
        <v>1</v>
      </c>
      <c r="F10620" t="str">
        <f t="shared" si="255"/>
        <v>07-C01-02</v>
      </c>
      <c r="G10620">
        <v>0.3483</v>
      </c>
      <c r="H10620" t="s">
        <v>11</v>
      </c>
      <c r="I10620" t="s">
        <v>10</v>
      </c>
    </row>
    <row r="10621" spans="1:9" x14ac:dyDescent="0.25">
      <c r="A10621" t="str">
        <f t="shared" si="253"/>
        <v>89301000</v>
      </c>
      <c r="B10621" t="str">
        <f t="shared" si="254"/>
        <v>6861260571</v>
      </c>
      <c r="C10621" s="1">
        <v>45125</v>
      </c>
      <c r="D10621" s="1">
        <v>45129</v>
      </c>
      <c r="E10621">
        <v>1</v>
      </c>
      <c r="F10621" t="str">
        <f t="shared" si="255"/>
        <v>07-C01-02</v>
      </c>
      <c r="G10621">
        <v>0.3483</v>
      </c>
      <c r="H10621" t="s">
        <v>11</v>
      </c>
      <c r="I10621" t="s">
        <v>10</v>
      </c>
    </row>
    <row r="10622" spans="1:9" x14ac:dyDescent="0.25">
      <c r="A10622" t="str">
        <f t="shared" si="253"/>
        <v>89301000</v>
      </c>
      <c r="B10622" t="str">
        <f t="shared" si="254"/>
        <v>6861260571</v>
      </c>
      <c r="C10622" s="1">
        <v>45111</v>
      </c>
      <c r="D10622" s="1">
        <v>45113</v>
      </c>
      <c r="E10622">
        <v>1</v>
      </c>
      <c r="F10622" t="str">
        <f t="shared" si="255"/>
        <v>07-C01-02</v>
      </c>
      <c r="G10622">
        <v>0.3483</v>
      </c>
      <c r="H10622" t="s">
        <v>11</v>
      </c>
      <c r="I10622" t="s">
        <v>10</v>
      </c>
    </row>
    <row r="10623" spans="1:9" x14ac:dyDescent="0.25">
      <c r="A10623" t="str">
        <f t="shared" si="253"/>
        <v>89301000</v>
      </c>
      <c r="B10623" t="str">
        <f t="shared" si="254"/>
        <v>6861260571</v>
      </c>
      <c r="C10623" s="1">
        <v>45097</v>
      </c>
      <c r="D10623" s="1">
        <v>45099</v>
      </c>
      <c r="E10623">
        <v>1</v>
      </c>
      <c r="F10623" t="str">
        <f t="shared" si="255"/>
        <v>07-C01-02</v>
      </c>
      <c r="G10623">
        <v>0.3483</v>
      </c>
      <c r="H10623" t="s">
        <v>11</v>
      </c>
      <c r="I10623" t="s">
        <v>10</v>
      </c>
    </row>
    <row r="10624" spans="1:9" x14ac:dyDescent="0.25">
      <c r="A10624" t="str">
        <f t="shared" si="253"/>
        <v>89301000</v>
      </c>
      <c r="B10624" t="str">
        <f t="shared" si="254"/>
        <v>6861260571</v>
      </c>
      <c r="C10624" s="1">
        <v>45082</v>
      </c>
      <c r="D10624" s="1">
        <v>45086</v>
      </c>
      <c r="E10624">
        <v>1</v>
      </c>
      <c r="F10624" t="str">
        <f t="shared" si="255"/>
        <v>07-C01-02</v>
      </c>
      <c r="G10624">
        <v>0.35649999999999998</v>
      </c>
      <c r="H10624" t="s">
        <v>11</v>
      </c>
      <c r="I10624" t="s">
        <v>10</v>
      </c>
    </row>
    <row r="10625" spans="1:9" x14ac:dyDescent="0.25">
      <c r="A10625" t="str">
        <f t="shared" si="253"/>
        <v>89301000</v>
      </c>
      <c r="B10625" t="str">
        <f t="shared" si="254"/>
        <v>6861260571</v>
      </c>
      <c r="C10625" s="1">
        <v>45064</v>
      </c>
      <c r="D10625" s="1">
        <v>45067</v>
      </c>
      <c r="E10625">
        <v>1</v>
      </c>
      <c r="F10625" t="str">
        <f t="shared" si="255"/>
        <v>07-C01-02</v>
      </c>
      <c r="G10625">
        <v>0.3483</v>
      </c>
      <c r="H10625" t="s">
        <v>11</v>
      </c>
      <c r="I10625" t="s">
        <v>10</v>
      </c>
    </row>
    <row r="10626" spans="1:9" x14ac:dyDescent="0.25">
      <c r="A10626" t="str">
        <f t="shared" si="253"/>
        <v>89301000</v>
      </c>
      <c r="B10626" t="str">
        <f t="shared" si="254"/>
        <v>6861260571</v>
      </c>
      <c r="C10626" s="1">
        <v>45050</v>
      </c>
      <c r="D10626" s="1">
        <v>45052</v>
      </c>
      <c r="E10626">
        <v>1</v>
      </c>
      <c r="F10626" t="str">
        <f t="shared" si="255"/>
        <v>07-C01-02</v>
      </c>
      <c r="G10626">
        <v>0.3483</v>
      </c>
      <c r="H10626" t="s">
        <v>11</v>
      </c>
      <c r="I10626" t="s">
        <v>10</v>
      </c>
    </row>
    <row r="10627" spans="1:9" x14ac:dyDescent="0.25">
      <c r="A10627" t="str">
        <f t="shared" si="253"/>
        <v>89301000</v>
      </c>
      <c r="B10627" t="str">
        <f t="shared" si="254"/>
        <v>6861260571</v>
      </c>
      <c r="C10627" s="1">
        <v>45014</v>
      </c>
      <c r="D10627" s="1">
        <v>45016</v>
      </c>
      <c r="E10627">
        <v>1</v>
      </c>
      <c r="F10627" t="str">
        <f t="shared" si="255"/>
        <v>07-C01-02</v>
      </c>
      <c r="G10627">
        <v>0.3483</v>
      </c>
      <c r="H10627" t="s">
        <v>11</v>
      </c>
      <c r="I10627" t="s">
        <v>10</v>
      </c>
    </row>
    <row r="10628" spans="1:9" x14ac:dyDescent="0.25">
      <c r="A10628" t="str">
        <f t="shared" si="253"/>
        <v>89301000</v>
      </c>
      <c r="B10628" t="str">
        <f t="shared" si="254"/>
        <v>6861260571</v>
      </c>
      <c r="C10628" s="1">
        <v>45028</v>
      </c>
      <c r="D10628" s="1">
        <v>45030</v>
      </c>
      <c r="E10628">
        <v>1</v>
      </c>
      <c r="F10628" t="str">
        <f t="shared" si="255"/>
        <v>07-C01-02</v>
      </c>
      <c r="G10628">
        <v>0.3483</v>
      </c>
      <c r="H10628" t="s">
        <v>11</v>
      </c>
      <c r="I10628" t="s">
        <v>10</v>
      </c>
    </row>
    <row r="10629" spans="1:9" x14ac:dyDescent="0.25">
      <c r="A10629" t="str">
        <f t="shared" si="253"/>
        <v>89301000</v>
      </c>
      <c r="B10629" t="str">
        <f>"6861291767"</f>
        <v>6861291767</v>
      </c>
      <c r="C10629" s="1">
        <v>45176</v>
      </c>
      <c r="D10629" s="1">
        <v>45177</v>
      </c>
      <c r="E10629">
        <v>1</v>
      </c>
      <c r="F10629" t="str">
        <f>"01-D01-03"</f>
        <v>01-D01-03</v>
      </c>
      <c r="G10629">
        <v>0.16200000000000001</v>
      </c>
      <c r="H10629" t="s">
        <v>11</v>
      </c>
      <c r="I10629" t="s">
        <v>10</v>
      </c>
    </row>
    <row r="10630" spans="1:9" x14ac:dyDescent="0.25">
      <c r="A10630" t="str">
        <f t="shared" si="253"/>
        <v>89301000</v>
      </c>
      <c r="B10630" t="str">
        <f>"6862090290"</f>
        <v>6862090290</v>
      </c>
      <c r="C10630" s="1">
        <v>44971</v>
      </c>
      <c r="D10630" s="1">
        <v>44972</v>
      </c>
      <c r="E10630">
        <v>1</v>
      </c>
      <c r="F10630" t="str">
        <f>"08-K04-03"</f>
        <v>08-K04-03</v>
      </c>
      <c r="G10630">
        <v>0.41799999999999998</v>
      </c>
      <c r="H10630" t="s">
        <v>11</v>
      </c>
      <c r="I10630" t="s">
        <v>10</v>
      </c>
    </row>
    <row r="10631" spans="1:9" x14ac:dyDescent="0.25">
      <c r="A10631" t="str">
        <f t="shared" si="253"/>
        <v>89301000</v>
      </c>
      <c r="B10631" t="str">
        <f>"6862090290"</f>
        <v>6862090290</v>
      </c>
      <c r="C10631" s="1">
        <v>45186</v>
      </c>
      <c r="D10631" s="1">
        <v>45188</v>
      </c>
      <c r="E10631">
        <v>1</v>
      </c>
      <c r="F10631" t="str">
        <f>"08-M03-05"</f>
        <v>08-M03-05</v>
      </c>
      <c r="G10631">
        <v>0.46810000000000002</v>
      </c>
      <c r="H10631" t="s">
        <v>11</v>
      </c>
      <c r="I10631" t="s">
        <v>10</v>
      </c>
    </row>
    <row r="10632" spans="1:9" x14ac:dyDescent="0.25">
      <c r="A10632" t="str">
        <f t="shared" si="253"/>
        <v>89301000</v>
      </c>
      <c r="B10632" t="str">
        <f>"6862110706"</f>
        <v>6862110706</v>
      </c>
      <c r="C10632" s="1">
        <v>45071</v>
      </c>
      <c r="D10632" s="1">
        <v>45083</v>
      </c>
      <c r="E10632">
        <v>1</v>
      </c>
      <c r="F10632" t="str">
        <f>"07-K01-02"</f>
        <v>07-K01-02</v>
      </c>
      <c r="G10632">
        <v>1.0169999999999999</v>
      </c>
      <c r="H10632" t="s">
        <v>11</v>
      </c>
      <c r="I10632" t="s">
        <v>10</v>
      </c>
    </row>
    <row r="10633" spans="1:9" x14ac:dyDescent="0.25">
      <c r="A10633" t="str">
        <f t="shared" si="253"/>
        <v>89301000</v>
      </c>
      <c r="B10633" t="str">
        <f>"6862130924"</f>
        <v>6862130924</v>
      </c>
      <c r="C10633" s="1">
        <v>45156</v>
      </c>
      <c r="D10633" s="1">
        <v>45160</v>
      </c>
      <c r="E10633">
        <v>1</v>
      </c>
      <c r="F10633" t="str">
        <f>"17-I10-02"</f>
        <v>17-I10-02</v>
      </c>
      <c r="G10633">
        <v>0.84730000000000005</v>
      </c>
      <c r="H10633" t="s">
        <v>11</v>
      </c>
      <c r="I10633" t="s">
        <v>10</v>
      </c>
    </row>
    <row r="10634" spans="1:9" x14ac:dyDescent="0.25">
      <c r="A10634" t="str">
        <f t="shared" si="253"/>
        <v>89301000</v>
      </c>
      <c r="B10634" t="str">
        <f>"6862130924"</f>
        <v>6862130924</v>
      </c>
      <c r="C10634" s="1">
        <v>45127</v>
      </c>
      <c r="D10634" s="1">
        <v>45131</v>
      </c>
      <c r="E10634">
        <v>1</v>
      </c>
      <c r="F10634" t="str">
        <f>"09-I06-04"</f>
        <v>09-I06-04</v>
      </c>
      <c r="G10634">
        <v>0.95069999999999999</v>
      </c>
      <c r="H10634" t="s">
        <v>12</v>
      </c>
      <c r="I10634" t="s">
        <v>10</v>
      </c>
    </row>
    <row r="10635" spans="1:9" x14ac:dyDescent="0.25">
      <c r="A10635" t="str">
        <f t="shared" si="253"/>
        <v>89301000</v>
      </c>
      <c r="B10635" t="str">
        <f>"6862140582"</f>
        <v>6862140582</v>
      </c>
      <c r="C10635" s="1">
        <v>45194</v>
      </c>
      <c r="D10635" s="1">
        <v>45202</v>
      </c>
      <c r="E10635">
        <v>1</v>
      </c>
      <c r="F10635" t="str">
        <f>"06-I15-00"</f>
        <v>06-I15-00</v>
      </c>
      <c r="G10635">
        <v>1.8702000000000001</v>
      </c>
      <c r="H10635" t="s">
        <v>9</v>
      </c>
      <c r="I10635" t="s">
        <v>10</v>
      </c>
    </row>
    <row r="10636" spans="1:9" x14ac:dyDescent="0.25">
      <c r="A10636" t="str">
        <f t="shared" si="253"/>
        <v>89301000</v>
      </c>
      <c r="B10636" t="str">
        <f>"6862170810"</f>
        <v>6862170810</v>
      </c>
      <c r="C10636" s="1">
        <v>45068</v>
      </c>
      <c r="D10636" s="1">
        <v>45072</v>
      </c>
      <c r="E10636">
        <v>1</v>
      </c>
      <c r="F10636" t="str">
        <f>"11-I16-01"</f>
        <v>11-I16-01</v>
      </c>
      <c r="G10636">
        <v>1.4491000000000001</v>
      </c>
      <c r="H10636" t="s">
        <v>11</v>
      </c>
      <c r="I10636" t="s">
        <v>10</v>
      </c>
    </row>
    <row r="10637" spans="1:9" x14ac:dyDescent="0.25">
      <c r="A10637" t="str">
        <f t="shared" si="253"/>
        <v>89301000</v>
      </c>
      <c r="B10637" t="str">
        <f>"6862170810"</f>
        <v>6862170810</v>
      </c>
      <c r="C10637" s="1">
        <v>45036</v>
      </c>
      <c r="D10637" s="1">
        <v>45037</v>
      </c>
      <c r="E10637">
        <v>1</v>
      </c>
      <c r="F10637" t="str">
        <f>"02-I06-04"</f>
        <v>02-I06-04</v>
      </c>
      <c r="G10637">
        <v>0.76139999999999997</v>
      </c>
      <c r="H10637" t="s">
        <v>12</v>
      </c>
      <c r="I10637" t="s">
        <v>10</v>
      </c>
    </row>
    <row r="10638" spans="1:9" x14ac:dyDescent="0.25">
      <c r="A10638" t="str">
        <f t="shared" si="253"/>
        <v>89301000</v>
      </c>
      <c r="B10638" t="str">
        <f>"6862240792"</f>
        <v>6862240792</v>
      </c>
      <c r="C10638" s="1">
        <v>45160</v>
      </c>
      <c r="D10638" s="1">
        <v>45196</v>
      </c>
      <c r="E10638">
        <v>1</v>
      </c>
      <c r="F10638" t="str">
        <f>"19-K08-02"</f>
        <v>19-K08-02</v>
      </c>
      <c r="G10638">
        <v>4.4416000000000002</v>
      </c>
      <c r="H10638" t="s">
        <v>15</v>
      </c>
      <c r="I10638" t="s">
        <v>10</v>
      </c>
    </row>
    <row r="10639" spans="1:9" x14ac:dyDescent="0.25">
      <c r="A10639" t="str">
        <f t="shared" si="253"/>
        <v>89301000</v>
      </c>
      <c r="B10639" t="str">
        <f>"6862291953"</f>
        <v>6862291953</v>
      </c>
      <c r="C10639" s="1">
        <v>44965</v>
      </c>
      <c r="D10639" s="1">
        <v>44968</v>
      </c>
      <c r="E10639">
        <v>1</v>
      </c>
      <c r="F10639" t="str">
        <f>"09-I09-04"</f>
        <v>09-I09-04</v>
      </c>
      <c r="G10639">
        <v>0.82010000000000005</v>
      </c>
      <c r="H10639" t="s">
        <v>12</v>
      </c>
      <c r="I10639" t="s">
        <v>10</v>
      </c>
    </row>
    <row r="10640" spans="1:9" x14ac:dyDescent="0.25">
      <c r="A10640" t="str">
        <f t="shared" si="253"/>
        <v>89301000</v>
      </c>
      <c r="B10640" t="str">
        <f>"6901025329"</f>
        <v>6901025329</v>
      </c>
      <c r="C10640" s="1">
        <v>45196</v>
      </c>
      <c r="D10640" s="1">
        <v>45219</v>
      </c>
      <c r="E10640">
        <v>1</v>
      </c>
      <c r="F10640" t="str">
        <f>"09-I12-01"</f>
        <v>09-I12-01</v>
      </c>
      <c r="G10640">
        <v>1.9036</v>
      </c>
      <c r="H10640" t="s">
        <v>11</v>
      </c>
      <c r="I10640" t="s">
        <v>10</v>
      </c>
    </row>
    <row r="10641" spans="1:9" x14ac:dyDescent="0.25">
      <c r="A10641" t="str">
        <f t="shared" si="253"/>
        <v>89301000</v>
      </c>
      <c r="B10641" t="str">
        <f>"6901095245"</f>
        <v>6901095245</v>
      </c>
      <c r="C10641" s="1">
        <v>45019</v>
      </c>
      <c r="D10641" s="1">
        <v>45020</v>
      </c>
      <c r="E10641">
        <v>1</v>
      </c>
      <c r="F10641" t="str">
        <f>"02-I13-02"</f>
        <v>02-I13-02</v>
      </c>
      <c r="G10641">
        <v>0.4259</v>
      </c>
      <c r="H10641" t="s">
        <v>11</v>
      </c>
      <c r="I10641" t="s">
        <v>10</v>
      </c>
    </row>
    <row r="10642" spans="1:9" x14ac:dyDescent="0.25">
      <c r="A10642" t="str">
        <f t="shared" si="253"/>
        <v>89301000</v>
      </c>
      <c r="B10642" t="str">
        <f>"6901315729"</f>
        <v>6901315729</v>
      </c>
      <c r="C10642" s="1">
        <v>45236</v>
      </c>
      <c r="D10642" s="1">
        <v>45242</v>
      </c>
      <c r="E10642">
        <v>1</v>
      </c>
      <c r="F10642" t="str">
        <f>"12-I06-00"</f>
        <v>12-I06-00</v>
      </c>
      <c r="G10642">
        <v>1.1166</v>
      </c>
      <c r="H10642" t="s">
        <v>12</v>
      </c>
      <c r="I10642" t="s">
        <v>10</v>
      </c>
    </row>
    <row r="10643" spans="1:9" x14ac:dyDescent="0.25">
      <c r="A10643" t="str">
        <f t="shared" si="253"/>
        <v>89301000</v>
      </c>
      <c r="B10643" t="str">
        <f>"6902075312"</f>
        <v>6902075312</v>
      </c>
      <c r="C10643" s="1">
        <v>45170</v>
      </c>
      <c r="D10643" s="1">
        <v>45177</v>
      </c>
      <c r="E10643">
        <v>1</v>
      </c>
      <c r="F10643" t="str">
        <f>"04-K14-02"</f>
        <v>04-K14-02</v>
      </c>
      <c r="G10643">
        <v>1.1142000000000001</v>
      </c>
      <c r="H10643" t="s">
        <v>11</v>
      </c>
      <c r="I10643" t="s">
        <v>10</v>
      </c>
    </row>
    <row r="10644" spans="1:9" x14ac:dyDescent="0.25">
      <c r="A10644" t="str">
        <f t="shared" si="253"/>
        <v>89301000</v>
      </c>
      <c r="B10644" t="str">
        <f>"6902075312"</f>
        <v>6902075312</v>
      </c>
      <c r="C10644" s="1">
        <v>45203</v>
      </c>
      <c r="D10644" s="1">
        <v>45212</v>
      </c>
      <c r="E10644">
        <v>1</v>
      </c>
      <c r="F10644" t="str">
        <f>"24-M06-02"</f>
        <v>24-M06-02</v>
      </c>
      <c r="G10644">
        <v>1.0699000000000001</v>
      </c>
      <c r="H10644" t="s">
        <v>11</v>
      </c>
      <c r="I10644" t="s">
        <v>10</v>
      </c>
    </row>
    <row r="10645" spans="1:9" x14ac:dyDescent="0.25">
      <c r="A10645" t="str">
        <f t="shared" si="253"/>
        <v>89301000</v>
      </c>
      <c r="B10645" t="str">
        <f>"6902115319"</f>
        <v>6902115319</v>
      </c>
      <c r="C10645" s="1">
        <v>45103</v>
      </c>
      <c r="D10645" s="1">
        <v>45105</v>
      </c>
      <c r="E10645">
        <v>1</v>
      </c>
      <c r="F10645" t="str">
        <f>"08-I15-03"</f>
        <v>08-I15-03</v>
      </c>
      <c r="G10645">
        <v>0.94059999999999999</v>
      </c>
      <c r="H10645" t="s">
        <v>12</v>
      </c>
      <c r="I10645" t="s">
        <v>10</v>
      </c>
    </row>
    <row r="10646" spans="1:9" x14ac:dyDescent="0.25">
      <c r="A10646" t="str">
        <f t="shared" si="253"/>
        <v>89301000</v>
      </c>
      <c r="B10646" t="str">
        <f>"6902135350"</f>
        <v>6902135350</v>
      </c>
      <c r="C10646" s="1">
        <v>45103</v>
      </c>
      <c r="D10646" s="1">
        <v>45106</v>
      </c>
      <c r="E10646">
        <v>1</v>
      </c>
      <c r="F10646" t="str">
        <f>"19-K01-03"</f>
        <v>19-K01-03</v>
      </c>
      <c r="G10646">
        <v>0.55700000000000005</v>
      </c>
      <c r="H10646" t="s">
        <v>15</v>
      </c>
      <c r="I10646" t="s">
        <v>10</v>
      </c>
    </row>
    <row r="10647" spans="1:9" x14ac:dyDescent="0.25">
      <c r="A10647" t="str">
        <f t="shared" si="253"/>
        <v>89301000</v>
      </c>
      <c r="B10647" t="str">
        <f>"6902143270"</f>
        <v>6902143270</v>
      </c>
      <c r="C10647" s="1">
        <v>45174</v>
      </c>
      <c r="D10647" s="1">
        <v>45176</v>
      </c>
      <c r="E10647">
        <v>1</v>
      </c>
      <c r="F10647" t="str">
        <f>"02-I06-03"</f>
        <v>02-I06-03</v>
      </c>
      <c r="G10647">
        <v>0.99260000000000004</v>
      </c>
      <c r="H10647" t="s">
        <v>12</v>
      </c>
      <c r="I10647" t="s">
        <v>10</v>
      </c>
    </row>
    <row r="10648" spans="1:9" x14ac:dyDescent="0.25">
      <c r="A10648" t="str">
        <f t="shared" si="253"/>
        <v>89301000</v>
      </c>
      <c r="B10648" t="str">
        <f>"6902208038"</f>
        <v>6902208038</v>
      </c>
      <c r="C10648" s="1">
        <v>44938</v>
      </c>
      <c r="D10648" s="1">
        <v>44943</v>
      </c>
      <c r="E10648">
        <v>1</v>
      </c>
      <c r="F10648" t="str">
        <f>"11-I08-03"</f>
        <v>11-I08-03</v>
      </c>
      <c r="G10648">
        <v>2.0529999999999999</v>
      </c>
      <c r="H10648" t="s">
        <v>9</v>
      </c>
      <c r="I10648" t="s">
        <v>10</v>
      </c>
    </row>
    <row r="10649" spans="1:9" x14ac:dyDescent="0.25">
      <c r="A10649" t="str">
        <f t="shared" si="253"/>
        <v>89301000</v>
      </c>
      <c r="B10649" t="str">
        <f>"6902251576"</f>
        <v>6902251576</v>
      </c>
      <c r="C10649" s="1">
        <v>45015</v>
      </c>
      <c r="D10649" s="1">
        <v>45016</v>
      </c>
      <c r="E10649">
        <v>1</v>
      </c>
      <c r="F10649" t="str">
        <f>"01-D01-03"</f>
        <v>01-D01-03</v>
      </c>
      <c r="G10649">
        <v>0.16200000000000001</v>
      </c>
      <c r="H10649" t="s">
        <v>11</v>
      </c>
      <c r="I10649" t="s">
        <v>10</v>
      </c>
    </row>
    <row r="10650" spans="1:9" x14ac:dyDescent="0.25">
      <c r="A10650" t="str">
        <f t="shared" si="253"/>
        <v>89301000</v>
      </c>
      <c r="B10650" t="str">
        <f>"6902251576"</f>
        <v>6902251576</v>
      </c>
      <c r="C10650" s="1">
        <v>45142</v>
      </c>
      <c r="D10650" s="1">
        <v>45145</v>
      </c>
      <c r="E10650">
        <v>1</v>
      </c>
      <c r="F10650" t="str">
        <f>"08-I03-07"</f>
        <v>08-I03-07</v>
      </c>
      <c r="G10650">
        <v>2.8151000000000002</v>
      </c>
      <c r="H10650" t="s">
        <v>9</v>
      </c>
      <c r="I10650" t="s">
        <v>10</v>
      </c>
    </row>
    <row r="10651" spans="1:9" x14ac:dyDescent="0.25">
      <c r="A10651" t="str">
        <f t="shared" si="253"/>
        <v>89301000</v>
      </c>
      <c r="B10651" t="str">
        <f>"6903114460"</f>
        <v>6903114460</v>
      </c>
      <c r="C10651" s="1">
        <v>45061</v>
      </c>
      <c r="D10651" s="1">
        <v>45063</v>
      </c>
      <c r="E10651">
        <v>1</v>
      </c>
      <c r="F10651" t="str">
        <f>"08-M03-05"</f>
        <v>08-M03-05</v>
      </c>
      <c r="G10651">
        <v>0.46810000000000002</v>
      </c>
      <c r="H10651" t="s">
        <v>11</v>
      </c>
      <c r="I10651" t="s">
        <v>10</v>
      </c>
    </row>
    <row r="10652" spans="1:9" x14ac:dyDescent="0.25">
      <c r="A10652" t="str">
        <f t="shared" si="253"/>
        <v>89301000</v>
      </c>
      <c r="B10652" t="str">
        <f>"6903115329"</f>
        <v>6903115329</v>
      </c>
      <c r="C10652" s="1">
        <v>44987</v>
      </c>
      <c r="D10652" s="1">
        <v>44987</v>
      </c>
      <c r="E10652">
        <v>1</v>
      </c>
      <c r="F10652" t="str">
        <f>"05-D01-06"</f>
        <v>05-D01-06</v>
      </c>
      <c r="G10652">
        <v>0.4037</v>
      </c>
      <c r="H10652" t="s">
        <v>11</v>
      </c>
      <c r="I10652" t="s">
        <v>10</v>
      </c>
    </row>
    <row r="10653" spans="1:9" x14ac:dyDescent="0.25">
      <c r="A10653" t="str">
        <f t="shared" si="253"/>
        <v>89301000</v>
      </c>
      <c r="B10653" t="str">
        <f>"6903115329"</f>
        <v>6903115329</v>
      </c>
      <c r="C10653" s="1">
        <v>45064</v>
      </c>
      <c r="D10653" s="1">
        <v>45072</v>
      </c>
      <c r="E10653">
        <v>1</v>
      </c>
      <c r="F10653" t="str">
        <f>"05-I11-04"</f>
        <v>05-I11-04</v>
      </c>
      <c r="G10653">
        <v>6.915</v>
      </c>
      <c r="H10653" t="s">
        <v>14</v>
      </c>
      <c r="I10653" t="s">
        <v>10</v>
      </c>
    </row>
    <row r="10654" spans="1:9" x14ac:dyDescent="0.25">
      <c r="A10654" t="str">
        <f t="shared" si="253"/>
        <v>89301000</v>
      </c>
      <c r="B10654" t="str">
        <f>"6903125779"</f>
        <v>6903125779</v>
      </c>
      <c r="C10654" s="1">
        <v>45243</v>
      </c>
      <c r="D10654" s="1">
        <v>45243</v>
      </c>
      <c r="E10654">
        <v>1</v>
      </c>
      <c r="F10654" t="str">
        <f>"05-D01-08"</f>
        <v>05-D01-08</v>
      </c>
      <c r="G10654">
        <v>0.2303</v>
      </c>
      <c r="H10654" t="s">
        <v>11</v>
      </c>
      <c r="I10654" t="s">
        <v>10</v>
      </c>
    </row>
    <row r="10655" spans="1:9" x14ac:dyDescent="0.25">
      <c r="A10655" t="str">
        <f t="shared" si="253"/>
        <v>89301000</v>
      </c>
      <c r="B10655" t="str">
        <f>"6903145337"</f>
        <v>6903145337</v>
      </c>
      <c r="C10655" s="1">
        <v>45040</v>
      </c>
      <c r="D10655" s="1">
        <v>45044</v>
      </c>
      <c r="E10655">
        <v>1</v>
      </c>
      <c r="F10655" t="str">
        <f>"01-K08-02"</f>
        <v>01-K08-02</v>
      </c>
      <c r="G10655">
        <v>0.60619999999999996</v>
      </c>
      <c r="H10655" t="s">
        <v>11</v>
      </c>
      <c r="I10655" t="s">
        <v>10</v>
      </c>
    </row>
    <row r="10656" spans="1:9" x14ac:dyDescent="0.25">
      <c r="A10656" t="str">
        <f t="shared" si="253"/>
        <v>89301000</v>
      </c>
      <c r="B10656" t="str">
        <f>"6904034456"</f>
        <v>6904034456</v>
      </c>
      <c r="C10656" s="1">
        <v>45091</v>
      </c>
      <c r="D10656" s="1">
        <v>45114</v>
      </c>
      <c r="E10656">
        <v>1</v>
      </c>
      <c r="F10656" t="str">
        <f>"08-I30-01"</f>
        <v>08-I30-01</v>
      </c>
      <c r="G10656">
        <v>2.3386999999999998</v>
      </c>
      <c r="H10656" t="s">
        <v>11</v>
      </c>
      <c r="I10656" t="s">
        <v>10</v>
      </c>
    </row>
    <row r="10657" spans="1:9" x14ac:dyDescent="0.25">
      <c r="A10657" t="str">
        <f t="shared" si="253"/>
        <v>89301000</v>
      </c>
      <c r="B10657" t="str">
        <f>"6904034456"</f>
        <v>6904034456</v>
      </c>
      <c r="C10657" s="1">
        <v>45154</v>
      </c>
      <c r="D10657" s="1">
        <v>45168</v>
      </c>
      <c r="E10657">
        <v>4</v>
      </c>
      <c r="F10657" t="str">
        <f>"11-K07-02"</f>
        <v>11-K07-02</v>
      </c>
      <c r="G10657">
        <v>0.81879999999999997</v>
      </c>
      <c r="H10657" t="s">
        <v>11</v>
      </c>
      <c r="I10657" t="s">
        <v>10</v>
      </c>
    </row>
    <row r="10658" spans="1:9" x14ac:dyDescent="0.25">
      <c r="A10658" t="str">
        <f t="shared" si="253"/>
        <v>89301000</v>
      </c>
      <c r="B10658" t="str">
        <f>"6904034456"</f>
        <v>6904034456</v>
      </c>
      <c r="C10658" s="1">
        <v>45060</v>
      </c>
      <c r="D10658" s="1">
        <v>45086</v>
      </c>
      <c r="E10658">
        <v>3</v>
      </c>
      <c r="F10658" t="str">
        <f>"08-I05-06"</f>
        <v>08-I05-06</v>
      </c>
      <c r="G10658">
        <v>3.3498000000000001</v>
      </c>
      <c r="H10658" t="s">
        <v>12</v>
      </c>
      <c r="I10658" t="s">
        <v>10</v>
      </c>
    </row>
    <row r="10659" spans="1:9" x14ac:dyDescent="0.25">
      <c r="A10659" t="str">
        <f t="shared" si="253"/>
        <v>89301000</v>
      </c>
      <c r="B10659" t="str">
        <f>"6904034456"</f>
        <v>6904034456</v>
      </c>
      <c r="C10659" s="1">
        <v>45086</v>
      </c>
      <c r="D10659" s="1">
        <v>45091</v>
      </c>
      <c r="E10659">
        <v>3</v>
      </c>
      <c r="F10659" t="str">
        <f>"24-M05-02"</f>
        <v>24-M05-02</v>
      </c>
      <c r="G10659">
        <v>0.5867</v>
      </c>
      <c r="H10659" t="s">
        <v>11</v>
      </c>
      <c r="I10659" t="s">
        <v>10</v>
      </c>
    </row>
    <row r="10660" spans="1:9" x14ac:dyDescent="0.25">
      <c r="A10660" t="str">
        <f t="shared" si="253"/>
        <v>89301000</v>
      </c>
      <c r="B10660" t="str">
        <f>"6904055785"</f>
        <v>6904055785</v>
      </c>
      <c r="C10660" s="1">
        <v>44979</v>
      </c>
      <c r="D10660" s="1">
        <v>44980</v>
      </c>
      <c r="E10660">
        <v>1</v>
      </c>
      <c r="F10660" t="str">
        <f>"05-D01-06"</f>
        <v>05-D01-06</v>
      </c>
      <c r="G10660">
        <v>0.7571</v>
      </c>
      <c r="H10660" t="s">
        <v>11</v>
      </c>
      <c r="I10660" t="s">
        <v>10</v>
      </c>
    </row>
    <row r="10661" spans="1:9" x14ac:dyDescent="0.25">
      <c r="A10661" t="str">
        <f t="shared" si="253"/>
        <v>89301000</v>
      </c>
      <c r="B10661" t="str">
        <f>"6904095308"</f>
        <v>6904095308</v>
      </c>
      <c r="C10661" s="1">
        <v>45267</v>
      </c>
      <c r="D10661" s="1">
        <v>45269</v>
      </c>
      <c r="E10661">
        <v>1</v>
      </c>
      <c r="F10661" t="str">
        <f>"08-M03-05"</f>
        <v>08-M03-05</v>
      </c>
      <c r="G10661">
        <v>0.46910000000000002</v>
      </c>
      <c r="H10661" t="s">
        <v>11</v>
      </c>
      <c r="I10661" t="s">
        <v>10</v>
      </c>
    </row>
    <row r="10662" spans="1:9" x14ac:dyDescent="0.25">
      <c r="A10662" t="str">
        <f t="shared" ref="A10662:A10725" si="256">"89301000"</f>
        <v>89301000</v>
      </c>
      <c r="B10662" t="str">
        <f>"6904145600"</f>
        <v>6904145600</v>
      </c>
      <c r="C10662" s="1">
        <v>45082</v>
      </c>
      <c r="D10662" s="1">
        <v>45084</v>
      </c>
      <c r="E10662">
        <v>1</v>
      </c>
      <c r="F10662" t="str">
        <f>"17-K05-02"</f>
        <v>17-K05-02</v>
      </c>
      <c r="G10662">
        <v>0.67759999999999998</v>
      </c>
      <c r="H10662" t="s">
        <v>11</v>
      </c>
      <c r="I10662" t="s">
        <v>10</v>
      </c>
    </row>
    <row r="10663" spans="1:9" x14ac:dyDescent="0.25">
      <c r="A10663" t="str">
        <f t="shared" si="256"/>
        <v>89301000</v>
      </c>
      <c r="B10663" t="str">
        <f>"6904205308"</f>
        <v>6904205308</v>
      </c>
      <c r="C10663" s="1">
        <v>45238</v>
      </c>
      <c r="D10663" s="1">
        <v>45238</v>
      </c>
      <c r="E10663">
        <v>1</v>
      </c>
      <c r="F10663" t="str">
        <f>"05-D01-08"</f>
        <v>05-D01-08</v>
      </c>
      <c r="G10663">
        <v>0.2303</v>
      </c>
      <c r="H10663" t="s">
        <v>11</v>
      </c>
      <c r="I10663" t="s">
        <v>10</v>
      </c>
    </row>
    <row r="10664" spans="1:9" x14ac:dyDescent="0.25">
      <c r="A10664" t="str">
        <f t="shared" si="256"/>
        <v>89301000</v>
      </c>
      <c r="B10664" t="str">
        <f>"6904224668"</f>
        <v>6904224668</v>
      </c>
      <c r="C10664" s="1">
        <v>45111</v>
      </c>
      <c r="D10664" s="1">
        <v>45116</v>
      </c>
      <c r="E10664">
        <v>1</v>
      </c>
      <c r="F10664" t="str">
        <f>"08-I03-05"</f>
        <v>08-I03-05</v>
      </c>
      <c r="G10664">
        <v>2.9413</v>
      </c>
      <c r="H10664" t="s">
        <v>9</v>
      </c>
      <c r="I10664" t="s">
        <v>10</v>
      </c>
    </row>
    <row r="10665" spans="1:9" x14ac:dyDescent="0.25">
      <c r="A10665" t="str">
        <f t="shared" si="256"/>
        <v>89301000</v>
      </c>
      <c r="B10665" t="str">
        <f>"6904245766"</f>
        <v>6904245766</v>
      </c>
      <c r="C10665" s="1">
        <v>45049</v>
      </c>
      <c r="D10665" s="1">
        <v>45053</v>
      </c>
      <c r="E10665">
        <v>1</v>
      </c>
      <c r="F10665" t="str">
        <f>"05-M07-01"</f>
        <v>05-M07-01</v>
      </c>
      <c r="G10665">
        <v>5.0646000000000004</v>
      </c>
      <c r="H10665" t="s">
        <v>12</v>
      </c>
      <c r="I10665" t="s">
        <v>10</v>
      </c>
    </row>
    <row r="10666" spans="1:9" x14ac:dyDescent="0.25">
      <c r="A10666" t="str">
        <f t="shared" si="256"/>
        <v>89301000</v>
      </c>
      <c r="B10666" t="str">
        <f>"6904273838"</f>
        <v>6904273838</v>
      </c>
      <c r="C10666" s="1">
        <v>45117</v>
      </c>
      <c r="D10666" s="1">
        <v>45229</v>
      </c>
      <c r="E10666">
        <v>5</v>
      </c>
      <c r="F10666" t="str">
        <f>"25-I02-02"</f>
        <v>25-I02-02</v>
      </c>
      <c r="G10666">
        <v>20.762899999999998</v>
      </c>
      <c r="H10666" t="s">
        <v>14</v>
      </c>
      <c r="I10666" t="s">
        <v>10</v>
      </c>
    </row>
    <row r="10667" spans="1:9" x14ac:dyDescent="0.25">
      <c r="A10667" t="str">
        <f t="shared" si="256"/>
        <v>89301000</v>
      </c>
      <c r="B10667" t="str">
        <f>"6904273838"</f>
        <v>6904273838</v>
      </c>
      <c r="C10667" s="1">
        <v>45092</v>
      </c>
      <c r="D10667" s="1">
        <v>45100</v>
      </c>
      <c r="E10667">
        <v>5</v>
      </c>
      <c r="F10667" t="str">
        <f>"08-I13-01"</f>
        <v>08-I13-01</v>
      </c>
      <c r="G10667">
        <v>5.0500999999999996</v>
      </c>
      <c r="H10667" t="s">
        <v>12</v>
      </c>
      <c r="I10667" t="s">
        <v>10</v>
      </c>
    </row>
    <row r="10668" spans="1:9" x14ac:dyDescent="0.25">
      <c r="A10668" t="str">
        <f t="shared" si="256"/>
        <v>89301000</v>
      </c>
      <c r="B10668" t="str">
        <f>"6904275763"</f>
        <v>6904275763</v>
      </c>
      <c r="C10668" s="1">
        <v>45221</v>
      </c>
      <c r="D10668" s="1">
        <v>45227</v>
      </c>
      <c r="E10668">
        <v>1</v>
      </c>
      <c r="F10668" t="str">
        <f>"12-I02-01"</f>
        <v>12-I02-01</v>
      </c>
      <c r="G10668">
        <v>3.3855</v>
      </c>
      <c r="H10668" t="s">
        <v>9</v>
      </c>
      <c r="I10668" t="s">
        <v>10</v>
      </c>
    </row>
    <row r="10669" spans="1:9" x14ac:dyDescent="0.25">
      <c r="A10669" t="str">
        <f t="shared" si="256"/>
        <v>89301000</v>
      </c>
      <c r="B10669" t="str">
        <f>"6904284684"</f>
        <v>6904284684</v>
      </c>
      <c r="C10669" s="1">
        <v>45175</v>
      </c>
      <c r="D10669" s="1">
        <v>45181</v>
      </c>
      <c r="E10669">
        <v>1</v>
      </c>
      <c r="F10669" t="str">
        <f>"10-K06-00"</f>
        <v>10-K06-00</v>
      </c>
      <c r="G10669">
        <v>0.50290000000000001</v>
      </c>
      <c r="H10669" t="s">
        <v>11</v>
      </c>
      <c r="I10669" t="s">
        <v>10</v>
      </c>
    </row>
    <row r="10670" spans="1:9" x14ac:dyDescent="0.25">
      <c r="A10670" t="str">
        <f t="shared" si="256"/>
        <v>89301000</v>
      </c>
      <c r="B10670" t="str">
        <f>"6905060294"</f>
        <v>6905060294</v>
      </c>
      <c r="C10670" s="1">
        <v>45225</v>
      </c>
      <c r="D10670" s="1">
        <v>45232</v>
      </c>
      <c r="E10670">
        <v>1</v>
      </c>
      <c r="F10670" t="str">
        <f>"01-I06-04"</f>
        <v>01-I06-04</v>
      </c>
      <c r="G10670">
        <v>3.6478999999999999</v>
      </c>
      <c r="H10670" t="s">
        <v>12</v>
      </c>
      <c r="I10670" t="s">
        <v>10</v>
      </c>
    </row>
    <row r="10671" spans="1:9" x14ac:dyDescent="0.25">
      <c r="A10671" t="str">
        <f t="shared" si="256"/>
        <v>89301000</v>
      </c>
      <c r="B10671" t="str">
        <f>"6905065376"</f>
        <v>6905065376</v>
      </c>
      <c r="C10671" s="1">
        <v>45160</v>
      </c>
      <c r="D10671" s="1">
        <v>45161</v>
      </c>
      <c r="E10671">
        <v>1</v>
      </c>
      <c r="F10671" t="str">
        <f>"01-D01-03"</f>
        <v>01-D01-03</v>
      </c>
      <c r="G10671">
        <v>0.16200000000000001</v>
      </c>
      <c r="H10671" t="s">
        <v>11</v>
      </c>
      <c r="I10671" t="s">
        <v>10</v>
      </c>
    </row>
    <row r="10672" spans="1:9" x14ac:dyDescent="0.25">
      <c r="A10672" t="str">
        <f t="shared" si="256"/>
        <v>89301000</v>
      </c>
      <c r="B10672" t="str">
        <f>"6905065376"</f>
        <v>6905065376</v>
      </c>
      <c r="C10672" s="1">
        <v>45233</v>
      </c>
      <c r="D10672" s="1">
        <v>45236</v>
      </c>
      <c r="E10672">
        <v>1</v>
      </c>
      <c r="F10672" t="str">
        <f>"01-D01-03"</f>
        <v>01-D01-03</v>
      </c>
      <c r="G10672">
        <v>0.21060000000000001</v>
      </c>
      <c r="H10672" t="s">
        <v>11</v>
      </c>
      <c r="I10672" t="s">
        <v>10</v>
      </c>
    </row>
    <row r="10673" spans="1:9" x14ac:dyDescent="0.25">
      <c r="A10673" t="str">
        <f t="shared" si="256"/>
        <v>89301000</v>
      </c>
      <c r="B10673" t="str">
        <f>"6905079973"</f>
        <v>6905079973</v>
      </c>
      <c r="C10673" s="1">
        <v>45026</v>
      </c>
      <c r="D10673" s="1">
        <v>45030</v>
      </c>
      <c r="E10673">
        <v>1</v>
      </c>
      <c r="F10673" t="str">
        <f>"03-K13-02"</f>
        <v>03-K13-02</v>
      </c>
      <c r="G10673">
        <v>0.25559999999999999</v>
      </c>
      <c r="H10673" t="s">
        <v>11</v>
      </c>
      <c r="I10673" t="s">
        <v>10</v>
      </c>
    </row>
    <row r="10674" spans="1:9" x14ac:dyDescent="0.25">
      <c r="A10674" t="str">
        <f t="shared" si="256"/>
        <v>89301000</v>
      </c>
      <c r="B10674" t="str">
        <f>"6905095791"</f>
        <v>6905095791</v>
      </c>
      <c r="C10674" s="1">
        <v>44972</v>
      </c>
      <c r="D10674" s="1">
        <v>44979</v>
      </c>
      <c r="E10674">
        <v>1</v>
      </c>
      <c r="F10674" t="str">
        <f>"06-I07-06"</f>
        <v>06-I07-06</v>
      </c>
      <c r="G10674">
        <v>2.3725000000000001</v>
      </c>
      <c r="H10674" t="s">
        <v>12</v>
      </c>
      <c r="I10674" t="s">
        <v>10</v>
      </c>
    </row>
    <row r="10675" spans="1:9" x14ac:dyDescent="0.25">
      <c r="A10675" t="str">
        <f t="shared" si="256"/>
        <v>89301000</v>
      </c>
      <c r="B10675" t="str">
        <f>"6905105757"</f>
        <v>6905105757</v>
      </c>
      <c r="C10675" s="1">
        <v>45075</v>
      </c>
      <c r="D10675" s="1">
        <v>45092</v>
      </c>
      <c r="E10675">
        <v>1</v>
      </c>
      <c r="F10675" t="str">
        <f>"01-I01-01"</f>
        <v>01-I01-01</v>
      </c>
      <c r="G10675">
        <v>15.993600000000001</v>
      </c>
      <c r="H10675" t="s">
        <v>14</v>
      </c>
      <c r="I10675" t="s">
        <v>10</v>
      </c>
    </row>
    <row r="10676" spans="1:9" x14ac:dyDescent="0.25">
      <c r="A10676" t="str">
        <f t="shared" si="256"/>
        <v>89301000</v>
      </c>
      <c r="B10676" t="str">
        <f>"6905105757"</f>
        <v>6905105757</v>
      </c>
      <c r="C10676" s="1">
        <v>45012</v>
      </c>
      <c r="D10676" s="1">
        <v>45016</v>
      </c>
      <c r="E10676">
        <v>1</v>
      </c>
      <c r="F10676" t="str">
        <f>"01-K04-02"</f>
        <v>01-K04-02</v>
      </c>
      <c r="G10676">
        <v>0.79990000000000006</v>
      </c>
      <c r="H10676" t="s">
        <v>11</v>
      </c>
      <c r="I10676" t="s">
        <v>10</v>
      </c>
    </row>
    <row r="10677" spans="1:9" x14ac:dyDescent="0.25">
      <c r="A10677" t="str">
        <f t="shared" si="256"/>
        <v>89301000</v>
      </c>
      <c r="B10677" t="str">
        <f>"6905105757"</f>
        <v>6905105757</v>
      </c>
      <c r="C10677" s="1">
        <v>44984</v>
      </c>
      <c r="D10677" s="1">
        <v>44995</v>
      </c>
      <c r="E10677">
        <v>1</v>
      </c>
      <c r="F10677" t="str">
        <f>"01-K04-02"</f>
        <v>01-K04-02</v>
      </c>
      <c r="G10677">
        <v>0.79990000000000006</v>
      </c>
      <c r="H10677" t="s">
        <v>11</v>
      </c>
      <c r="I10677" t="s">
        <v>10</v>
      </c>
    </row>
    <row r="10678" spans="1:9" x14ac:dyDescent="0.25">
      <c r="A10678" t="str">
        <f t="shared" si="256"/>
        <v>89301000</v>
      </c>
      <c r="B10678" t="str">
        <f>"6905225327"</f>
        <v>6905225327</v>
      </c>
      <c r="C10678" s="1">
        <v>45075</v>
      </c>
      <c r="D10678" s="1">
        <v>45076</v>
      </c>
      <c r="E10678">
        <v>1</v>
      </c>
      <c r="F10678" t="str">
        <f>"12-I13-02"</f>
        <v>12-I13-02</v>
      </c>
      <c r="G10678">
        <v>0.53879999999999995</v>
      </c>
      <c r="H10678" t="s">
        <v>9</v>
      </c>
      <c r="I10678" t="s">
        <v>10</v>
      </c>
    </row>
    <row r="10679" spans="1:9" x14ac:dyDescent="0.25">
      <c r="A10679" t="str">
        <f t="shared" si="256"/>
        <v>89301000</v>
      </c>
      <c r="B10679" t="str">
        <f>"6905235315"</f>
        <v>6905235315</v>
      </c>
      <c r="C10679" s="1">
        <v>45236</v>
      </c>
      <c r="D10679" s="1">
        <v>45238</v>
      </c>
      <c r="E10679">
        <v>1</v>
      </c>
      <c r="F10679" t="str">
        <f>"08-I26-02"</f>
        <v>08-I26-02</v>
      </c>
      <c r="G10679">
        <v>0.83779999999999999</v>
      </c>
      <c r="H10679" t="s">
        <v>11</v>
      </c>
      <c r="I10679" t="s">
        <v>10</v>
      </c>
    </row>
    <row r="10680" spans="1:9" x14ac:dyDescent="0.25">
      <c r="A10680" t="str">
        <f t="shared" si="256"/>
        <v>89301000</v>
      </c>
      <c r="B10680" t="str">
        <f>"6905266093"</f>
        <v>6905266093</v>
      </c>
      <c r="C10680" s="1">
        <v>45088</v>
      </c>
      <c r="D10680" s="1">
        <v>45091</v>
      </c>
      <c r="E10680">
        <v>1</v>
      </c>
      <c r="F10680" t="str">
        <f>"08-M03-05"</f>
        <v>08-M03-05</v>
      </c>
      <c r="G10680">
        <v>0.46810000000000002</v>
      </c>
      <c r="H10680" t="s">
        <v>11</v>
      </c>
      <c r="I10680" t="s">
        <v>10</v>
      </c>
    </row>
    <row r="10681" spans="1:9" x14ac:dyDescent="0.25">
      <c r="A10681" t="str">
        <f t="shared" si="256"/>
        <v>89301000</v>
      </c>
      <c r="B10681" t="str">
        <f>"6906015611"</f>
        <v>6906015611</v>
      </c>
      <c r="C10681" s="1">
        <v>45144</v>
      </c>
      <c r="D10681" s="1">
        <v>45157</v>
      </c>
      <c r="E10681">
        <v>1</v>
      </c>
      <c r="F10681" t="str">
        <f>"07-I01-01"</f>
        <v>07-I01-01</v>
      </c>
      <c r="G10681">
        <v>8.9221000000000004</v>
      </c>
      <c r="H10681" t="s">
        <v>14</v>
      </c>
      <c r="I10681" t="s">
        <v>10</v>
      </c>
    </row>
    <row r="10682" spans="1:9" x14ac:dyDescent="0.25">
      <c r="A10682" t="str">
        <f t="shared" si="256"/>
        <v>89301000</v>
      </c>
      <c r="B10682" t="str">
        <f>"6906185770"</f>
        <v>6906185770</v>
      </c>
      <c r="C10682" s="1">
        <v>45099</v>
      </c>
      <c r="D10682" s="1">
        <v>45102</v>
      </c>
      <c r="E10682">
        <v>1</v>
      </c>
      <c r="F10682" t="str">
        <f>"08-I03-08"</f>
        <v>08-I03-08</v>
      </c>
      <c r="G10682">
        <v>1.9455</v>
      </c>
      <c r="H10682" t="s">
        <v>9</v>
      </c>
      <c r="I10682" t="s">
        <v>10</v>
      </c>
    </row>
    <row r="10683" spans="1:9" x14ac:dyDescent="0.25">
      <c r="A10683" t="str">
        <f t="shared" si="256"/>
        <v>89301000</v>
      </c>
      <c r="B10683" t="str">
        <f>"6906218011"</f>
        <v>6906218011</v>
      </c>
      <c r="C10683" s="1">
        <v>45013</v>
      </c>
      <c r="D10683" s="1">
        <v>45016</v>
      </c>
      <c r="E10683">
        <v>5</v>
      </c>
      <c r="F10683" t="str">
        <f>"05-I03-04"</f>
        <v>05-I03-04</v>
      </c>
      <c r="G10683">
        <v>10.0669</v>
      </c>
      <c r="H10683" t="s">
        <v>12</v>
      </c>
      <c r="I10683" t="s">
        <v>10</v>
      </c>
    </row>
    <row r="10684" spans="1:9" x14ac:dyDescent="0.25">
      <c r="A10684" t="str">
        <f t="shared" si="256"/>
        <v>89301000</v>
      </c>
      <c r="B10684" t="str">
        <f>"6906224292"</f>
        <v>6906224292</v>
      </c>
      <c r="C10684" s="1">
        <v>45225</v>
      </c>
      <c r="D10684" s="1">
        <v>45230</v>
      </c>
      <c r="E10684">
        <v>1</v>
      </c>
      <c r="F10684" t="str">
        <f>"11-M06-03"</f>
        <v>11-M06-03</v>
      </c>
      <c r="G10684">
        <v>0.62009999999999998</v>
      </c>
      <c r="H10684" t="s">
        <v>12</v>
      </c>
      <c r="I10684" t="s">
        <v>10</v>
      </c>
    </row>
    <row r="10685" spans="1:9" x14ac:dyDescent="0.25">
      <c r="A10685" t="str">
        <f t="shared" si="256"/>
        <v>89301000</v>
      </c>
      <c r="B10685" t="str">
        <f>"6906255356"</f>
        <v>6906255356</v>
      </c>
      <c r="C10685" s="1">
        <v>44993</v>
      </c>
      <c r="D10685" s="1">
        <v>44995</v>
      </c>
      <c r="E10685">
        <v>1</v>
      </c>
      <c r="F10685" t="str">
        <f>"08-I26-03"</f>
        <v>08-I26-03</v>
      </c>
      <c r="G10685">
        <v>0.47699999999999998</v>
      </c>
      <c r="H10685" t="s">
        <v>11</v>
      </c>
      <c r="I10685" t="s">
        <v>10</v>
      </c>
    </row>
    <row r="10686" spans="1:9" x14ac:dyDescent="0.25">
      <c r="A10686" t="str">
        <f t="shared" si="256"/>
        <v>89301000</v>
      </c>
      <c r="B10686" t="str">
        <f>"6907042494"</f>
        <v>6907042494</v>
      </c>
      <c r="C10686" s="1">
        <v>45201</v>
      </c>
      <c r="D10686" s="1">
        <v>45206</v>
      </c>
      <c r="E10686">
        <v>1</v>
      </c>
      <c r="F10686" t="str">
        <f>"07-I04-02"</f>
        <v>07-I04-02</v>
      </c>
      <c r="G10686">
        <v>2.2502</v>
      </c>
      <c r="H10686" t="s">
        <v>14</v>
      </c>
      <c r="I10686" t="s">
        <v>10</v>
      </c>
    </row>
    <row r="10687" spans="1:9" x14ac:dyDescent="0.25">
      <c r="A10687" t="str">
        <f t="shared" si="256"/>
        <v>89301000</v>
      </c>
      <c r="B10687" t="str">
        <f>"6907145333"</f>
        <v>6907145333</v>
      </c>
      <c r="C10687" s="1">
        <v>45251</v>
      </c>
      <c r="D10687" s="1">
        <v>45255</v>
      </c>
      <c r="E10687">
        <v>1</v>
      </c>
      <c r="F10687" t="str">
        <f>"06-I22-01"</f>
        <v>06-I22-01</v>
      </c>
      <c r="G10687">
        <v>0.68120000000000003</v>
      </c>
      <c r="H10687" t="s">
        <v>12</v>
      </c>
      <c r="I10687" t="s">
        <v>10</v>
      </c>
    </row>
    <row r="10688" spans="1:9" x14ac:dyDescent="0.25">
      <c r="A10688" t="str">
        <f t="shared" si="256"/>
        <v>89301000</v>
      </c>
      <c r="B10688" t="str">
        <f>"6907205338"</f>
        <v>6907205338</v>
      </c>
      <c r="C10688" s="1">
        <v>45107</v>
      </c>
      <c r="D10688" s="1">
        <v>45114</v>
      </c>
      <c r="E10688">
        <v>1</v>
      </c>
      <c r="F10688" t="str">
        <f>"10-K04-02"</f>
        <v>10-K04-02</v>
      </c>
      <c r="G10688">
        <v>1.2111000000000001</v>
      </c>
      <c r="H10688" t="s">
        <v>11</v>
      </c>
      <c r="I10688" t="s">
        <v>10</v>
      </c>
    </row>
    <row r="10689" spans="1:9" x14ac:dyDescent="0.25">
      <c r="A10689" t="str">
        <f t="shared" si="256"/>
        <v>89301000</v>
      </c>
      <c r="B10689" t="str">
        <f>"6907205591"</f>
        <v>6907205591</v>
      </c>
      <c r="C10689" s="1">
        <v>45126</v>
      </c>
      <c r="D10689" s="1">
        <v>45128</v>
      </c>
      <c r="E10689">
        <v>1</v>
      </c>
      <c r="F10689" t="str">
        <f>"04-K06-03"</f>
        <v>04-K06-03</v>
      </c>
      <c r="G10689">
        <v>0.62519999999999998</v>
      </c>
      <c r="H10689" t="s">
        <v>11</v>
      </c>
      <c r="I10689" t="s">
        <v>10</v>
      </c>
    </row>
    <row r="10690" spans="1:9" x14ac:dyDescent="0.25">
      <c r="A10690" t="str">
        <f t="shared" si="256"/>
        <v>89301000</v>
      </c>
      <c r="B10690" t="str">
        <f>"6907205591"</f>
        <v>6907205591</v>
      </c>
      <c r="C10690" s="1">
        <v>45077</v>
      </c>
      <c r="D10690" s="1">
        <v>45079</v>
      </c>
      <c r="E10690">
        <v>1</v>
      </c>
      <c r="F10690" t="str">
        <f>"04-K06-03"</f>
        <v>04-K06-03</v>
      </c>
      <c r="G10690">
        <v>0.62519999999999998</v>
      </c>
      <c r="H10690" t="s">
        <v>11</v>
      </c>
      <c r="I10690" t="s">
        <v>10</v>
      </c>
    </row>
    <row r="10691" spans="1:9" x14ac:dyDescent="0.25">
      <c r="A10691" t="str">
        <f t="shared" si="256"/>
        <v>89301000</v>
      </c>
      <c r="B10691" t="str">
        <f>"6907205591"</f>
        <v>6907205591</v>
      </c>
      <c r="C10691" s="1">
        <v>45252</v>
      </c>
      <c r="D10691" s="1">
        <v>45254</v>
      </c>
      <c r="E10691">
        <v>1</v>
      </c>
      <c r="F10691" t="str">
        <f>"04-K06-03"</f>
        <v>04-K06-03</v>
      </c>
      <c r="G10691">
        <v>0.62519999999999998</v>
      </c>
      <c r="H10691" t="s">
        <v>11</v>
      </c>
      <c r="I10691" t="s">
        <v>10</v>
      </c>
    </row>
    <row r="10692" spans="1:9" x14ac:dyDescent="0.25">
      <c r="A10692" t="str">
        <f t="shared" si="256"/>
        <v>89301000</v>
      </c>
      <c r="B10692" t="str">
        <f>"6907280688"</f>
        <v>6907280688</v>
      </c>
      <c r="C10692" s="1">
        <v>44932</v>
      </c>
      <c r="D10692" s="1">
        <v>44935</v>
      </c>
      <c r="E10692">
        <v>1</v>
      </c>
      <c r="F10692" t="str">
        <f>"01-D01-03"</f>
        <v>01-D01-03</v>
      </c>
      <c r="G10692">
        <v>0.21060000000000001</v>
      </c>
      <c r="H10692" t="s">
        <v>11</v>
      </c>
      <c r="I10692" t="s">
        <v>10</v>
      </c>
    </row>
    <row r="10693" spans="1:9" x14ac:dyDescent="0.25">
      <c r="A10693" t="str">
        <f t="shared" si="256"/>
        <v>89301000</v>
      </c>
      <c r="B10693" t="str">
        <f>"6908034463"</f>
        <v>6908034463</v>
      </c>
      <c r="C10693" s="1">
        <v>45258</v>
      </c>
      <c r="D10693" s="1">
        <v>45266</v>
      </c>
      <c r="E10693">
        <v>1</v>
      </c>
      <c r="F10693" t="str">
        <f>"12-K01-02"</f>
        <v>12-K01-02</v>
      </c>
      <c r="G10693">
        <v>0.56440000000000001</v>
      </c>
      <c r="H10693" t="s">
        <v>11</v>
      </c>
      <c r="I10693" t="s">
        <v>10</v>
      </c>
    </row>
    <row r="10694" spans="1:9" x14ac:dyDescent="0.25">
      <c r="A10694" t="str">
        <f t="shared" si="256"/>
        <v>89301000</v>
      </c>
      <c r="B10694" t="str">
        <f>"6908144848"</f>
        <v>6908144848</v>
      </c>
      <c r="C10694" s="1">
        <v>45272</v>
      </c>
      <c r="D10694" s="1">
        <v>45273</v>
      </c>
      <c r="E10694">
        <v>4</v>
      </c>
      <c r="F10694" t="str">
        <f>"01-K16-02"</f>
        <v>01-K16-02</v>
      </c>
      <c r="G10694">
        <v>1.0049999999999999</v>
      </c>
      <c r="H10694" t="s">
        <v>11</v>
      </c>
      <c r="I10694" t="s">
        <v>10</v>
      </c>
    </row>
    <row r="10695" spans="1:9" x14ac:dyDescent="0.25">
      <c r="A10695" t="str">
        <f t="shared" si="256"/>
        <v>89301000</v>
      </c>
      <c r="B10695" t="str">
        <f>"6908174460"</f>
        <v>6908174460</v>
      </c>
      <c r="C10695" s="1">
        <v>45216</v>
      </c>
      <c r="D10695" s="1">
        <v>45218</v>
      </c>
      <c r="E10695">
        <v>1</v>
      </c>
      <c r="F10695" t="str">
        <f>"05-M05-03"</f>
        <v>05-M05-03</v>
      </c>
      <c r="G10695">
        <v>1.3539000000000001</v>
      </c>
      <c r="H10695" t="s">
        <v>14</v>
      </c>
      <c r="I10695" t="s">
        <v>10</v>
      </c>
    </row>
    <row r="10696" spans="1:9" x14ac:dyDescent="0.25">
      <c r="A10696" t="str">
        <f t="shared" si="256"/>
        <v>89301000</v>
      </c>
      <c r="B10696" t="str">
        <f>"6908185328"</f>
        <v>6908185328</v>
      </c>
      <c r="C10696" s="1">
        <v>45215</v>
      </c>
      <c r="D10696" s="1">
        <v>45216</v>
      </c>
      <c r="E10696">
        <v>1</v>
      </c>
      <c r="F10696" t="str">
        <f>"08-I15-03"</f>
        <v>08-I15-03</v>
      </c>
      <c r="G10696">
        <v>0.94059999999999999</v>
      </c>
      <c r="H10696" t="s">
        <v>12</v>
      </c>
      <c r="I10696" t="s">
        <v>10</v>
      </c>
    </row>
    <row r="10697" spans="1:9" x14ac:dyDescent="0.25">
      <c r="A10697" t="str">
        <f t="shared" si="256"/>
        <v>89301000</v>
      </c>
      <c r="B10697" t="str">
        <f>"6908295757"</f>
        <v>6908295757</v>
      </c>
      <c r="C10697" s="1">
        <v>44943</v>
      </c>
      <c r="D10697" s="1">
        <v>44947</v>
      </c>
      <c r="E10697">
        <v>1</v>
      </c>
      <c r="F10697" t="str">
        <f>"17-I10-02"</f>
        <v>17-I10-02</v>
      </c>
      <c r="G10697">
        <v>0.84730000000000005</v>
      </c>
      <c r="H10697" t="s">
        <v>11</v>
      </c>
      <c r="I10697" t="s">
        <v>10</v>
      </c>
    </row>
    <row r="10698" spans="1:9" x14ac:dyDescent="0.25">
      <c r="A10698" t="str">
        <f t="shared" si="256"/>
        <v>89301000</v>
      </c>
      <c r="B10698" t="str">
        <f>"6908295757"</f>
        <v>6908295757</v>
      </c>
      <c r="C10698" s="1">
        <v>45216</v>
      </c>
      <c r="D10698" s="1">
        <v>45219</v>
      </c>
      <c r="E10698">
        <v>1</v>
      </c>
      <c r="F10698" t="str">
        <f>"06-I17-03"</f>
        <v>06-I17-03</v>
      </c>
      <c r="G10698">
        <v>0.879</v>
      </c>
      <c r="H10698" t="s">
        <v>12</v>
      </c>
      <c r="I10698" t="s">
        <v>10</v>
      </c>
    </row>
    <row r="10699" spans="1:9" x14ac:dyDescent="0.25">
      <c r="A10699" t="str">
        <f t="shared" si="256"/>
        <v>89301000</v>
      </c>
      <c r="B10699" t="str">
        <f>"6908304843"</f>
        <v>6908304843</v>
      </c>
      <c r="C10699" s="1">
        <v>45124</v>
      </c>
      <c r="D10699" s="1">
        <v>45126</v>
      </c>
      <c r="E10699">
        <v>1</v>
      </c>
      <c r="F10699" t="str">
        <f>"05-M05-02"</f>
        <v>05-M05-02</v>
      </c>
      <c r="G10699">
        <v>3.8369</v>
      </c>
      <c r="H10699" t="s">
        <v>14</v>
      </c>
      <c r="I10699" t="s">
        <v>10</v>
      </c>
    </row>
    <row r="10700" spans="1:9" x14ac:dyDescent="0.25">
      <c r="A10700" t="str">
        <f t="shared" si="256"/>
        <v>89301000</v>
      </c>
      <c r="B10700" t="str">
        <f>"6909144473"</f>
        <v>6909144473</v>
      </c>
      <c r="C10700" s="1">
        <v>45208</v>
      </c>
      <c r="D10700" s="1">
        <v>45210</v>
      </c>
      <c r="E10700">
        <v>1</v>
      </c>
      <c r="F10700" t="str">
        <f>"02-I06-03"</f>
        <v>02-I06-03</v>
      </c>
      <c r="G10700">
        <v>0.99260000000000004</v>
      </c>
      <c r="H10700" t="s">
        <v>12</v>
      </c>
      <c r="I10700" t="s">
        <v>10</v>
      </c>
    </row>
    <row r="10701" spans="1:9" x14ac:dyDescent="0.25">
      <c r="A10701" t="str">
        <f t="shared" si="256"/>
        <v>89301000</v>
      </c>
      <c r="B10701" t="str">
        <f>"6910124430"</f>
        <v>6910124430</v>
      </c>
      <c r="C10701" s="1">
        <v>45209</v>
      </c>
      <c r="D10701" s="1">
        <v>45213</v>
      </c>
      <c r="E10701">
        <v>1</v>
      </c>
      <c r="F10701" t="str">
        <f>"05-M06-06"</f>
        <v>05-M06-06</v>
      </c>
      <c r="G10701">
        <v>1.8264</v>
      </c>
      <c r="H10701" t="s">
        <v>12</v>
      </c>
      <c r="I10701" t="s">
        <v>10</v>
      </c>
    </row>
    <row r="10702" spans="1:9" x14ac:dyDescent="0.25">
      <c r="A10702" t="str">
        <f t="shared" si="256"/>
        <v>89301000</v>
      </c>
      <c r="B10702" t="str">
        <f>"6910135353"</f>
        <v>6910135353</v>
      </c>
      <c r="C10702" s="1">
        <v>45203</v>
      </c>
      <c r="D10702" s="1">
        <v>45204</v>
      </c>
      <c r="E10702">
        <v>1</v>
      </c>
      <c r="F10702" t="str">
        <f>"05-D01-08"</f>
        <v>05-D01-08</v>
      </c>
      <c r="G10702">
        <v>0.43159999999999998</v>
      </c>
      <c r="H10702" t="s">
        <v>11</v>
      </c>
      <c r="I10702" t="s">
        <v>10</v>
      </c>
    </row>
    <row r="10703" spans="1:9" x14ac:dyDescent="0.25">
      <c r="A10703" t="str">
        <f t="shared" si="256"/>
        <v>89301000</v>
      </c>
      <c r="B10703" t="str">
        <f>"6910135353"</f>
        <v>6910135353</v>
      </c>
      <c r="C10703" s="1">
        <v>45159</v>
      </c>
      <c r="D10703" s="1">
        <v>45162</v>
      </c>
      <c r="E10703">
        <v>1</v>
      </c>
      <c r="F10703" t="str">
        <f>"10-K04-04"</f>
        <v>10-K04-04</v>
      </c>
      <c r="G10703">
        <v>0.53949999999999998</v>
      </c>
      <c r="H10703" t="s">
        <v>11</v>
      </c>
      <c r="I10703" t="s">
        <v>10</v>
      </c>
    </row>
    <row r="10704" spans="1:9" x14ac:dyDescent="0.25">
      <c r="A10704" t="str">
        <f t="shared" si="256"/>
        <v>89301000</v>
      </c>
      <c r="B10704" t="str">
        <f>"6910214894"</f>
        <v>6910214894</v>
      </c>
      <c r="C10704" s="1">
        <v>45202</v>
      </c>
      <c r="D10704" s="1">
        <v>45204</v>
      </c>
      <c r="E10704">
        <v>1</v>
      </c>
      <c r="F10704" t="str">
        <f>"08-K04-03"</f>
        <v>08-K04-03</v>
      </c>
      <c r="G10704">
        <v>0.41799999999999998</v>
      </c>
      <c r="H10704" t="s">
        <v>11</v>
      </c>
      <c r="I10704" t="s">
        <v>10</v>
      </c>
    </row>
    <row r="10705" spans="1:9" x14ac:dyDescent="0.25">
      <c r="A10705" t="str">
        <f t="shared" si="256"/>
        <v>89301000</v>
      </c>
      <c r="B10705" t="str">
        <f>"6910259389"</f>
        <v>6910259389</v>
      </c>
      <c r="C10705" s="1">
        <v>45257</v>
      </c>
      <c r="D10705" s="1">
        <v>45259</v>
      </c>
      <c r="E10705">
        <v>1</v>
      </c>
      <c r="F10705" t="str">
        <f>"01-K07-03"</f>
        <v>01-K07-03</v>
      </c>
      <c r="G10705">
        <v>0.48680000000000001</v>
      </c>
      <c r="H10705" t="s">
        <v>11</v>
      </c>
      <c r="I10705" t="s">
        <v>10</v>
      </c>
    </row>
    <row r="10706" spans="1:9" x14ac:dyDescent="0.25">
      <c r="A10706" t="str">
        <f t="shared" si="256"/>
        <v>89301000</v>
      </c>
      <c r="B10706" t="str">
        <f>"6910305314"</f>
        <v>6910305314</v>
      </c>
      <c r="C10706" s="1">
        <v>45034</v>
      </c>
      <c r="D10706" s="1">
        <v>45079</v>
      </c>
      <c r="E10706">
        <v>1</v>
      </c>
      <c r="F10706" t="str">
        <f>"03-R01-01"</f>
        <v>03-R01-01</v>
      </c>
      <c r="G10706">
        <v>6.5094000000000003</v>
      </c>
      <c r="H10706" t="s">
        <v>11</v>
      </c>
      <c r="I10706" t="s">
        <v>10</v>
      </c>
    </row>
    <row r="10707" spans="1:9" x14ac:dyDescent="0.25">
      <c r="A10707" t="str">
        <f t="shared" si="256"/>
        <v>89301000</v>
      </c>
      <c r="B10707" t="str">
        <f>"6910305314"</f>
        <v>6910305314</v>
      </c>
      <c r="C10707" s="1">
        <v>45022</v>
      </c>
      <c r="D10707" s="1">
        <v>45024</v>
      </c>
      <c r="E10707">
        <v>1</v>
      </c>
      <c r="F10707" t="str">
        <f>"03-K09-01"</f>
        <v>03-K09-01</v>
      </c>
      <c r="G10707">
        <v>0.58250000000000002</v>
      </c>
      <c r="H10707" t="s">
        <v>11</v>
      </c>
      <c r="I10707" t="s">
        <v>10</v>
      </c>
    </row>
    <row r="10708" spans="1:9" x14ac:dyDescent="0.25">
      <c r="A10708" t="str">
        <f t="shared" si="256"/>
        <v>89301000</v>
      </c>
      <c r="B10708" t="str">
        <f>"6910305314"</f>
        <v>6910305314</v>
      </c>
      <c r="C10708" s="1">
        <v>44988</v>
      </c>
      <c r="D10708" s="1">
        <v>44991</v>
      </c>
      <c r="E10708">
        <v>1</v>
      </c>
      <c r="F10708" t="str">
        <f>"03-K09-01"</f>
        <v>03-K09-01</v>
      </c>
      <c r="G10708">
        <v>0.54100000000000004</v>
      </c>
      <c r="H10708" t="s">
        <v>11</v>
      </c>
      <c r="I10708" t="s">
        <v>10</v>
      </c>
    </row>
    <row r="10709" spans="1:9" x14ac:dyDescent="0.25">
      <c r="A10709" t="str">
        <f t="shared" si="256"/>
        <v>89301000</v>
      </c>
      <c r="B10709" t="str">
        <f>"6910305765"</f>
        <v>6910305765</v>
      </c>
      <c r="C10709" s="1">
        <v>45187</v>
      </c>
      <c r="D10709" s="1">
        <v>45189</v>
      </c>
      <c r="E10709">
        <v>1</v>
      </c>
      <c r="F10709" t="str">
        <f>"03-I24-00"</f>
        <v>03-I24-00</v>
      </c>
      <c r="G10709">
        <v>0.40670000000000001</v>
      </c>
      <c r="H10709" t="s">
        <v>11</v>
      </c>
      <c r="I10709" t="s">
        <v>10</v>
      </c>
    </row>
    <row r="10710" spans="1:9" x14ac:dyDescent="0.25">
      <c r="A10710" t="str">
        <f t="shared" si="256"/>
        <v>89301000</v>
      </c>
      <c r="B10710" t="str">
        <f>"6911134461"</f>
        <v>6911134461</v>
      </c>
      <c r="C10710" s="1">
        <v>45092</v>
      </c>
      <c r="D10710" s="1">
        <v>45093</v>
      </c>
      <c r="E10710">
        <v>1</v>
      </c>
      <c r="F10710" t="str">
        <f>"01-K01-02"</f>
        <v>01-K01-02</v>
      </c>
      <c r="G10710">
        <v>0.44390000000000002</v>
      </c>
      <c r="H10710" t="s">
        <v>11</v>
      </c>
      <c r="I10710" t="s">
        <v>10</v>
      </c>
    </row>
    <row r="10711" spans="1:9" x14ac:dyDescent="0.25">
      <c r="A10711" t="str">
        <f t="shared" si="256"/>
        <v>89301000</v>
      </c>
      <c r="B10711" t="str">
        <f>"6911134461"</f>
        <v>6911134461</v>
      </c>
      <c r="C10711" s="1">
        <v>45049</v>
      </c>
      <c r="D10711" s="1">
        <v>45050</v>
      </c>
      <c r="E10711">
        <v>1</v>
      </c>
      <c r="F10711" t="str">
        <f>"01-K01-02"</f>
        <v>01-K01-02</v>
      </c>
      <c r="G10711">
        <v>0.44390000000000002</v>
      </c>
      <c r="H10711" t="s">
        <v>11</v>
      </c>
      <c r="I10711" t="s">
        <v>10</v>
      </c>
    </row>
    <row r="10712" spans="1:9" x14ac:dyDescent="0.25">
      <c r="A10712" t="str">
        <f t="shared" si="256"/>
        <v>89301000</v>
      </c>
      <c r="B10712" t="str">
        <f>"6911134461"</f>
        <v>6911134461</v>
      </c>
      <c r="C10712" s="1">
        <v>45021</v>
      </c>
      <c r="D10712" s="1">
        <v>45022</v>
      </c>
      <c r="E10712">
        <v>1</v>
      </c>
      <c r="F10712" t="str">
        <f>"01-K01-02"</f>
        <v>01-K01-02</v>
      </c>
      <c r="G10712">
        <v>0.44390000000000002</v>
      </c>
      <c r="H10712" t="s">
        <v>11</v>
      </c>
      <c r="I10712" t="s">
        <v>10</v>
      </c>
    </row>
    <row r="10713" spans="1:9" x14ac:dyDescent="0.25">
      <c r="A10713" t="str">
        <f t="shared" si="256"/>
        <v>89301000</v>
      </c>
      <c r="B10713" t="str">
        <f>"6911134461"</f>
        <v>6911134461</v>
      </c>
      <c r="C10713" s="1">
        <v>44945</v>
      </c>
      <c r="D10713" s="1">
        <v>44946</v>
      </c>
      <c r="E10713">
        <v>1</v>
      </c>
      <c r="F10713" t="str">
        <f>"01-K01-02"</f>
        <v>01-K01-02</v>
      </c>
      <c r="G10713">
        <v>0.44390000000000002</v>
      </c>
      <c r="H10713" t="s">
        <v>11</v>
      </c>
      <c r="I10713" t="s">
        <v>10</v>
      </c>
    </row>
    <row r="10714" spans="1:9" x14ac:dyDescent="0.25">
      <c r="A10714" t="str">
        <f t="shared" si="256"/>
        <v>89301000</v>
      </c>
      <c r="B10714" t="str">
        <f>"6911134461"</f>
        <v>6911134461</v>
      </c>
      <c r="C10714" s="1">
        <v>44987</v>
      </c>
      <c r="D10714" s="1">
        <v>44988</v>
      </c>
      <c r="E10714">
        <v>1</v>
      </c>
      <c r="F10714" t="str">
        <f>"01-K01-02"</f>
        <v>01-K01-02</v>
      </c>
      <c r="G10714">
        <v>0.44390000000000002</v>
      </c>
      <c r="H10714" t="s">
        <v>11</v>
      </c>
      <c r="I10714" t="s">
        <v>10</v>
      </c>
    </row>
    <row r="10715" spans="1:9" x14ac:dyDescent="0.25">
      <c r="A10715" t="str">
        <f t="shared" si="256"/>
        <v>89301000</v>
      </c>
      <c r="B10715" t="str">
        <f>"6911184456"</f>
        <v>6911184456</v>
      </c>
      <c r="C10715" s="1">
        <v>44958</v>
      </c>
      <c r="D10715" s="1">
        <v>44959</v>
      </c>
      <c r="E10715">
        <v>1</v>
      </c>
      <c r="F10715" t="str">
        <f>"01-D01-03"</f>
        <v>01-D01-03</v>
      </c>
      <c r="G10715">
        <v>0.16200000000000001</v>
      </c>
      <c r="H10715" t="s">
        <v>11</v>
      </c>
      <c r="I10715" t="s">
        <v>10</v>
      </c>
    </row>
    <row r="10716" spans="1:9" x14ac:dyDescent="0.25">
      <c r="A10716" t="str">
        <f t="shared" si="256"/>
        <v>89301000</v>
      </c>
      <c r="B10716" t="str">
        <f>"6911184456"</f>
        <v>6911184456</v>
      </c>
      <c r="C10716" s="1">
        <v>45016</v>
      </c>
      <c r="D10716" s="1">
        <v>45019</v>
      </c>
      <c r="E10716">
        <v>1</v>
      </c>
      <c r="F10716" t="str">
        <f>"01-D01-03"</f>
        <v>01-D01-03</v>
      </c>
      <c r="G10716">
        <v>0.21060000000000001</v>
      </c>
      <c r="H10716" t="s">
        <v>11</v>
      </c>
      <c r="I10716" t="s">
        <v>10</v>
      </c>
    </row>
    <row r="10717" spans="1:9" x14ac:dyDescent="0.25">
      <c r="A10717" t="str">
        <f t="shared" si="256"/>
        <v>89301000</v>
      </c>
      <c r="B10717" t="str">
        <f>"6912145317"</f>
        <v>6912145317</v>
      </c>
      <c r="C10717" s="1">
        <v>45265</v>
      </c>
      <c r="D10717" s="1">
        <v>45266</v>
      </c>
      <c r="E10717">
        <v>1</v>
      </c>
      <c r="F10717" t="str">
        <f>"01-K05-02"</f>
        <v>01-K05-02</v>
      </c>
      <c r="G10717">
        <v>0.57299999999999995</v>
      </c>
      <c r="H10717" t="s">
        <v>11</v>
      </c>
      <c r="I10717" t="s">
        <v>10</v>
      </c>
    </row>
    <row r="10718" spans="1:9" x14ac:dyDescent="0.25">
      <c r="A10718" t="str">
        <f t="shared" si="256"/>
        <v>89301000</v>
      </c>
      <c r="B10718" t="str">
        <f>"6912164842"</f>
        <v>6912164842</v>
      </c>
      <c r="C10718" s="1">
        <v>44956</v>
      </c>
      <c r="D10718" s="1">
        <v>44959</v>
      </c>
      <c r="E10718">
        <v>1</v>
      </c>
      <c r="F10718" t="str">
        <f>"01-K10-03"</f>
        <v>01-K10-03</v>
      </c>
      <c r="G10718">
        <v>1.0348999999999999</v>
      </c>
      <c r="H10718" t="s">
        <v>11</v>
      </c>
      <c r="I10718" t="s">
        <v>10</v>
      </c>
    </row>
    <row r="10719" spans="1:9" x14ac:dyDescent="0.25">
      <c r="A10719" t="str">
        <f t="shared" si="256"/>
        <v>89301000</v>
      </c>
      <c r="B10719" t="str">
        <f>"6912246781"</f>
        <v>6912246781</v>
      </c>
      <c r="C10719" s="1">
        <v>44929</v>
      </c>
      <c r="D10719" s="1">
        <v>44930</v>
      </c>
      <c r="E10719">
        <v>1</v>
      </c>
      <c r="F10719" t="str">
        <f>"06-K14-02"</f>
        <v>06-K14-02</v>
      </c>
      <c r="G10719">
        <v>0.5766</v>
      </c>
      <c r="H10719" t="s">
        <v>11</v>
      </c>
      <c r="I10719" t="s">
        <v>10</v>
      </c>
    </row>
    <row r="10720" spans="1:9" x14ac:dyDescent="0.25">
      <c r="A10720" t="str">
        <f t="shared" si="256"/>
        <v>89301000</v>
      </c>
      <c r="B10720" t="str">
        <f>"6912285336"</f>
        <v>6912285336</v>
      </c>
      <c r="C10720" s="1">
        <v>45132</v>
      </c>
      <c r="D10720" s="1">
        <v>45141</v>
      </c>
      <c r="E10720">
        <v>1</v>
      </c>
      <c r="F10720" t="str">
        <f>"05-I18-04"</f>
        <v>05-I18-04</v>
      </c>
      <c r="G10720">
        <v>3.3858000000000001</v>
      </c>
      <c r="H10720" t="s">
        <v>12</v>
      </c>
      <c r="I10720" t="s">
        <v>10</v>
      </c>
    </row>
    <row r="10721" spans="1:9" x14ac:dyDescent="0.25">
      <c r="A10721" t="str">
        <f t="shared" si="256"/>
        <v>89301000</v>
      </c>
      <c r="B10721" t="str">
        <f>"6951055320"</f>
        <v>6951055320</v>
      </c>
      <c r="C10721" s="1">
        <v>45226</v>
      </c>
      <c r="D10721" s="1">
        <v>45231</v>
      </c>
      <c r="E10721">
        <v>1</v>
      </c>
      <c r="F10721" t="str">
        <f>"08-I03-04"</f>
        <v>08-I03-04</v>
      </c>
      <c r="G10721">
        <v>4.7615999999999996</v>
      </c>
      <c r="H10721" t="s">
        <v>9</v>
      </c>
      <c r="I10721" t="s">
        <v>10</v>
      </c>
    </row>
    <row r="10722" spans="1:9" x14ac:dyDescent="0.25">
      <c r="A10722" t="str">
        <f t="shared" si="256"/>
        <v>89301000</v>
      </c>
      <c r="B10722" t="str">
        <f>"6951055320"</f>
        <v>6951055320</v>
      </c>
      <c r="C10722" s="1">
        <v>45244</v>
      </c>
      <c r="D10722" s="1">
        <v>45250</v>
      </c>
      <c r="E10722">
        <v>1</v>
      </c>
      <c r="F10722" t="str">
        <f>"24-M06-02"</f>
        <v>24-M06-02</v>
      </c>
      <c r="G10722">
        <v>1.07</v>
      </c>
      <c r="H10722" t="s">
        <v>11</v>
      </c>
      <c r="I10722" t="s">
        <v>10</v>
      </c>
    </row>
    <row r="10723" spans="1:9" x14ac:dyDescent="0.25">
      <c r="A10723" t="str">
        <f t="shared" si="256"/>
        <v>89301000</v>
      </c>
      <c r="B10723" t="str">
        <f>"6951184284"</f>
        <v>6951184284</v>
      </c>
      <c r="C10723" s="1">
        <v>45218</v>
      </c>
      <c r="D10723" s="1">
        <v>45224</v>
      </c>
      <c r="E10723">
        <v>1</v>
      </c>
      <c r="F10723" t="str">
        <f>"11-I08-03"</f>
        <v>11-I08-03</v>
      </c>
      <c r="G10723">
        <v>2.0529999999999999</v>
      </c>
      <c r="H10723" t="s">
        <v>9</v>
      </c>
      <c r="I10723" t="s">
        <v>10</v>
      </c>
    </row>
    <row r="10724" spans="1:9" x14ac:dyDescent="0.25">
      <c r="A10724" t="str">
        <f t="shared" si="256"/>
        <v>89301000</v>
      </c>
      <c r="B10724" t="str">
        <f>"6951285759"</f>
        <v>6951285759</v>
      </c>
      <c r="C10724" s="1">
        <v>44928</v>
      </c>
      <c r="D10724" s="1">
        <v>44929</v>
      </c>
      <c r="E10724">
        <v>1</v>
      </c>
      <c r="F10724" t="str">
        <f>"05-M05-03"</f>
        <v>05-M05-03</v>
      </c>
      <c r="G10724">
        <v>2.0312999999999999</v>
      </c>
      <c r="H10724" t="s">
        <v>14</v>
      </c>
      <c r="I10724" t="s">
        <v>10</v>
      </c>
    </row>
    <row r="10725" spans="1:9" x14ac:dyDescent="0.25">
      <c r="A10725" t="str">
        <f t="shared" si="256"/>
        <v>89301000</v>
      </c>
      <c r="B10725" t="str">
        <f>"6951314117"</f>
        <v>6951314117</v>
      </c>
      <c r="C10725" s="1">
        <v>44946</v>
      </c>
      <c r="D10725" s="1">
        <v>44948</v>
      </c>
      <c r="E10725">
        <v>1</v>
      </c>
      <c r="F10725" t="str">
        <f>"08-M03-02"</f>
        <v>08-M03-02</v>
      </c>
      <c r="G10725">
        <v>0.91359999999999997</v>
      </c>
      <c r="H10725" t="s">
        <v>11</v>
      </c>
      <c r="I10725" t="s">
        <v>10</v>
      </c>
    </row>
    <row r="10726" spans="1:9" x14ac:dyDescent="0.25">
      <c r="A10726" t="str">
        <f t="shared" ref="A10726:A10789" si="257">"89301000"</f>
        <v>89301000</v>
      </c>
      <c r="B10726" t="str">
        <f>"6952055011"</f>
        <v>6952055011</v>
      </c>
      <c r="C10726" s="1">
        <v>45014</v>
      </c>
      <c r="D10726" s="1">
        <v>45020</v>
      </c>
      <c r="E10726">
        <v>3</v>
      </c>
      <c r="F10726" t="str">
        <f>"08-I05-04"</f>
        <v>08-I05-04</v>
      </c>
      <c r="G10726">
        <v>2.4445000000000001</v>
      </c>
      <c r="H10726" t="s">
        <v>12</v>
      </c>
      <c r="I10726" t="s">
        <v>10</v>
      </c>
    </row>
    <row r="10727" spans="1:9" x14ac:dyDescent="0.25">
      <c r="A10727" t="str">
        <f t="shared" si="257"/>
        <v>89301000</v>
      </c>
      <c r="B10727" t="str">
        <f>"6952055011"</f>
        <v>6952055011</v>
      </c>
      <c r="C10727" s="1">
        <v>45020</v>
      </c>
      <c r="D10727" s="1">
        <v>45037</v>
      </c>
      <c r="E10727">
        <v>1</v>
      </c>
      <c r="F10727" t="str">
        <f>"24-M07-02"</f>
        <v>24-M07-02</v>
      </c>
      <c r="G10727">
        <v>1.5729</v>
      </c>
      <c r="H10727" t="s">
        <v>11</v>
      </c>
      <c r="I10727" t="s">
        <v>10</v>
      </c>
    </row>
    <row r="10728" spans="1:9" x14ac:dyDescent="0.25">
      <c r="A10728" t="str">
        <f t="shared" si="257"/>
        <v>89301000</v>
      </c>
      <c r="B10728" t="str">
        <f>"6952055330"</f>
        <v>6952055330</v>
      </c>
      <c r="C10728" s="1">
        <v>45187</v>
      </c>
      <c r="D10728" s="1">
        <v>45192</v>
      </c>
      <c r="E10728">
        <v>1</v>
      </c>
      <c r="F10728" t="str">
        <f>"10-I13-02"</f>
        <v>10-I13-02</v>
      </c>
      <c r="G10728">
        <v>1.1124000000000001</v>
      </c>
      <c r="H10728" t="s">
        <v>9</v>
      </c>
      <c r="I10728" t="s">
        <v>10</v>
      </c>
    </row>
    <row r="10729" spans="1:9" x14ac:dyDescent="0.25">
      <c r="A10729" t="str">
        <f t="shared" si="257"/>
        <v>89301000</v>
      </c>
      <c r="B10729" t="str">
        <f>"6952124850"</f>
        <v>6952124850</v>
      </c>
      <c r="C10729" s="1">
        <v>45134</v>
      </c>
      <c r="D10729" s="1">
        <v>45138</v>
      </c>
      <c r="E10729">
        <v>1</v>
      </c>
      <c r="F10729" t="str">
        <f>"09-I06-04"</f>
        <v>09-I06-04</v>
      </c>
      <c r="G10729">
        <v>0.95069999999999999</v>
      </c>
      <c r="H10729" t="s">
        <v>12</v>
      </c>
      <c r="I10729" t="s">
        <v>10</v>
      </c>
    </row>
    <row r="10730" spans="1:9" x14ac:dyDescent="0.25">
      <c r="A10730" t="str">
        <f t="shared" si="257"/>
        <v>89301000</v>
      </c>
      <c r="B10730" t="str">
        <f>"6952145915"</f>
        <v>6952145915</v>
      </c>
      <c r="C10730" s="1">
        <v>45021</v>
      </c>
      <c r="D10730" s="1">
        <v>45022</v>
      </c>
      <c r="E10730">
        <v>1</v>
      </c>
      <c r="F10730" t="str">
        <f>"11-K02-03"</f>
        <v>11-K02-03</v>
      </c>
      <c r="G10730">
        <v>0.5827</v>
      </c>
      <c r="H10730" t="s">
        <v>11</v>
      </c>
      <c r="I10730" t="s">
        <v>10</v>
      </c>
    </row>
    <row r="10731" spans="1:9" x14ac:dyDescent="0.25">
      <c r="A10731" t="str">
        <f t="shared" si="257"/>
        <v>89301000</v>
      </c>
      <c r="B10731" t="str">
        <f>"6952145915"</f>
        <v>6952145915</v>
      </c>
      <c r="C10731" s="1">
        <v>45070</v>
      </c>
      <c r="D10731" s="1">
        <v>45071</v>
      </c>
      <c r="E10731">
        <v>1</v>
      </c>
      <c r="F10731" t="str">
        <f>"11-K02-03"</f>
        <v>11-K02-03</v>
      </c>
      <c r="G10731">
        <v>0.5827</v>
      </c>
      <c r="H10731" t="s">
        <v>11</v>
      </c>
      <c r="I10731" t="s">
        <v>10</v>
      </c>
    </row>
    <row r="10732" spans="1:9" x14ac:dyDescent="0.25">
      <c r="A10732" t="str">
        <f t="shared" si="257"/>
        <v>89301000</v>
      </c>
      <c r="B10732" t="str">
        <f>"6952145915"</f>
        <v>6952145915</v>
      </c>
      <c r="C10732" s="1">
        <v>44949</v>
      </c>
      <c r="D10732" s="1">
        <v>44972</v>
      </c>
      <c r="E10732">
        <v>1</v>
      </c>
      <c r="F10732" t="str">
        <f>"11-M02-01"</f>
        <v>11-M02-01</v>
      </c>
      <c r="G10732">
        <v>6.6426999999999996</v>
      </c>
      <c r="H10732" t="s">
        <v>11</v>
      </c>
      <c r="I10732" t="s">
        <v>10</v>
      </c>
    </row>
    <row r="10733" spans="1:9" x14ac:dyDescent="0.25">
      <c r="A10733" t="str">
        <f t="shared" si="257"/>
        <v>89301000</v>
      </c>
      <c r="B10733" t="str">
        <f>"6952194887"</f>
        <v>6952194887</v>
      </c>
      <c r="C10733" s="1">
        <v>45210</v>
      </c>
      <c r="D10733" s="1">
        <v>45213</v>
      </c>
      <c r="E10733">
        <v>1</v>
      </c>
      <c r="F10733" t="str">
        <f>"08-I04-03"</f>
        <v>08-I04-03</v>
      </c>
      <c r="G10733">
        <v>1.3045</v>
      </c>
      <c r="H10733" t="s">
        <v>14</v>
      </c>
      <c r="I10733" t="s">
        <v>10</v>
      </c>
    </row>
    <row r="10734" spans="1:9" x14ac:dyDescent="0.25">
      <c r="A10734" t="str">
        <f t="shared" si="257"/>
        <v>89301000</v>
      </c>
      <c r="B10734" t="str">
        <f>"6952225753"</f>
        <v>6952225753</v>
      </c>
      <c r="C10734" s="1">
        <v>44965</v>
      </c>
      <c r="D10734" s="1">
        <v>44966</v>
      </c>
      <c r="E10734">
        <v>1</v>
      </c>
      <c r="F10734" t="str">
        <f>"02-I13-02"</f>
        <v>02-I13-02</v>
      </c>
      <c r="G10734">
        <v>0.4259</v>
      </c>
      <c r="H10734" t="s">
        <v>11</v>
      </c>
      <c r="I10734" t="s">
        <v>10</v>
      </c>
    </row>
    <row r="10735" spans="1:9" x14ac:dyDescent="0.25">
      <c r="A10735" t="str">
        <f t="shared" si="257"/>
        <v>89301000</v>
      </c>
      <c r="B10735" t="str">
        <f>"6952255365"</f>
        <v>6952255365</v>
      </c>
      <c r="C10735" s="1">
        <v>45155</v>
      </c>
      <c r="D10735" s="1">
        <v>45156</v>
      </c>
      <c r="E10735">
        <v>1</v>
      </c>
      <c r="F10735" t="str">
        <f>"01-D01-03"</f>
        <v>01-D01-03</v>
      </c>
      <c r="G10735">
        <v>0.16200000000000001</v>
      </c>
      <c r="H10735" t="s">
        <v>11</v>
      </c>
      <c r="I10735" t="s">
        <v>10</v>
      </c>
    </row>
    <row r="10736" spans="1:9" x14ac:dyDescent="0.25">
      <c r="A10736" t="str">
        <f t="shared" si="257"/>
        <v>89301000</v>
      </c>
      <c r="B10736" t="str">
        <f>"6952284460"</f>
        <v>6952284460</v>
      </c>
      <c r="C10736" s="1">
        <v>45173</v>
      </c>
      <c r="D10736" s="1">
        <v>45174</v>
      </c>
      <c r="E10736">
        <v>1</v>
      </c>
      <c r="F10736" t="str">
        <f>"13-I19-00"</f>
        <v>13-I19-00</v>
      </c>
      <c r="G10736">
        <v>0.28249999999999997</v>
      </c>
      <c r="H10736" t="s">
        <v>11</v>
      </c>
      <c r="I10736" t="s">
        <v>10</v>
      </c>
    </row>
    <row r="10737" spans="1:9" x14ac:dyDescent="0.25">
      <c r="A10737" t="str">
        <f t="shared" si="257"/>
        <v>89301000</v>
      </c>
      <c r="B10737" t="str">
        <f t="shared" ref="B10737:B10744" si="258">"6953029919"</f>
        <v>6953029919</v>
      </c>
      <c r="C10737" s="1">
        <v>45244</v>
      </c>
      <c r="D10737" s="1">
        <v>45246</v>
      </c>
      <c r="E10737">
        <v>1</v>
      </c>
      <c r="F10737" t="str">
        <f t="shared" ref="F10737:F10744" si="259">"06-C02-02"</f>
        <v>06-C02-02</v>
      </c>
      <c r="G10737">
        <v>0.374</v>
      </c>
      <c r="H10737" t="s">
        <v>11</v>
      </c>
      <c r="I10737" t="s">
        <v>10</v>
      </c>
    </row>
    <row r="10738" spans="1:9" x14ac:dyDescent="0.25">
      <c r="A10738" t="str">
        <f t="shared" si="257"/>
        <v>89301000</v>
      </c>
      <c r="B10738" t="str">
        <f t="shared" si="258"/>
        <v>6953029919</v>
      </c>
      <c r="C10738" s="1">
        <v>45258</v>
      </c>
      <c r="D10738" s="1">
        <v>45260</v>
      </c>
      <c r="E10738">
        <v>1</v>
      </c>
      <c r="F10738" t="str">
        <f t="shared" si="259"/>
        <v>06-C02-02</v>
      </c>
      <c r="G10738">
        <v>0.374</v>
      </c>
      <c r="H10738" t="s">
        <v>11</v>
      </c>
      <c r="I10738" t="s">
        <v>10</v>
      </c>
    </row>
    <row r="10739" spans="1:9" x14ac:dyDescent="0.25">
      <c r="A10739" t="str">
        <f t="shared" si="257"/>
        <v>89301000</v>
      </c>
      <c r="B10739" t="str">
        <f t="shared" si="258"/>
        <v>6953029919</v>
      </c>
      <c r="C10739" s="1">
        <v>45272</v>
      </c>
      <c r="D10739" s="1">
        <v>45274</v>
      </c>
      <c r="E10739">
        <v>1</v>
      </c>
      <c r="F10739" t="str">
        <f t="shared" si="259"/>
        <v>06-C02-02</v>
      </c>
      <c r="G10739">
        <v>0.374</v>
      </c>
      <c r="H10739" t="s">
        <v>11</v>
      </c>
      <c r="I10739" t="s">
        <v>10</v>
      </c>
    </row>
    <row r="10740" spans="1:9" x14ac:dyDescent="0.25">
      <c r="A10740" t="str">
        <f t="shared" si="257"/>
        <v>89301000</v>
      </c>
      <c r="B10740" t="str">
        <f t="shared" si="258"/>
        <v>6953029919</v>
      </c>
      <c r="C10740" s="1">
        <v>45225</v>
      </c>
      <c r="D10740" s="1">
        <v>45227</v>
      </c>
      <c r="E10740">
        <v>1</v>
      </c>
      <c r="F10740" t="str">
        <f t="shared" si="259"/>
        <v>06-C02-02</v>
      </c>
      <c r="G10740">
        <v>0.374</v>
      </c>
      <c r="H10740" t="s">
        <v>11</v>
      </c>
      <c r="I10740" t="s">
        <v>10</v>
      </c>
    </row>
    <row r="10741" spans="1:9" x14ac:dyDescent="0.25">
      <c r="A10741" t="str">
        <f t="shared" si="257"/>
        <v>89301000</v>
      </c>
      <c r="B10741" t="str">
        <f t="shared" si="258"/>
        <v>6953029919</v>
      </c>
      <c r="C10741" s="1">
        <v>45161</v>
      </c>
      <c r="D10741" s="1">
        <v>45166</v>
      </c>
      <c r="E10741">
        <v>1</v>
      </c>
      <c r="F10741" t="str">
        <f t="shared" si="259"/>
        <v>06-C02-02</v>
      </c>
      <c r="G10741">
        <v>0.374</v>
      </c>
      <c r="H10741" t="s">
        <v>11</v>
      </c>
      <c r="I10741" t="s">
        <v>10</v>
      </c>
    </row>
    <row r="10742" spans="1:9" x14ac:dyDescent="0.25">
      <c r="A10742" t="str">
        <f t="shared" si="257"/>
        <v>89301000</v>
      </c>
      <c r="B10742" t="str">
        <f t="shared" si="258"/>
        <v>6953029919</v>
      </c>
      <c r="C10742" s="1">
        <v>45176</v>
      </c>
      <c r="D10742" s="1">
        <v>45178</v>
      </c>
      <c r="E10742">
        <v>1</v>
      </c>
      <c r="F10742" t="str">
        <f t="shared" si="259"/>
        <v>06-C02-02</v>
      </c>
      <c r="G10742">
        <v>0.374</v>
      </c>
      <c r="H10742" t="s">
        <v>11</v>
      </c>
      <c r="I10742" t="s">
        <v>10</v>
      </c>
    </row>
    <row r="10743" spans="1:9" x14ac:dyDescent="0.25">
      <c r="A10743" t="str">
        <f t="shared" si="257"/>
        <v>89301000</v>
      </c>
      <c r="B10743" t="str">
        <f t="shared" si="258"/>
        <v>6953029919</v>
      </c>
      <c r="C10743" s="1">
        <v>45190</v>
      </c>
      <c r="D10743" s="1">
        <v>45192</v>
      </c>
      <c r="E10743">
        <v>1</v>
      </c>
      <c r="F10743" t="str">
        <f t="shared" si="259"/>
        <v>06-C02-02</v>
      </c>
      <c r="G10743">
        <v>0.374</v>
      </c>
      <c r="H10743" t="s">
        <v>11</v>
      </c>
      <c r="I10743" t="s">
        <v>10</v>
      </c>
    </row>
    <row r="10744" spans="1:9" x14ac:dyDescent="0.25">
      <c r="A10744" t="str">
        <f t="shared" si="257"/>
        <v>89301000</v>
      </c>
      <c r="B10744" t="str">
        <f t="shared" si="258"/>
        <v>6953029919</v>
      </c>
      <c r="C10744" s="1">
        <v>45204</v>
      </c>
      <c r="D10744" s="1">
        <v>45206</v>
      </c>
      <c r="E10744">
        <v>1</v>
      </c>
      <c r="F10744" t="str">
        <f t="shared" si="259"/>
        <v>06-C02-02</v>
      </c>
      <c r="G10744">
        <v>0.374</v>
      </c>
      <c r="H10744" t="s">
        <v>11</v>
      </c>
      <c r="I10744" t="s">
        <v>10</v>
      </c>
    </row>
    <row r="10745" spans="1:9" x14ac:dyDescent="0.25">
      <c r="A10745" t="str">
        <f t="shared" si="257"/>
        <v>89301000</v>
      </c>
      <c r="B10745" t="str">
        <f>"6953045627"</f>
        <v>6953045627</v>
      </c>
      <c r="C10745" s="1">
        <v>45259</v>
      </c>
      <c r="D10745" s="1">
        <v>45266</v>
      </c>
      <c r="E10745">
        <v>4</v>
      </c>
      <c r="F10745" t="str">
        <f>"08-I05-04"</f>
        <v>08-I05-04</v>
      </c>
      <c r="G10745">
        <v>2.4445000000000001</v>
      </c>
      <c r="H10745" t="s">
        <v>12</v>
      </c>
      <c r="I10745" t="s">
        <v>10</v>
      </c>
    </row>
    <row r="10746" spans="1:9" x14ac:dyDescent="0.25">
      <c r="A10746" t="str">
        <f t="shared" si="257"/>
        <v>89301000</v>
      </c>
      <c r="B10746" t="str">
        <f>"6953045627"</f>
        <v>6953045627</v>
      </c>
      <c r="C10746" s="1">
        <v>45275</v>
      </c>
      <c r="D10746" s="1">
        <v>45282</v>
      </c>
      <c r="E10746">
        <v>1</v>
      </c>
      <c r="F10746" t="str">
        <f>"08-K03-03"</f>
        <v>08-K03-03</v>
      </c>
      <c r="G10746">
        <v>0.7903</v>
      </c>
      <c r="H10746" t="s">
        <v>11</v>
      </c>
      <c r="I10746" t="s">
        <v>10</v>
      </c>
    </row>
    <row r="10747" spans="1:9" x14ac:dyDescent="0.25">
      <c r="A10747" t="str">
        <f t="shared" si="257"/>
        <v>89301000</v>
      </c>
      <c r="B10747" t="str">
        <f>"6953125333"</f>
        <v>6953125333</v>
      </c>
      <c r="C10747" s="1">
        <v>44955</v>
      </c>
      <c r="D10747" s="1">
        <v>44957</v>
      </c>
      <c r="E10747">
        <v>1</v>
      </c>
      <c r="F10747" t="str">
        <f>"17-I10-02"</f>
        <v>17-I10-02</v>
      </c>
      <c r="G10747">
        <v>0.83779999999999999</v>
      </c>
      <c r="H10747" t="s">
        <v>11</v>
      </c>
      <c r="I10747" t="s">
        <v>10</v>
      </c>
    </row>
    <row r="10748" spans="1:9" x14ac:dyDescent="0.25">
      <c r="A10748" t="str">
        <f t="shared" si="257"/>
        <v>89301000</v>
      </c>
      <c r="B10748" t="str">
        <f>"6953155319"</f>
        <v>6953155319</v>
      </c>
      <c r="C10748" s="1">
        <v>45054</v>
      </c>
      <c r="D10748" s="1">
        <v>45057</v>
      </c>
      <c r="E10748">
        <v>1</v>
      </c>
      <c r="F10748" t="str">
        <f>"05-I30-03"</f>
        <v>05-I30-03</v>
      </c>
      <c r="G10748">
        <v>0.51890000000000003</v>
      </c>
      <c r="H10748" t="s">
        <v>12</v>
      </c>
      <c r="I10748" t="s">
        <v>10</v>
      </c>
    </row>
    <row r="10749" spans="1:9" x14ac:dyDescent="0.25">
      <c r="A10749" t="str">
        <f t="shared" si="257"/>
        <v>89301000</v>
      </c>
      <c r="B10749" t="str">
        <f>"6953305337"</f>
        <v>6953305337</v>
      </c>
      <c r="C10749" s="1">
        <v>45082</v>
      </c>
      <c r="D10749" s="1">
        <v>45084</v>
      </c>
      <c r="E10749">
        <v>1</v>
      </c>
      <c r="F10749" t="str">
        <f>"02-I06-03"</f>
        <v>02-I06-03</v>
      </c>
      <c r="G10749">
        <v>0.99260000000000004</v>
      </c>
      <c r="H10749" t="s">
        <v>12</v>
      </c>
      <c r="I10749" t="s">
        <v>10</v>
      </c>
    </row>
    <row r="10750" spans="1:9" x14ac:dyDescent="0.25">
      <c r="A10750" t="str">
        <f t="shared" si="257"/>
        <v>89301000</v>
      </c>
      <c r="B10750" t="str">
        <f>"6954045340"</f>
        <v>6954045340</v>
      </c>
      <c r="C10750" s="1">
        <v>45032</v>
      </c>
      <c r="D10750" s="1">
        <v>45040</v>
      </c>
      <c r="E10750">
        <v>4</v>
      </c>
      <c r="F10750" t="str">
        <f>"08-I05-04"</f>
        <v>08-I05-04</v>
      </c>
      <c r="G10750">
        <v>2.4445000000000001</v>
      </c>
      <c r="H10750" t="s">
        <v>12</v>
      </c>
      <c r="I10750" t="s">
        <v>10</v>
      </c>
    </row>
    <row r="10751" spans="1:9" x14ac:dyDescent="0.25">
      <c r="A10751" t="str">
        <f t="shared" si="257"/>
        <v>89301000</v>
      </c>
      <c r="B10751" t="str">
        <f>"6954105345"</f>
        <v>6954105345</v>
      </c>
      <c r="C10751" s="1">
        <v>45007</v>
      </c>
      <c r="D10751" s="1">
        <v>45012</v>
      </c>
      <c r="E10751">
        <v>1</v>
      </c>
      <c r="F10751" t="str">
        <f>"13-I11-03"</f>
        <v>13-I11-03</v>
      </c>
      <c r="G10751">
        <v>1.5814999999999999</v>
      </c>
      <c r="H10751" t="s">
        <v>9</v>
      </c>
      <c r="I10751" t="s">
        <v>10</v>
      </c>
    </row>
    <row r="10752" spans="1:9" x14ac:dyDescent="0.25">
      <c r="A10752" t="str">
        <f t="shared" si="257"/>
        <v>89301000</v>
      </c>
      <c r="B10752" t="str">
        <f>"6954144472"</f>
        <v>6954144472</v>
      </c>
      <c r="C10752" s="1">
        <v>45239</v>
      </c>
      <c r="D10752" s="1">
        <v>45273</v>
      </c>
      <c r="E10752">
        <v>1</v>
      </c>
      <c r="F10752" t="str">
        <f>"20-K08-02"</f>
        <v>20-K08-02</v>
      </c>
      <c r="G10752">
        <v>4.4416000000000002</v>
      </c>
      <c r="H10752" t="s">
        <v>11</v>
      </c>
      <c r="I10752" t="s">
        <v>10</v>
      </c>
    </row>
    <row r="10753" spans="1:9" x14ac:dyDescent="0.25">
      <c r="A10753" t="str">
        <f t="shared" si="257"/>
        <v>89301000</v>
      </c>
      <c r="B10753" t="str">
        <f>"6954194478"</f>
        <v>6954194478</v>
      </c>
      <c r="C10753" s="1">
        <v>45139</v>
      </c>
      <c r="D10753" s="1">
        <v>45140</v>
      </c>
      <c r="E10753">
        <v>1</v>
      </c>
      <c r="F10753" t="str">
        <f>"11-M06-03"</f>
        <v>11-M06-03</v>
      </c>
      <c r="G10753">
        <v>0.62009999999999998</v>
      </c>
      <c r="H10753" t="s">
        <v>12</v>
      </c>
      <c r="I10753" t="s">
        <v>10</v>
      </c>
    </row>
    <row r="10754" spans="1:9" x14ac:dyDescent="0.25">
      <c r="A10754" t="str">
        <f t="shared" si="257"/>
        <v>89301000</v>
      </c>
      <c r="B10754" t="str">
        <f>"6954205456"</f>
        <v>6954205456</v>
      </c>
      <c r="C10754" s="1">
        <v>45020</v>
      </c>
      <c r="D10754" s="1">
        <v>45021</v>
      </c>
      <c r="E10754">
        <v>1</v>
      </c>
      <c r="F10754" t="str">
        <f>"01-D01-03"</f>
        <v>01-D01-03</v>
      </c>
      <c r="G10754">
        <v>0.16200000000000001</v>
      </c>
      <c r="H10754" t="s">
        <v>11</v>
      </c>
      <c r="I10754" t="s">
        <v>10</v>
      </c>
    </row>
    <row r="10755" spans="1:9" x14ac:dyDescent="0.25">
      <c r="A10755" t="str">
        <f t="shared" si="257"/>
        <v>89301000</v>
      </c>
      <c r="B10755" t="str">
        <f>"6954205456"</f>
        <v>6954205456</v>
      </c>
      <c r="C10755" s="1">
        <v>45072</v>
      </c>
      <c r="D10755" s="1">
        <v>45075</v>
      </c>
      <c r="E10755">
        <v>1</v>
      </c>
      <c r="F10755" t="str">
        <f>"01-D01-03"</f>
        <v>01-D01-03</v>
      </c>
      <c r="G10755">
        <v>0.21060000000000001</v>
      </c>
      <c r="H10755" t="s">
        <v>11</v>
      </c>
      <c r="I10755" t="s">
        <v>10</v>
      </c>
    </row>
    <row r="10756" spans="1:9" x14ac:dyDescent="0.25">
      <c r="A10756" t="str">
        <f t="shared" si="257"/>
        <v>89301000</v>
      </c>
      <c r="B10756" t="str">
        <f>"6954245309"</f>
        <v>6954245309</v>
      </c>
      <c r="C10756" s="1">
        <v>44971</v>
      </c>
      <c r="D10756" s="1">
        <v>44973</v>
      </c>
      <c r="E10756">
        <v>1</v>
      </c>
      <c r="F10756" t="str">
        <f>"09-I07-02"</f>
        <v>09-I07-02</v>
      </c>
      <c r="G10756">
        <v>1.4579</v>
      </c>
      <c r="H10756" t="s">
        <v>14</v>
      </c>
      <c r="I10756" t="s">
        <v>10</v>
      </c>
    </row>
    <row r="10757" spans="1:9" x14ac:dyDescent="0.25">
      <c r="A10757" t="str">
        <f t="shared" si="257"/>
        <v>89301000</v>
      </c>
      <c r="B10757" t="str">
        <f>"6955145318"</f>
        <v>6955145318</v>
      </c>
      <c r="C10757" s="1">
        <v>44993</v>
      </c>
      <c r="D10757" s="1">
        <v>44994</v>
      </c>
      <c r="E10757">
        <v>1</v>
      </c>
      <c r="F10757" t="str">
        <f>"01-K01-01"</f>
        <v>01-K01-01</v>
      </c>
      <c r="G10757">
        <v>0.91659999999999997</v>
      </c>
      <c r="H10757" t="s">
        <v>11</v>
      </c>
      <c r="I10757" t="s">
        <v>10</v>
      </c>
    </row>
    <row r="10758" spans="1:9" x14ac:dyDescent="0.25">
      <c r="A10758" t="str">
        <f t="shared" si="257"/>
        <v>89301000</v>
      </c>
      <c r="B10758" t="str">
        <f>"6955145318"</f>
        <v>6955145318</v>
      </c>
      <c r="C10758" s="1">
        <v>44979</v>
      </c>
      <c r="D10758" s="1">
        <v>44980</v>
      </c>
      <c r="E10758">
        <v>1</v>
      </c>
      <c r="F10758" t="str">
        <f>"01-K01-01"</f>
        <v>01-K01-01</v>
      </c>
      <c r="G10758">
        <v>0.91659999999999997</v>
      </c>
      <c r="H10758" t="s">
        <v>11</v>
      </c>
      <c r="I10758" t="s">
        <v>10</v>
      </c>
    </row>
    <row r="10759" spans="1:9" x14ac:dyDescent="0.25">
      <c r="A10759" t="str">
        <f t="shared" si="257"/>
        <v>89301000</v>
      </c>
      <c r="B10759" t="str">
        <f>"6955154503"</f>
        <v>6955154503</v>
      </c>
      <c r="C10759" s="1">
        <v>45068</v>
      </c>
      <c r="D10759" s="1">
        <v>45070</v>
      </c>
      <c r="E10759">
        <v>1</v>
      </c>
      <c r="F10759" t="str">
        <f>"09-I06-04"</f>
        <v>09-I06-04</v>
      </c>
      <c r="G10759">
        <v>0.95069999999999999</v>
      </c>
      <c r="H10759" t="s">
        <v>12</v>
      </c>
      <c r="I10759" t="s">
        <v>10</v>
      </c>
    </row>
    <row r="10760" spans="1:9" x14ac:dyDescent="0.25">
      <c r="A10760" t="str">
        <f t="shared" si="257"/>
        <v>89301000</v>
      </c>
      <c r="B10760" t="str">
        <f>"6955154503"</f>
        <v>6955154503</v>
      </c>
      <c r="C10760" s="1">
        <v>45093</v>
      </c>
      <c r="D10760" s="1">
        <v>45101</v>
      </c>
      <c r="E10760">
        <v>1</v>
      </c>
      <c r="F10760" t="str">
        <f>"09-I10-02"</f>
        <v>09-I10-02</v>
      </c>
      <c r="G10760">
        <v>0.87580000000000002</v>
      </c>
      <c r="H10760" t="s">
        <v>12</v>
      </c>
      <c r="I10760" t="s">
        <v>10</v>
      </c>
    </row>
    <row r="10761" spans="1:9" x14ac:dyDescent="0.25">
      <c r="A10761" t="str">
        <f t="shared" si="257"/>
        <v>89301000</v>
      </c>
      <c r="B10761" t="str">
        <f>"6955155328"</f>
        <v>6955155328</v>
      </c>
      <c r="C10761" s="1">
        <v>45095</v>
      </c>
      <c r="D10761" s="1">
        <v>45097</v>
      </c>
      <c r="E10761">
        <v>1</v>
      </c>
      <c r="F10761" t="str">
        <f>"08-M03-05"</f>
        <v>08-M03-05</v>
      </c>
      <c r="G10761">
        <v>0.46810000000000002</v>
      </c>
      <c r="H10761" t="s">
        <v>11</v>
      </c>
      <c r="I10761" t="s">
        <v>10</v>
      </c>
    </row>
    <row r="10762" spans="1:9" x14ac:dyDescent="0.25">
      <c r="A10762" t="str">
        <f t="shared" si="257"/>
        <v>89301000</v>
      </c>
      <c r="B10762" t="str">
        <f>"6955155339"</f>
        <v>6955155339</v>
      </c>
      <c r="C10762" s="1">
        <v>45181</v>
      </c>
      <c r="D10762" s="1">
        <v>45184</v>
      </c>
      <c r="E10762">
        <v>1</v>
      </c>
      <c r="F10762" t="str">
        <f>"06-I21-03"</f>
        <v>06-I21-03</v>
      </c>
      <c r="G10762">
        <v>0.4572</v>
      </c>
      <c r="H10762" t="s">
        <v>12</v>
      </c>
      <c r="I10762" t="s">
        <v>10</v>
      </c>
    </row>
    <row r="10763" spans="1:9" x14ac:dyDescent="0.25">
      <c r="A10763" t="str">
        <f t="shared" si="257"/>
        <v>89301000</v>
      </c>
      <c r="B10763" t="str">
        <f>"6955245308"</f>
        <v>6955245308</v>
      </c>
      <c r="C10763" s="1">
        <v>45181</v>
      </c>
      <c r="D10763" s="1">
        <v>45183</v>
      </c>
      <c r="E10763">
        <v>1</v>
      </c>
      <c r="F10763" t="str">
        <f>"08-M03-05"</f>
        <v>08-M03-05</v>
      </c>
      <c r="G10763">
        <v>0.46810000000000002</v>
      </c>
      <c r="H10763" t="s">
        <v>11</v>
      </c>
      <c r="I10763" t="s">
        <v>10</v>
      </c>
    </row>
    <row r="10764" spans="1:9" x14ac:dyDescent="0.25">
      <c r="A10764" t="str">
        <f t="shared" si="257"/>
        <v>89301000</v>
      </c>
      <c r="B10764" t="str">
        <f>"6955245759"</f>
        <v>6955245759</v>
      </c>
      <c r="C10764" s="1">
        <v>45253</v>
      </c>
      <c r="D10764" s="1">
        <v>45254</v>
      </c>
      <c r="E10764">
        <v>1</v>
      </c>
      <c r="F10764" t="str">
        <f>"06-M01-02"</f>
        <v>06-M01-02</v>
      </c>
      <c r="G10764">
        <v>1.2206999999999999</v>
      </c>
      <c r="H10764" t="s">
        <v>11</v>
      </c>
      <c r="I10764" t="s">
        <v>10</v>
      </c>
    </row>
    <row r="10765" spans="1:9" x14ac:dyDescent="0.25">
      <c r="A10765" t="str">
        <f t="shared" si="257"/>
        <v>89301000</v>
      </c>
      <c r="B10765" t="str">
        <f>"6955255769"</f>
        <v>6955255769</v>
      </c>
      <c r="C10765" s="1">
        <v>45160</v>
      </c>
      <c r="D10765" s="1">
        <v>45167</v>
      </c>
      <c r="E10765">
        <v>1</v>
      </c>
      <c r="F10765" t="str">
        <f>"07-K04-03"</f>
        <v>07-K04-03</v>
      </c>
      <c r="G10765">
        <v>0.98650000000000004</v>
      </c>
      <c r="H10765" t="s">
        <v>11</v>
      </c>
      <c r="I10765" t="s">
        <v>10</v>
      </c>
    </row>
    <row r="10766" spans="1:9" x14ac:dyDescent="0.25">
      <c r="A10766" t="str">
        <f t="shared" si="257"/>
        <v>89301000</v>
      </c>
      <c r="B10766" t="str">
        <f>"6955255769"</f>
        <v>6955255769</v>
      </c>
      <c r="C10766" s="1">
        <v>45070</v>
      </c>
      <c r="D10766" s="1">
        <v>45075</v>
      </c>
      <c r="E10766">
        <v>1</v>
      </c>
      <c r="F10766" t="str">
        <f>"07-K04-03"</f>
        <v>07-K04-03</v>
      </c>
      <c r="G10766">
        <v>0.98650000000000004</v>
      </c>
      <c r="H10766" t="s">
        <v>11</v>
      </c>
      <c r="I10766" t="s">
        <v>10</v>
      </c>
    </row>
    <row r="10767" spans="1:9" x14ac:dyDescent="0.25">
      <c r="A10767" t="str">
        <f t="shared" si="257"/>
        <v>89301000</v>
      </c>
      <c r="B10767" t="str">
        <f>"6955255769"</f>
        <v>6955255769</v>
      </c>
      <c r="C10767" s="1">
        <v>45256</v>
      </c>
      <c r="D10767" s="1">
        <v>45265</v>
      </c>
      <c r="E10767">
        <v>1</v>
      </c>
      <c r="F10767" t="str">
        <f>"07-K04-02"</f>
        <v>07-K04-02</v>
      </c>
      <c r="G10767">
        <v>1.5216000000000001</v>
      </c>
      <c r="H10767" t="s">
        <v>11</v>
      </c>
      <c r="I10767" t="s">
        <v>10</v>
      </c>
    </row>
    <row r="10768" spans="1:9" x14ac:dyDescent="0.25">
      <c r="A10768" t="str">
        <f t="shared" si="257"/>
        <v>89301000</v>
      </c>
      <c r="B10768" t="str">
        <f>"6955255769"</f>
        <v>6955255769</v>
      </c>
      <c r="C10768" s="1">
        <v>45237</v>
      </c>
      <c r="D10768" s="1">
        <v>45244</v>
      </c>
      <c r="E10768">
        <v>1</v>
      </c>
      <c r="F10768" t="str">
        <f>"07-K04-03"</f>
        <v>07-K04-03</v>
      </c>
      <c r="G10768">
        <v>0.98650000000000004</v>
      </c>
      <c r="H10768" t="s">
        <v>11</v>
      </c>
      <c r="I10768" t="s">
        <v>10</v>
      </c>
    </row>
    <row r="10769" spans="1:9" x14ac:dyDescent="0.25">
      <c r="A10769" t="str">
        <f t="shared" si="257"/>
        <v>89301000</v>
      </c>
      <c r="B10769" t="str">
        <f>"6955255769"</f>
        <v>6955255769</v>
      </c>
      <c r="C10769" s="1">
        <v>44924</v>
      </c>
      <c r="D10769" s="1">
        <v>44929</v>
      </c>
      <c r="E10769">
        <v>1</v>
      </c>
      <c r="F10769" t="str">
        <f>"07-K04-03"</f>
        <v>07-K04-03</v>
      </c>
      <c r="G10769">
        <v>0.98650000000000004</v>
      </c>
      <c r="H10769" t="s">
        <v>11</v>
      </c>
      <c r="I10769" t="s">
        <v>10</v>
      </c>
    </row>
    <row r="10770" spans="1:9" x14ac:dyDescent="0.25">
      <c r="A10770" t="str">
        <f t="shared" si="257"/>
        <v>89301000</v>
      </c>
      <c r="B10770" t="str">
        <f>"6956055799"</f>
        <v>6956055799</v>
      </c>
      <c r="C10770" s="1">
        <v>45033</v>
      </c>
      <c r="D10770" s="1">
        <v>45035</v>
      </c>
      <c r="E10770">
        <v>1</v>
      </c>
      <c r="F10770" t="str">
        <f>"05-I30-02"</f>
        <v>05-I30-02</v>
      </c>
      <c r="G10770">
        <v>0.41699999999999998</v>
      </c>
      <c r="H10770" t="s">
        <v>12</v>
      </c>
      <c r="I10770" t="s">
        <v>10</v>
      </c>
    </row>
    <row r="10771" spans="1:9" x14ac:dyDescent="0.25">
      <c r="A10771" t="str">
        <f t="shared" si="257"/>
        <v>89301000</v>
      </c>
      <c r="B10771" t="str">
        <f>"6956105343"</f>
        <v>6956105343</v>
      </c>
      <c r="C10771" s="1">
        <v>44977</v>
      </c>
      <c r="D10771" s="1">
        <v>44981</v>
      </c>
      <c r="E10771">
        <v>1</v>
      </c>
      <c r="F10771" t="str">
        <f>"09-I07-02"</f>
        <v>09-I07-02</v>
      </c>
      <c r="G10771">
        <v>1.3969</v>
      </c>
      <c r="H10771" t="s">
        <v>14</v>
      </c>
      <c r="I10771" t="s">
        <v>10</v>
      </c>
    </row>
    <row r="10772" spans="1:9" x14ac:dyDescent="0.25">
      <c r="A10772" t="str">
        <f t="shared" si="257"/>
        <v>89301000</v>
      </c>
      <c r="B10772" t="str">
        <f>"6956105343"</f>
        <v>6956105343</v>
      </c>
      <c r="C10772" s="1">
        <v>44971</v>
      </c>
      <c r="D10772" s="1">
        <v>44972</v>
      </c>
      <c r="E10772">
        <v>1</v>
      </c>
      <c r="F10772" t="str">
        <f>"09-K16-00"</f>
        <v>09-K16-00</v>
      </c>
      <c r="G10772">
        <v>0.61609999999999998</v>
      </c>
      <c r="H10772" t="s">
        <v>11</v>
      </c>
      <c r="I10772" t="s">
        <v>10</v>
      </c>
    </row>
    <row r="10773" spans="1:9" x14ac:dyDescent="0.25">
      <c r="A10773" t="str">
        <f t="shared" si="257"/>
        <v>89301000</v>
      </c>
      <c r="B10773" t="str">
        <f>"6956145350"</f>
        <v>6956145350</v>
      </c>
      <c r="C10773" s="1">
        <v>45193</v>
      </c>
      <c r="D10773" s="1">
        <v>45195</v>
      </c>
      <c r="E10773">
        <v>1</v>
      </c>
      <c r="F10773" t="str">
        <f>"08-M03-05"</f>
        <v>08-M03-05</v>
      </c>
      <c r="G10773">
        <v>0.46810000000000002</v>
      </c>
      <c r="H10773" t="s">
        <v>11</v>
      </c>
      <c r="I10773" t="s">
        <v>10</v>
      </c>
    </row>
    <row r="10774" spans="1:9" x14ac:dyDescent="0.25">
      <c r="A10774" t="str">
        <f t="shared" si="257"/>
        <v>89301000</v>
      </c>
      <c r="B10774" t="str">
        <f>"6956155305"</f>
        <v>6956155305</v>
      </c>
      <c r="C10774" s="1">
        <v>45201</v>
      </c>
      <c r="D10774" s="1">
        <v>45209</v>
      </c>
      <c r="E10774">
        <v>4</v>
      </c>
      <c r="F10774" t="str">
        <f>"19-K03-03"</f>
        <v>19-K03-03</v>
      </c>
      <c r="G10774">
        <v>0.90410000000000001</v>
      </c>
      <c r="H10774" t="s">
        <v>15</v>
      </c>
      <c r="I10774" t="s">
        <v>10</v>
      </c>
    </row>
    <row r="10775" spans="1:9" x14ac:dyDescent="0.25">
      <c r="A10775" t="str">
        <f t="shared" si="257"/>
        <v>89301000</v>
      </c>
      <c r="B10775" t="str">
        <f>"6956155305"</f>
        <v>6956155305</v>
      </c>
      <c r="C10775" s="1">
        <v>45069</v>
      </c>
      <c r="D10775" s="1">
        <v>45072</v>
      </c>
      <c r="E10775">
        <v>1</v>
      </c>
      <c r="F10775" t="str">
        <f>"08-I23-02"</f>
        <v>08-I23-02</v>
      </c>
      <c r="G10775">
        <v>0.91059999999999997</v>
      </c>
      <c r="H10775" t="s">
        <v>12</v>
      </c>
      <c r="I10775" t="s">
        <v>10</v>
      </c>
    </row>
    <row r="10776" spans="1:9" x14ac:dyDescent="0.25">
      <c r="A10776" t="str">
        <f t="shared" si="257"/>
        <v>89301000</v>
      </c>
      <c r="B10776" t="str">
        <f>"6956245340"</f>
        <v>6956245340</v>
      </c>
      <c r="C10776" s="1">
        <v>45168</v>
      </c>
      <c r="D10776" s="1">
        <v>45175</v>
      </c>
      <c r="E10776">
        <v>1</v>
      </c>
      <c r="F10776" t="str">
        <f>"11-M03-02"</f>
        <v>11-M03-02</v>
      </c>
      <c r="G10776">
        <v>1.4410000000000001</v>
      </c>
      <c r="H10776" t="s">
        <v>12</v>
      </c>
      <c r="I10776" t="s">
        <v>10</v>
      </c>
    </row>
    <row r="10777" spans="1:9" x14ac:dyDescent="0.25">
      <c r="A10777" t="str">
        <f t="shared" si="257"/>
        <v>89301000</v>
      </c>
      <c r="B10777" t="str">
        <f>"6956265360"</f>
        <v>6956265360</v>
      </c>
      <c r="C10777" s="1">
        <v>45125</v>
      </c>
      <c r="D10777" s="1">
        <v>45128</v>
      </c>
      <c r="E10777">
        <v>1</v>
      </c>
      <c r="F10777" t="str">
        <f>"08-I16-04"</f>
        <v>08-I16-04</v>
      </c>
      <c r="G10777">
        <v>0.83040000000000003</v>
      </c>
      <c r="H10777" t="s">
        <v>12</v>
      </c>
      <c r="I10777" t="s">
        <v>10</v>
      </c>
    </row>
    <row r="10778" spans="1:9" x14ac:dyDescent="0.25">
      <c r="A10778" t="str">
        <f t="shared" si="257"/>
        <v>89301000</v>
      </c>
      <c r="B10778" t="str">
        <f>"6956284775"</f>
        <v>6956284775</v>
      </c>
      <c r="C10778" s="1">
        <v>45186</v>
      </c>
      <c r="D10778" s="1">
        <v>45217</v>
      </c>
      <c r="E10778">
        <v>1</v>
      </c>
      <c r="F10778" t="str">
        <f>"04-I02-02"</f>
        <v>04-I02-02</v>
      </c>
      <c r="G10778">
        <v>5.6345999999999998</v>
      </c>
      <c r="H10778" t="s">
        <v>14</v>
      </c>
      <c r="I10778" t="s">
        <v>10</v>
      </c>
    </row>
    <row r="10779" spans="1:9" x14ac:dyDescent="0.25">
      <c r="A10779" t="str">
        <f t="shared" si="257"/>
        <v>89301000</v>
      </c>
      <c r="B10779" t="str">
        <f>"6956305367"</f>
        <v>6956305367</v>
      </c>
      <c r="C10779" s="1">
        <v>45146</v>
      </c>
      <c r="D10779" s="1">
        <v>45147</v>
      </c>
      <c r="E10779">
        <v>1</v>
      </c>
      <c r="F10779" t="str">
        <f>"03-K13-02"</f>
        <v>03-K13-02</v>
      </c>
      <c r="G10779">
        <v>0.24440000000000001</v>
      </c>
      <c r="H10779" t="s">
        <v>11</v>
      </c>
      <c r="I10779" t="s">
        <v>10</v>
      </c>
    </row>
    <row r="10780" spans="1:9" x14ac:dyDescent="0.25">
      <c r="A10780" t="str">
        <f t="shared" si="257"/>
        <v>89301000</v>
      </c>
      <c r="B10780" t="str">
        <f>"6957025757"</f>
        <v>6957025757</v>
      </c>
      <c r="C10780" s="1">
        <v>44971</v>
      </c>
      <c r="D10780" s="1">
        <v>45008</v>
      </c>
      <c r="E10780">
        <v>1</v>
      </c>
      <c r="F10780" t="str">
        <f>"19-K08-02"</f>
        <v>19-K08-02</v>
      </c>
      <c r="G10780">
        <v>4.4416000000000002</v>
      </c>
      <c r="H10780" t="s">
        <v>15</v>
      </c>
      <c r="I10780" t="s">
        <v>10</v>
      </c>
    </row>
    <row r="10781" spans="1:9" x14ac:dyDescent="0.25">
      <c r="A10781" t="str">
        <f t="shared" si="257"/>
        <v>89301000</v>
      </c>
      <c r="B10781" t="str">
        <f>"6957034480"</f>
        <v>6957034480</v>
      </c>
      <c r="C10781" s="1">
        <v>45021</v>
      </c>
      <c r="D10781" s="1">
        <v>45023</v>
      </c>
      <c r="E10781">
        <v>1</v>
      </c>
      <c r="F10781" t="str">
        <f>"03-I19-03"</f>
        <v>03-I19-03</v>
      </c>
      <c r="G10781">
        <v>0.53249999999999997</v>
      </c>
      <c r="H10781" t="s">
        <v>11</v>
      </c>
      <c r="I10781" t="s">
        <v>10</v>
      </c>
    </row>
    <row r="10782" spans="1:9" x14ac:dyDescent="0.25">
      <c r="A10782" t="str">
        <f t="shared" si="257"/>
        <v>89301000</v>
      </c>
      <c r="B10782" t="str">
        <f>"6957104462"</f>
        <v>6957104462</v>
      </c>
      <c r="C10782" s="1">
        <v>45245</v>
      </c>
      <c r="D10782" s="1">
        <v>45250</v>
      </c>
      <c r="E10782">
        <v>1</v>
      </c>
      <c r="F10782" t="str">
        <f>"23-K05-01"</f>
        <v>23-K05-01</v>
      </c>
      <c r="G10782">
        <v>0.56269999999999998</v>
      </c>
      <c r="H10782" t="s">
        <v>11</v>
      </c>
      <c r="I10782" t="s">
        <v>10</v>
      </c>
    </row>
    <row r="10783" spans="1:9" x14ac:dyDescent="0.25">
      <c r="A10783" t="str">
        <f t="shared" si="257"/>
        <v>89301000</v>
      </c>
      <c r="B10783" t="str">
        <f>"6958094484"</f>
        <v>6958094484</v>
      </c>
      <c r="C10783" s="1">
        <v>45222</v>
      </c>
      <c r="D10783" s="1">
        <v>45233</v>
      </c>
      <c r="E10783">
        <v>1</v>
      </c>
      <c r="F10783" t="str">
        <f>"24-M06-02"</f>
        <v>24-M06-02</v>
      </c>
      <c r="G10783">
        <v>1.0699000000000001</v>
      </c>
      <c r="H10783" t="s">
        <v>11</v>
      </c>
      <c r="I10783" t="s">
        <v>10</v>
      </c>
    </row>
    <row r="10784" spans="1:9" x14ac:dyDescent="0.25">
      <c r="A10784" t="str">
        <f t="shared" si="257"/>
        <v>89301000</v>
      </c>
      <c r="B10784" t="str">
        <f>"6958094484"</f>
        <v>6958094484</v>
      </c>
      <c r="C10784" s="1">
        <v>44978</v>
      </c>
      <c r="D10784" s="1">
        <v>44982</v>
      </c>
      <c r="E10784">
        <v>1</v>
      </c>
      <c r="F10784" t="str">
        <f>"08-I23-01"</f>
        <v>08-I23-01</v>
      </c>
      <c r="G10784">
        <v>1.6314</v>
      </c>
      <c r="H10784" t="s">
        <v>12</v>
      </c>
      <c r="I10784" t="s">
        <v>10</v>
      </c>
    </row>
    <row r="10785" spans="1:9" x14ac:dyDescent="0.25">
      <c r="A10785" t="str">
        <f t="shared" si="257"/>
        <v>89301000</v>
      </c>
      <c r="B10785" t="str">
        <f>"6958094484"</f>
        <v>6958094484</v>
      </c>
      <c r="C10785" s="1">
        <v>45103</v>
      </c>
      <c r="D10785" s="1">
        <v>45121</v>
      </c>
      <c r="E10785">
        <v>1</v>
      </c>
      <c r="F10785" t="str">
        <f>"24-M08-02"</f>
        <v>24-M08-02</v>
      </c>
      <c r="G10785">
        <v>2.0236999999999998</v>
      </c>
      <c r="H10785" t="s">
        <v>11</v>
      </c>
      <c r="I10785" t="s">
        <v>10</v>
      </c>
    </row>
    <row r="10786" spans="1:9" x14ac:dyDescent="0.25">
      <c r="A10786" t="str">
        <f t="shared" si="257"/>
        <v>89301000</v>
      </c>
      <c r="B10786" t="str">
        <f>"6958135305"</f>
        <v>6958135305</v>
      </c>
      <c r="C10786" s="1">
        <v>44977</v>
      </c>
      <c r="D10786" s="1">
        <v>44980</v>
      </c>
      <c r="E10786">
        <v>1</v>
      </c>
      <c r="F10786" t="str">
        <f>"04-K07-03"</f>
        <v>04-K07-03</v>
      </c>
      <c r="G10786">
        <v>0.61119999999999997</v>
      </c>
      <c r="H10786" t="s">
        <v>11</v>
      </c>
      <c r="I10786" t="s">
        <v>10</v>
      </c>
    </row>
    <row r="10787" spans="1:9" x14ac:dyDescent="0.25">
      <c r="A10787" t="str">
        <f t="shared" si="257"/>
        <v>89301000</v>
      </c>
      <c r="B10787" t="str">
        <f>"6958135305"</f>
        <v>6958135305</v>
      </c>
      <c r="C10787" s="1">
        <v>44925</v>
      </c>
      <c r="D10787" s="1">
        <v>44929</v>
      </c>
      <c r="E10787">
        <v>1</v>
      </c>
      <c r="F10787" t="str">
        <f>"04-K07-03"</f>
        <v>04-K07-03</v>
      </c>
      <c r="G10787">
        <v>0.61119999999999997</v>
      </c>
      <c r="H10787" t="s">
        <v>11</v>
      </c>
      <c r="I10787" t="s">
        <v>10</v>
      </c>
    </row>
    <row r="10788" spans="1:9" x14ac:dyDescent="0.25">
      <c r="A10788" t="str">
        <f t="shared" si="257"/>
        <v>89301000</v>
      </c>
      <c r="B10788" t="str">
        <f>"6958149550"</f>
        <v>6958149550</v>
      </c>
      <c r="C10788" s="1">
        <v>45197</v>
      </c>
      <c r="D10788" s="1">
        <v>45202</v>
      </c>
      <c r="E10788">
        <v>1</v>
      </c>
      <c r="F10788" t="str">
        <f>"04-K02-04"</f>
        <v>04-K02-04</v>
      </c>
      <c r="G10788">
        <v>0.82099999999999995</v>
      </c>
      <c r="H10788" t="s">
        <v>11</v>
      </c>
      <c r="I10788" t="s">
        <v>10</v>
      </c>
    </row>
    <row r="10789" spans="1:9" x14ac:dyDescent="0.25">
      <c r="A10789" t="str">
        <f t="shared" si="257"/>
        <v>89301000</v>
      </c>
      <c r="B10789" t="str">
        <f>"6958155765"</f>
        <v>6958155765</v>
      </c>
      <c r="C10789" s="1">
        <v>45251</v>
      </c>
      <c r="D10789" s="1">
        <v>45257</v>
      </c>
      <c r="E10789">
        <v>1</v>
      </c>
      <c r="F10789" t="str">
        <f>"10-R02-02"</f>
        <v>10-R02-02</v>
      </c>
      <c r="G10789">
        <v>0.66300000000000003</v>
      </c>
      <c r="H10789" t="s">
        <v>9</v>
      </c>
      <c r="I10789" t="s">
        <v>10</v>
      </c>
    </row>
    <row r="10790" spans="1:9" x14ac:dyDescent="0.25">
      <c r="A10790" t="str">
        <f t="shared" ref="A10790:A10853" si="260">"89301000"</f>
        <v>89301000</v>
      </c>
      <c r="B10790" t="str">
        <f>"6958155765"</f>
        <v>6958155765</v>
      </c>
      <c r="C10790" s="1">
        <v>45236</v>
      </c>
      <c r="D10790" s="1">
        <v>45238</v>
      </c>
      <c r="E10790">
        <v>1</v>
      </c>
      <c r="F10790" t="str">
        <f>"10-K01-02"</f>
        <v>10-K01-02</v>
      </c>
      <c r="G10790">
        <v>0.63529999999999998</v>
      </c>
      <c r="H10790" t="s">
        <v>11</v>
      </c>
      <c r="I10790" t="s">
        <v>10</v>
      </c>
    </row>
    <row r="10791" spans="1:9" x14ac:dyDescent="0.25">
      <c r="A10791" t="str">
        <f t="shared" si="260"/>
        <v>89301000</v>
      </c>
      <c r="B10791" t="str">
        <f>"6958165313"</f>
        <v>6958165313</v>
      </c>
      <c r="C10791" s="1">
        <v>44958</v>
      </c>
      <c r="D10791" s="1">
        <v>44959</v>
      </c>
      <c r="E10791">
        <v>1</v>
      </c>
      <c r="F10791" t="str">
        <f>"13-I19-00"</f>
        <v>13-I19-00</v>
      </c>
      <c r="G10791">
        <v>0.28249999999999997</v>
      </c>
      <c r="H10791" t="s">
        <v>11</v>
      </c>
      <c r="I10791" t="s">
        <v>10</v>
      </c>
    </row>
    <row r="10792" spans="1:9" x14ac:dyDescent="0.25">
      <c r="A10792" t="str">
        <f t="shared" si="260"/>
        <v>89301000</v>
      </c>
      <c r="B10792" t="str">
        <f>"6958245316"</f>
        <v>6958245316</v>
      </c>
      <c r="C10792" s="1">
        <v>44943</v>
      </c>
      <c r="D10792" s="1">
        <v>44946</v>
      </c>
      <c r="E10792">
        <v>1</v>
      </c>
      <c r="F10792" t="str">
        <f>"08-I03-08"</f>
        <v>08-I03-08</v>
      </c>
      <c r="G10792">
        <v>1.9455</v>
      </c>
      <c r="H10792" t="s">
        <v>9</v>
      </c>
      <c r="I10792" t="s">
        <v>10</v>
      </c>
    </row>
    <row r="10793" spans="1:9" x14ac:dyDescent="0.25">
      <c r="A10793" t="str">
        <f t="shared" si="260"/>
        <v>89301000</v>
      </c>
      <c r="B10793" t="str">
        <f>"6958265336"</f>
        <v>6958265336</v>
      </c>
      <c r="C10793" s="1">
        <v>45054</v>
      </c>
      <c r="D10793" s="1">
        <v>45057</v>
      </c>
      <c r="E10793">
        <v>1</v>
      </c>
      <c r="F10793" t="str">
        <f>"08-M03-05"</f>
        <v>08-M03-05</v>
      </c>
      <c r="G10793">
        <v>0.46810000000000002</v>
      </c>
      <c r="H10793" t="s">
        <v>11</v>
      </c>
      <c r="I10793" t="s">
        <v>10</v>
      </c>
    </row>
    <row r="10794" spans="1:9" x14ac:dyDescent="0.25">
      <c r="A10794" t="str">
        <f t="shared" si="260"/>
        <v>89301000</v>
      </c>
      <c r="B10794" t="str">
        <f>"6958285818"</f>
        <v>6958285818</v>
      </c>
      <c r="C10794" s="1">
        <v>45061</v>
      </c>
      <c r="D10794" s="1">
        <v>45063</v>
      </c>
      <c r="E10794">
        <v>1</v>
      </c>
      <c r="F10794" t="str">
        <f>"09-I09-02"</f>
        <v>09-I09-02</v>
      </c>
      <c r="G10794">
        <v>0.76900000000000002</v>
      </c>
      <c r="H10794" t="s">
        <v>12</v>
      </c>
      <c r="I10794" t="s">
        <v>10</v>
      </c>
    </row>
    <row r="10795" spans="1:9" x14ac:dyDescent="0.25">
      <c r="A10795" t="str">
        <f t="shared" si="260"/>
        <v>89301000</v>
      </c>
      <c r="B10795" t="str">
        <f>"6959024270"</f>
        <v>6959024270</v>
      </c>
      <c r="C10795" s="1">
        <v>45218</v>
      </c>
      <c r="D10795" s="1">
        <v>45226</v>
      </c>
      <c r="E10795">
        <v>1</v>
      </c>
      <c r="F10795" t="str">
        <f>"16-K02-02"</f>
        <v>16-K02-02</v>
      </c>
      <c r="G10795">
        <v>0.76349999999999996</v>
      </c>
      <c r="H10795" t="s">
        <v>11</v>
      </c>
      <c r="I10795" t="s">
        <v>10</v>
      </c>
    </row>
    <row r="10796" spans="1:9" x14ac:dyDescent="0.25">
      <c r="A10796" t="str">
        <f t="shared" si="260"/>
        <v>89301000</v>
      </c>
      <c r="B10796" t="str">
        <f>"6959024270"</f>
        <v>6959024270</v>
      </c>
      <c r="C10796" s="1">
        <v>45181</v>
      </c>
      <c r="D10796" s="1">
        <v>45212</v>
      </c>
      <c r="E10796">
        <v>1</v>
      </c>
      <c r="F10796" t="str">
        <f>"07-M02-01"</f>
        <v>07-M02-01</v>
      </c>
      <c r="G10796">
        <v>3.9102999999999999</v>
      </c>
      <c r="H10796" t="s">
        <v>12</v>
      </c>
      <c r="I10796" t="s">
        <v>10</v>
      </c>
    </row>
    <row r="10797" spans="1:9" x14ac:dyDescent="0.25">
      <c r="A10797" t="str">
        <f t="shared" si="260"/>
        <v>89301000</v>
      </c>
      <c r="B10797" t="str">
        <f>"6959024270"</f>
        <v>6959024270</v>
      </c>
      <c r="C10797" s="1">
        <v>45141</v>
      </c>
      <c r="D10797" s="1">
        <v>45144</v>
      </c>
      <c r="E10797">
        <v>1</v>
      </c>
      <c r="F10797" t="str">
        <f>"10-K04-02"</f>
        <v>10-K04-02</v>
      </c>
      <c r="G10797">
        <v>1.0166999999999999</v>
      </c>
      <c r="H10797" t="s">
        <v>11</v>
      </c>
      <c r="I10797" t="s">
        <v>10</v>
      </c>
    </row>
    <row r="10798" spans="1:9" x14ac:dyDescent="0.25">
      <c r="A10798" t="str">
        <f t="shared" si="260"/>
        <v>89301000</v>
      </c>
      <c r="B10798" t="str">
        <f>"6959024270"</f>
        <v>6959024270</v>
      </c>
      <c r="C10798" s="1">
        <v>45111</v>
      </c>
      <c r="D10798" s="1">
        <v>45126</v>
      </c>
      <c r="E10798">
        <v>1</v>
      </c>
      <c r="F10798" t="str">
        <f>"07-M02-04"</f>
        <v>07-M02-04</v>
      </c>
      <c r="G10798">
        <v>1.7424999999999999</v>
      </c>
      <c r="H10798" t="s">
        <v>12</v>
      </c>
      <c r="I10798" t="s">
        <v>10</v>
      </c>
    </row>
    <row r="10799" spans="1:9" x14ac:dyDescent="0.25">
      <c r="A10799" t="str">
        <f t="shared" si="260"/>
        <v>89301000</v>
      </c>
      <c r="B10799" t="str">
        <f>"6959055345"</f>
        <v>6959055345</v>
      </c>
      <c r="C10799" s="1">
        <v>45069</v>
      </c>
      <c r="D10799" s="1">
        <v>45071</v>
      </c>
      <c r="E10799">
        <v>1</v>
      </c>
      <c r="F10799" t="str">
        <f>"08-M03-05"</f>
        <v>08-M03-05</v>
      </c>
      <c r="G10799">
        <v>0.46810000000000002</v>
      </c>
      <c r="H10799" t="s">
        <v>11</v>
      </c>
      <c r="I10799" t="s">
        <v>10</v>
      </c>
    </row>
    <row r="10800" spans="1:9" x14ac:dyDescent="0.25">
      <c r="A10800" t="str">
        <f t="shared" si="260"/>
        <v>89301000</v>
      </c>
      <c r="B10800" t="str">
        <f>"6959065322"</f>
        <v>6959065322</v>
      </c>
      <c r="C10800" s="1">
        <v>45078</v>
      </c>
      <c r="D10800" s="1">
        <v>45081</v>
      </c>
      <c r="E10800">
        <v>1</v>
      </c>
      <c r="F10800" t="str">
        <f>"06-I17-04"</f>
        <v>06-I17-04</v>
      </c>
      <c r="G10800">
        <v>0.49869999999999998</v>
      </c>
      <c r="H10800" t="s">
        <v>12</v>
      </c>
      <c r="I10800" t="s">
        <v>10</v>
      </c>
    </row>
    <row r="10801" spans="1:9" x14ac:dyDescent="0.25">
      <c r="A10801" t="str">
        <f t="shared" si="260"/>
        <v>89301000</v>
      </c>
      <c r="B10801" t="str">
        <f>"6959065344"</f>
        <v>6959065344</v>
      </c>
      <c r="C10801" s="1">
        <v>44997</v>
      </c>
      <c r="D10801" s="1">
        <v>45001</v>
      </c>
      <c r="E10801">
        <v>1</v>
      </c>
      <c r="F10801" t="str">
        <f>"03-I12-03"</f>
        <v>03-I12-03</v>
      </c>
      <c r="G10801">
        <v>0.99339999999999995</v>
      </c>
      <c r="H10801" t="s">
        <v>12</v>
      </c>
      <c r="I10801" t="s">
        <v>10</v>
      </c>
    </row>
    <row r="10802" spans="1:9" x14ac:dyDescent="0.25">
      <c r="A10802" t="str">
        <f t="shared" si="260"/>
        <v>89301000</v>
      </c>
      <c r="B10802" t="str">
        <f>"6959164465"</f>
        <v>6959164465</v>
      </c>
      <c r="C10802" s="1">
        <v>45019</v>
      </c>
      <c r="D10802" s="1">
        <v>45020</v>
      </c>
      <c r="E10802">
        <v>1</v>
      </c>
      <c r="F10802" t="str">
        <f>"01-K01-02"</f>
        <v>01-K01-02</v>
      </c>
      <c r="G10802">
        <v>0.442</v>
      </c>
      <c r="H10802" t="s">
        <v>11</v>
      </c>
      <c r="I10802" t="s">
        <v>10</v>
      </c>
    </row>
    <row r="10803" spans="1:9" x14ac:dyDescent="0.25">
      <c r="A10803" t="str">
        <f t="shared" si="260"/>
        <v>89301000</v>
      </c>
      <c r="B10803" t="str">
        <f>"6959174255"</f>
        <v>6959174255</v>
      </c>
      <c r="C10803" s="1">
        <v>44970</v>
      </c>
      <c r="D10803" s="1">
        <v>44974</v>
      </c>
      <c r="E10803">
        <v>1</v>
      </c>
      <c r="F10803" t="str">
        <f>"07-I10-06"</f>
        <v>07-I10-06</v>
      </c>
      <c r="G10803">
        <v>0.98419999999999996</v>
      </c>
      <c r="H10803" t="s">
        <v>12</v>
      </c>
      <c r="I10803" t="s">
        <v>10</v>
      </c>
    </row>
    <row r="10804" spans="1:9" x14ac:dyDescent="0.25">
      <c r="A10804" t="str">
        <f t="shared" si="260"/>
        <v>89301000</v>
      </c>
      <c r="B10804" t="str">
        <f>"6960010893"</f>
        <v>6960010893</v>
      </c>
      <c r="C10804" s="1">
        <v>44937</v>
      </c>
      <c r="D10804" s="1">
        <v>44938</v>
      </c>
      <c r="E10804">
        <v>1</v>
      </c>
      <c r="F10804" t="str">
        <f>"03-K13-02"</f>
        <v>03-K13-02</v>
      </c>
      <c r="G10804">
        <v>0.24440000000000001</v>
      </c>
      <c r="H10804" t="s">
        <v>11</v>
      </c>
      <c r="I10804" t="s">
        <v>10</v>
      </c>
    </row>
    <row r="10805" spans="1:9" x14ac:dyDescent="0.25">
      <c r="A10805" t="str">
        <f t="shared" si="260"/>
        <v>89301000</v>
      </c>
      <c r="B10805" t="str">
        <f>"6960045796"</f>
        <v>6960045796</v>
      </c>
      <c r="C10805" s="1">
        <v>45000</v>
      </c>
      <c r="D10805" s="1">
        <v>45019</v>
      </c>
      <c r="E10805">
        <v>1</v>
      </c>
      <c r="F10805" t="str">
        <f>"06-I04-03"</f>
        <v>06-I04-03</v>
      </c>
      <c r="G10805">
        <v>4.1456999999999997</v>
      </c>
      <c r="H10805" t="s">
        <v>12</v>
      </c>
      <c r="I10805" t="s">
        <v>10</v>
      </c>
    </row>
    <row r="10806" spans="1:9" x14ac:dyDescent="0.25">
      <c r="A10806" t="str">
        <f t="shared" si="260"/>
        <v>89301000</v>
      </c>
      <c r="B10806" t="str">
        <f>"6960155323"</f>
        <v>6960155323</v>
      </c>
      <c r="C10806" s="1">
        <v>45191</v>
      </c>
      <c r="D10806" s="1">
        <v>45192</v>
      </c>
      <c r="E10806">
        <v>1</v>
      </c>
      <c r="F10806" t="str">
        <f>"05-D01-08"</f>
        <v>05-D01-08</v>
      </c>
      <c r="G10806">
        <v>0.43159999999999998</v>
      </c>
      <c r="H10806" t="s">
        <v>11</v>
      </c>
      <c r="I10806" t="s">
        <v>10</v>
      </c>
    </row>
    <row r="10807" spans="1:9" x14ac:dyDescent="0.25">
      <c r="A10807" t="str">
        <f t="shared" si="260"/>
        <v>89301000</v>
      </c>
      <c r="B10807" t="str">
        <f>"6960165322"</f>
        <v>6960165322</v>
      </c>
      <c r="C10807" s="1">
        <v>45062</v>
      </c>
      <c r="D10807" s="1">
        <v>45065</v>
      </c>
      <c r="E10807">
        <v>1</v>
      </c>
      <c r="F10807" t="str">
        <f>"03-I24-00"</f>
        <v>03-I24-00</v>
      </c>
      <c r="G10807">
        <v>0.40670000000000001</v>
      </c>
      <c r="H10807" t="s">
        <v>11</v>
      </c>
      <c r="I10807" t="s">
        <v>10</v>
      </c>
    </row>
    <row r="10808" spans="1:9" x14ac:dyDescent="0.25">
      <c r="A10808" t="str">
        <f t="shared" si="260"/>
        <v>89301000</v>
      </c>
      <c r="B10808" t="str">
        <f>"6960215317"</f>
        <v>6960215317</v>
      </c>
      <c r="C10808" s="1">
        <v>44937</v>
      </c>
      <c r="D10808" s="1">
        <v>44941</v>
      </c>
      <c r="E10808">
        <v>1</v>
      </c>
      <c r="F10808" t="str">
        <f>"13-I11-03"</f>
        <v>13-I11-03</v>
      </c>
      <c r="G10808">
        <v>1.4332</v>
      </c>
      <c r="H10808" t="s">
        <v>9</v>
      </c>
      <c r="I10808" t="s">
        <v>10</v>
      </c>
    </row>
    <row r="10809" spans="1:9" x14ac:dyDescent="0.25">
      <c r="A10809" t="str">
        <f t="shared" si="260"/>
        <v>89301000</v>
      </c>
      <c r="B10809" t="str">
        <f>"6960215790"</f>
        <v>6960215790</v>
      </c>
      <c r="C10809" s="1">
        <v>45191</v>
      </c>
      <c r="D10809" s="1">
        <v>45195</v>
      </c>
      <c r="E10809">
        <v>1</v>
      </c>
      <c r="F10809" t="str">
        <f>"03-K03-02"</f>
        <v>03-K03-02</v>
      </c>
      <c r="G10809">
        <v>0.51060000000000005</v>
      </c>
      <c r="H10809" t="s">
        <v>11</v>
      </c>
      <c r="I10809" t="s">
        <v>10</v>
      </c>
    </row>
    <row r="10810" spans="1:9" x14ac:dyDescent="0.25">
      <c r="A10810" t="str">
        <f t="shared" si="260"/>
        <v>89301000</v>
      </c>
      <c r="B10810" t="str">
        <f>"6961045256"</f>
        <v>6961045256</v>
      </c>
      <c r="C10810" s="1">
        <v>45019</v>
      </c>
      <c r="D10810" s="1">
        <v>45021</v>
      </c>
      <c r="E10810">
        <v>1</v>
      </c>
      <c r="F10810" t="str">
        <f>"08-I10-01"</f>
        <v>08-I10-01</v>
      </c>
      <c r="G10810">
        <v>1.9841</v>
      </c>
      <c r="H10810" t="s">
        <v>12</v>
      </c>
      <c r="I10810" t="s">
        <v>10</v>
      </c>
    </row>
    <row r="10811" spans="1:9" x14ac:dyDescent="0.25">
      <c r="A10811" t="str">
        <f t="shared" si="260"/>
        <v>89301000</v>
      </c>
      <c r="B10811" t="str">
        <f>"6961064594"</f>
        <v>6961064594</v>
      </c>
      <c r="C10811" s="1">
        <v>45029</v>
      </c>
      <c r="D10811" s="1">
        <v>45034</v>
      </c>
      <c r="E10811">
        <v>1</v>
      </c>
      <c r="F10811" t="str">
        <f>"08-K04-03"</f>
        <v>08-K04-03</v>
      </c>
      <c r="G10811">
        <v>0.41799999999999998</v>
      </c>
      <c r="H10811" t="s">
        <v>11</v>
      </c>
      <c r="I10811" t="s">
        <v>10</v>
      </c>
    </row>
    <row r="10812" spans="1:9" x14ac:dyDescent="0.25">
      <c r="A10812" t="str">
        <f t="shared" si="260"/>
        <v>89301000</v>
      </c>
      <c r="B10812" t="str">
        <f>"6961065320"</f>
        <v>6961065320</v>
      </c>
      <c r="C10812" s="1">
        <v>45019</v>
      </c>
      <c r="D10812" s="1">
        <v>45022</v>
      </c>
      <c r="E10812">
        <v>1</v>
      </c>
      <c r="F10812" t="str">
        <f>"01-K03-06"</f>
        <v>01-K03-06</v>
      </c>
      <c r="G10812">
        <v>0.85660000000000003</v>
      </c>
      <c r="H10812" t="s">
        <v>11</v>
      </c>
      <c r="I10812" t="s">
        <v>10</v>
      </c>
    </row>
    <row r="10813" spans="1:9" x14ac:dyDescent="0.25">
      <c r="A10813" t="str">
        <f t="shared" si="260"/>
        <v>89301000</v>
      </c>
      <c r="B10813" t="str">
        <f>"6961204118"</f>
        <v>6961204118</v>
      </c>
      <c r="C10813" s="1">
        <v>45134</v>
      </c>
      <c r="D10813" s="1">
        <v>45134</v>
      </c>
      <c r="E10813">
        <v>6</v>
      </c>
      <c r="F10813" t="str">
        <f>"13-I19-00"</f>
        <v>13-I19-00</v>
      </c>
      <c r="G10813">
        <v>0.14130000000000001</v>
      </c>
      <c r="H10813" t="s">
        <v>11</v>
      </c>
      <c r="I10813" t="s">
        <v>10</v>
      </c>
    </row>
    <row r="10814" spans="1:9" x14ac:dyDescent="0.25">
      <c r="A10814" t="str">
        <f t="shared" si="260"/>
        <v>89301000</v>
      </c>
      <c r="B10814" t="str">
        <f>"6961244455"</f>
        <v>6961244455</v>
      </c>
      <c r="C10814" s="1">
        <v>45152</v>
      </c>
      <c r="D10814" s="1">
        <v>45154</v>
      </c>
      <c r="E10814">
        <v>1</v>
      </c>
      <c r="F10814" t="str">
        <f>"09-I06-04"</f>
        <v>09-I06-04</v>
      </c>
      <c r="G10814">
        <v>0.95069999999999999</v>
      </c>
      <c r="H10814" t="s">
        <v>12</v>
      </c>
      <c r="I10814" t="s">
        <v>10</v>
      </c>
    </row>
    <row r="10815" spans="1:9" x14ac:dyDescent="0.25">
      <c r="A10815" t="str">
        <f t="shared" si="260"/>
        <v>89301000</v>
      </c>
      <c r="B10815" t="str">
        <f>"6961244455"</f>
        <v>6961244455</v>
      </c>
      <c r="C10815" s="1">
        <v>45168</v>
      </c>
      <c r="D10815" s="1">
        <v>45169</v>
      </c>
      <c r="E10815">
        <v>1</v>
      </c>
      <c r="F10815" t="str">
        <f>"09-I09-02"</f>
        <v>09-I09-02</v>
      </c>
      <c r="G10815">
        <v>0.76900000000000002</v>
      </c>
      <c r="H10815" t="s">
        <v>12</v>
      </c>
      <c r="I10815" t="s">
        <v>10</v>
      </c>
    </row>
    <row r="10816" spans="1:9" x14ac:dyDescent="0.25">
      <c r="A10816" t="str">
        <f t="shared" si="260"/>
        <v>89301000</v>
      </c>
      <c r="B10816" t="str">
        <f>"6961245764"</f>
        <v>6961245764</v>
      </c>
      <c r="C10816" s="1">
        <v>44942</v>
      </c>
      <c r="D10816" s="1">
        <v>44980</v>
      </c>
      <c r="E10816">
        <v>1</v>
      </c>
      <c r="F10816" t="str">
        <f>"01-K13-01"</f>
        <v>01-K13-01</v>
      </c>
      <c r="G10816">
        <v>4.3674999999999997</v>
      </c>
      <c r="H10816" t="s">
        <v>11</v>
      </c>
      <c r="I10816" t="s">
        <v>10</v>
      </c>
    </row>
    <row r="10817" spans="1:9" x14ac:dyDescent="0.25">
      <c r="A10817" t="str">
        <f t="shared" si="260"/>
        <v>89301000</v>
      </c>
      <c r="B10817" t="str">
        <f>"6961245764"</f>
        <v>6961245764</v>
      </c>
      <c r="C10817" s="1">
        <v>45172</v>
      </c>
      <c r="D10817" s="1">
        <v>45183</v>
      </c>
      <c r="E10817">
        <v>4</v>
      </c>
      <c r="F10817" t="str">
        <f>"01-K13-02"</f>
        <v>01-K13-02</v>
      </c>
      <c r="G10817">
        <v>0.73899999999999999</v>
      </c>
      <c r="H10817" t="s">
        <v>11</v>
      </c>
      <c r="I10817" t="s">
        <v>10</v>
      </c>
    </row>
    <row r="10818" spans="1:9" x14ac:dyDescent="0.25">
      <c r="A10818" t="str">
        <f t="shared" si="260"/>
        <v>89301000</v>
      </c>
      <c r="B10818" t="str">
        <f>"6961245764"</f>
        <v>6961245764</v>
      </c>
      <c r="C10818" s="1">
        <v>45095</v>
      </c>
      <c r="D10818" s="1">
        <v>45101</v>
      </c>
      <c r="E10818">
        <v>1</v>
      </c>
      <c r="F10818" t="str">
        <f>"01-I06-04"</f>
        <v>01-I06-04</v>
      </c>
      <c r="G10818">
        <v>3.6478999999999999</v>
      </c>
      <c r="H10818" t="s">
        <v>12</v>
      </c>
      <c r="I10818" t="s">
        <v>10</v>
      </c>
    </row>
    <row r="10819" spans="1:9" x14ac:dyDescent="0.25">
      <c r="A10819" t="str">
        <f t="shared" si="260"/>
        <v>89301000</v>
      </c>
      <c r="B10819" t="str">
        <f>"6961245764"</f>
        <v>6961245764</v>
      </c>
      <c r="C10819" s="1">
        <v>45078</v>
      </c>
      <c r="D10819" s="1">
        <v>45086</v>
      </c>
      <c r="E10819">
        <v>1</v>
      </c>
      <c r="F10819" t="str">
        <f>"01-K13-02"</f>
        <v>01-K13-02</v>
      </c>
      <c r="G10819">
        <v>0.73899999999999999</v>
      </c>
      <c r="H10819" t="s">
        <v>11</v>
      </c>
      <c r="I10819" t="s">
        <v>10</v>
      </c>
    </row>
    <row r="10820" spans="1:9" x14ac:dyDescent="0.25">
      <c r="A10820" t="str">
        <f t="shared" si="260"/>
        <v>89301000</v>
      </c>
      <c r="B10820" t="str">
        <f>"6961264717"</f>
        <v>6961264717</v>
      </c>
      <c r="C10820" s="1">
        <v>45211</v>
      </c>
      <c r="D10820" s="1">
        <v>45215</v>
      </c>
      <c r="E10820">
        <v>1</v>
      </c>
      <c r="F10820" t="str">
        <f>"13-I13-02"</f>
        <v>13-I13-02</v>
      </c>
      <c r="G10820">
        <v>0.94840000000000002</v>
      </c>
      <c r="H10820" t="s">
        <v>12</v>
      </c>
      <c r="I10820" t="s">
        <v>10</v>
      </c>
    </row>
    <row r="10821" spans="1:9" x14ac:dyDescent="0.25">
      <c r="A10821" t="str">
        <f t="shared" si="260"/>
        <v>89301000</v>
      </c>
      <c r="B10821" t="str">
        <f>"6961265762"</f>
        <v>6961265762</v>
      </c>
      <c r="C10821" s="1">
        <v>45275</v>
      </c>
      <c r="D10821" s="1">
        <v>45278</v>
      </c>
      <c r="E10821">
        <v>1</v>
      </c>
      <c r="F10821" t="str">
        <f>"10-K15-02"</f>
        <v>10-K15-02</v>
      </c>
      <c r="G10821">
        <v>0.66379999999999995</v>
      </c>
      <c r="H10821" t="s">
        <v>11</v>
      </c>
      <c r="I10821" t="s">
        <v>10</v>
      </c>
    </row>
    <row r="10822" spans="1:9" x14ac:dyDescent="0.25">
      <c r="A10822" t="str">
        <f t="shared" si="260"/>
        <v>89301000</v>
      </c>
      <c r="B10822" t="str">
        <f>"6961265762"</f>
        <v>6961265762</v>
      </c>
      <c r="C10822" s="1">
        <v>45224</v>
      </c>
      <c r="D10822" s="1">
        <v>45225</v>
      </c>
      <c r="E10822">
        <v>1</v>
      </c>
      <c r="F10822" t="str">
        <f>"10-K15-02"</f>
        <v>10-K15-02</v>
      </c>
      <c r="G10822">
        <v>0.66379999999999995</v>
      </c>
      <c r="H10822" t="s">
        <v>11</v>
      </c>
      <c r="I10822" t="s">
        <v>10</v>
      </c>
    </row>
    <row r="10823" spans="1:9" x14ac:dyDescent="0.25">
      <c r="A10823" t="str">
        <f t="shared" si="260"/>
        <v>89301000</v>
      </c>
      <c r="B10823" t="str">
        <f>"6961285782"</f>
        <v>6961285782</v>
      </c>
      <c r="C10823" s="1">
        <v>44971</v>
      </c>
      <c r="D10823" s="1">
        <v>44972</v>
      </c>
      <c r="E10823">
        <v>1</v>
      </c>
      <c r="F10823" t="str">
        <f>"03-K10-01"</f>
        <v>03-K10-01</v>
      </c>
      <c r="G10823">
        <v>0.45889999999999997</v>
      </c>
      <c r="H10823" t="s">
        <v>11</v>
      </c>
      <c r="I10823" t="s">
        <v>10</v>
      </c>
    </row>
    <row r="10824" spans="1:9" x14ac:dyDescent="0.25">
      <c r="A10824" t="str">
        <f t="shared" si="260"/>
        <v>89301000</v>
      </c>
      <c r="B10824" t="str">
        <f>"6962025796"</f>
        <v>6962025796</v>
      </c>
      <c r="C10824" s="1">
        <v>45149</v>
      </c>
      <c r="D10824" s="1">
        <v>45195</v>
      </c>
      <c r="E10824">
        <v>1</v>
      </c>
      <c r="F10824" t="str">
        <f>"09-R01-08"</f>
        <v>09-R01-08</v>
      </c>
      <c r="G10824">
        <v>4.3916000000000004</v>
      </c>
      <c r="H10824" t="s">
        <v>11</v>
      </c>
      <c r="I10824" t="s">
        <v>10</v>
      </c>
    </row>
    <row r="10825" spans="1:9" x14ac:dyDescent="0.25">
      <c r="A10825" t="str">
        <f t="shared" si="260"/>
        <v>89301000</v>
      </c>
      <c r="B10825" t="str">
        <f>"6962105315"</f>
        <v>6962105315</v>
      </c>
      <c r="C10825" s="1">
        <v>45202</v>
      </c>
      <c r="D10825" s="1">
        <v>45209</v>
      </c>
      <c r="E10825">
        <v>1</v>
      </c>
      <c r="F10825" t="str">
        <f>"10-R02-02"</f>
        <v>10-R02-02</v>
      </c>
      <c r="G10825">
        <v>0.66300000000000003</v>
      </c>
      <c r="H10825" t="s">
        <v>9</v>
      </c>
      <c r="I10825" t="s">
        <v>10</v>
      </c>
    </row>
    <row r="10826" spans="1:9" x14ac:dyDescent="0.25">
      <c r="A10826" t="str">
        <f t="shared" si="260"/>
        <v>89301000</v>
      </c>
      <c r="B10826" t="str">
        <f>"6962175330"</f>
        <v>6962175330</v>
      </c>
      <c r="C10826" s="1">
        <v>45158</v>
      </c>
      <c r="D10826" s="1">
        <v>45165</v>
      </c>
      <c r="E10826">
        <v>1</v>
      </c>
      <c r="F10826" t="str">
        <f>"08-I03-06"</f>
        <v>08-I03-06</v>
      </c>
      <c r="G10826">
        <v>3.2523</v>
      </c>
      <c r="H10826" t="s">
        <v>9</v>
      </c>
      <c r="I10826" t="s">
        <v>10</v>
      </c>
    </row>
    <row r="10827" spans="1:9" x14ac:dyDescent="0.25">
      <c r="A10827" t="str">
        <f t="shared" si="260"/>
        <v>89301000</v>
      </c>
      <c r="B10827" t="str">
        <f>"6962235764"</f>
        <v>6962235764</v>
      </c>
      <c r="C10827" s="1">
        <v>45220</v>
      </c>
      <c r="D10827" s="1">
        <v>45222</v>
      </c>
      <c r="E10827">
        <v>5</v>
      </c>
      <c r="F10827" t="str">
        <f>"06-K20-03"</f>
        <v>06-K20-03</v>
      </c>
      <c r="G10827">
        <v>0.41199999999999998</v>
      </c>
      <c r="H10827" t="s">
        <v>11</v>
      </c>
      <c r="I10827" t="s">
        <v>10</v>
      </c>
    </row>
    <row r="10828" spans="1:9" x14ac:dyDescent="0.25">
      <c r="A10828" t="str">
        <f t="shared" si="260"/>
        <v>89301000</v>
      </c>
      <c r="B10828" t="str">
        <f>"6962235764"</f>
        <v>6962235764</v>
      </c>
      <c r="C10828" s="1">
        <v>45176</v>
      </c>
      <c r="D10828" s="1">
        <v>45177</v>
      </c>
      <c r="E10828">
        <v>5</v>
      </c>
      <c r="F10828" t="str">
        <f>"06-K04-03"</f>
        <v>06-K04-03</v>
      </c>
      <c r="G10828">
        <v>0.39500000000000002</v>
      </c>
      <c r="H10828" t="s">
        <v>11</v>
      </c>
      <c r="I10828" t="s">
        <v>10</v>
      </c>
    </row>
    <row r="10829" spans="1:9" x14ac:dyDescent="0.25">
      <c r="A10829" t="str">
        <f t="shared" si="260"/>
        <v>89301000</v>
      </c>
      <c r="B10829" t="str">
        <f>"6962235764"</f>
        <v>6962235764</v>
      </c>
      <c r="C10829" s="1">
        <v>45126</v>
      </c>
      <c r="D10829" s="1">
        <v>45127</v>
      </c>
      <c r="E10829">
        <v>1</v>
      </c>
      <c r="F10829" t="str">
        <f>"05-D01-08"</f>
        <v>05-D01-08</v>
      </c>
      <c r="G10829">
        <v>0.43159999999999998</v>
      </c>
      <c r="H10829" t="s">
        <v>11</v>
      </c>
      <c r="I10829" t="s">
        <v>10</v>
      </c>
    </row>
    <row r="10830" spans="1:9" x14ac:dyDescent="0.25">
      <c r="A10830" t="str">
        <f t="shared" si="260"/>
        <v>89301000</v>
      </c>
      <c r="B10830" t="str">
        <f>"6962235764"</f>
        <v>6962235764</v>
      </c>
      <c r="C10830" s="1">
        <v>45182</v>
      </c>
      <c r="D10830" s="1">
        <v>45184</v>
      </c>
      <c r="E10830">
        <v>1</v>
      </c>
      <c r="F10830" t="str">
        <f>"05-I14-04"</f>
        <v>05-I14-04</v>
      </c>
      <c r="G10830">
        <v>5.2220000000000004</v>
      </c>
      <c r="H10830" t="s">
        <v>12</v>
      </c>
      <c r="I10830" t="s">
        <v>10</v>
      </c>
    </row>
    <row r="10831" spans="1:9" x14ac:dyDescent="0.25">
      <c r="A10831" t="str">
        <f t="shared" si="260"/>
        <v>89301000</v>
      </c>
      <c r="B10831" t="str">
        <f>"6962284461"</f>
        <v>6962284461</v>
      </c>
      <c r="C10831" s="1">
        <v>44970</v>
      </c>
      <c r="D10831" s="1">
        <v>44972</v>
      </c>
      <c r="E10831">
        <v>1</v>
      </c>
      <c r="F10831" t="str">
        <f>"08-I03-08"</f>
        <v>08-I03-08</v>
      </c>
      <c r="G10831">
        <v>1.9455</v>
      </c>
      <c r="H10831" t="s">
        <v>9</v>
      </c>
      <c r="I10831" t="s">
        <v>10</v>
      </c>
    </row>
    <row r="10832" spans="1:9" x14ac:dyDescent="0.25">
      <c r="A10832" t="str">
        <f t="shared" si="260"/>
        <v>89301000</v>
      </c>
      <c r="B10832" t="str">
        <f>"7001085311"</f>
        <v>7001085311</v>
      </c>
      <c r="C10832" s="1">
        <v>45030</v>
      </c>
      <c r="D10832" s="1">
        <v>45031</v>
      </c>
      <c r="E10832">
        <v>2</v>
      </c>
      <c r="F10832" t="str">
        <f>"02-I13-02"</f>
        <v>02-I13-02</v>
      </c>
      <c r="G10832">
        <v>0.4259</v>
      </c>
      <c r="H10832" t="s">
        <v>11</v>
      </c>
      <c r="I10832" t="s">
        <v>10</v>
      </c>
    </row>
    <row r="10833" spans="1:9" x14ac:dyDescent="0.25">
      <c r="A10833" t="str">
        <f t="shared" si="260"/>
        <v>89301000</v>
      </c>
      <c r="B10833" t="str">
        <f>"7001110039"</f>
        <v>7001110039</v>
      </c>
      <c r="C10833" s="1">
        <v>45005</v>
      </c>
      <c r="D10833" s="1">
        <v>45006</v>
      </c>
      <c r="E10833">
        <v>1</v>
      </c>
      <c r="F10833" t="str">
        <f>"05-D01-08"</f>
        <v>05-D01-08</v>
      </c>
      <c r="G10833">
        <v>0.43159999999999998</v>
      </c>
      <c r="H10833" t="s">
        <v>11</v>
      </c>
      <c r="I10833" t="s">
        <v>10</v>
      </c>
    </row>
    <row r="10834" spans="1:9" x14ac:dyDescent="0.25">
      <c r="A10834" t="str">
        <f t="shared" si="260"/>
        <v>89301000</v>
      </c>
      <c r="B10834" t="str">
        <f>"7001110039"</f>
        <v>7001110039</v>
      </c>
      <c r="C10834" s="1">
        <v>45061</v>
      </c>
      <c r="D10834" s="1">
        <v>45069</v>
      </c>
      <c r="E10834">
        <v>4</v>
      </c>
      <c r="F10834" t="str">
        <f>"05-I16-06"</f>
        <v>05-I16-06</v>
      </c>
      <c r="G10834">
        <v>5.6303000000000001</v>
      </c>
      <c r="H10834" t="s">
        <v>14</v>
      </c>
      <c r="I10834" t="s">
        <v>10</v>
      </c>
    </row>
    <row r="10835" spans="1:9" x14ac:dyDescent="0.25">
      <c r="A10835" t="str">
        <f t="shared" si="260"/>
        <v>89301000</v>
      </c>
      <c r="B10835" t="str">
        <f>"7001125329"</f>
        <v>7001125329</v>
      </c>
      <c r="C10835" s="1">
        <v>45254</v>
      </c>
      <c r="D10835" s="1">
        <v>45279</v>
      </c>
      <c r="E10835">
        <v>1</v>
      </c>
      <c r="F10835" t="str">
        <f>"18-K02-03"</f>
        <v>18-K02-03</v>
      </c>
      <c r="G10835">
        <v>1.5911999999999999</v>
      </c>
      <c r="H10835" t="s">
        <v>11</v>
      </c>
      <c r="I10835" t="s">
        <v>10</v>
      </c>
    </row>
    <row r="10836" spans="1:9" x14ac:dyDescent="0.25">
      <c r="A10836" t="str">
        <f t="shared" si="260"/>
        <v>89301000</v>
      </c>
      <c r="B10836" t="str">
        <f>"7001125329"</f>
        <v>7001125329</v>
      </c>
      <c r="C10836" s="1">
        <v>45240</v>
      </c>
      <c r="D10836" s="1">
        <v>45243</v>
      </c>
      <c r="E10836">
        <v>1</v>
      </c>
      <c r="F10836" t="str">
        <f>"08-I18-01"</f>
        <v>08-I18-01</v>
      </c>
      <c r="G10836">
        <v>0.87949999999999995</v>
      </c>
      <c r="H10836" t="s">
        <v>12</v>
      </c>
      <c r="I10836" t="s">
        <v>10</v>
      </c>
    </row>
    <row r="10837" spans="1:9" x14ac:dyDescent="0.25">
      <c r="A10837" t="str">
        <f t="shared" si="260"/>
        <v>89301000</v>
      </c>
      <c r="B10837" t="str">
        <f t="shared" ref="B10837:B10842" si="261">"7001224461"</f>
        <v>7001224461</v>
      </c>
      <c r="C10837" s="1">
        <v>45062</v>
      </c>
      <c r="D10837" s="1">
        <v>45062</v>
      </c>
      <c r="E10837">
        <v>1</v>
      </c>
      <c r="F10837" t="str">
        <f>"23-K01-00"</f>
        <v>23-K01-00</v>
      </c>
      <c r="G10837">
        <v>0.1419</v>
      </c>
      <c r="H10837" t="s">
        <v>11</v>
      </c>
      <c r="I10837" t="s">
        <v>10</v>
      </c>
    </row>
    <row r="10838" spans="1:9" x14ac:dyDescent="0.25">
      <c r="A10838" t="str">
        <f t="shared" si="260"/>
        <v>89301000</v>
      </c>
      <c r="B10838" t="str">
        <f t="shared" si="261"/>
        <v>7001224461</v>
      </c>
      <c r="C10838" s="1">
        <v>45056</v>
      </c>
      <c r="D10838" s="1">
        <v>45056</v>
      </c>
      <c r="E10838">
        <v>1</v>
      </c>
      <c r="F10838" t="str">
        <f>"18-K02-03"</f>
        <v>18-K02-03</v>
      </c>
      <c r="G10838">
        <v>0.3256</v>
      </c>
      <c r="H10838" t="s">
        <v>11</v>
      </c>
      <c r="I10838" t="s">
        <v>10</v>
      </c>
    </row>
    <row r="10839" spans="1:9" x14ac:dyDescent="0.25">
      <c r="A10839" t="str">
        <f t="shared" si="260"/>
        <v>89301000</v>
      </c>
      <c r="B10839" t="str">
        <f t="shared" si="261"/>
        <v>7001224461</v>
      </c>
      <c r="C10839" s="1">
        <v>45068</v>
      </c>
      <c r="D10839" s="1">
        <v>45069</v>
      </c>
      <c r="E10839">
        <v>1</v>
      </c>
      <c r="F10839" t="str">
        <f>"09-I12-01"</f>
        <v>09-I12-01</v>
      </c>
      <c r="G10839">
        <v>0.78149999999999997</v>
      </c>
      <c r="H10839" t="s">
        <v>11</v>
      </c>
      <c r="I10839" t="s">
        <v>10</v>
      </c>
    </row>
    <row r="10840" spans="1:9" x14ac:dyDescent="0.25">
      <c r="A10840" t="str">
        <f t="shared" si="260"/>
        <v>89301000</v>
      </c>
      <c r="B10840" t="str">
        <f t="shared" si="261"/>
        <v>7001224461</v>
      </c>
      <c r="C10840" s="1">
        <v>44958</v>
      </c>
      <c r="D10840" s="1">
        <v>44974</v>
      </c>
      <c r="E10840">
        <v>1</v>
      </c>
      <c r="F10840" t="str">
        <f>"08-I15-01"</f>
        <v>08-I15-01</v>
      </c>
      <c r="G10840">
        <v>2.4645000000000001</v>
      </c>
      <c r="H10840" t="s">
        <v>12</v>
      </c>
      <c r="I10840" t="s">
        <v>10</v>
      </c>
    </row>
    <row r="10841" spans="1:9" x14ac:dyDescent="0.25">
      <c r="A10841" t="str">
        <f t="shared" si="260"/>
        <v>89301000</v>
      </c>
      <c r="B10841" t="str">
        <f t="shared" si="261"/>
        <v>7001224461</v>
      </c>
      <c r="C10841" s="1">
        <v>45049</v>
      </c>
      <c r="D10841" s="1">
        <v>45051</v>
      </c>
      <c r="E10841">
        <v>1</v>
      </c>
      <c r="F10841" t="str">
        <f>"18-K02-03"</f>
        <v>18-K02-03</v>
      </c>
      <c r="G10841">
        <v>0.9234</v>
      </c>
      <c r="H10841" t="s">
        <v>11</v>
      </c>
      <c r="I10841" t="s">
        <v>10</v>
      </c>
    </row>
    <row r="10842" spans="1:9" x14ac:dyDescent="0.25">
      <c r="A10842" t="str">
        <f t="shared" si="260"/>
        <v>89301000</v>
      </c>
      <c r="B10842" t="str">
        <f t="shared" si="261"/>
        <v>7001224461</v>
      </c>
      <c r="C10842" s="1">
        <v>44982</v>
      </c>
      <c r="D10842" s="1">
        <v>44986</v>
      </c>
      <c r="E10842">
        <v>1</v>
      </c>
      <c r="F10842" t="str">
        <f>"08-I32-00"</f>
        <v>08-I32-00</v>
      </c>
      <c r="G10842">
        <v>0.42909999999999998</v>
      </c>
      <c r="H10842" t="s">
        <v>11</v>
      </c>
      <c r="I10842" t="s">
        <v>10</v>
      </c>
    </row>
    <row r="10843" spans="1:9" x14ac:dyDescent="0.25">
      <c r="A10843" t="str">
        <f t="shared" si="260"/>
        <v>89301000</v>
      </c>
      <c r="B10843" t="str">
        <f>"7001284477"</f>
        <v>7001284477</v>
      </c>
      <c r="C10843" s="1">
        <v>44991</v>
      </c>
      <c r="D10843" s="1">
        <v>44993</v>
      </c>
      <c r="E10843">
        <v>1</v>
      </c>
      <c r="F10843" t="str">
        <f>"05-M05-02"</f>
        <v>05-M05-02</v>
      </c>
      <c r="G10843">
        <v>3.4817999999999998</v>
      </c>
      <c r="H10843" t="s">
        <v>14</v>
      </c>
      <c r="I10843" t="s">
        <v>10</v>
      </c>
    </row>
    <row r="10844" spans="1:9" x14ac:dyDescent="0.25">
      <c r="A10844" t="str">
        <f t="shared" si="260"/>
        <v>89301000</v>
      </c>
      <c r="B10844" t="str">
        <f>"7001313506"</f>
        <v>7001313506</v>
      </c>
      <c r="C10844" s="1">
        <v>45271</v>
      </c>
      <c r="D10844" s="1">
        <v>45277</v>
      </c>
      <c r="E10844">
        <v>1</v>
      </c>
      <c r="F10844" t="str">
        <f>"12-K01-02"</f>
        <v>12-K01-02</v>
      </c>
      <c r="G10844">
        <v>0.56440000000000001</v>
      </c>
      <c r="H10844" t="s">
        <v>11</v>
      </c>
      <c r="I10844" t="s">
        <v>10</v>
      </c>
    </row>
    <row r="10845" spans="1:9" x14ac:dyDescent="0.25">
      <c r="A10845" t="str">
        <f t="shared" si="260"/>
        <v>89301000</v>
      </c>
      <c r="B10845" t="str">
        <f>"7002055313"</f>
        <v>7002055313</v>
      </c>
      <c r="C10845" s="1">
        <v>44981</v>
      </c>
      <c r="D10845" s="1">
        <v>44996</v>
      </c>
      <c r="E10845">
        <v>1</v>
      </c>
      <c r="F10845" t="str">
        <f>"08-K04-03"</f>
        <v>08-K04-03</v>
      </c>
      <c r="G10845">
        <v>0.747</v>
      </c>
      <c r="H10845" t="s">
        <v>11</v>
      </c>
      <c r="I10845" t="s">
        <v>10</v>
      </c>
    </row>
    <row r="10846" spans="1:9" x14ac:dyDescent="0.25">
      <c r="A10846" t="str">
        <f t="shared" si="260"/>
        <v>89301000</v>
      </c>
      <c r="B10846" t="str">
        <f>"7002055313"</f>
        <v>7002055313</v>
      </c>
      <c r="C10846" s="1">
        <v>44930</v>
      </c>
      <c r="D10846" s="1">
        <v>44932</v>
      </c>
      <c r="E10846">
        <v>1</v>
      </c>
      <c r="F10846" t="str">
        <f>"05-M05-02"</f>
        <v>05-M05-02</v>
      </c>
      <c r="G10846">
        <v>3.4817999999999998</v>
      </c>
      <c r="H10846" t="s">
        <v>14</v>
      </c>
      <c r="I10846" t="s">
        <v>10</v>
      </c>
    </row>
    <row r="10847" spans="1:9" x14ac:dyDescent="0.25">
      <c r="A10847" t="str">
        <f t="shared" si="260"/>
        <v>89301000</v>
      </c>
      <c r="B10847" t="str">
        <f>"7002055313"</f>
        <v>7002055313</v>
      </c>
      <c r="C10847" s="1">
        <v>44972</v>
      </c>
      <c r="D10847" s="1">
        <v>44975</v>
      </c>
      <c r="E10847">
        <v>1</v>
      </c>
      <c r="F10847" t="str">
        <f>"08-I32-00"</f>
        <v>08-I32-00</v>
      </c>
      <c r="G10847">
        <v>0.4093</v>
      </c>
      <c r="H10847" t="s">
        <v>11</v>
      </c>
      <c r="I10847" t="s">
        <v>10</v>
      </c>
    </row>
    <row r="10848" spans="1:9" x14ac:dyDescent="0.25">
      <c r="A10848" t="str">
        <f t="shared" si="260"/>
        <v>89301000</v>
      </c>
      <c r="B10848" t="str">
        <f>"7002075322"</f>
        <v>7002075322</v>
      </c>
      <c r="C10848" s="1">
        <v>45225</v>
      </c>
      <c r="D10848" s="1">
        <v>45227</v>
      </c>
      <c r="E10848">
        <v>1</v>
      </c>
      <c r="F10848" t="str">
        <f>"09-I10-02"</f>
        <v>09-I10-02</v>
      </c>
      <c r="G10848">
        <v>0.87580000000000002</v>
      </c>
      <c r="H10848" t="s">
        <v>12</v>
      </c>
      <c r="I10848" t="s">
        <v>10</v>
      </c>
    </row>
    <row r="10849" spans="1:9" x14ac:dyDescent="0.25">
      <c r="A10849" t="str">
        <f t="shared" si="260"/>
        <v>89301000</v>
      </c>
      <c r="B10849" t="str">
        <f>"7002115340"</f>
        <v>7002115340</v>
      </c>
      <c r="C10849" s="1">
        <v>45243</v>
      </c>
      <c r="D10849" s="1">
        <v>45245</v>
      </c>
      <c r="E10849">
        <v>1</v>
      </c>
      <c r="F10849" t="str">
        <f>"08-M03-05"</f>
        <v>08-M03-05</v>
      </c>
      <c r="G10849">
        <v>0.46810000000000002</v>
      </c>
      <c r="H10849" t="s">
        <v>11</v>
      </c>
      <c r="I10849" t="s">
        <v>10</v>
      </c>
    </row>
    <row r="10850" spans="1:9" x14ac:dyDescent="0.25">
      <c r="A10850" t="str">
        <f t="shared" si="260"/>
        <v>89301000</v>
      </c>
      <c r="B10850" t="str">
        <f>"7002155325"</f>
        <v>7002155325</v>
      </c>
      <c r="C10850" s="1">
        <v>45216</v>
      </c>
      <c r="D10850" s="1">
        <v>45218</v>
      </c>
      <c r="E10850">
        <v>1</v>
      </c>
      <c r="F10850" t="str">
        <f>"08-I24-02"</f>
        <v>08-I24-02</v>
      </c>
      <c r="G10850">
        <v>0.73599999999999999</v>
      </c>
      <c r="H10850" t="s">
        <v>11</v>
      </c>
      <c r="I10850" t="s">
        <v>10</v>
      </c>
    </row>
    <row r="10851" spans="1:9" x14ac:dyDescent="0.25">
      <c r="A10851" t="str">
        <f t="shared" si="260"/>
        <v>89301000</v>
      </c>
      <c r="B10851" t="str">
        <f>"7002204462"</f>
        <v>7002204462</v>
      </c>
      <c r="C10851" s="1">
        <v>45102</v>
      </c>
      <c r="D10851" s="1">
        <v>45108</v>
      </c>
      <c r="E10851">
        <v>1</v>
      </c>
      <c r="F10851" t="str">
        <f>"08-I05-04"</f>
        <v>08-I05-04</v>
      </c>
      <c r="G10851">
        <v>2.4445000000000001</v>
      </c>
      <c r="H10851" t="s">
        <v>12</v>
      </c>
      <c r="I10851" t="s">
        <v>10</v>
      </c>
    </row>
    <row r="10852" spans="1:9" x14ac:dyDescent="0.25">
      <c r="A10852" t="str">
        <f t="shared" si="260"/>
        <v>89301000</v>
      </c>
      <c r="B10852" t="str">
        <f>"7002215264"</f>
        <v>7002215264</v>
      </c>
      <c r="C10852" s="1">
        <v>44938</v>
      </c>
      <c r="D10852" s="1">
        <v>44953</v>
      </c>
      <c r="E10852">
        <v>1</v>
      </c>
      <c r="F10852" t="str">
        <f>"03-I24-00"</f>
        <v>03-I24-00</v>
      </c>
      <c r="G10852">
        <v>2.2383999999999999</v>
      </c>
      <c r="H10852" t="s">
        <v>11</v>
      </c>
      <c r="I10852" t="s">
        <v>10</v>
      </c>
    </row>
    <row r="10853" spans="1:9" x14ac:dyDescent="0.25">
      <c r="A10853" t="str">
        <f t="shared" si="260"/>
        <v>89301000</v>
      </c>
      <c r="B10853" t="str">
        <f>"7002235317"</f>
        <v>7002235317</v>
      </c>
      <c r="C10853" s="1">
        <v>45020</v>
      </c>
      <c r="D10853" s="1">
        <v>45021</v>
      </c>
      <c r="E10853">
        <v>1</v>
      </c>
      <c r="F10853" t="str">
        <f>"02-I06-04"</f>
        <v>02-I06-04</v>
      </c>
      <c r="G10853">
        <v>0.76139999999999997</v>
      </c>
      <c r="H10853" t="s">
        <v>12</v>
      </c>
      <c r="I10853" t="s">
        <v>10</v>
      </c>
    </row>
    <row r="10854" spans="1:9" x14ac:dyDescent="0.25">
      <c r="A10854" t="str">
        <f t="shared" ref="A10854:A10917" si="262">"89301000"</f>
        <v>89301000</v>
      </c>
      <c r="B10854" t="str">
        <f>"7002275676"</f>
        <v>7002275676</v>
      </c>
      <c r="C10854" s="1">
        <v>44998</v>
      </c>
      <c r="D10854" s="1">
        <v>45000</v>
      </c>
      <c r="E10854">
        <v>1</v>
      </c>
      <c r="F10854" t="str">
        <f>"08-M03-05"</f>
        <v>08-M03-05</v>
      </c>
      <c r="G10854">
        <v>0.46810000000000002</v>
      </c>
      <c r="H10854" t="s">
        <v>11</v>
      </c>
      <c r="I10854" t="s">
        <v>10</v>
      </c>
    </row>
    <row r="10855" spans="1:9" x14ac:dyDescent="0.25">
      <c r="A10855" t="str">
        <f t="shared" si="262"/>
        <v>89301000</v>
      </c>
      <c r="B10855" t="str">
        <f>"7003059459"</f>
        <v>7003059459</v>
      </c>
      <c r="C10855" s="1">
        <v>44944</v>
      </c>
      <c r="D10855" s="1">
        <v>44946</v>
      </c>
      <c r="E10855">
        <v>1</v>
      </c>
      <c r="F10855" t="str">
        <f>"23-I10-00"</f>
        <v>23-I10-00</v>
      </c>
      <c r="G10855">
        <v>0.58540000000000003</v>
      </c>
      <c r="H10855" t="s">
        <v>11</v>
      </c>
      <c r="I10855" t="s">
        <v>10</v>
      </c>
    </row>
    <row r="10856" spans="1:9" x14ac:dyDescent="0.25">
      <c r="A10856" t="str">
        <f t="shared" si="262"/>
        <v>89301000</v>
      </c>
      <c r="B10856" t="str">
        <f>"7003135304"</f>
        <v>7003135304</v>
      </c>
      <c r="C10856" s="1">
        <v>45000</v>
      </c>
      <c r="D10856" s="1">
        <v>45009</v>
      </c>
      <c r="E10856">
        <v>1</v>
      </c>
      <c r="F10856" t="str">
        <f>"04-K09-03"</f>
        <v>04-K09-03</v>
      </c>
      <c r="G10856">
        <v>0.68149999999999999</v>
      </c>
      <c r="H10856" t="s">
        <v>11</v>
      </c>
      <c r="I10856" t="s">
        <v>10</v>
      </c>
    </row>
    <row r="10857" spans="1:9" x14ac:dyDescent="0.25">
      <c r="A10857" t="str">
        <f t="shared" si="262"/>
        <v>89301000</v>
      </c>
      <c r="B10857" t="str">
        <f>"7003215780"</f>
        <v>7003215780</v>
      </c>
      <c r="C10857" s="1">
        <v>45182</v>
      </c>
      <c r="D10857" s="1">
        <v>45184</v>
      </c>
      <c r="E10857">
        <v>1</v>
      </c>
      <c r="F10857" t="str">
        <f>"10-K15-02"</f>
        <v>10-K15-02</v>
      </c>
      <c r="G10857">
        <v>0.66379999999999995</v>
      </c>
      <c r="H10857" t="s">
        <v>11</v>
      </c>
      <c r="I10857" t="s">
        <v>10</v>
      </c>
    </row>
    <row r="10858" spans="1:9" x14ac:dyDescent="0.25">
      <c r="A10858" t="str">
        <f t="shared" si="262"/>
        <v>89301000</v>
      </c>
      <c r="B10858" t="str">
        <f>"7003245337"</f>
        <v>7003245337</v>
      </c>
      <c r="C10858" s="1">
        <v>45033</v>
      </c>
      <c r="D10858" s="1">
        <v>45036</v>
      </c>
      <c r="E10858">
        <v>1</v>
      </c>
      <c r="F10858" t="str">
        <f>"10-K04-04"</f>
        <v>10-K04-04</v>
      </c>
      <c r="G10858">
        <v>0.53949999999999998</v>
      </c>
      <c r="H10858" t="s">
        <v>11</v>
      </c>
      <c r="I10858" t="s">
        <v>10</v>
      </c>
    </row>
    <row r="10859" spans="1:9" x14ac:dyDescent="0.25">
      <c r="A10859" t="str">
        <f t="shared" si="262"/>
        <v>89301000</v>
      </c>
      <c r="B10859" t="str">
        <f>"7003245337"</f>
        <v>7003245337</v>
      </c>
      <c r="C10859" s="1">
        <v>45085</v>
      </c>
      <c r="D10859" s="1">
        <v>45093</v>
      </c>
      <c r="E10859">
        <v>1</v>
      </c>
      <c r="F10859" t="str">
        <f>"19-K03-03"</f>
        <v>19-K03-03</v>
      </c>
      <c r="G10859">
        <v>0.90410000000000001</v>
      </c>
      <c r="H10859" t="s">
        <v>15</v>
      </c>
      <c r="I10859" t="s">
        <v>10</v>
      </c>
    </row>
    <row r="10860" spans="1:9" x14ac:dyDescent="0.25">
      <c r="A10860" t="str">
        <f t="shared" si="262"/>
        <v>89301000</v>
      </c>
      <c r="B10860" t="str">
        <f>"7003275807"</f>
        <v>7003275807</v>
      </c>
      <c r="C10860" s="1">
        <v>45193</v>
      </c>
      <c r="D10860" s="1">
        <v>45197</v>
      </c>
      <c r="E10860">
        <v>1</v>
      </c>
      <c r="F10860" t="str">
        <f>"10-I13-02"</f>
        <v>10-I13-02</v>
      </c>
      <c r="G10860">
        <v>1.1124000000000001</v>
      </c>
      <c r="H10860" t="s">
        <v>9</v>
      </c>
      <c r="I10860" t="s">
        <v>10</v>
      </c>
    </row>
    <row r="10861" spans="1:9" x14ac:dyDescent="0.25">
      <c r="A10861" t="str">
        <f t="shared" si="262"/>
        <v>89301000</v>
      </c>
      <c r="B10861" t="str">
        <f>"7004035808"</f>
        <v>7004035808</v>
      </c>
      <c r="C10861" s="1">
        <v>45049</v>
      </c>
      <c r="D10861" s="1">
        <v>45050</v>
      </c>
      <c r="E10861">
        <v>1</v>
      </c>
      <c r="F10861" t="str">
        <f>"06-I17-04"</f>
        <v>06-I17-04</v>
      </c>
      <c r="G10861">
        <v>0.49869999999999998</v>
      </c>
      <c r="H10861" t="s">
        <v>12</v>
      </c>
      <c r="I10861" t="s">
        <v>10</v>
      </c>
    </row>
    <row r="10862" spans="1:9" x14ac:dyDescent="0.25">
      <c r="A10862" t="str">
        <f t="shared" si="262"/>
        <v>89301000</v>
      </c>
      <c r="B10862" t="str">
        <f>"7004145379"</f>
        <v>7004145379</v>
      </c>
      <c r="C10862" s="1">
        <v>45222</v>
      </c>
      <c r="D10862" s="1">
        <v>45225</v>
      </c>
      <c r="E10862">
        <v>1</v>
      </c>
      <c r="F10862" t="str">
        <f>"05-D01-06"</f>
        <v>05-D01-06</v>
      </c>
      <c r="G10862">
        <v>0.7571</v>
      </c>
      <c r="H10862" t="s">
        <v>11</v>
      </c>
      <c r="I10862" t="s">
        <v>10</v>
      </c>
    </row>
    <row r="10863" spans="1:9" x14ac:dyDescent="0.25">
      <c r="A10863" t="str">
        <f t="shared" si="262"/>
        <v>89301000</v>
      </c>
      <c r="B10863" t="str">
        <f>"7004155686"</f>
        <v>7004155686</v>
      </c>
      <c r="C10863" s="1">
        <v>45211</v>
      </c>
      <c r="D10863" s="1">
        <v>45213</v>
      </c>
      <c r="E10863">
        <v>1</v>
      </c>
      <c r="F10863" t="str">
        <f>"08-I28-02"</f>
        <v>08-I28-02</v>
      </c>
      <c r="G10863">
        <v>1.3640000000000001</v>
      </c>
      <c r="H10863" t="s">
        <v>12</v>
      </c>
      <c r="I10863" t="s">
        <v>10</v>
      </c>
    </row>
    <row r="10864" spans="1:9" x14ac:dyDescent="0.25">
      <c r="A10864" t="str">
        <f t="shared" si="262"/>
        <v>89301000</v>
      </c>
      <c r="B10864" t="str">
        <f>"7004169997"</f>
        <v>7004169997</v>
      </c>
      <c r="C10864" s="1">
        <v>45194</v>
      </c>
      <c r="D10864" s="1">
        <v>45196</v>
      </c>
      <c r="E10864">
        <v>1</v>
      </c>
      <c r="F10864" t="str">
        <f>"09-K14-02"</f>
        <v>09-K14-02</v>
      </c>
      <c r="G10864">
        <v>0.5</v>
      </c>
      <c r="H10864" t="s">
        <v>11</v>
      </c>
      <c r="I10864" t="s">
        <v>10</v>
      </c>
    </row>
    <row r="10865" spans="1:9" x14ac:dyDescent="0.25">
      <c r="A10865" t="str">
        <f t="shared" si="262"/>
        <v>89301000</v>
      </c>
      <c r="B10865" t="str">
        <f>"7004235370"</f>
        <v>7004235370</v>
      </c>
      <c r="C10865" s="1">
        <v>45180</v>
      </c>
      <c r="D10865" s="1">
        <v>45181</v>
      </c>
      <c r="E10865">
        <v>1</v>
      </c>
      <c r="F10865" t="str">
        <f>"11-K03-02"</f>
        <v>11-K03-02</v>
      </c>
      <c r="G10865">
        <v>0.622</v>
      </c>
      <c r="H10865" t="s">
        <v>11</v>
      </c>
      <c r="I10865" t="s">
        <v>10</v>
      </c>
    </row>
    <row r="10866" spans="1:9" x14ac:dyDescent="0.25">
      <c r="A10866" t="str">
        <f t="shared" si="262"/>
        <v>89301000</v>
      </c>
      <c r="B10866" t="str">
        <f>"7004255324"</f>
        <v>7004255324</v>
      </c>
      <c r="C10866" s="1">
        <v>45173</v>
      </c>
      <c r="D10866" s="1">
        <v>45174</v>
      </c>
      <c r="E10866">
        <v>1</v>
      </c>
      <c r="F10866" t="str">
        <f>"17-C05-05"</f>
        <v>17-C05-05</v>
      </c>
      <c r="G10866">
        <v>0.66069999999999995</v>
      </c>
      <c r="H10866" t="s">
        <v>11</v>
      </c>
      <c r="I10866" t="s">
        <v>10</v>
      </c>
    </row>
    <row r="10867" spans="1:9" x14ac:dyDescent="0.25">
      <c r="A10867" t="str">
        <f t="shared" si="262"/>
        <v>89301000</v>
      </c>
      <c r="B10867" t="str">
        <f>"7004255324"</f>
        <v>7004255324</v>
      </c>
      <c r="C10867" s="1">
        <v>45033</v>
      </c>
      <c r="D10867" s="1">
        <v>45034</v>
      </c>
      <c r="E10867">
        <v>1</v>
      </c>
      <c r="F10867" t="str">
        <f>"17-C05-05"</f>
        <v>17-C05-05</v>
      </c>
      <c r="G10867">
        <v>0.66069999999999995</v>
      </c>
      <c r="H10867" t="s">
        <v>11</v>
      </c>
      <c r="I10867" t="s">
        <v>10</v>
      </c>
    </row>
    <row r="10868" spans="1:9" x14ac:dyDescent="0.25">
      <c r="A10868" t="str">
        <f t="shared" si="262"/>
        <v>89301000</v>
      </c>
      <c r="B10868" t="str">
        <f>"7004255324"</f>
        <v>7004255324</v>
      </c>
      <c r="C10868" s="1">
        <v>45040</v>
      </c>
      <c r="D10868" s="1">
        <v>45046</v>
      </c>
      <c r="E10868">
        <v>1</v>
      </c>
      <c r="F10868" t="str">
        <f>"00-M10-01"</f>
        <v>00-M10-01</v>
      </c>
      <c r="G10868">
        <v>1.5888</v>
      </c>
      <c r="H10868" t="s">
        <v>14</v>
      </c>
      <c r="I10868" t="s">
        <v>10</v>
      </c>
    </row>
    <row r="10869" spans="1:9" x14ac:dyDescent="0.25">
      <c r="A10869" t="str">
        <f t="shared" si="262"/>
        <v>89301000</v>
      </c>
      <c r="B10869" t="str">
        <f>"7004255324"</f>
        <v>7004255324</v>
      </c>
      <c r="C10869" s="1">
        <v>45063</v>
      </c>
      <c r="D10869" s="1">
        <v>45082</v>
      </c>
      <c r="E10869">
        <v>1</v>
      </c>
      <c r="F10869" t="str">
        <f>"00-M08-00"</f>
        <v>00-M08-00</v>
      </c>
      <c r="G10869">
        <v>4.1262999999999996</v>
      </c>
      <c r="H10869" t="s">
        <v>14</v>
      </c>
      <c r="I10869" t="s">
        <v>10</v>
      </c>
    </row>
    <row r="10870" spans="1:9" x14ac:dyDescent="0.25">
      <c r="A10870" t="str">
        <f t="shared" si="262"/>
        <v>89301000</v>
      </c>
      <c r="B10870" t="str">
        <f>"7004255324"</f>
        <v>7004255324</v>
      </c>
      <c r="C10870" s="1">
        <v>45180</v>
      </c>
      <c r="D10870" s="1">
        <v>45187</v>
      </c>
      <c r="E10870">
        <v>1</v>
      </c>
      <c r="F10870" t="str">
        <f>"17-K03-02"</f>
        <v>17-K03-02</v>
      </c>
      <c r="G10870">
        <v>1.008</v>
      </c>
      <c r="H10870" t="s">
        <v>11</v>
      </c>
      <c r="I10870" t="s">
        <v>10</v>
      </c>
    </row>
    <row r="10871" spans="1:9" x14ac:dyDescent="0.25">
      <c r="A10871" t="str">
        <f t="shared" si="262"/>
        <v>89301000</v>
      </c>
      <c r="B10871" t="str">
        <f>"7004285332"</f>
        <v>7004285332</v>
      </c>
      <c r="C10871" s="1">
        <v>45242</v>
      </c>
      <c r="D10871" s="1">
        <v>45245</v>
      </c>
      <c r="E10871">
        <v>1</v>
      </c>
      <c r="F10871" t="str">
        <f>"08-M03-05"</f>
        <v>08-M03-05</v>
      </c>
      <c r="G10871">
        <v>0.46910000000000002</v>
      </c>
      <c r="H10871" t="s">
        <v>11</v>
      </c>
      <c r="I10871" t="s">
        <v>10</v>
      </c>
    </row>
    <row r="10872" spans="1:9" x14ac:dyDescent="0.25">
      <c r="A10872" t="str">
        <f t="shared" si="262"/>
        <v>89301000</v>
      </c>
      <c r="B10872" t="str">
        <f>"7004294187"</f>
        <v>7004294187</v>
      </c>
      <c r="C10872" s="1">
        <v>45040</v>
      </c>
      <c r="D10872" s="1">
        <v>45042</v>
      </c>
      <c r="E10872">
        <v>1</v>
      </c>
      <c r="F10872" t="str">
        <f>"03-K09-01"</f>
        <v>03-K09-01</v>
      </c>
      <c r="G10872">
        <v>0.58250000000000002</v>
      </c>
      <c r="H10872" t="s">
        <v>11</v>
      </c>
      <c r="I10872" t="s">
        <v>10</v>
      </c>
    </row>
    <row r="10873" spans="1:9" x14ac:dyDescent="0.25">
      <c r="A10873" t="str">
        <f t="shared" si="262"/>
        <v>89301000</v>
      </c>
      <c r="B10873" t="str">
        <f>"7004294187"</f>
        <v>7004294187</v>
      </c>
      <c r="C10873" s="1">
        <v>45103</v>
      </c>
      <c r="D10873" s="1">
        <v>45110</v>
      </c>
      <c r="E10873">
        <v>1</v>
      </c>
      <c r="F10873" t="str">
        <f>"04-K15-02"</f>
        <v>04-K15-02</v>
      </c>
      <c r="G10873">
        <v>1.1445000000000001</v>
      </c>
      <c r="H10873" t="s">
        <v>11</v>
      </c>
      <c r="I10873" t="s">
        <v>10</v>
      </c>
    </row>
    <row r="10874" spans="1:9" x14ac:dyDescent="0.25">
      <c r="A10874" t="str">
        <f t="shared" si="262"/>
        <v>89301000</v>
      </c>
      <c r="B10874" t="str">
        <f>"7004294187"</f>
        <v>7004294187</v>
      </c>
      <c r="C10874" s="1">
        <v>45079</v>
      </c>
      <c r="D10874" s="1">
        <v>45090</v>
      </c>
      <c r="E10874">
        <v>1</v>
      </c>
      <c r="F10874" t="str">
        <f>"04-K08-02"</f>
        <v>04-K08-02</v>
      </c>
      <c r="G10874">
        <v>2.8220000000000001</v>
      </c>
      <c r="H10874" t="s">
        <v>11</v>
      </c>
      <c r="I10874" t="s">
        <v>10</v>
      </c>
    </row>
    <row r="10875" spans="1:9" x14ac:dyDescent="0.25">
      <c r="A10875" t="str">
        <f t="shared" si="262"/>
        <v>89301000</v>
      </c>
      <c r="B10875" t="str">
        <f>"7005035521"</f>
        <v>7005035521</v>
      </c>
      <c r="C10875" s="1">
        <v>44965</v>
      </c>
      <c r="D10875" s="1">
        <v>44968</v>
      </c>
      <c r="E10875">
        <v>1</v>
      </c>
      <c r="F10875" t="str">
        <f>"08-M03-05"</f>
        <v>08-M03-05</v>
      </c>
      <c r="G10875">
        <v>0.46910000000000002</v>
      </c>
      <c r="H10875" t="s">
        <v>11</v>
      </c>
      <c r="I10875" t="s">
        <v>10</v>
      </c>
    </row>
    <row r="10876" spans="1:9" x14ac:dyDescent="0.25">
      <c r="A10876" t="str">
        <f t="shared" si="262"/>
        <v>89301000</v>
      </c>
      <c r="B10876" t="str">
        <f>"7005055310"</f>
        <v>7005055310</v>
      </c>
      <c r="C10876" s="1">
        <v>45139</v>
      </c>
      <c r="D10876" s="1">
        <v>45140</v>
      </c>
      <c r="E10876">
        <v>1</v>
      </c>
      <c r="F10876" t="str">
        <f>"09-K13-02"</f>
        <v>09-K13-02</v>
      </c>
      <c r="G10876">
        <v>0.31409999999999999</v>
      </c>
      <c r="H10876" t="s">
        <v>11</v>
      </c>
      <c r="I10876" t="s">
        <v>10</v>
      </c>
    </row>
    <row r="10877" spans="1:9" x14ac:dyDescent="0.25">
      <c r="A10877" t="str">
        <f t="shared" si="262"/>
        <v>89301000</v>
      </c>
      <c r="B10877" t="str">
        <f>"7005093524"</f>
        <v>7005093524</v>
      </c>
      <c r="C10877" s="1">
        <v>45216</v>
      </c>
      <c r="D10877" s="1">
        <v>45219</v>
      </c>
      <c r="E10877">
        <v>1</v>
      </c>
      <c r="F10877" t="str">
        <f>"02-I09-02"</f>
        <v>02-I09-02</v>
      </c>
      <c r="G10877">
        <v>0.98640000000000005</v>
      </c>
      <c r="H10877" t="s">
        <v>11</v>
      </c>
      <c r="I10877" t="s">
        <v>10</v>
      </c>
    </row>
    <row r="10878" spans="1:9" x14ac:dyDescent="0.25">
      <c r="A10878" t="str">
        <f t="shared" si="262"/>
        <v>89301000</v>
      </c>
      <c r="B10878" t="str">
        <f>"7005093524"</f>
        <v>7005093524</v>
      </c>
      <c r="C10878" s="1">
        <v>45272</v>
      </c>
      <c r="D10878" s="1">
        <v>45275</v>
      </c>
      <c r="E10878">
        <v>1</v>
      </c>
      <c r="F10878" t="str">
        <f>"02-I09-02"</f>
        <v>02-I09-02</v>
      </c>
      <c r="G10878">
        <v>0.98640000000000005</v>
      </c>
      <c r="H10878" t="s">
        <v>11</v>
      </c>
      <c r="I10878" t="s">
        <v>10</v>
      </c>
    </row>
    <row r="10879" spans="1:9" x14ac:dyDescent="0.25">
      <c r="A10879" t="str">
        <f t="shared" si="262"/>
        <v>89301000</v>
      </c>
      <c r="B10879" t="str">
        <f>"7005135698"</f>
        <v>7005135698</v>
      </c>
      <c r="C10879" s="1">
        <v>44977</v>
      </c>
      <c r="D10879" s="1">
        <v>44982</v>
      </c>
      <c r="E10879">
        <v>1</v>
      </c>
      <c r="F10879" t="str">
        <f>"11-I07-01"</f>
        <v>11-I07-01</v>
      </c>
      <c r="G10879">
        <v>2.7482000000000002</v>
      </c>
      <c r="H10879" t="s">
        <v>9</v>
      </c>
      <c r="I10879" t="s">
        <v>10</v>
      </c>
    </row>
    <row r="10880" spans="1:9" x14ac:dyDescent="0.25">
      <c r="A10880" t="str">
        <f t="shared" si="262"/>
        <v>89301000</v>
      </c>
      <c r="B10880" t="str">
        <f>"7005180435"</f>
        <v>7005180435</v>
      </c>
      <c r="C10880" s="1">
        <v>45238</v>
      </c>
      <c r="D10880" s="1">
        <v>45240</v>
      </c>
      <c r="E10880">
        <v>1</v>
      </c>
      <c r="F10880" t="str">
        <f>"04-K07-02"</f>
        <v>04-K07-02</v>
      </c>
      <c r="G10880">
        <v>1.1116999999999999</v>
      </c>
      <c r="H10880" t="s">
        <v>11</v>
      </c>
      <c r="I10880" t="s">
        <v>10</v>
      </c>
    </row>
    <row r="10881" spans="1:9" x14ac:dyDescent="0.25">
      <c r="A10881" t="str">
        <f t="shared" si="262"/>
        <v>89301000</v>
      </c>
      <c r="B10881" t="str">
        <f>"7005215338"</f>
        <v>7005215338</v>
      </c>
      <c r="C10881" s="1">
        <v>45090</v>
      </c>
      <c r="D10881" s="1">
        <v>45094</v>
      </c>
      <c r="E10881">
        <v>1</v>
      </c>
      <c r="F10881" t="str">
        <f>"03-I18-03"</f>
        <v>03-I18-03</v>
      </c>
      <c r="G10881">
        <v>0.83940000000000003</v>
      </c>
      <c r="H10881" t="s">
        <v>9</v>
      </c>
      <c r="I10881" t="s">
        <v>10</v>
      </c>
    </row>
    <row r="10882" spans="1:9" x14ac:dyDescent="0.25">
      <c r="A10882" t="str">
        <f t="shared" si="262"/>
        <v>89301000</v>
      </c>
      <c r="B10882" t="str">
        <f>"7005225304"</f>
        <v>7005225304</v>
      </c>
      <c r="C10882" s="1">
        <v>44949</v>
      </c>
      <c r="D10882" s="1">
        <v>44950</v>
      </c>
      <c r="E10882">
        <v>1</v>
      </c>
      <c r="F10882" t="str">
        <f>"04-K07-03"</f>
        <v>04-K07-03</v>
      </c>
      <c r="G10882">
        <v>0.61119999999999997</v>
      </c>
      <c r="H10882" t="s">
        <v>11</v>
      </c>
      <c r="I10882" t="s">
        <v>10</v>
      </c>
    </row>
    <row r="10883" spans="1:9" x14ac:dyDescent="0.25">
      <c r="A10883" t="str">
        <f t="shared" si="262"/>
        <v>89301000</v>
      </c>
      <c r="B10883" t="str">
        <f>"7005275354"</f>
        <v>7005275354</v>
      </c>
      <c r="C10883" s="1">
        <v>44935</v>
      </c>
      <c r="D10883" s="1">
        <v>44937</v>
      </c>
      <c r="E10883">
        <v>1</v>
      </c>
      <c r="F10883" t="str">
        <f>"08-M03-05"</f>
        <v>08-M03-05</v>
      </c>
      <c r="G10883">
        <v>0.46810000000000002</v>
      </c>
      <c r="H10883" t="s">
        <v>11</v>
      </c>
      <c r="I10883" t="s">
        <v>10</v>
      </c>
    </row>
    <row r="10884" spans="1:9" x14ac:dyDescent="0.25">
      <c r="A10884" t="str">
        <f t="shared" si="262"/>
        <v>89301000</v>
      </c>
      <c r="B10884" t="str">
        <f>"7005285760"</f>
        <v>7005285760</v>
      </c>
      <c r="C10884" s="1">
        <v>45258</v>
      </c>
      <c r="D10884" s="1">
        <v>45261</v>
      </c>
      <c r="E10884">
        <v>1</v>
      </c>
      <c r="F10884" t="str">
        <f>"08-I03-08"</f>
        <v>08-I03-08</v>
      </c>
      <c r="G10884">
        <v>1.9455</v>
      </c>
      <c r="H10884" t="s">
        <v>9</v>
      </c>
      <c r="I10884" t="s">
        <v>10</v>
      </c>
    </row>
    <row r="10885" spans="1:9" x14ac:dyDescent="0.25">
      <c r="A10885" t="str">
        <f t="shared" si="262"/>
        <v>89301000</v>
      </c>
      <c r="B10885" t="str">
        <f>"7006015753"</f>
        <v>7006015753</v>
      </c>
      <c r="C10885" s="1">
        <v>45001</v>
      </c>
      <c r="D10885" s="1">
        <v>45001</v>
      </c>
      <c r="E10885">
        <v>1</v>
      </c>
      <c r="F10885" t="str">
        <f>"05-D01-08"</f>
        <v>05-D01-08</v>
      </c>
      <c r="G10885">
        <v>0.44979999999999998</v>
      </c>
      <c r="H10885" t="s">
        <v>11</v>
      </c>
      <c r="I10885" t="s">
        <v>10</v>
      </c>
    </row>
    <row r="10886" spans="1:9" x14ac:dyDescent="0.25">
      <c r="A10886" t="str">
        <f t="shared" si="262"/>
        <v>89301000</v>
      </c>
      <c r="B10886" t="str">
        <f>"7006015753"</f>
        <v>7006015753</v>
      </c>
      <c r="C10886" s="1">
        <v>44958</v>
      </c>
      <c r="D10886" s="1">
        <v>44960</v>
      </c>
      <c r="E10886">
        <v>1</v>
      </c>
      <c r="F10886" t="str">
        <f>"05-M06-05"</f>
        <v>05-M06-05</v>
      </c>
      <c r="G10886">
        <v>2.3681000000000001</v>
      </c>
      <c r="H10886" t="s">
        <v>12</v>
      </c>
      <c r="I10886" t="s">
        <v>10</v>
      </c>
    </row>
    <row r="10887" spans="1:9" x14ac:dyDescent="0.25">
      <c r="A10887" t="str">
        <f t="shared" si="262"/>
        <v>89301000</v>
      </c>
      <c r="B10887" t="str">
        <f>"7006105337"</f>
        <v>7006105337</v>
      </c>
      <c r="C10887" s="1">
        <v>44939</v>
      </c>
      <c r="D10887" s="1">
        <v>44942</v>
      </c>
      <c r="E10887">
        <v>1</v>
      </c>
      <c r="F10887" t="str">
        <f>"01-D01-03"</f>
        <v>01-D01-03</v>
      </c>
      <c r="G10887">
        <v>0.21060000000000001</v>
      </c>
      <c r="H10887" t="s">
        <v>11</v>
      </c>
      <c r="I10887" t="s">
        <v>10</v>
      </c>
    </row>
    <row r="10888" spans="1:9" x14ac:dyDescent="0.25">
      <c r="A10888" t="str">
        <f t="shared" si="262"/>
        <v>89301000</v>
      </c>
      <c r="B10888" t="str">
        <f>"7006174472"</f>
        <v>7006174472</v>
      </c>
      <c r="C10888" s="1">
        <v>45064</v>
      </c>
      <c r="D10888" s="1">
        <v>45065</v>
      </c>
      <c r="E10888">
        <v>1</v>
      </c>
      <c r="F10888" t="str">
        <f>"01-D01-03"</f>
        <v>01-D01-03</v>
      </c>
      <c r="G10888">
        <v>0.16200000000000001</v>
      </c>
      <c r="H10888" t="s">
        <v>11</v>
      </c>
      <c r="I10888" t="s">
        <v>10</v>
      </c>
    </row>
    <row r="10889" spans="1:9" x14ac:dyDescent="0.25">
      <c r="A10889" t="str">
        <f t="shared" si="262"/>
        <v>89301000</v>
      </c>
      <c r="B10889" t="str">
        <f>"7006174472"</f>
        <v>7006174472</v>
      </c>
      <c r="C10889" s="1">
        <v>45128</v>
      </c>
      <c r="D10889" s="1">
        <v>45131</v>
      </c>
      <c r="E10889">
        <v>1</v>
      </c>
      <c r="F10889" t="str">
        <f>"01-D01-03"</f>
        <v>01-D01-03</v>
      </c>
      <c r="G10889">
        <v>0.21060000000000001</v>
      </c>
      <c r="H10889" t="s">
        <v>11</v>
      </c>
      <c r="I10889" t="s">
        <v>10</v>
      </c>
    </row>
    <row r="10890" spans="1:9" x14ac:dyDescent="0.25">
      <c r="A10890" t="str">
        <f t="shared" si="262"/>
        <v>89301000</v>
      </c>
      <c r="B10890" t="str">
        <f>"7006245334"</f>
        <v>7006245334</v>
      </c>
      <c r="C10890" s="1">
        <v>45098</v>
      </c>
      <c r="D10890" s="1">
        <v>45104</v>
      </c>
      <c r="E10890">
        <v>1</v>
      </c>
      <c r="F10890" t="str">
        <f>"01-K08-02"</f>
        <v>01-K08-02</v>
      </c>
      <c r="G10890">
        <v>0.60619999999999996</v>
      </c>
      <c r="H10890" t="s">
        <v>11</v>
      </c>
      <c r="I10890" t="s">
        <v>10</v>
      </c>
    </row>
    <row r="10891" spans="1:9" x14ac:dyDescent="0.25">
      <c r="A10891" t="str">
        <f t="shared" si="262"/>
        <v>89301000</v>
      </c>
      <c r="B10891" t="str">
        <f>"7006245334"</f>
        <v>7006245334</v>
      </c>
      <c r="C10891" s="1">
        <v>45167</v>
      </c>
      <c r="D10891" s="1">
        <v>45168</v>
      </c>
      <c r="E10891">
        <v>1</v>
      </c>
      <c r="F10891" t="str">
        <f>"01-D01-03"</f>
        <v>01-D01-03</v>
      </c>
      <c r="G10891">
        <v>0.16200000000000001</v>
      </c>
      <c r="H10891" t="s">
        <v>11</v>
      </c>
      <c r="I10891" t="s">
        <v>10</v>
      </c>
    </row>
    <row r="10892" spans="1:9" x14ac:dyDescent="0.25">
      <c r="A10892" t="str">
        <f t="shared" si="262"/>
        <v>89301000</v>
      </c>
      <c r="B10892" t="str">
        <f>"7006260184"</f>
        <v>7006260184</v>
      </c>
      <c r="C10892" s="1">
        <v>45057</v>
      </c>
      <c r="D10892" s="1">
        <v>45082</v>
      </c>
      <c r="E10892">
        <v>5</v>
      </c>
      <c r="F10892" t="str">
        <f>"05-I03-01"</f>
        <v>05-I03-01</v>
      </c>
      <c r="G10892">
        <v>33.512</v>
      </c>
      <c r="H10892" t="s">
        <v>12</v>
      </c>
      <c r="I10892" t="s">
        <v>10</v>
      </c>
    </row>
    <row r="10893" spans="1:9" x14ac:dyDescent="0.25">
      <c r="A10893" t="str">
        <f t="shared" si="262"/>
        <v>89301000</v>
      </c>
      <c r="B10893" t="str">
        <f>"7006275760"</f>
        <v>7006275760</v>
      </c>
      <c r="C10893" s="1">
        <v>45178</v>
      </c>
      <c r="D10893" s="1">
        <v>45183</v>
      </c>
      <c r="E10893">
        <v>1</v>
      </c>
      <c r="F10893" t="str">
        <f>"02-I05-02"</f>
        <v>02-I05-02</v>
      </c>
      <c r="G10893">
        <v>1.502</v>
      </c>
      <c r="H10893" t="s">
        <v>12</v>
      </c>
      <c r="I10893" t="s">
        <v>10</v>
      </c>
    </row>
    <row r="10894" spans="1:9" x14ac:dyDescent="0.25">
      <c r="A10894" t="str">
        <f t="shared" si="262"/>
        <v>89301000</v>
      </c>
      <c r="B10894" t="str">
        <f>"7007015411"</f>
        <v>7007015411</v>
      </c>
      <c r="C10894" s="1">
        <v>44932</v>
      </c>
      <c r="D10894" s="1">
        <v>44935</v>
      </c>
      <c r="E10894">
        <v>1</v>
      </c>
      <c r="F10894" t="str">
        <f>"01-D01-03"</f>
        <v>01-D01-03</v>
      </c>
      <c r="G10894">
        <v>0.21060000000000001</v>
      </c>
      <c r="H10894" t="s">
        <v>11</v>
      </c>
      <c r="I10894" t="s">
        <v>10</v>
      </c>
    </row>
    <row r="10895" spans="1:9" x14ac:dyDescent="0.25">
      <c r="A10895" t="str">
        <f t="shared" si="262"/>
        <v>89301000</v>
      </c>
      <c r="B10895" t="str">
        <f t="shared" ref="B10895:B10900" si="263">"7007065769"</f>
        <v>7007065769</v>
      </c>
      <c r="C10895" s="1">
        <v>44984</v>
      </c>
      <c r="D10895" s="1">
        <v>44986</v>
      </c>
      <c r="E10895">
        <v>1</v>
      </c>
      <c r="F10895" t="str">
        <f>"17-I08-02"</f>
        <v>17-I08-02</v>
      </c>
      <c r="G10895">
        <v>1.1373</v>
      </c>
      <c r="H10895" t="s">
        <v>11</v>
      </c>
      <c r="I10895" t="s">
        <v>10</v>
      </c>
    </row>
    <row r="10896" spans="1:9" x14ac:dyDescent="0.25">
      <c r="A10896" t="str">
        <f t="shared" si="262"/>
        <v>89301000</v>
      </c>
      <c r="B10896" t="str">
        <f t="shared" si="263"/>
        <v>7007065769</v>
      </c>
      <c r="C10896" s="1">
        <v>45189</v>
      </c>
      <c r="D10896" s="1">
        <v>45212</v>
      </c>
      <c r="E10896">
        <v>1</v>
      </c>
      <c r="F10896" t="str">
        <f>"00-M07-00"</f>
        <v>00-M07-00</v>
      </c>
      <c r="G10896">
        <v>9.2623999999999995</v>
      </c>
      <c r="H10896" t="s">
        <v>14</v>
      </c>
      <c r="I10896" t="s">
        <v>10</v>
      </c>
    </row>
    <row r="10897" spans="1:9" x14ac:dyDescent="0.25">
      <c r="A10897" t="str">
        <f t="shared" si="262"/>
        <v>89301000</v>
      </c>
      <c r="B10897" t="str">
        <f t="shared" si="263"/>
        <v>7007065769</v>
      </c>
      <c r="C10897" s="1">
        <v>45124</v>
      </c>
      <c r="D10897" s="1">
        <v>45128</v>
      </c>
      <c r="E10897">
        <v>1</v>
      </c>
      <c r="F10897" t="str">
        <f>"17-C05-05"</f>
        <v>17-C05-05</v>
      </c>
      <c r="G10897">
        <v>0.66069999999999995</v>
      </c>
      <c r="H10897" t="s">
        <v>11</v>
      </c>
      <c r="I10897" t="s">
        <v>10</v>
      </c>
    </row>
    <row r="10898" spans="1:9" x14ac:dyDescent="0.25">
      <c r="A10898" t="str">
        <f t="shared" si="262"/>
        <v>89301000</v>
      </c>
      <c r="B10898" t="str">
        <f t="shared" si="263"/>
        <v>7007065769</v>
      </c>
      <c r="C10898" s="1">
        <v>45000</v>
      </c>
      <c r="D10898" s="1">
        <v>45005</v>
      </c>
      <c r="E10898">
        <v>1</v>
      </c>
      <c r="F10898" t="str">
        <f>"17-C05-05"</f>
        <v>17-C05-05</v>
      </c>
      <c r="G10898">
        <v>0.66069999999999995</v>
      </c>
      <c r="H10898" t="s">
        <v>11</v>
      </c>
      <c r="I10898" t="s">
        <v>10</v>
      </c>
    </row>
    <row r="10899" spans="1:9" x14ac:dyDescent="0.25">
      <c r="A10899" t="str">
        <f t="shared" si="262"/>
        <v>89301000</v>
      </c>
      <c r="B10899" t="str">
        <f t="shared" si="263"/>
        <v>7007065769</v>
      </c>
      <c r="C10899" s="1">
        <v>45027</v>
      </c>
      <c r="D10899" s="1">
        <v>45044</v>
      </c>
      <c r="E10899">
        <v>1</v>
      </c>
      <c r="F10899" t="str">
        <f>"17-C05-03"</f>
        <v>17-C05-03</v>
      </c>
      <c r="G10899">
        <v>1.5898000000000001</v>
      </c>
      <c r="H10899" t="s">
        <v>11</v>
      </c>
      <c r="I10899" t="s">
        <v>10</v>
      </c>
    </row>
    <row r="10900" spans="1:9" x14ac:dyDescent="0.25">
      <c r="A10900" t="str">
        <f t="shared" si="262"/>
        <v>89301000</v>
      </c>
      <c r="B10900" t="str">
        <f t="shared" si="263"/>
        <v>7007065769</v>
      </c>
      <c r="C10900" s="1">
        <v>45083</v>
      </c>
      <c r="D10900" s="1">
        <v>45100</v>
      </c>
      <c r="E10900">
        <v>1</v>
      </c>
      <c r="F10900" t="str">
        <f>"17-C05-02"</f>
        <v>17-C05-02</v>
      </c>
      <c r="G10900">
        <v>2.3085</v>
      </c>
      <c r="H10900" t="s">
        <v>11</v>
      </c>
      <c r="I10900" t="s">
        <v>10</v>
      </c>
    </row>
    <row r="10901" spans="1:9" x14ac:dyDescent="0.25">
      <c r="A10901" t="str">
        <f t="shared" si="262"/>
        <v>89301000</v>
      </c>
      <c r="B10901" t="str">
        <f>"7007133749"</f>
        <v>7007133749</v>
      </c>
      <c r="C10901" s="1">
        <v>45008</v>
      </c>
      <c r="D10901" s="1">
        <v>45010</v>
      </c>
      <c r="E10901">
        <v>1</v>
      </c>
      <c r="F10901" t="str">
        <f>"01-I13-00"</f>
        <v>01-I13-00</v>
      </c>
      <c r="G10901">
        <v>0.38400000000000001</v>
      </c>
      <c r="H10901" t="s">
        <v>11</v>
      </c>
      <c r="I10901" t="s">
        <v>10</v>
      </c>
    </row>
    <row r="10902" spans="1:9" x14ac:dyDescent="0.25">
      <c r="A10902" t="str">
        <f t="shared" si="262"/>
        <v>89301000</v>
      </c>
      <c r="B10902" t="str">
        <f>"7007254848"</f>
        <v>7007254848</v>
      </c>
      <c r="C10902" s="1">
        <v>45270</v>
      </c>
      <c r="D10902" s="1">
        <v>45272</v>
      </c>
      <c r="E10902">
        <v>1</v>
      </c>
      <c r="F10902" t="str">
        <f>"08-I24-02"</f>
        <v>08-I24-02</v>
      </c>
      <c r="G10902">
        <v>0.73599999999999999</v>
      </c>
      <c r="H10902" t="s">
        <v>11</v>
      </c>
      <c r="I10902" t="s">
        <v>10</v>
      </c>
    </row>
    <row r="10903" spans="1:9" x14ac:dyDescent="0.25">
      <c r="A10903" t="str">
        <f t="shared" si="262"/>
        <v>89301000</v>
      </c>
      <c r="B10903" t="str">
        <f>"7007269456"</f>
        <v>7007269456</v>
      </c>
      <c r="C10903" s="1">
        <v>45050</v>
      </c>
      <c r="D10903" s="1">
        <v>45053</v>
      </c>
      <c r="E10903">
        <v>1</v>
      </c>
      <c r="F10903" t="str">
        <f>"05-I30-01"</f>
        <v>05-I30-01</v>
      </c>
      <c r="G10903">
        <v>0.60309999999999997</v>
      </c>
      <c r="H10903" t="s">
        <v>12</v>
      </c>
      <c r="I10903" t="s">
        <v>10</v>
      </c>
    </row>
    <row r="10904" spans="1:9" x14ac:dyDescent="0.25">
      <c r="A10904" t="str">
        <f t="shared" si="262"/>
        <v>89301000</v>
      </c>
      <c r="B10904" t="str">
        <f>"7007275341"</f>
        <v>7007275341</v>
      </c>
      <c r="C10904" s="1">
        <v>44980</v>
      </c>
      <c r="D10904" s="1">
        <v>44986</v>
      </c>
      <c r="E10904">
        <v>1</v>
      </c>
      <c r="F10904" t="str">
        <f>"08-K08-00"</f>
        <v>08-K08-00</v>
      </c>
      <c r="G10904">
        <v>0.5272</v>
      </c>
      <c r="H10904" t="s">
        <v>11</v>
      </c>
      <c r="I10904" t="s">
        <v>10</v>
      </c>
    </row>
    <row r="10905" spans="1:9" x14ac:dyDescent="0.25">
      <c r="A10905" t="str">
        <f t="shared" si="262"/>
        <v>89301000</v>
      </c>
      <c r="B10905" t="str">
        <f>"7008065328"</f>
        <v>7008065328</v>
      </c>
      <c r="C10905" s="1">
        <v>44977</v>
      </c>
      <c r="D10905" s="1">
        <v>44981</v>
      </c>
      <c r="E10905">
        <v>1</v>
      </c>
      <c r="F10905" t="str">
        <f>"07-I10-06"</f>
        <v>07-I10-06</v>
      </c>
      <c r="G10905">
        <v>0.98419999999999996</v>
      </c>
      <c r="H10905" t="s">
        <v>12</v>
      </c>
      <c r="I10905" t="s">
        <v>10</v>
      </c>
    </row>
    <row r="10906" spans="1:9" x14ac:dyDescent="0.25">
      <c r="A10906" t="str">
        <f t="shared" si="262"/>
        <v>89301000</v>
      </c>
      <c r="B10906" t="str">
        <f>"7008205325"</f>
        <v>7008205325</v>
      </c>
      <c r="C10906" s="1">
        <v>45080</v>
      </c>
      <c r="D10906" s="1">
        <v>45084</v>
      </c>
      <c r="E10906">
        <v>1</v>
      </c>
      <c r="F10906" t="str">
        <f>"05-K13-02"</f>
        <v>05-K13-02</v>
      </c>
      <c r="G10906">
        <v>0.57220000000000004</v>
      </c>
      <c r="H10906" t="s">
        <v>11</v>
      </c>
      <c r="I10906" t="s">
        <v>10</v>
      </c>
    </row>
    <row r="10907" spans="1:9" x14ac:dyDescent="0.25">
      <c r="A10907" t="str">
        <f t="shared" si="262"/>
        <v>89301000</v>
      </c>
      <c r="B10907" t="str">
        <f>"7008245343"</f>
        <v>7008245343</v>
      </c>
      <c r="C10907" s="1">
        <v>45024</v>
      </c>
      <c r="D10907" s="1">
        <v>45036</v>
      </c>
      <c r="E10907">
        <v>1</v>
      </c>
      <c r="F10907" t="str">
        <f>"04-M01-07"</f>
        <v>04-M01-07</v>
      </c>
      <c r="G10907">
        <v>3.242</v>
      </c>
      <c r="H10907" t="s">
        <v>11</v>
      </c>
      <c r="I10907" t="s">
        <v>10</v>
      </c>
    </row>
    <row r="10908" spans="1:9" x14ac:dyDescent="0.25">
      <c r="A10908" t="str">
        <f t="shared" si="262"/>
        <v>89301000</v>
      </c>
      <c r="B10908" t="str">
        <f>"7008275318"</f>
        <v>7008275318</v>
      </c>
      <c r="C10908" s="1">
        <v>45121</v>
      </c>
      <c r="D10908" s="1">
        <v>45134</v>
      </c>
      <c r="E10908">
        <v>5</v>
      </c>
      <c r="F10908" t="str">
        <f>"00-M01-03"</f>
        <v>00-M01-03</v>
      </c>
      <c r="G10908">
        <v>9.3595000000000006</v>
      </c>
      <c r="H10908" t="s">
        <v>11</v>
      </c>
      <c r="I10908" t="s">
        <v>10</v>
      </c>
    </row>
    <row r="10909" spans="1:9" x14ac:dyDescent="0.25">
      <c r="A10909" t="str">
        <f t="shared" si="262"/>
        <v>89301000</v>
      </c>
      <c r="B10909" t="str">
        <f>"7008520552"</f>
        <v>7008520552</v>
      </c>
      <c r="C10909" s="1">
        <v>44998</v>
      </c>
      <c r="D10909" s="1">
        <v>44999</v>
      </c>
      <c r="E10909">
        <v>1</v>
      </c>
      <c r="F10909" t="str">
        <f>"05-M05-02"</f>
        <v>05-M05-02</v>
      </c>
      <c r="G10909">
        <v>3.4817999999999998</v>
      </c>
      <c r="H10909" t="s">
        <v>14</v>
      </c>
      <c r="I10909" t="s">
        <v>10</v>
      </c>
    </row>
    <row r="10910" spans="1:9" x14ac:dyDescent="0.25">
      <c r="A10910" t="str">
        <f t="shared" si="262"/>
        <v>89301000</v>
      </c>
      <c r="B10910" t="str">
        <f>"7009045802"</f>
        <v>7009045802</v>
      </c>
      <c r="C10910" s="1">
        <v>45203</v>
      </c>
      <c r="D10910" s="1">
        <v>45211</v>
      </c>
      <c r="E10910">
        <v>1</v>
      </c>
      <c r="F10910" t="str">
        <f>"09-K06-00"</f>
        <v>09-K06-00</v>
      </c>
      <c r="G10910">
        <v>0.78769999999999996</v>
      </c>
      <c r="H10910" t="s">
        <v>11</v>
      </c>
      <c r="I10910" t="s">
        <v>10</v>
      </c>
    </row>
    <row r="10911" spans="1:9" x14ac:dyDescent="0.25">
      <c r="A10911" t="str">
        <f t="shared" si="262"/>
        <v>89301000</v>
      </c>
      <c r="B10911" t="str">
        <f>"7009091903"</f>
        <v>7009091903</v>
      </c>
      <c r="C10911" s="1">
        <v>45068</v>
      </c>
      <c r="D10911" s="1">
        <v>45070</v>
      </c>
      <c r="E10911">
        <v>1</v>
      </c>
      <c r="F10911" t="str">
        <f>"05-M06-05"</f>
        <v>05-M06-05</v>
      </c>
      <c r="G10911">
        <v>2.3681000000000001</v>
      </c>
      <c r="H10911" t="s">
        <v>12</v>
      </c>
      <c r="I10911" t="s">
        <v>10</v>
      </c>
    </row>
    <row r="10912" spans="1:9" x14ac:dyDescent="0.25">
      <c r="A10912" t="str">
        <f t="shared" si="262"/>
        <v>89301000</v>
      </c>
      <c r="B10912" t="str">
        <f>"7009165768"</f>
        <v>7009165768</v>
      </c>
      <c r="C10912" s="1">
        <v>45030</v>
      </c>
      <c r="D10912" s="1">
        <v>45033</v>
      </c>
      <c r="E10912">
        <v>1</v>
      </c>
      <c r="F10912" t="str">
        <f>"01-D01-03"</f>
        <v>01-D01-03</v>
      </c>
      <c r="G10912">
        <v>0.21060000000000001</v>
      </c>
      <c r="H10912" t="s">
        <v>11</v>
      </c>
      <c r="I10912" t="s">
        <v>10</v>
      </c>
    </row>
    <row r="10913" spans="1:9" x14ac:dyDescent="0.25">
      <c r="A10913" t="str">
        <f t="shared" si="262"/>
        <v>89301000</v>
      </c>
      <c r="B10913" t="str">
        <f>"7009251579"</f>
        <v>7009251579</v>
      </c>
      <c r="C10913" s="1">
        <v>45011</v>
      </c>
      <c r="D10913" s="1">
        <v>45017</v>
      </c>
      <c r="E10913">
        <v>1</v>
      </c>
      <c r="F10913" t="str">
        <f>"12-I03-01"</f>
        <v>12-I03-01</v>
      </c>
      <c r="G10913">
        <v>2.6934999999999998</v>
      </c>
      <c r="H10913" t="s">
        <v>9</v>
      </c>
      <c r="I10913" t="s">
        <v>10</v>
      </c>
    </row>
    <row r="10914" spans="1:9" x14ac:dyDescent="0.25">
      <c r="A10914" t="str">
        <f t="shared" si="262"/>
        <v>89301000</v>
      </c>
      <c r="B10914" t="str">
        <f>"7010014473"</f>
        <v>7010014473</v>
      </c>
      <c r="C10914" s="1">
        <v>45145</v>
      </c>
      <c r="D10914" s="1">
        <v>45147</v>
      </c>
      <c r="E10914">
        <v>1</v>
      </c>
      <c r="F10914" t="str">
        <f>"09-I10-02"</f>
        <v>09-I10-02</v>
      </c>
      <c r="G10914">
        <v>0.87580000000000002</v>
      </c>
      <c r="H10914" t="s">
        <v>12</v>
      </c>
      <c r="I10914" t="s">
        <v>10</v>
      </c>
    </row>
    <row r="10915" spans="1:9" x14ac:dyDescent="0.25">
      <c r="A10915" t="str">
        <f t="shared" si="262"/>
        <v>89301000</v>
      </c>
      <c r="B10915" t="str">
        <f>"7010095521"</f>
        <v>7010095521</v>
      </c>
      <c r="C10915" s="1">
        <v>45201</v>
      </c>
      <c r="D10915" s="1">
        <v>45203</v>
      </c>
      <c r="E10915">
        <v>1</v>
      </c>
      <c r="F10915" t="str">
        <f>"05-D01-06"</f>
        <v>05-D01-06</v>
      </c>
      <c r="G10915">
        <v>0.7571</v>
      </c>
      <c r="H10915" t="s">
        <v>11</v>
      </c>
      <c r="I10915" t="s">
        <v>10</v>
      </c>
    </row>
    <row r="10916" spans="1:9" x14ac:dyDescent="0.25">
      <c r="A10916" t="str">
        <f t="shared" si="262"/>
        <v>89301000</v>
      </c>
      <c r="B10916" t="str">
        <f>"7010095521"</f>
        <v>7010095521</v>
      </c>
      <c r="C10916" s="1">
        <v>45232</v>
      </c>
      <c r="D10916" s="1">
        <v>45236</v>
      </c>
      <c r="E10916">
        <v>1</v>
      </c>
      <c r="F10916" t="str">
        <f>"05-K11-02"</f>
        <v>05-K11-02</v>
      </c>
      <c r="G10916">
        <v>0.63480000000000003</v>
      </c>
      <c r="H10916" t="s">
        <v>11</v>
      </c>
      <c r="I10916" t="s">
        <v>10</v>
      </c>
    </row>
    <row r="10917" spans="1:9" x14ac:dyDescent="0.25">
      <c r="A10917" t="str">
        <f t="shared" si="262"/>
        <v>89301000</v>
      </c>
      <c r="B10917" t="str">
        <f>"7010096071"</f>
        <v>7010096071</v>
      </c>
      <c r="C10917" s="1">
        <v>45176</v>
      </c>
      <c r="D10917" s="1">
        <v>45177</v>
      </c>
      <c r="E10917">
        <v>1</v>
      </c>
      <c r="F10917" t="str">
        <f>"05-D01-08"</f>
        <v>05-D01-08</v>
      </c>
      <c r="G10917">
        <v>0.43159999999999998</v>
      </c>
      <c r="H10917" t="s">
        <v>11</v>
      </c>
      <c r="I10917" t="s">
        <v>10</v>
      </c>
    </row>
    <row r="10918" spans="1:9" x14ac:dyDescent="0.25">
      <c r="A10918" t="str">
        <f t="shared" ref="A10918:A10980" si="264">"89301000"</f>
        <v>89301000</v>
      </c>
      <c r="B10918" t="str">
        <f>"7010096071"</f>
        <v>7010096071</v>
      </c>
      <c r="C10918" s="1">
        <v>45208</v>
      </c>
      <c r="D10918" s="1">
        <v>45218</v>
      </c>
      <c r="E10918">
        <v>1</v>
      </c>
      <c r="F10918" t="str">
        <f>"05-I11-04"</f>
        <v>05-I11-04</v>
      </c>
      <c r="G10918">
        <v>6.915</v>
      </c>
      <c r="H10918" t="s">
        <v>14</v>
      </c>
      <c r="I10918" t="s">
        <v>10</v>
      </c>
    </row>
    <row r="10919" spans="1:9" x14ac:dyDescent="0.25">
      <c r="A10919" t="str">
        <f t="shared" si="264"/>
        <v>89301000</v>
      </c>
      <c r="B10919" t="str">
        <f>"7010124462"</f>
        <v>7010124462</v>
      </c>
      <c r="C10919" s="1">
        <v>45043</v>
      </c>
      <c r="D10919" s="1">
        <v>45051</v>
      </c>
      <c r="E10919">
        <v>1</v>
      </c>
      <c r="F10919" t="str">
        <f>"03-I07-02"</f>
        <v>03-I07-02</v>
      </c>
      <c r="G10919">
        <v>2.8237000000000001</v>
      </c>
      <c r="H10919" t="s">
        <v>12</v>
      </c>
      <c r="I10919" t="s">
        <v>10</v>
      </c>
    </row>
    <row r="10920" spans="1:9" x14ac:dyDescent="0.25">
      <c r="A10920" t="str">
        <f t="shared" si="264"/>
        <v>89301000</v>
      </c>
      <c r="B10920" t="str">
        <f>"7010205763"</f>
        <v>7010205763</v>
      </c>
      <c r="C10920" s="1">
        <v>44970</v>
      </c>
      <c r="D10920" s="1">
        <v>44971</v>
      </c>
      <c r="E10920">
        <v>1</v>
      </c>
      <c r="F10920" t="str">
        <f>"05-M05-02"</f>
        <v>05-M05-02</v>
      </c>
      <c r="G10920">
        <v>3.4817999999999998</v>
      </c>
      <c r="H10920" t="s">
        <v>14</v>
      </c>
      <c r="I10920" t="s">
        <v>10</v>
      </c>
    </row>
    <row r="10921" spans="1:9" x14ac:dyDescent="0.25">
      <c r="A10921" t="str">
        <f t="shared" si="264"/>
        <v>89301000</v>
      </c>
      <c r="B10921" t="str">
        <f>"7010235320"</f>
        <v>7010235320</v>
      </c>
      <c r="C10921" s="1">
        <v>44980</v>
      </c>
      <c r="D10921" s="1">
        <v>44983</v>
      </c>
      <c r="E10921">
        <v>1</v>
      </c>
      <c r="F10921" t="str">
        <f>"06-I16-04"</f>
        <v>06-I16-04</v>
      </c>
      <c r="G10921">
        <v>0.68920000000000003</v>
      </c>
      <c r="H10921" t="s">
        <v>9</v>
      </c>
      <c r="I10921" t="s">
        <v>10</v>
      </c>
    </row>
    <row r="10922" spans="1:9" x14ac:dyDescent="0.25">
      <c r="A10922" t="str">
        <f t="shared" si="264"/>
        <v>89301000</v>
      </c>
      <c r="B10922" t="str">
        <f>"7011165249"</f>
        <v>7011165249</v>
      </c>
      <c r="C10922" s="1">
        <v>45245</v>
      </c>
      <c r="D10922" s="1">
        <v>45247</v>
      </c>
      <c r="E10922">
        <v>1</v>
      </c>
      <c r="F10922" t="str">
        <f>"06-I16-02"</f>
        <v>06-I16-02</v>
      </c>
      <c r="G10922">
        <v>1.1293</v>
      </c>
      <c r="H10922" t="s">
        <v>9</v>
      </c>
      <c r="I10922" t="s">
        <v>10</v>
      </c>
    </row>
    <row r="10923" spans="1:9" x14ac:dyDescent="0.25">
      <c r="A10923" t="str">
        <f t="shared" si="264"/>
        <v>89301000</v>
      </c>
      <c r="B10923" t="str">
        <f>"7011243668"</f>
        <v>7011243668</v>
      </c>
      <c r="C10923" s="1">
        <v>45005</v>
      </c>
      <c r="D10923" s="1">
        <v>45007</v>
      </c>
      <c r="E10923">
        <v>1</v>
      </c>
      <c r="F10923" t="str">
        <f>"08-M03-05"</f>
        <v>08-M03-05</v>
      </c>
      <c r="G10923">
        <v>0.46910000000000002</v>
      </c>
      <c r="H10923" t="s">
        <v>11</v>
      </c>
      <c r="I10923" t="s">
        <v>10</v>
      </c>
    </row>
    <row r="10924" spans="1:9" x14ac:dyDescent="0.25">
      <c r="A10924" t="str">
        <f t="shared" si="264"/>
        <v>89301000</v>
      </c>
      <c r="B10924" t="str">
        <f>"7011243668"</f>
        <v>7011243668</v>
      </c>
      <c r="C10924" s="1">
        <v>44997</v>
      </c>
      <c r="D10924" s="1">
        <v>44998</v>
      </c>
      <c r="E10924">
        <v>1</v>
      </c>
      <c r="F10924" t="str">
        <f>"08-K04-03"</f>
        <v>08-K04-03</v>
      </c>
      <c r="G10924">
        <v>0.41799999999999998</v>
      </c>
      <c r="H10924" t="s">
        <v>11</v>
      </c>
      <c r="I10924" t="s">
        <v>10</v>
      </c>
    </row>
    <row r="10925" spans="1:9" x14ac:dyDescent="0.25">
      <c r="A10925" t="str">
        <f t="shared" si="264"/>
        <v>89301000</v>
      </c>
      <c r="B10925" t="str">
        <f>"7011285754"</f>
        <v>7011285754</v>
      </c>
      <c r="C10925" s="1">
        <v>44928</v>
      </c>
      <c r="D10925" s="1">
        <v>44930</v>
      </c>
      <c r="E10925">
        <v>1</v>
      </c>
      <c r="F10925" t="str">
        <f>"05-M05-02"</f>
        <v>05-M05-02</v>
      </c>
      <c r="G10925">
        <v>3.4817999999999998</v>
      </c>
      <c r="H10925" t="s">
        <v>14</v>
      </c>
      <c r="I10925" t="s">
        <v>10</v>
      </c>
    </row>
    <row r="10926" spans="1:9" x14ac:dyDescent="0.25">
      <c r="A10926" t="str">
        <f t="shared" si="264"/>
        <v>89301000</v>
      </c>
      <c r="B10926" t="str">
        <f>"7012054852"</f>
        <v>7012054852</v>
      </c>
      <c r="C10926" s="1">
        <v>45180</v>
      </c>
      <c r="D10926" s="1">
        <v>45182</v>
      </c>
      <c r="E10926">
        <v>1</v>
      </c>
      <c r="F10926" t="str">
        <f>"08-I32-00"</f>
        <v>08-I32-00</v>
      </c>
      <c r="G10926">
        <v>0.4093</v>
      </c>
      <c r="H10926" t="s">
        <v>11</v>
      </c>
      <c r="I10926" t="s">
        <v>10</v>
      </c>
    </row>
    <row r="10927" spans="1:9" x14ac:dyDescent="0.25">
      <c r="A10927" t="str">
        <f t="shared" si="264"/>
        <v>89301000</v>
      </c>
      <c r="B10927" t="str">
        <f>"7012115792"</f>
        <v>7012115792</v>
      </c>
      <c r="C10927" s="1">
        <v>45205</v>
      </c>
      <c r="D10927" s="1">
        <v>45206</v>
      </c>
      <c r="E10927">
        <v>5</v>
      </c>
      <c r="F10927" t="str">
        <f>"05-M08-00"</f>
        <v>05-M08-00</v>
      </c>
      <c r="G10927">
        <v>3.4820000000000002</v>
      </c>
      <c r="H10927" t="s">
        <v>12</v>
      </c>
      <c r="I10927" t="s">
        <v>10</v>
      </c>
    </row>
    <row r="10928" spans="1:9" x14ac:dyDescent="0.25">
      <c r="A10928" t="str">
        <f t="shared" si="264"/>
        <v>89301000</v>
      </c>
      <c r="B10928" t="str">
        <f>"7012165303"</f>
        <v>7012165303</v>
      </c>
      <c r="C10928" s="1">
        <v>44939</v>
      </c>
      <c r="D10928" s="1">
        <v>44943</v>
      </c>
      <c r="E10928">
        <v>1</v>
      </c>
      <c r="F10928" t="str">
        <f>"10-K04-04"</f>
        <v>10-K04-04</v>
      </c>
      <c r="G10928">
        <v>0.53949999999999998</v>
      </c>
      <c r="H10928" t="s">
        <v>11</v>
      </c>
      <c r="I10928" t="s">
        <v>10</v>
      </c>
    </row>
    <row r="10929" spans="1:9" x14ac:dyDescent="0.25">
      <c r="A10929" t="str">
        <f t="shared" si="264"/>
        <v>89301000</v>
      </c>
      <c r="B10929" t="str">
        <f>"7012185312"</f>
        <v>7012185312</v>
      </c>
      <c r="C10929" s="1">
        <v>45011</v>
      </c>
      <c r="D10929" s="1">
        <v>45019</v>
      </c>
      <c r="E10929">
        <v>4</v>
      </c>
      <c r="F10929" t="str">
        <f>"08-I05-04"</f>
        <v>08-I05-04</v>
      </c>
      <c r="G10929">
        <v>2.4445000000000001</v>
      </c>
      <c r="H10929" t="s">
        <v>12</v>
      </c>
      <c r="I10929" t="s">
        <v>10</v>
      </c>
    </row>
    <row r="10930" spans="1:9" x14ac:dyDescent="0.25">
      <c r="A10930" t="str">
        <f t="shared" si="264"/>
        <v>89301000</v>
      </c>
      <c r="B10930" t="str">
        <f>"7012194057"</f>
        <v>7012194057</v>
      </c>
      <c r="C10930" s="1">
        <v>44992</v>
      </c>
      <c r="D10930" s="1">
        <v>45000</v>
      </c>
      <c r="E10930">
        <v>1</v>
      </c>
      <c r="F10930" t="str">
        <f>"05-I11-04"</f>
        <v>05-I11-04</v>
      </c>
      <c r="G10930">
        <v>6.915</v>
      </c>
      <c r="H10930" t="s">
        <v>14</v>
      </c>
      <c r="I10930" t="s">
        <v>10</v>
      </c>
    </row>
    <row r="10931" spans="1:9" x14ac:dyDescent="0.25">
      <c r="A10931" t="str">
        <f t="shared" si="264"/>
        <v>89301000</v>
      </c>
      <c r="B10931" t="str">
        <f>"7012195322"</f>
        <v>7012195322</v>
      </c>
      <c r="C10931" s="1">
        <v>45263</v>
      </c>
      <c r="D10931" s="1">
        <v>45269</v>
      </c>
      <c r="E10931">
        <v>1</v>
      </c>
      <c r="F10931" t="str">
        <f>"08-I05-04"</f>
        <v>08-I05-04</v>
      </c>
      <c r="G10931">
        <v>2.4445000000000001</v>
      </c>
      <c r="H10931" t="s">
        <v>12</v>
      </c>
      <c r="I10931" t="s">
        <v>10</v>
      </c>
    </row>
    <row r="10932" spans="1:9" x14ac:dyDescent="0.25">
      <c r="A10932" t="str">
        <f t="shared" si="264"/>
        <v>89301000</v>
      </c>
      <c r="B10932" t="str">
        <f>"7012265304"</f>
        <v>7012265304</v>
      </c>
      <c r="C10932" s="1">
        <v>45043</v>
      </c>
      <c r="D10932" s="1">
        <v>45045</v>
      </c>
      <c r="E10932">
        <v>1</v>
      </c>
      <c r="F10932" t="str">
        <f>"08-M03-04"</f>
        <v>08-M03-04</v>
      </c>
      <c r="G10932">
        <v>0.87760000000000005</v>
      </c>
      <c r="H10932" t="s">
        <v>11</v>
      </c>
      <c r="I10932" t="s">
        <v>10</v>
      </c>
    </row>
    <row r="10933" spans="1:9" x14ac:dyDescent="0.25">
      <c r="A10933" t="str">
        <f t="shared" si="264"/>
        <v>89301000</v>
      </c>
      <c r="B10933" t="str">
        <f>"7012304475"</f>
        <v>7012304475</v>
      </c>
      <c r="C10933" s="1">
        <v>45039</v>
      </c>
      <c r="D10933" s="1">
        <v>45045</v>
      </c>
      <c r="E10933">
        <v>1</v>
      </c>
      <c r="F10933" t="str">
        <f>"12-I03-01"</f>
        <v>12-I03-01</v>
      </c>
      <c r="G10933">
        <v>2.6934999999999998</v>
      </c>
      <c r="H10933" t="s">
        <v>9</v>
      </c>
      <c r="I10933" t="s">
        <v>10</v>
      </c>
    </row>
    <row r="10934" spans="1:9" x14ac:dyDescent="0.25">
      <c r="A10934" t="str">
        <f t="shared" si="264"/>
        <v>89301000</v>
      </c>
      <c r="B10934" t="str">
        <f>"7051045320"</f>
        <v>7051045320</v>
      </c>
      <c r="C10934" s="1">
        <v>45007</v>
      </c>
      <c r="D10934" s="1">
        <v>45040</v>
      </c>
      <c r="E10934">
        <v>4</v>
      </c>
      <c r="F10934" t="str">
        <f>"01-K02-03"</f>
        <v>01-K02-03</v>
      </c>
      <c r="G10934">
        <v>3.2850999999999999</v>
      </c>
      <c r="H10934" t="s">
        <v>11</v>
      </c>
      <c r="I10934" t="s">
        <v>10</v>
      </c>
    </row>
    <row r="10935" spans="1:9" x14ac:dyDescent="0.25">
      <c r="A10935" t="str">
        <f t="shared" si="264"/>
        <v>89301000</v>
      </c>
      <c r="B10935" t="str">
        <f>"7051045760"</f>
        <v>7051045760</v>
      </c>
      <c r="C10935" s="1">
        <v>45082</v>
      </c>
      <c r="D10935" s="1">
        <v>45084</v>
      </c>
      <c r="E10935">
        <v>1</v>
      </c>
      <c r="F10935" t="str">
        <f>"05-M05-02"</f>
        <v>05-M05-02</v>
      </c>
      <c r="G10935">
        <v>3.4817999999999998</v>
      </c>
      <c r="H10935" t="s">
        <v>14</v>
      </c>
      <c r="I10935" t="s">
        <v>10</v>
      </c>
    </row>
    <row r="10936" spans="1:9" x14ac:dyDescent="0.25">
      <c r="A10936" t="str">
        <f t="shared" si="264"/>
        <v>89301000</v>
      </c>
      <c r="B10936" t="str">
        <f>"7051045760"</f>
        <v>7051045760</v>
      </c>
      <c r="C10936" s="1">
        <v>44967</v>
      </c>
      <c r="D10936" s="1">
        <v>44968</v>
      </c>
      <c r="E10936">
        <v>1</v>
      </c>
      <c r="F10936" t="str">
        <f>"05-M05-02"</f>
        <v>05-M05-02</v>
      </c>
      <c r="G10936">
        <v>3.4817999999999998</v>
      </c>
      <c r="H10936" t="s">
        <v>14</v>
      </c>
      <c r="I10936" t="s">
        <v>10</v>
      </c>
    </row>
    <row r="10937" spans="1:9" x14ac:dyDescent="0.25">
      <c r="A10937" t="str">
        <f t="shared" si="264"/>
        <v>89301000</v>
      </c>
      <c r="B10937" t="str">
        <f>"7051094468"</f>
        <v>7051094468</v>
      </c>
      <c r="C10937" s="1">
        <v>45222</v>
      </c>
      <c r="D10937" s="1">
        <v>45224</v>
      </c>
      <c r="E10937">
        <v>1</v>
      </c>
      <c r="F10937" t="str">
        <f>"09-I09-02"</f>
        <v>09-I09-02</v>
      </c>
      <c r="G10937">
        <v>0.76900000000000002</v>
      </c>
      <c r="H10937" t="s">
        <v>12</v>
      </c>
      <c r="I10937" t="s">
        <v>10</v>
      </c>
    </row>
    <row r="10938" spans="1:9" x14ac:dyDescent="0.25">
      <c r="A10938" t="str">
        <f t="shared" si="264"/>
        <v>89301000</v>
      </c>
      <c r="B10938" t="str">
        <f>"7051135784"</f>
        <v>7051135784</v>
      </c>
      <c r="C10938" s="1">
        <v>45210</v>
      </c>
      <c r="D10938" s="1">
        <v>45212</v>
      </c>
      <c r="E10938">
        <v>1</v>
      </c>
      <c r="F10938" t="str">
        <f>"08-M03-05"</f>
        <v>08-M03-05</v>
      </c>
      <c r="G10938">
        <v>0.46910000000000002</v>
      </c>
      <c r="H10938" t="s">
        <v>11</v>
      </c>
      <c r="I10938" t="s">
        <v>10</v>
      </c>
    </row>
    <row r="10939" spans="1:9" x14ac:dyDescent="0.25">
      <c r="A10939" t="str">
        <f t="shared" si="264"/>
        <v>89301000</v>
      </c>
      <c r="B10939" t="str">
        <f>"7051232353"</f>
        <v>7051232353</v>
      </c>
      <c r="C10939" s="1">
        <v>45074</v>
      </c>
      <c r="D10939" s="1">
        <v>45077</v>
      </c>
      <c r="E10939">
        <v>1</v>
      </c>
      <c r="F10939" t="str">
        <f>"10-I13-02"</f>
        <v>10-I13-02</v>
      </c>
      <c r="G10939">
        <v>1.1124000000000001</v>
      </c>
      <c r="H10939" t="s">
        <v>9</v>
      </c>
      <c r="I10939" t="s">
        <v>10</v>
      </c>
    </row>
    <row r="10940" spans="1:9" x14ac:dyDescent="0.25">
      <c r="A10940" t="str">
        <f t="shared" si="264"/>
        <v>89301000</v>
      </c>
      <c r="B10940" t="str">
        <f>"7051245784"</f>
        <v>7051245784</v>
      </c>
      <c r="C10940" s="1">
        <v>44965</v>
      </c>
      <c r="D10940" s="1">
        <v>44967</v>
      </c>
      <c r="E10940">
        <v>1</v>
      </c>
      <c r="F10940" t="str">
        <f>"05-M05-02"</f>
        <v>05-M05-02</v>
      </c>
      <c r="G10940">
        <v>3.4817999999999998</v>
      </c>
      <c r="H10940" t="s">
        <v>14</v>
      </c>
      <c r="I10940" t="s">
        <v>10</v>
      </c>
    </row>
    <row r="10941" spans="1:9" x14ac:dyDescent="0.25">
      <c r="A10941" t="str">
        <f t="shared" si="264"/>
        <v>89301000</v>
      </c>
      <c r="B10941" t="str">
        <f>"7051265342"</f>
        <v>7051265342</v>
      </c>
      <c r="C10941" s="1">
        <v>44936</v>
      </c>
      <c r="D10941" s="1">
        <v>44939</v>
      </c>
      <c r="E10941">
        <v>1</v>
      </c>
      <c r="F10941" t="str">
        <f>"03-I17-00"</f>
        <v>03-I17-00</v>
      </c>
      <c r="G10941">
        <v>0.83489999999999998</v>
      </c>
      <c r="H10941" t="s">
        <v>9</v>
      </c>
      <c r="I10941" t="s">
        <v>10</v>
      </c>
    </row>
    <row r="10942" spans="1:9" x14ac:dyDescent="0.25">
      <c r="A10942" t="str">
        <f t="shared" si="264"/>
        <v>89301000</v>
      </c>
      <c r="B10942" t="str">
        <f>"7051265342"</f>
        <v>7051265342</v>
      </c>
      <c r="C10942" s="1">
        <v>45176</v>
      </c>
      <c r="D10942" s="1">
        <v>45177</v>
      </c>
      <c r="E10942">
        <v>1</v>
      </c>
      <c r="F10942" t="str">
        <f>"01-I03-02"</f>
        <v>01-I03-02</v>
      </c>
      <c r="G10942">
        <v>7.0559000000000003</v>
      </c>
      <c r="H10942" t="s">
        <v>14</v>
      </c>
      <c r="I10942" t="s">
        <v>10</v>
      </c>
    </row>
    <row r="10943" spans="1:9" x14ac:dyDescent="0.25">
      <c r="A10943" t="str">
        <f t="shared" si="264"/>
        <v>89301000</v>
      </c>
      <c r="B10943" t="str">
        <f>"7051274461"</f>
        <v>7051274461</v>
      </c>
      <c r="C10943" s="1">
        <v>45181</v>
      </c>
      <c r="D10943" s="1">
        <v>45183</v>
      </c>
      <c r="E10943">
        <v>1</v>
      </c>
      <c r="F10943" t="str">
        <f>"08-I25-02"</f>
        <v>08-I25-02</v>
      </c>
      <c r="G10943">
        <v>0.6401</v>
      </c>
      <c r="H10943" t="s">
        <v>11</v>
      </c>
      <c r="I10943" t="s">
        <v>10</v>
      </c>
    </row>
    <row r="10944" spans="1:9" x14ac:dyDescent="0.25">
      <c r="A10944" t="str">
        <f t="shared" si="264"/>
        <v>89301000</v>
      </c>
      <c r="B10944" t="str">
        <f>"7051315304"</f>
        <v>7051315304</v>
      </c>
      <c r="C10944" s="1">
        <v>45118</v>
      </c>
      <c r="D10944" s="1">
        <v>45139</v>
      </c>
      <c r="E10944">
        <v>1</v>
      </c>
      <c r="F10944" t="str">
        <f>"01-K02-04"</f>
        <v>01-K02-04</v>
      </c>
      <c r="G10944">
        <v>1.6758</v>
      </c>
      <c r="H10944" t="s">
        <v>11</v>
      </c>
      <c r="I10944" t="s">
        <v>10</v>
      </c>
    </row>
    <row r="10945" spans="1:9" x14ac:dyDescent="0.25">
      <c r="A10945" t="str">
        <f t="shared" si="264"/>
        <v>89301000</v>
      </c>
      <c r="B10945" t="str">
        <f>"7051315304"</f>
        <v>7051315304</v>
      </c>
      <c r="C10945" s="1">
        <v>44935</v>
      </c>
      <c r="D10945" s="1">
        <v>44939</v>
      </c>
      <c r="E10945">
        <v>1</v>
      </c>
      <c r="F10945" t="str">
        <f>"05-I26-02"</f>
        <v>05-I26-02</v>
      </c>
      <c r="G10945">
        <v>1.4358</v>
      </c>
      <c r="H10945" t="s">
        <v>12</v>
      </c>
      <c r="I10945" t="s">
        <v>10</v>
      </c>
    </row>
    <row r="10946" spans="1:9" x14ac:dyDescent="0.25">
      <c r="A10946" t="str">
        <f t="shared" si="264"/>
        <v>89301000</v>
      </c>
      <c r="B10946" t="str">
        <f>"7051315304"</f>
        <v>7051315304</v>
      </c>
      <c r="C10946" s="1">
        <v>44985</v>
      </c>
      <c r="D10946" s="1">
        <v>44991</v>
      </c>
      <c r="E10946">
        <v>1</v>
      </c>
      <c r="F10946" t="str">
        <f>"05-I24-04"</f>
        <v>05-I24-04</v>
      </c>
      <c r="G10946">
        <v>2.1032000000000002</v>
      </c>
      <c r="H10946" t="s">
        <v>12</v>
      </c>
      <c r="I10946" t="s">
        <v>10</v>
      </c>
    </row>
    <row r="10947" spans="1:9" x14ac:dyDescent="0.25">
      <c r="A10947" t="str">
        <f t="shared" si="264"/>
        <v>89301000</v>
      </c>
      <c r="B10947" t="str">
        <f>"7052065328"</f>
        <v>7052065328</v>
      </c>
      <c r="C10947" s="1">
        <v>45274</v>
      </c>
      <c r="D10947" s="1">
        <v>45275</v>
      </c>
      <c r="E10947">
        <v>1</v>
      </c>
      <c r="F10947" t="str">
        <f>"01-D01-03"</f>
        <v>01-D01-03</v>
      </c>
      <c r="G10947">
        <v>0.16200000000000001</v>
      </c>
      <c r="H10947" t="s">
        <v>11</v>
      </c>
      <c r="I10947" t="s">
        <v>10</v>
      </c>
    </row>
    <row r="10948" spans="1:9" x14ac:dyDescent="0.25">
      <c r="A10948" t="str">
        <f t="shared" si="264"/>
        <v>89301000</v>
      </c>
      <c r="B10948" t="str">
        <f>"7052115785"</f>
        <v>7052115785</v>
      </c>
      <c r="C10948" s="1">
        <v>44996</v>
      </c>
      <c r="D10948" s="1">
        <v>45005</v>
      </c>
      <c r="E10948">
        <v>1</v>
      </c>
      <c r="F10948" t="str">
        <f>"06-I12-03"</f>
        <v>06-I12-03</v>
      </c>
      <c r="G10948">
        <v>1.9540999999999999</v>
      </c>
      <c r="H10948" t="s">
        <v>11</v>
      </c>
      <c r="I10948" t="s">
        <v>10</v>
      </c>
    </row>
    <row r="10949" spans="1:9" x14ac:dyDescent="0.25">
      <c r="A10949" t="str">
        <f t="shared" si="264"/>
        <v>89301000</v>
      </c>
      <c r="B10949" t="str">
        <f>"7052145573"</f>
        <v>7052145573</v>
      </c>
      <c r="C10949" s="1">
        <v>44992</v>
      </c>
      <c r="D10949" s="1">
        <v>44995</v>
      </c>
      <c r="E10949">
        <v>1</v>
      </c>
      <c r="F10949" t="str">
        <f>"10-K04-04"</f>
        <v>10-K04-04</v>
      </c>
      <c r="G10949">
        <v>0.53949999999999998</v>
      </c>
      <c r="H10949" t="s">
        <v>11</v>
      </c>
      <c r="I10949" t="s">
        <v>10</v>
      </c>
    </row>
    <row r="10950" spans="1:9" x14ac:dyDescent="0.25">
      <c r="A10950" t="str">
        <f t="shared" si="264"/>
        <v>89301000</v>
      </c>
      <c r="B10950" t="str">
        <f>"7052265759"</f>
        <v>7052265759</v>
      </c>
      <c r="C10950" s="1">
        <v>44979</v>
      </c>
      <c r="D10950" s="1">
        <v>44981</v>
      </c>
      <c r="E10950">
        <v>1</v>
      </c>
      <c r="F10950" t="str">
        <f>"08-I23-02"</f>
        <v>08-I23-02</v>
      </c>
      <c r="G10950">
        <v>0.91059999999999997</v>
      </c>
      <c r="H10950" t="s">
        <v>12</v>
      </c>
      <c r="I10950" t="s">
        <v>10</v>
      </c>
    </row>
    <row r="10951" spans="1:9" x14ac:dyDescent="0.25">
      <c r="A10951" t="str">
        <f t="shared" si="264"/>
        <v>89301000</v>
      </c>
      <c r="B10951" t="str">
        <f>"7053015783"</f>
        <v>7053015783</v>
      </c>
      <c r="C10951" s="1">
        <v>44992</v>
      </c>
      <c r="D10951" s="1">
        <v>44992</v>
      </c>
      <c r="E10951">
        <v>1</v>
      </c>
      <c r="F10951" t="str">
        <f>"05-D01-08"</f>
        <v>05-D01-08</v>
      </c>
      <c r="G10951">
        <v>0.2303</v>
      </c>
      <c r="H10951" t="s">
        <v>11</v>
      </c>
      <c r="I10951" t="s">
        <v>10</v>
      </c>
    </row>
    <row r="10952" spans="1:9" x14ac:dyDescent="0.25">
      <c r="A10952" t="str">
        <f t="shared" si="264"/>
        <v>89301000</v>
      </c>
      <c r="B10952" t="str">
        <f>"7053034472"</f>
        <v>7053034472</v>
      </c>
      <c r="C10952" s="1">
        <v>45244</v>
      </c>
      <c r="D10952" s="1">
        <v>45244</v>
      </c>
      <c r="E10952">
        <v>1</v>
      </c>
      <c r="F10952" t="str">
        <f>"05-D01-08"</f>
        <v>05-D01-08</v>
      </c>
      <c r="G10952">
        <v>0.2303</v>
      </c>
      <c r="H10952" t="s">
        <v>11</v>
      </c>
      <c r="I10952" t="s">
        <v>10</v>
      </c>
    </row>
    <row r="10953" spans="1:9" x14ac:dyDescent="0.25">
      <c r="A10953" t="str">
        <f t="shared" si="264"/>
        <v>89301000</v>
      </c>
      <c r="B10953" t="str">
        <f>"7053035341"</f>
        <v>7053035341</v>
      </c>
      <c r="C10953" s="1">
        <v>45006</v>
      </c>
      <c r="D10953" s="1">
        <v>45007</v>
      </c>
      <c r="E10953">
        <v>1</v>
      </c>
      <c r="F10953" t="str">
        <f>"08-I32-00"</f>
        <v>08-I32-00</v>
      </c>
      <c r="G10953">
        <v>0.4093</v>
      </c>
      <c r="H10953" t="s">
        <v>11</v>
      </c>
      <c r="I10953" t="s">
        <v>10</v>
      </c>
    </row>
    <row r="10954" spans="1:9" x14ac:dyDescent="0.25">
      <c r="A10954" t="str">
        <f t="shared" si="264"/>
        <v>89301000</v>
      </c>
      <c r="B10954" t="str">
        <f>"7053035792"</f>
        <v>7053035792</v>
      </c>
      <c r="C10954" s="1">
        <v>44950</v>
      </c>
      <c r="D10954" s="1">
        <v>44952</v>
      </c>
      <c r="E10954">
        <v>1</v>
      </c>
      <c r="F10954" t="str">
        <f>"01-K01-02"</f>
        <v>01-K01-02</v>
      </c>
      <c r="G10954">
        <v>0.442</v>
      </c>
      <c r="H10954" t="s">
        <v>11</v>
      </c>
      <c r="I10954" t="s">
        <v>10</v>
      </c>
    </row>
    <row r="10955" spans="1:9" x14ac:dyDescent="0.25">
      <c r="A10955" t="str">
        <f t="shared" si="264"/>
        <v>89301000</v>
      </c>
      <c r="B10955" t="str">
        <f>"7053035792"</f>
        <v>7053035792</v>
      </c>
      <c r="C10955" s="1">
        <v>45153</v>
      </c>
      <c r="D10955" s="1">
        <v>45157</v>
      </c>
      <c r="E10955">
        <v>1</v>
      </c>
      <c r="F10955" t="str">
        <f>"01-K01-02"</f>
        <v>01-K01-02</v>
      </c>
      <c r="G10955">
        <v>0.442</v>
      </c>
      <c r="H10955" t="s">
        <v>11</v>
      </c>
      <c r="I10955" t="s">
        <v>10</v>
      </c>
    </row>
    <row r="10956" spans="1:9" x14ac:dyDescent="0.25">
      <c r="A10956" t="str">
        <f t="shared" si="264"/>
        <v>89301000</v>
      </c>
      <c r="B10956" t="str">
        <f>"7053055350"</f>
        <v>7053055350</v>
      </c>
      <c r="C10956" s="1">
        <v>45042</v>
      </c>
      <c r="D10956" s="1">
        <v>45044</v>
      </c>
      <c r="E10956">
        <v>1</v>
      </c>
      <c r="F10956" t="str">
        <f>"01-K07-02"</f>
        <v>01-K07-02</v>
      </c>
      <c r="G10956">
        <v>0.6341</v>
      </c>
      <c r="H10956" t="s">
        <v>11</v>
      </c>
      <c r="I10956" t="s">
        <v>10</v>
      </c>
    </row>
    <row r="10957" spans="1:9" x14ac:dyDescent="0.25">
      <c r="A10957" t="str">
        <f t="shared" si="264"/>
        <v>89301000</v>
      </c>
      <c r="B10957" t="str">
        <f>"7053065316"</f>
        <v>7053065316</v>
      </c>
      <c r="C10957" s="1">
        <v>45007</v>
      </c>
      <c r="D10957" s="1">
        <v>45012</v>
      </c>
      <c r="E10957">
        <v>1</v>
      </c>
      <c r="F10957" t="str">
        <f>"01-K04-02"</f>
        <v>01-K04-02</v>
      </c>
      <c r="G10957">
        <v>0.79990000000000006</v>
      </c>
      <c r="H10957" t="s">
        <v>11</v>
      </c>
      <c r="I10957" t="s">
        <v>10</v>
      </c>
    </row>
    <row r="10958" spans="1:9" x14ac:dyDescent="0.25">
      <c r="A10958" t="str">
        <f t="shared" si="264"/>
        <v>89301000</v>
      </c>
      <c r="B10958" t="str">
        <f>"7053074468"</f>
        <v>7053074468</v>
      </c>
      <c r="C10958" s="1">
        <v>45127</v>
      </c>
      <c r="D10958" s="1">
        <v>45130</v>
      </c>
      <c r="E10958">
        <v>1</v>
      </c>
      <c r="F10958" t="str">
        <f>"09-I06-04"</f>
        <v>09-I06-04</v>
      </c>
      <c r="G10958">
        <v>0.95069999999999999</v>
      </c>
      <c r="H10958" t="s">
        <v>12</v>
      </c>
      <c r="I10958" t="s">
        <v>10</v>
      </c>
    </row>
    <row r="10959" spans="1:9" x14ac:dyDescent="0.25">
      <c r="A10959" t="str">
        <f t="shared" si="264"/>
        <v>89301000</v>
      </c>
      <c r="B10959" t="str">
        <f>"7053115872"</f>
        <v>7053115872</v>
      </c>
      <c r="C10959" s="1">
        <v>45214</v>
      </c>
      <c r="D10959" s="1">
        <v>45215</v>
      </c>
      <c r="E10959">
        <v>1</v>
      </c>
      <c r="F10959" t="str">
        <f>"05-I14-03"</f>
        <v>05-I14-03</v>
      </c>
      <c r="G10959">
        <v>6.0362</v>
      </c>
      <c r="H10959" t="s">
        <v>12</v>
      </c>
      <c r="I10959" t="s">
        <v>10</v>
      </c>
    </row>
    <row r="10960" spans="1:9" x14ac:dyDescent="0.25">
      <c r="A10960" t="str">
        <f t="shared" si="264"/>
        <v>89301000</v>
      </c>
      <c r="B10960" t="str">
        <f>"7053135683"</f>
        <v>7053135683</v>
      </c>
      <c r="C10960" s="1">
        <v>45154</v>
      </c>
      <c r="D10960" s="1">
        <v>45196</v>
      </c>
      <c r="E10960">
        <v>1</v>
      </c>
      <c r="F10960" t="str">
        <f>"19-K08-02"</f>
        <v>19-K08-02</v>
      </c>
      <c r="G10960">
        <v>4.4416000000000002</v>
      </c>
      <c r="H10960" t="s">
        <v>15</v>
      </c>
      <c r="I10960" t="s">
        <v>10</v>
      </c>
    </row>
    <row r="10961" spans="1:9" x14ac:dyDescent="0.25">
      <c r="A10961" t="str">
        <f t="shared" si="264"/>
        <v>89301000</v>
      </c>
      <c r="B10961" t="str">
        <f>"7053284645"</f>
        <v>7053284645</v>
      </c>
      <c r="C10961" s="1">
        <v>44928</v>
      </c>
      <c r="D10961" s="1">
        <v>44966</v>
      </c>
      <c r="E10961">
        <v>1</v>
      </c>
      <c r="F10961" t="str">
        <f>"19-K08-02"</f>
        <v>19-K08-02</v>
      </c>
      <c r="G10961">
        <v>4.4416000000000002</v>
      </c>
      <c r="H10961" t="s">
        <v>15</v>
      </c>
      <c r="I10961" t="s">
        <v>10</v>
      </c>
    </row>
    <row r="10962" spans="1:9" x14ac:dyDescent="0.25">
      <c r="A10962" t="str">
        <f t="shared" si="264"/>
        <v>89301000</v>
      </c>
      <c r="B10962" t="str">
        <f>"7053314477"</f>
        <v>7053314477</v>
      </c>
      <c r="C10962" s="1">
        <v>44977</v>
      </c>
      <c r="D10962" s="1">
        <v>44978</v>
      </c>
      <c r="E10962">
        <v>1</v>
      </c>
      <c r="F10962" t="str">
        <f>"03-K13-02"</f>
        <v>03-K13-02</v>
      </c>
      <c r="G10962">
        <v>0.24440000000000001</v>
      </c>
      <c r="H10962" t="s">
        <v>11</v>
      </c>
      <c r="I10962" t="s">
        <v>10</v>
      </c>
    </row>
    <row r="10963" spans="1:9" x14ac:dyDescent="0.25">
      <c r="A10963" t="str">
        <f t="shared" si="264"/>
        <v>89301000</v>
      </c>
      <c r="B10963" t="str">
        <f>"7054025891"</f>
        <v>7054025891</v>
      </c>
      <c r="C10963" s="1">
        <v>45167</v>
      </c>
      <c r="D10963" s="1">
        <v>45173</v>
      </c>
      <c r="E10963">
        <v>1</v>
      </c>
      <c r="F10963" t="str">
        <f>"08-K01-01"</f>
        <v>08-K01-01</v>
      </c>
      <c r="G10963">
        <v>1.4881</v>
      </c>
      <c r="H10963" t="s">
        <v>11</v>
      </c>
      <c r="I10963" t="s">
        <v>10</v>
      </c>
    </row>
    <row r="10964" spans="1:9" x14ac:dyDescent="0.25">
      <c r="A10964" t="str">
        <f t="shared" si="264"/>
        <v>89301000</v>
      </c>
      <c r="B10964" t="str">
        <f>"7054035373"</f>
        <v>7054035373</v>
      </c>
      <c r="C10964" s="1">
        <v>45020</v>
      </c>
      <c r="D10964" s="1">
        <v>45022</v>
      </c>
      <c r="E10964">
        <v>1</v>
      </c>
      <c r="F10964" t="str">
        <f>"08-I18-02"</f>
        <v>08-I18-02</v>
      </c>
      <c r="G10964">
        <v>0.62509999999999999</v>
      </c>
      <c r="H10964" t="s">
        <v>12</v>
      </c>
      <c r="I10964" t="s">
        <v>10</v>
      </c>
    </row>
    <row r="10965" spans="1:9" x14ac:dyDescent="0.25">
      <c r="A10965" t="str">
        <f t="shared" si="264"/>
        <v>89301000</v>
      </c>
      <c r="B10965" t="str">
        <f>"7054055756"</f>
        <v>7054055756</v>
      </c>
      <c r="C10965" s="1">
        <v>44929</v>
      </c>
      <c r="D10965" s="1">
        <v>44937</v>
      </c>
      <c r="E10965">
        <v>1</v>
      </c>
      <c r="F10965" t="str">
        <f>"24-M06-02"</f>
        <v>24-M06-02</v>
      </c>
      <c r="G10965">
        <v>1.0699000000000001</v>
      </c>
      <c r="H10965" t="s">
        <v>11</v>
      </c>
      <c r="I10965" t="s">
        <v>10</v>
      </c>
    </row>
    <row r="10966" spans="1:9" x14ac:dyDescent="0.25">
      <c r="A10966" t="str">
        <f t="shared" si="264"/>
        <v>89301000</v>
      </c>
      <c r="B10966" t="str">
        <f>"7054105366"</f>
        <v>7054105366</v>
      </c>
      <c r="C10966" s="1">
        <v>45180</v>
      </c>
      <c r="D10966" s="1">
        <v>45183</v>
      </c>
      <c r="E10966">
        <v>1</v>
      </c>
      <c r="F10966" t="str">
        <f>"09-I09-02"</f>
        <v>09-I09-02</v>
      </c>
      <c r="G10966">
        <v>0.76900000000000002</v>
      </c>
      <c r="H10966" t="s">
        <v>12</v>
      </c>
      <c r="I10966" t="s">
        <v>10</v>
      </c>
    </row>
    <row r="10967" spans="1:9" x14ac:dyDescent="0.25">
      <c r="A10967" t="str">
        <f t="shared" si="264"/>
        <v>89301000</v>
      </c>
      <c r="B10967" t="str">
        <f>"7054115310"</f>
        <v>7054115310</v>
      </c>
      <c r="C10967" s="1">
        <v>45014</v>
      </c>
      <c r="D10967" s="1">
        <v>45017</v>
      </c>
      <c r="E10967">
        <v>1</v>
      </c>
      <c r="F10967" t="str">
        <f>"04-K05-03"</f>
        <v>04-K05-03</v>
      </c>
      <c r="G10967">
        <v>0.74039999999999995</v>
      </c>
      <c r="H10967" t="s">
        <v>11</v>
      </c>
      <c r="I10967" t="s">
        <v>10</v>
      </c>
    </row>
    <row r="10968" spans="1:9" x14ac:dyDescent="0.25">
      <c r="A10968" t="str">
        <f t="shared" si="264"/>
        <v>89301000</v>
      </c>
      <c r="B10968" t="str">
        <f>"7054115772"</f>
        <v>7054115772</v>
      </c>
      <c r="C10968" s="1">
        <v>44935</v>
      </c>
      <c r="D10968" s="1">
        <v>44967</v>
      </c>
      <c r="E10968">
        <v>1</v>
      </c>
      <c r="F10968" t="str">
        <f>"19-K08-02"</f>
        <v>19-K08-02</v>
      </c>
      <c r="G10968">
        <v>4.4416000000000002</v>
      </c>
      <c r="H10968" t="s">
        <v>15</v>
      </c>
      <c r="I10968" t="s">
        <v>10</v>
      </c>
    </row>
    <row r="10969" spans="1:9" x14ac:dyDescent="0.25">
      <c r="A10969" t="str">
        <f t="shared" si="264"/>
        <v>89301000</v>
      </c>
      <c r="B10969" t="str">
        <f>"7054125771"</f>
        <v>7054125771</v>
      </c>
      <c r="C10969" s="1">
        <v>45189</v>
      </c>
      <c r="D10969" s="1">
        <v>45195</v>
      </c>
      <c r="E10969">
        <v>3</v>
      </c>
      <c r="F10969" t="str">
        <f>"08-I03-04"</f>
        <v>08-I03-04</v>
      </c>
      <c r="G10969">
        <v>4.7615999999999996</v>
      </c>
      <c r="H10969" t="s">
        <v>9</v>
      </c>
      <c r="I10969" t="s">
        <v>10</v>
      </c>
    </row>
    <row r="10970" spans="1:9" x14ac:dyDescent="0.25">
      <c r="A10970" t="str">
        <f t="shared" si="264"/>
        <v>89301000</v>
      </c>
      <c r="B10970" t="str">
        <f>"7054125771"</f>
        <v>7054125771</v>
      </c>
      <c r="C10970" s="1">
        <v>45195</v>
      </c>
      <c r="D10970" s="1">
        <v>45212</v>
      </c>
      <c r="E10970">
        <v>1</v>
      </c>
      <c r="F10970" t="str">
        <f>"24-M07-01"</f>
        <v>24-M07-01</v>
      </c>
      <c r="G10970">
        <v>1.7825</v>
      </c>
      <c r="H10970" t="s">
        <v>11</v>
      </c>
      <c r="I10970" t="s">
        <v>10</v>
      </c>
    </row>
    <row r="10971" spans="1:9" x14ac:dyDescent="0.25">
      <c r="A10971" t="str">
        <f t="shared" si="264"/>
        <v>89301000</v>
      </c>
      <c r="B10971" t="str">
        <f>"7054125771"</f>
        <v>7054125771</v>
      </c>
      <c r="C10971" s="1">
        <v>45027</v>
      </c>
      <c r="D10971" s="1">
        <v>45044</v>
      </c>
      <c r="E10971">
        <v>1</v>
      </c>
      <c r="F10971" t="str">
        <f>"24-M07-01"</f>
        <v>24-M07-01</v>
      </c>
      <c r="G10971">
        <v>1.7825</v>
      </c>
      <c r="H10971" t="s">
        <v>11</v>
      </c>
      <c r="I10971" t="s">
        <v>10</v>
      </c>
    </row>
    <row r="10972" spans="1:9" x14ac:dyDescent="0.25">
      <c r="A10972" t="str">
        <f t="shared" si="264"/>
        <v>89301000</v>
      </c>
      <c r="B10972" t="str">
        <f>"7054165349"</f>
        <v>7054165349</v>
      </c>
      <c r="C10972" s="1">
        <v>45223</v>
      </c>
      <c r="D10972" s="1">
        <v>45225</v>
      </c>
      <c r="E10972">
        <v>1</v>
      </c>
      <c r="F10972" t="str">
        <f>"08-I17-02"</f>
        <v>08-I17-02</v>
      </c>
      <c r="G10972">
        <v>0.89680000000000004</v>
      </c>
      <c r="H10972" t="s">
        <v>11</v>
      </c>
      <c r="I10972" t="s">
        <v>10</v>
      </c>
    </row>
    <row r="10973" spans="1:9" x14ac:dyDescent="0.25">
      <c r="A10973" t="str">
        <f t="shared" si="264"/>
        <v>89301000</v>
      </c>
      <c r="B10973" t="str">
        <f>"7054175315"</f>
        <v>7054175315</v>
      </c>
      <c r="C10973" s="1">
        <v>45082</v>
      </c>
      <c r="D10973" s="1">
        <v>45083</v>
      </c>
      <c r="E10973">
        <v>8</v>
      </c>
      <c r="F10973" t="str">
        <f>"16-K02-02"</f>
        <v>16-K02-02</v>
      </c>
      <c r="G10973">
        <v>0.76349999999999996</v>
      </c>
      <c r="H10973" t="s">
        <v>11</v>
      </c>
      <c r="I10973" t="s">
        <v>10</v>
      </c>
    </row>
    <row r="10974" spans="1:9" x14ac:dyDescent="0.25">
      <c r="A10974" t="str">
        <f t="shared" si="264"/>
        <v>89301000</v>
      </c>
      <c r="B10974" t="str">
        <f>"7054225321"</f>
        <v>7054225321</v>
      </c>
      <c r="C10974" s="1">
        <v>45250</v>
      </c>
      <c r="D10974" s="1">
        <v>45251</v>
      </c>
      <c r="E10974">
        <v>1</v>
      </c>
      <c r="F10974" t="str">
        <f>"17-C05-05"</f>
        <v>17-C05-05</v>
      </c>
      <c r="G10974">
        <v>0.66069999999999995</v>
      </c>
      <c r="H10974" t="s">
        <v>11</v>
      </c>
      <c r="I10974" t="s">
        <v>10</v>
      </c>
    </row>
    <row r="10975" spans="1:9" x14ac:dyDescent="0.25">
      <c r="A10975" t="str">
        <f t="shared" si="264"/>
        <v>89301000</v>
      </c>
      <c r="B10975" t="str">
        <f>"7054225321"</f>
        <v>7054225321</v>
      </c>
      <c r="C10975" s="1">
        <v>45100</v>
      </c>
      <c r="D10975" s="1">
        <v>45105</v>
      </c>
      <c r="E10975">
        <v>1</v>
      </c>
      <c r="F10975" t="str">
        <f>"17-K03-02"</f>
        <v>17-K03-02</v>
      </c>
      <c r="G10975">
        <v>1.008</v>
      </c>
      <c r="H10975" t="s">
        <v>11</v>
      </c>
      <c r="I10975" t="s">
        <v>10</v>
      </c>
    </row>
    <row r="10976" spans="1:9" x14ac:dyDescent="0.25">
      <c r="A10976" t="str">
        <f t="shared" si="264"/>
        <v>89301000</v>
      </c>
      <c r="B10976" t="str">
        <f>"7054225321"</f>
        <v>7054225321</v>
      </c>
      <c r="C10976" s="1">
        <v>45257</v>
      </c>
      <c r="D10976" s="1">
        <v>45262</v>
      </c>
      <c r="E10976">
        <v>1</v>
      </c>
      <c r="F10976" t="str">
        <f>"00-M10-02"</f>
        <v>00-M10-02</v>
      </c>
      <c r="G10976">
        <v>0.99629999999999996</v>
      </c>
      <c r="H10976" t="s">
        <v>14</v>
      </c>
      <c r="I10976" t="s">
        <v>10</v>
      </c>
    </row>
    <row r="10977" spans="1:9" x14ac:dyDescent="0.25">
      <c r="A10977" t="str">
        <f t="shared" si="264"/>
        <v>89301000</v>
      </c>
      <c r="B10977" t="str">
        <f t="shared" ref="B10977:B10983" si="265">"7054304191"</f>
        <v>7054304191</v>
      </c>
      <c r="C10977" s="1">
        <v>44986</v>
      </c>
      <c r="D10977" s="1">
        <v>44994</v>
      </c>
      <c r="E10977">
        <v>1</v>
      </c>
      <c r="F10977" t="str">
        <f>"08-K01-02"</f>
        <v>08-K01-02</v>
      </c>
      <c r="G10977">
        <v>0.90180000000000005</v>
      </c>
      <c r="H10977" t="s">
        <v>11</v>
      </c>
      <c r="I10977" t="s">
        <v>10</v>
      </c>
    </row>
    <row r="10978" spans="1:9" x14ac:dyDescent="0.25">
      <c r="A10978" t="str">
        <f t="shared" si="264"/>
        <v>89301000</v>
      </c>
      <c r="B10978" t="str">
        <f t="shared" si="265"/>
        <v>7054304191</v>
      </c>
      <c r="C10978" s="1">
        <v>45027</v>
      </c>
      <c r="D10978" s="1">
        <v>45028</v>
      </c>
      <c r="E10978">
        <v>1</v>
      </c>
      <c r="F10978" t="str">
        <f t="shared" ref="F10978:F10983" si="266">"08-C04-02"</f>
        <v>08-C04-02</v>
      </c>
      <c r="G10978">
        <v>0.28699999999999998</v>
      </c>
      <c r="H10978" t="s">
        <v>11</v>
      </c>
      <c r="I10978" t="s">
        <v>10</v>
      </c>
    </row>
    <row r="10979" spans="1:9" x14ac:dyDescent="0.25">
      <c r="A10979" t="str">
        <f t="shared" si="264"/>
        <v>89301000</v>
      </c>
      <c r="B10979" t="str">
        <f t="shared" si="265"/>
        <v>7054304191</v>
      </c>
      <c r="C10979" s="1">
        <v>45041</v>
      </c>
      <c r="D10979" s="1">
        <v>45043</v>
      </c>
      <c r="E10979">
        <v>1</v>
      </c>
      <c r="F10979" t="str">
        <f t="shared" si="266"/>
        <v>08-C04-02</v>
      </c>
      <c r="G10979">
        <v>0.28699999999999998</v>
      </c>
      <c r="H10979" t="s">
        <v>11</v>
      </c>
      <c r="I10979" t="s">
        <v>10</v>
      </c>
    </row>
    <row r="10980" spans="1:9" x14ac:dyDescent="0.25">
      <c r="A10980" t="str">
        <f t="shared" si="264"/>
        <v>89301000</v>
      </c>
      <c r="B10980" t="str">
        <f t="shared" si="265"/>
        <v>7054304191</v>
      </c>
      <c r="C10980" s="1">
        <v>45008</v>
      </c>
      <c r="D10980" s="1">
        <v>45009</v>
      </c>
      <c r="E10980">
        <v>1</v>
      </c>
      <c r="F10980" t="str">
        <f t="shared" si="266"/>
        <v>08-C04-02</v>
      </c>
      <c r="G10980">
        <v>0.28699999999999998</v>
      </c>
      <c r="H10980" t="s">
        <v>11</v>
      </c>
      <c r="I10980" t="s">
        <v>10</v>
      </c>
    </row>
    <row r="10981" spans="1:9" x14ac:dyDescent="0.25">
      <c r="A10981" t="str">
        <f t="shared" ref="A10981:A11044" si="267">"89301000"</f>
        <v>89301000</v>
      </c>
      <c r="B10981" t="str">
        <f t="shared" si="265"/>
        <v>7054304191</v>
      </c>
      <c r="C10981" s="1">
        <v>44928</v>
      </c>
      <c r="D10981" s="1">
        <v>44937</v>
      </c>
      <c r="E10981">
        <v>1</v>
      </c>
      <c r="F10981" t="str">
        <f t="shared" si="266"/>
        <v>08-C04-02</v>
      </c>
      <c r="G10981">
        <v>0.3427</v>
      </c>
      <c r="H10981" t="s">
        <v>11</v>
      </c>
      <c r="I10981" t="s">
        <v>10</v>
      </c>
    </row>
    <row r="10982" spans="1:9" x14ac:dyDescent="0.25">
      <c r="A10982" t="str">
        <f t="shared" si="267"/>
        <v>89301000</v>
      </c>
      <c r="B10982" t="str">
        <f t="shared" si="265"/>
        <v>7054304191</v>
      </c>
      <c r="C10982" s="1">
        <v>44958</v>
      </c>
      <c r="D10982" s="1">
        <v>44959</v>
      </c>
      <c r="E10982">
        <v>1</v>
      </c>
      <c r="F10982" t="str">
        <f t="shared" si="266"/>
        <v>08-C04-02</v>
      </c>
      <c r="G10982">
        <v>0.28699999999999998</v>
      </c>
      <c r="H10982" t="s">
        <v>11</v>
      </c>
      <c r="I10982" t="s">
        <v>10</v>
      </c>
    </row>
    <row r="10983" spans="1:9" x14ac:dyDescent="0.25">
      <c r="A10983" t="str">
        <f t="shared" si="267"/>
        <v>89301000</v>
      </c>
      <c r="B10983" t="str">
        <f t="shared" si="265"/>
        <v>7054304191</v>
      </c>
      <c r="C10983" s="1">
        <v>44972</v>
      </c>
      <c r="D10983" s="1">
        <v>44973</v>
      </c>
      <c r="E10983">
        <v>1</v>
      </c>
      <c r="F10983" t="str">
        <f t="shared" si="266"/>
        <v>08-C04-02</v>
      </c>
      <c r="G10983">
        <v>0.28699999999999998</v>
      </c>
      <c r="H10983" t="s">
        <v>11</v>
      </c>
      <c r="I10983" t="s">
        <v>10</v>
      </c>
    </row>
    <row r="10984" spans="1:9" x14ac:dyDescent="0.25">
      <c r="A10984" t="str">
        <f t="shared" si="267"/>
        <v>89301000</v>
      </c>
      <c r="B10984" t="str">
        <f>"7054304499"</f>
        <v>7054304499</v>
      </c>
      <c r="C10984" s="1">
        <v>45258</v>
      </c>
      <c r="D10984" s="1">
        <v>45259</v>
      </c>
      <c r="E10984">
        <v>1</v>
      </c>
      <c r="F10984" t="str">
        <f>"11-I14-02"</f>
        <v>11-I14-02</v>
      </c>
      <c r="G10984">
        <v>0.61839999999999995</v>
      </c>
      <c r="H10984" t="s">
        <v>9</v>
      </c>
      <c r="I10984" t="s">
        <v>10</v>
      </c>
    </row>
    <row r="10985" spans="1:9" x14ac:dyDescent="0.25">
      <c r="A10985" t="str">
        <f t="shared" si="267"/>
        <v>89301000</v>
      </c>
      <c r="B10985" t="str">
        <f>"7055015759"</f>
        <v>7055015759</v>
      </c>
      <c r="C10985" s="1">
        <v>44965</v>
      </c>
      <c r="D10985" s="1">
        <v>44966</v>
      </c>
      <c r="E10985">
        <v>1</v>
      </c>
      <c r="F10985" t="str">
        <f>"02-I13-02"</f>
        <v>02-I13-02</v>
      </c>
      <c r="G10985">
        <v>0.4259</v>
      </c>
      <c r="H10985" t="s">
        <v>11</v>
      </c>
      <c r="I10985" t="s">
        <v>10</v>
      </c>
    </row>
    <row r="10986" spans="1:9" x14ac:dyDescent="0.25">
      <c r="A10986" t="str">
        <f t="shared" si="267"/>
        <v>89301000</v>
      </c>
      <c r="B10986" t="str">
        <f>"7055105321"</f>
        <v>7055105321</v>
      </c>
      <c r="C10986" s="1">
        <v>45106</v>
      </c>
      <c r="D10986" s="1">
        <v>45110</v>
      </c>
      <c r="E10986">
        <v>1</v>
      </c>
      <c r="F10986" t="str">
        <f>"06-K22-03"</f>
        <v>06-K22-03</v>
      </c>
      <c r="G10986">
        <v>0.31619999999999998</v>
      </c>
      <c r="H10986" t="s">
        <v>11</v>
      </c>
      <c r="I10986" t="s">
        <v>10</v>
      </c>
    </row>
    <row r="10987" spans="1:9" x14ac:dyDescent="0.25">
      <c r="A10987" t="str">
        <f t="shared" si="267"/>
        <v>89301000</v>
      </c>
      <c r="B10987" t="str">
        <f>"7055164710"</f>
        <v>7055164710</v>
      </c>
      <c r="C10987" s="1">
        <v>45236</v>
      </c>
      <c r="D10987" s="1">
        <v>45238</v>
      </c>
      <c r="E10987">
        <v>1</v>
      </c>
      <c r="F10987" t="str">
        <f>"09-I09-02"</f>
        <v>09-I09-02</v>
      </c>
      <c r="G10987">
        <v>0.7782</v>
      </c>
      <c r="H10987" t="s">
        <v>12</v>
      </c>
      <c r="I10987" t="s">
        <v>10</v>
      </c>
    </row>
    <row r="10988" spans="1:9" x14ac:dyDescent="0.25">
      <c r="A10988" t="str">
        <f t="shared" si="267"/>
        <v>89301000</v>
      </c>
      <c r="B10988" t="str">
        <f>"7055254393"</f>
        <v>7055254393</v>
      </c>
      <c r="C10988" s="1">
        <v>45020</v>
      </c>
      <c r="D10988" s="1">
        <v>45022</v>
      </c>
      <c r="E10988">
        <v>1</v>
      </c>
      <c r="F10988" t="str">
        <f>"08-I26-03"</f>
        <v>08-I26-03</v>
      </c>
      <c r="G10988">
        <v>0.47699999999999998</v>
      </c>
      <c r="H10988" t="s">
        <v>11</v>
      </c>
      <c r="I10988" t="s">
        <v>10</v>
      </c>
    </row>
    <row r="10989" spans="1:9" x14ac:dyDescent="0.25">
      <c r="A10989" t="str">
        <f t="shared" si="267"/>
        <v>89301000</v>
      </c>
      <c r="B10989" t="str">
        <f>"7056105320"</f>
        <v>7056105320</v>
      </c>
      <c r="C10989" s="1">
        <v>45266</v>
      </c>
      <c r="D10989" s="1">
        <v>45275</v>
      </c>
      <c r="E10989">
        <v>1</v>
      </c>
      <c r="F10989" t="str">
        <f>"08-K08-00"</f>
        <v>08-K08-00</v>
      </c>
      <c r="G10989">
        <v>0.5272</v>
      </c>
      <c r="H10989" t="s">
        <v>11</v>
      </c>
      <c r="I10989" t="s">
        <v>10</v>
      </c>
    </row>
    <row r="10990" spans="1:9" x14ac:dyDescent="0.25">
      <c r="A10990" t="str">
        <f t="shared" si="267"/>
        <v>89301000</v>
      </c>
      <c r="B10990" t="str">
        <f>"7056135328"</f>
        <v>7056135328</v>
      </c>
      <c r="C10990" s="1">
        <v>45243</v>
      </c>
      <c r="D10990" s="1">
        <v>45245</v>
      </c>
      <c r="E10990">
        <v>1</v>
      </c>
      <c r="F10990" t="str">
        <f>"08-I31-04"</f>
        <v>08-I31-04</v>
      </c>
      <c r="G10990">
        <v>0.4894</v>
      </c>
      <c r="H10990" t="s">
        <v>11</v>
      </c>
      <c r="I10990" t="s">
        <v>10</v>
      </c>
    </row>
    <row r="10991" spans="1:9" x14ac:dyDescent="0.25">
      <c r="A10991" t="str">
        <f t="shared" si="267"/>
        <v>89301000</v>
      </c>
      <c r="B10991" t="str">
        <f>"7056165314"</f>
        <v>7056165314</v>
      </c>
      <c r="C10991" s="1">
        <v>44938</v>
      </c>
      <c r="D10991" s="1">
        <v>44940</v>
      </c>
      <c r="E10991">
        <v>1</v>
      </c>
      <c r="F10991" t="str">
        <f>"09-I08-02"</f>
        <v>09-I08-02</v>
      </c>
      <c r="G10991">
        <v>1.1136999999999999</v>
      </c>
      <c r="H10991" t="s">
        <v>14</v>
      </c>
      <c r="I10991" t="s">
        <v>10</v>
      </c>
    </row>
    <row r="10992" spans="1:9" x14ac:dyDescent="0.25">
      <c r="A10992" t="str">
        <f t="shared" si="267"/>
        <v>89301000</v>
      </c>
      <c r="B10992" t="str">
        <f>"7056184938"</f>
        <v>7056184938</v>
      </c>
      <c r="C10992" s="1">
        <v>45174</v>
      </c>
      <c r="D10992" s="1">
        <v>45177</v>
      </c>
      <c r="E10992">
        <v>1</v>
      </c>
      <c r="F10992" t="str">
        <f>"01-K18-04"</f>
        <v>01-K18-04</v>
      </c>
      <c r="G10992">
        <v>0.54610000000000003</v>
      </c>
      <c r="H10992" t="s">
        <v>11</v>
      </c>
      <c r="I10992" t="s">
        <v>10</v>
      </c>
    </row>
    <row r="10993" spans="1:9" x14ac:dyDescent="0.25">
      <c r="A10993" t="str">
        <f t="shared" si="267"/>
        <v>89301000</v>
      </c>
      <c r="B10993" t="str">
        <f>"7056184938"</f>
        <v>7056184938</v>
      </c>
      <c r="C10993" s="1">
        <v>45216</v>
      </c>
      <c r="D10993" s="1">
        <v>45218</v>
      </c>
      <c r="E10993">
        <v>1</v>
      </c>
      <c r="F10993" t="str">
        <f>"08-I10-02"</f>
        <v>08-I10-02</v>
      </c>
      <c r="G10993">
        <v>1.0604</v>
      </c>
      <c r="H10993" t="s">
        <v>12</v>
      </c>
      <c r="I10993" t="s">
        <v>10</v>
      </c>
    </row>
    <row r="10994" spans="1:9" x14ac:dyDescent="0.25">
      <c r="A10994" t="str">
        <f t="shared" si="267"/>
        <v>89301000</v>
      </c>
      <c r="B10994" t="str">
        <f>"7056185323"</f>
        <v>7056185323</v>
      </c>
      <c r="C10994" s="1">
        <v>45218</v>
      </c>
      <c r="D10994" s="1">
        <v>45233</v>
      </c>
      <c r="E10994">
        <v>1</v>
      </c>
      <c r="F10994" t="str">
        <f>"07-K11-03"</f>
        <v>07-K11-03</v>
      </c>
      <c r="G10994">
        <v>0.72619999999999996</v>
      </c>
      <c r="H10994" t="s">
        <v>11</v>
      </c>
      <c r="I10994" t="s">
        <v>10</v>
      </c>
    </row>
    <row r="10995" spans="1:9" x14ac:dyDescent="0.25">
      <c r="A10995" t="str">
        <f t="shared" si="267"/>
        <v>89301000</v>
      </c>
      <c r="B10995" t="str">
        <f>"7056235791"</f>
        <v>7056235791</v>
      </c>
      <c r="C10995" s="1">
        <v>45201</v>
      </c>
      <c r="D10995" s="1">
        <v>45209</v>
      </c>
      <c r="E10995">
        <v>1</v>
      </c>
      <c r="F10995" t="str">
        <f>"04-I05-03"</f>
        <v>04-I05-03</v>
      </c>
      <c r="G10995">
        <v>2.1093999999999999</v>
      </c>
      <c r="H10995" t="s">
        <v>14</v>
      </c>
      <c r="I10995" t="s">
        <v>10</v>
      </c>
    </row>
    <row r="10996" spans="1:9" x14ac:dyDescent="0.25">
      <c r="A10996" t="str">
        <f t="shared" si="267"/>
        <v>89301000</v>
      </c>
      <c r="B10996" t="str">
        <f>"7056264424"</f>
        <v>7056264424</v>
      </c>
      <c r="C10996" s="1">
        <v>44911</v>
      </c>
      <c r="D10996" s="1">
        <v>44929</v>
      </c>
      <c r="E10996">
        <v>5</v>
      </c>
      <c r="F10996" t="str">
        <f>"01-K10-03"</f>
        <v>01-K10-03</v>
      </c>
      <c r="G10996">
        <v>1.3548</v>
      </c>
      <c r="H10996" t="s">
        <v>11</v>
      </c>
      <c r="I10996" t="s">
        <v>10</v>
      </c>
    </row>
    <row r="10997" spans="1:9" x14ac:dyDescent="0.25">
      <c r="A10997" t="str">
        <f t="shared" si="267"/>
        <v>89301000</v>
      </c>
      <c r="B10997" t="str">
        <f>"7057035755"</f>
        <v>7057035755</v>
      </c>
      <c r="C10997" s="1">
        <v>45043</v>
      </c>
      <c r="D10997" s="1">
        <v>45045</v>
      </c>
      <c r="E10997">
        <v>1</v>
      </c>
      <c r="F10997" t="str">
        <f>"09-I09-02"</f>
        <v>09-I09-02</v>
      </c>
      <c r="G10997">
        <v>0.76900000000000002</v>
      </c>
      <c r="H10997" t="s">
        <v>12</v>
      </c>
      <c r="I10997" t="s">
        <v>10</v>
      </c>
    </row>
    <row r="10998" spans="1:9" x14ac:dyDescent="0.25">
      <c r="A10998" t="str">
        <f t="shared" si="267"/>
        <v>89301000</v>
      </c>
      <c r="B10998" t="str">
        <f>"7057075784"</f>
        <v>7057075784</v>
      </c>
      <c r="C10998" s="1">
        <v>44951</v>
      </c>
      <c r="D10998" s="1">
        <v>44954</v>
      </c>
      <c r="E10998">
        <v>1</v>
      </c>
      <c r="F10998" t="str">
        <f>"08-I03-08"</f>
        <v>08-I03-08</v>
      </c>
      <c r="G10998">
        <v>1.9455</v>
      </c>
      <c r="H10998" t="s">
        <v>9</v>
      </c>
      <c r="I10998" t="s">
        <v>10</v>
      </c>
    </row>
    <row r="10999" spans="1:9" x14ac:dyDescent="0.25">
      <c r="A10999" t="str">
        <f t="shared" si="267"/>
        <v>89301000</v>
      </c>
      <c r="B10999" t="str">
        <f>"7057095793"</f>
        <v>7057095793</v>
      </c>
      <c r="C10999" s="1">
        <v>45158</v>
      </c>
      <c r="D10999" s="1">
        <v>45161</v>
      </c>
      <c r="E10999">
        <v>1</v>
      </c>
      <c r="F10999" t="str">
        <f>"10-I13-02"</f>
        <v>10-I13-02</v>
      </c>
      <c r="G10999">
        <v>1.1124000000000001</v>
      </c>
      <c r="H10999" t="s">
        <v>9</v>
      </c>
      <c r="I10999" t="s">
        <v>10</v>
      </c>
    </row>
    <row r="11000" spans="1:9" x14ac:dyDescent="0.25">
      <c r="A11000" t="str">
        <f t="shared" si="267"/>
        <v>89301000</v>
      </c>
      <c r="B11000" t="str">
        <f>"7057105319"</f>
        <v>7057105319</v>
      </c>
      <c r="C11000" s="1">
        <v>45259</v>
      </c>
      <c r="D11000" s="1">
        <v>45262</v>
      </c>
      <c r="E11000">
        <v>1</v>
      </c>
      <c r="F11000" t="str">
        <f>"08-M03-05"</f>
        <v>08-M03-05</v>
      </c>
      <c r="G11000">
        <v>0.46810000000000002</v>
      </c>
      <c r="H11000" t="s">
        <v>11</v>
      </c>
      <c r="I11000" t="s">
        <v>10</v>
      </c>
    </row>
    <row r="11001" spans="1:9" x14ac:dyDescent="0.25">
      <c r="A11001" t="str">
        <f t="shared" si="267"/>
        <v>89301000</v>
      </c>
      <c r="B11001" t="str">
        <f>"7057105319"</f>
        <v>7057105319</v>
      </c>
      <c r="C11001" s="1">
        <v>45265</v>
      </c>
      <c r="D11001" s="1">
        <v>45282</v>
      </c>
      <c r="E11001">
        <v>1</v>
      </c>
      <c r="F11001" t="str">
        <f>"24-M07-02"</f>
        <v>24-M07-02</v>
      </c>
      <c r="G11001">
        <v>1.573</v>
      </c>
      <c r="H11001" t="s">
        <v>11</v>
      </c>
      <c r="I11001" t="s">
        <v>10</v>
      </c>
    </row>
    <row r="11002" spans="1:9" x14ac:dyDescent="0.25">
      <c r="A11002" t="str">
        <f t="shared" si="267"/>
        <v>89301000</v>
      </c>
      <c r="B11002" t="str">
        <f>"7057105319"</f>
        <v>7057105319</v>
      </c>
      <c r="C11002" s="1">
        <v>45054</v>
      </c>
      <c r="D11002" s="1">
        <v>45056</v>
      </c>
      <c r="E11002">
        <v>1</v>
      </c>
      <c r="F11002" t="str">
        <f>"08-M03-05"</f>
        <v>08-M03-05</v>
      </c>
      <c r="G11002">
        <v>0.46910000000000002</v>
      </c>
      <c r="H11002" t="s">
        <v>11</v>
      </c>
      <c r="I11002" t="s">
        <v>10</v>
      </c>
    </row>
    <row r="11003" spans="1:9" x14ac:dyDescent="0.25">
      <c r="A11003" t="str">
        <f t="shared" si="267"/>
        <v>89301000</v>
      </c>
      <c r="B11003" t="str">
        <f>"7057105319"</f>
        <v>7057105319</v>
      </c>
      <c r="C11003" s="1">
        <v>45012</v>
      </c>
      <c r="D11003" s="1">
        <v>45016</v>
      </c>
      <c r="E11003">
        <v>1</v>
      </c>
      <c r="F11003" t="str">
        <f>"23-K04-02"</f>
        <v>23-K04-02</v>
      </c>
      <c r="G11003">
        <v>0.38150000000000001</v>
      </c>
      <c r="H11003" t="s">
        <v>11</v>
      </c>
      <c r="I11003" t="s">
        <v>10</v>
      </c>
    </row>
    <row r="11004" spans="1:9" x14ac:dyDescent="0.25">
      <c r="A11004" t="str">
        <f t="shared" si="267"/>
        <v>89301000</v>
      </c>
      <c r="B11004" t="str">
        <f>"7057125790"</f>
        <v>7057125790</v>
      </c>
      <c r="C11004" s="1">
        <v>44931</v>
      </c>
      <c r="D11004" s="1">
        <v>44934</v>
      </c>
      <c r="E11004">
        <v>1</v>
      </c>
      <c r="F11004" t="str">
        <f>"06-I18-05"</f>
        <v>06-I18-05</v>
      </c>
      <c r="G11004">
        <v>0.82420000000000004</v>
      </c>
      <c r="H11004" t="s">
        <v>9</v>
      </c>
      <c r="I11004" t="s">
        <v>10</v>
      </c>
    </row>
    <row r="11005" spans="1:9" x14ac:dyDescent="0.25">
      <c r="A11005" t="str">
        <f t="shared" si="267"/>
        <v>89301000</v>
      </c>
      <c r="B11005" t="str">
        <f>"7057154588"</f>
        <v>7057154588</v>
      </c>
      <c r="C11005" s="1">
        <v>44936</v>
      </c>
      <c r="D11005" s="1">
        <v>44938</v>
      </c>
      <c r="E11005">
        <v>1</v>
      </c>
      <c r="F11005" t="str">
        <f>"08-K08-00"</f>
        <v>08-K08-00</v>
      </c>
      <c r="G11005">
        <v>0.5272</v>
      </c>
      <c r="H11005" t="s">
        <v>11</v>
      </c>
      <c r="I11005" t="s">
        <v>10</v>
      </c>
    </row>
    <row r="11006" spans="1:9" x14ac:dyDescent="0.25">
      <c r="A11006" t="str">
        <f t="shared" si="267"/>
        <v>89301000</v>
      </c>
      <c r="B11006" t="str">
        <f>"7057174311"</f>
        <v>7057174311</v>
      </c>
      <c r="C11006" s="1">
        <v>45049</v>
      </c>
      <c r="D11006" s="1">
        <v>45050</v>
      </c>
      <c r="E11006">
        <v>1</v>
      </c>
      <c r="F11006" t="str">
        <f>"05-K14-03"</f>
        <v>05-K14-03</v>
      </c>
      <c r="G11006">
        <v>0.3997</v>
      </c>
      <c r="H11006" t="s">
        <v>11</v>
      </c>
      <c r="I11006" t="s">
        <v>10</v>
      </c>
    </row>
    <row r="11007" spans="1:9" x14ac:dyDescent="0.25">
      <c r="A11007" t="str">
        <f t="shared" si="267"/>
        <v>89301000</v>
      </c>
      <c r="B11007" t="str">
        <f>"7057175356"</f>
        <v>7057175356</v>
      </c>
      <c r="C11007" s="1">
        <v>44945</v>
      </c>
      <c r="D11007" s="1">
        <v>44952</v>
      </c>
      <c r="E11007">
        <v>1</v>
      </c>
      <c r="F11007" t="str">
        <f>"01-I06-01"</f>
        <v>01-I06-01</v>
      </c>
      <c r="G11007">
        <v>8.0393000000000008</v>
      </c>
      <c r="H11007" t="s">
        <v>12</v>
      </c>
      <c r="I11007" t="s">
        <v>10</v>
      </c>
    </row>
    <row r="11008" spans="1:9" x14ac:dyDescent="0.25">
      <c r="A11008" t="str">
        <f t="shared" si="267"/>
        <v>89301000</v>
      </c>
      <c r="B11008" t="str">
        <f>"7057185355"</f>
        <v>7057185355</v>
      </c>
      <c r="C11008" s="1">
        <v>45196</v>
      </c>
      <c r="D11008" s="1">
        <v>45197</v>
      </c>
      <c r="E11008">
        <v>1</v>
      </c>
      <c r="F11008" t="str">
        <f>"13-I19-00"</f>
        <v>13-I19-00</v>
      </c>
      <c r="G11008">
        <v>0.28249999999999997</v>
      </c>
      <c r="H11008" t="s">
        <v>11</v>
      </c>
      <c r="I11008" t="s">
        <v>10</v>
      </c>
    </row>
    <row r="11009" spans="1:9" x14ac:dyDescent="0.25">
      <c r="A11009" t="str">
        <f t="shared" si="267"/>
        <v>89301000</v>
      </c>
      <c r="B11009" t="str">
        <f>"7057225780"</f>
        <v>7057225780</v>
      </c>
      <c r="C11009" s="1">
        <v>44994</v>
      </c>
      <c r="D11009" s="1">
        <v>44996</v>
      </c>
      <c r="E11009">
        <v>1</v>
      </c>
      <c r="F11009" t="str">
        <f>"09-I09-02"</f>
        <v>09-I09-02</v>
      </c>
      <c r="G11009">
        <v>0.76900000000000002</v>
      </c>
      <c r="H11009" t="s">
        <v>12</v>
      </c>
      <c r="I11009" t="s">
        <v>10</v>
      </c>
    </row>
    <row r="11010" spans="1:9" x14ac:dyDescent="0.25">
      <c r="A11010" t="str">
        <f t="shared" si="267"/>
        <v>89301000</v>
      </c>
      <c r="B11010" t="str">
        <f>"7057295784"</f>
        <v>7057295784</v>
      </c>
      <c r="C11010" s="1">
        <v>45131</v>
      </c>
      <c r="D11010" s="1">
        <v>45133</v>
      </c>
      <c r="E11010">
        <v>1</v>
      </c>
      <c r="F11010" t="str">
        <f>"08-K02-02"</f>
        <v>08-K02-02</v>
      </c>
      <c r="G11010">
        <v>0.81369999999999998</v>
      </c>
      <c r="H11010" t="s">
        <v>11</v>
      </c>
      <c r="I11010" t="s">
        <v>10</v>
      </c>
    </row>
    <row r="11011" spans="1:9" x14ac:dyDescent="0.25">
      <c r="A11011" t="str">
        <f t="shared" si="267"/>
        <v>89301000</v>
      </c>
      <c r="B11011" t="str">
        <f>"7057295784"</f>
        <v>7057295784</v>
      </c>
      <c r="C11011" s="1">
        <v>44998</v>
      </c>
      <c r="D11011" s="1">
        <v>45005</v>
      </c>
      <c r="E11011">
        <v>1</v>
      </c>
      <c r="F11011" t="str">
        <f>"08-K02-03"</f>
        <v>08-K02-03</v>
      </c>
      <c r="G11011">
        <v>0.67010000000000003</v>
      </c>
      <c r="H11011" t="s">
        <v>11</v>
      </c>
      <c r="I11011" t="s">
        <v>10</v>
      </c>
    </row>
    <row r="11012" spans="1:9" x14ac:dyDescent="0.25">
      <c r="A11012" t="str">
        <f t="shared" si="267"/>
        <v>89301000</v>
      </c>
      <c r="B11012" t="str">
        <f>"7058045181"</f>
        <v>7058045181</v>
      </c>
      <c r="C11012" s="1">
        <v>44956</v>
      </c>
      <c r="D11012" s="1">
        <v>44956</v>
      </c>
      <c r="E11012">
        <v>1</v>
      </c>
      <c r="F11012" t="str">
        <f>"08-K04-03"</f>
        <v>08-K04-03</v>
      </c>
      <c r="G11012">
        <v>0.20899999999999999</v>
      </c>
      <c r="H11012" t="s">
        <v>11</v>
      </c>
      <c r="I11012" t="s">
        <v>10</v>
      </c>
    </row>
    <row r="11013" spans="1:9" x14ac:dyDescent="0.25">
      <c r="A11013" t="str">
        <f t="shared" si="267"/>
        <v>89301000</v>
      </c>
      <c r="B11013" t="str">
        <f>"7058045181"</f>
        <v>7058045181</v>
      </c>
      <c r="C11013" s="1">
        <v>45082</v>
      </c>
      <c r="D11013" s="1">
        <v>45085</v>
      </c>
      <c r="E11013">
        <v>1</v>
      </c>
      <c r="F11013" t="str">
        <f>"08-M03-05"</f>
        <v>08-M03-05</v>
      </c>
      <c r="G11013">
        <v>0.46910000000000002</v>
      </c>
      <c r="H11013" t="s">
        <v>11</v>
      </c>
      <c r="I11013" t="s">
        <v>10</v>
      </c>
    </row>
    <row r="11014" spans="1:9" x14ac:dyDescent="0.25">
      <c r="A11014" t="str">
        <f t="shared" si="267"/>
        <v>89301000</v>
      </c>
      <c r="B11014" t="str">
        <f>"7058045313"</f>
        <v>7058045313</v>
      </c>
      <c r="C11014" s="1">
        <v>45126</v>
      </c>
      <c r="D11014" s="1">
        <v>45133</v>
      </c>
      <c r="E11014">
        <v>1</v>
      </c>
      <c r="F11014" t="str">
        <f>"06-I12-03"</f>
        <v>06-I12-03</v>
      </c>
      <c r="G11014">
        <v>1.9540999999999999</v>
      </c>
      <c r="H11014" t="s">
        <v>11</v>
      </c>
      <c r="I11014" t="s">
        <v>10</v>
      </c>
    </row>
    <row r="11015" spans="1:9" x14ac:dyDescent="0.25">
      <c r="A11015" t="str">
        <f t="shared" si="267"/>
        <v>89301000</v>
      </c>
      <c r="B11015" t="str">
        <f>"7058045775"</f>
        <v>7058045775</v>
      </c>
      <c r="C11015" s="1">
        <v>45173</v>
      </c>
      <c r="D11015" s="1">
        <v>45179</v>
      </c>
      <c r="E11015">
        <v>1</v>
      </c>
      <c r="F11015" t="str">
        <f>"13-I11-03"</f>
        <v>13-I11-03</v>
      </c>
      <c r="G11015">
        <v>1.4332</v>
      </c>
      <c r="H11015" t="s">
        <v>9</v>
      </c>
      <c r="I11015" t="s">
        <v>10</v>
      </c>
    </row>
    <row r="11016" spans="1:9" x14ac:dyDescent="0.25">
      <c r="A11016" t="str">
        <f t="shared" si="267"/>
        <v>89301000</v>
      </c>
      <c r="B11016" t="str">
        <f>"7058054850"</f>
        <v>7058054850</v>
      </c>
      <c r="C11016" s="1">
        <v>45278</v>
      </c>
      <c r="D11016" s="1">
        <v>45279</v>
      </c>
      <c r="E11016">
        <v>1</v>
      </c>
      <c r="F11016" t="str">
        <f>"08-I32-00"</f>
        <v>08-I32-00</v>
      </c>
      <c r="G11016">
        <v>0.40870000000000001</v>
      </c>
      <c r="H11016" t="s">
        <v>11</v>
      </c>
      <c r="I11016" t="s">
        <v>10</v>
      </c>
    </row>
    <row r="11017" spans="1:9" x14ac:dyDescent="0.25">
      <c r="A11017" t="str">
        <f t="shared" si="267"/>
        <v>89301000</v>
      </c>
      <c r="B11017" t="str">
        <f>"7058054850"</f>
        <v>7058054850</v>
      </c>
      <c r="C11017" s="1">
        <v>45019</v>
      </c>
      <c r="D11017" s="1">
        <v>45020</v>
      </c>
      <c r="E11017">
        <v>1</v>
      </c>
      <c r="F11017" t="str">
        <f>"08-I15-03"</f>
        <v>08-I15-03</v>
      </c>
      <c r="G11017">
        <v>0.94059999999999999</v>
      </c>
      <c r="H11017" t="s">
        <v>12</v>
      </c>
      <c r="I11017" t="s">
        <v>10</v>
      </c>
    </row>
    <row r="11018" spans="1:9" x14ac:dyDescent="0.25">
      <c r="A11018" t="str">
        <f t="shared" si="267"/>
        <v>89301000</v>
      </c>
      <c r="B11018" t="str">
        <f>"7058205759"</f>
        <v>7058205759</v>
      </c>
      <c r="C11018" s="1">
        <v>45253</v>
      </c>
      <c r="D11018" s="1">
        <v>45256</v>
      </c>
      <c r="E11018">
        <v>1</v>
      </c>
      <c r="F11018" t="str">
        <f>"05-I30-01"</f>
        <v>05-I30-01</v>
      </c>
      <c r="G11018">
        <v>0.60309999999999997</v>
      </c>
      <c r="H11018" t="s">
        <v>12</v>
      </c>
      <c r="I11018" t="s">
        <v>10</v>
      </c>
    </row>
    <row r="11019" spans="1:9" x14ac:dyDescent="0.25">
      <c r="A11019" t="str">
        <f t="shared" si="267"/>
        <v>89301000</v>
      </c>
      <c r="B11019" t="str">
        <f>"7058275334"</f>
        <v>7058275334</v>
      </c>
      <c r="C11019" s="1">
        <v>45254</v>
      </c>
      <c r="D11019" s="1">
        <v>45256</v>
      </c>
      <c r="E11019">
        <v>1</v>
      </c>
      <c r="F11019" t="str">
        <f>"13-I14-03"</f>
        <v>13-I14-03</v>
      </c>
      <c r="G11019">
        <v>0.87760000000000005</v>
      </c>
      <c r="H11019" t="s">
        <v>9</v>
      </c>
      <c r="I11019" t="s">
        <v>10</v>
      </c>
    </row>
    <row r="11020" spans="1:9" x14ac:dyDescent="0.25">
      <c r="A11020" t="str">
        <f t="shared" si="267"/>
        <v>89301000</v>
      </c>
      <c r="B11020" t="str">
        <f>"7059015337"</f>
        <v>7059015337</v>
      </c>
      <c r="C11020" s="1">
        <v>45007</v>
      </c>
      <c r="D11020" s="1">
        <v>45009</v>
      </c>
      <c r="E11020">
        <v>1</v>
      </c>
      <c r="F11020" t="str">
        <f>"13-I17-00"</f>
        <v>13-I17-00</v>
      </c>
      <c r="G11020">
        <v>0.80579999999999996</v>
      </c>
      <c r="H11020" t="s">
        <v>9</v>
      </c>
      <c r="I11020" t="s">
        <v>10</v>
      </c>
    </row>
    <row r="11021" spans="1:9" x14ac:dyDescent="0.25">
      <c r="A11021" t="str">
        <f t="shared" si="267"/>
        <v>89301000</v>
      </c>
      <c r="B11021" t="str">
        <f>"7059031485"</f>
        <v>7059031485</v>
      </c>
      <c r="C11021" s="1">
        <v>45216</v>
      </c>
      <c r="D11021" s="1">
        <v>45219</v>
      </c>
      <c r="E11021">
        <v>1</v>
      </c>
      <c r="F11021" t="str">
        <f>"08-I23-02"</f>
        <v>08-I23-02</v>
      </c>
      <c r="G11021">
        <v>0.91059999999999997</v>
      </c>
      <c r="H11021" t="s">
        <v>12</v>
      </c>
      <c r="I11021" t="s">
        <v>10</v>
      </c>
    </row>
    <row r="11022" spans="1:9" x14ac:dyDescent="0.25">
      <c r="A11022" t="str">
        <f t="shared" si="267"/>
        <v>89301000</v>
      </c>
      <c r="B11022" t="str">
        <f>"7059035808"</f>
        <v>7059035808</v>
      </c>
      <c r="C11022" s="1">
        <v>44943</v>
      </c>
      <c r="D11022" s="1">
        <v>44973</v>
      </c>
      <c r="E11022">
        <v>1</v>
      </c>
      <c r="F11022" t="str">
        <f>"00-M08-00"</f>
        <v>00-M08-00</v>
      </c>
      <c r="G11022">
        <v>5.0376000000000003</v>
      </c>
      <c r="H11022" t="s">
        <v>14</v>
      </c>
      <c r="I11022" t="s">
        <v>10</v>
      </c>
    </row>
    <row r="11023" spans="1:9" x14ac:dyDescent="0.25">
      <c r="A11023" t="str">
        <f t="shared" si="267"/>
        <v>89301000</v>
      </c>
      <c r="B11023" t="str">
        <f>"7059075309"</f>
        <v>7059075309</v>
      </c>
      <c r="C11023" s="1">
        <v>45078</v>
      </c>
      <c r="D11023" s="1">
        <v>45082</v>
      </c>
      <c r="E11023">
        <v>1</v>
      </c>
      <c r="F11023" t="str">
        <f>"06-I17-02"</f>
        <v>06-I17-02</v>
      </c>
      <c r="G11023">
        <v>1.0106999999999999</v>
      </c>
      <c r="H11023" t="s">
        <v>12</v>
      </c>
      <c r="I11023" t="s">
        <v>10</v>
      </c>
    </row>
    <row r="11024" spans="1:9" x14ac:dyDescent="0.25">
      <c r="A11024" t="str">
        <f t="shared" si="267"/>
        <v>89301000</v>
      </c>
      <c r="B11024" t="str">
        <f>"7059204119"</f>
        <v>7059204119</v>
      </c>
      <c r="C11024" s="1">
        <v>45266</v>
      </c>
      <c r="D11024" s="1">
        <v>45279</v>
      </c>
      <c r="E11024">
        <v>1</v>
      </c>
      <c r="F11024" t="str">
        <f>"19-K04-02"</f>
        <v>19-K04-02</v>
      </c>
      <c r="G11024">
        <v>1.3379000000000001</v>
      </c>
      <c r="H11024" t="s">
        <v>15</v>
      </c>
      <c r="I11024" t="s">
        <v>10</v>
      </c>
    </row>
    <row r="11025" spans="1:9" x14ac:dyDescent="0.25">
      <c r="A11025" t="str">
        <f t="shared" si="267"/>
        <v>89301000</v>
      </c>
      <c r="B11025" t="str">
        <f>"7059209949"</f>
        <v>7059209949</v>
      </c>
      <c r="C11025" s="1">
        <v>45042</v>
      </c>
      <c r="D11025" s="1">
        <v>45046</v>
      </c>
      <c r="E11025">
        <v>1</v>
      </c>
      <c r="F11025" t="str">
        <f>"05-I24-04"</f>
        <v>05-I24-04</v>
      </c>
      <c r="G11025">
        <v>2.1324000000000001</v>
      </c>
      <c r="H11025" t="s">
        <v>12</v>
      </c>
      <c r="I11025" t="s">
        <v>10</v>
      </c>
    </row>
    <row r="11026" spans="1:9" x14ac:dyDescent="0.25">
      <c r="A11026" t="str">
        <f t="shared" si="267"/>
        <v>89301000</v>
      </c>
      <c r="B11026" t="str">
        <f>"7059215350"</f>
        <v>7059215350</v>
      </c>
      <c r="C11026" s="1">
        <v>45264</v>
      </c>
      <c r="D11026" s="1">
        <v>45282</v>
      </c>
      <c r="E11026">
        <v>1</v>
      </c>
      <c r="F11026" t="str">
        <f>"07-K04-03"</f>
        <v>07-K04-03</v>
      </c>
      <c r="G11026">
        <v>1.3242</v>
      </c>
      <c r="H11026" t="s">
        <v>11</v>
      </c>
      <c r="I11026" t="s">
        <v>10</v>
      </c>
    </row>
    <row r="11027" spans="1:9" x14ac:dyDescent="0.25">
      <c r="A11027" t="str">
        <f t="shared" si="267"/>
        <v>89301000</v>
      </c>
      <c r="B11027" t="str">
        <f>"7059224843"</f>
        <v>7059224843</v>
      </c>
      <c r="C11027" s="1">
        <v>45282</v>
      </c>
      <c r="D11027" s="1">
        <v>45289</v>
      </c>
      <c r="E11027">
        <v>1</v>
      </c>
      <c r="F11027" t="str">
        <f>"03-K13-02"</f>
        <v>03-K13-02</v>
      </c>
      <c r="G11027">
        <v>0.3422</v>
      </c>
      <c r="H11027" t="s">
        <v>11</v>
      </c>
      <c r="I11027" t="s">
        <v>10</v>
      </c>
    </row>
    <row r="11028" spans="1:9" x14ac:dyDescent="0.25">
      <c r="A11028" t="str">
        <f t="shared" si="267"/>
        <v>89301000</v>
      </c>
      <c r="B11028" t="str">
        <f>"7059244478"</f>
        <v>7059244478</v>
      </c>
      <c r="C11028" s="1">
        <v>44991</v>
      </c>
      <c r="D11028" s="1">
        <v>44993</v>
      </c>
      <c r="E11028">
        <v>1</v>
      </c>
      <c r="F11028" t="str">
        <f>"09-I04-02"</f>
        <v>09-I04-02</v>
      </c>
      <c r="G11028">
        <v>1.0899000000000001</v>
      </c>
      <c r="H11028" t="s">
        <v>12</v>
      </c>
      <c r="I11028" t="s">
        <v>10</v>
      </c>
    </row>
    <row r="11029" spans="1:9" x14ac:dyDescent="0.25">
      <c r="A11029" t="str">
        <f t="shared" si="267"/>
        <v>89301000</v>
      </c>
      <c r="B11029" t="str">
        <f>"7059244478"</f>
        <v>7059244478</v>
      </c>
      <c r="C11029" s="1">
        <v>45166</v>
      </c>
      <c r="D11029" s="1">
        <v>45168</v>
      </c>
      <c r="E11029">
        <v>1</v>
      </c>
      <c r="F11029" t="str">
        <f>"18-K02-03"</f>
        <v>18-K02-03</v>
      </c>
      <c r="G11029">
        <v>0.9234</v>
      </c>
      <c r="H11029" t="s">
        <v>11</v>
      </c>
      <c r="I11029" t="s">
        <v>10</v>
      </c>
    </row>
    <row r="11030" spans="1:9" x14ac:dyDescent="0.25">
      <c r="A11030" t="str">
        <f t="shared" si="267"/>
        <v>89301000</v>
      </c>
      <c r="B11030" t="str">
        <f>"7059254466"</f>
        <v>7059254466</v>
      </c>
      <c r="C11030" s="1">
        <v>45252</v>
      </c>
      <c r="D11030" s="1">
        <v>45254</v>
      </c>
      <c r="E11030">
        <v>1</v>
      </c>
      <c r="F11030" t="str">
        <f>"05-M05-02"</f>
        <v>05-M05-02</v>
      </c>
      <c r="G11030">
        <v>3.4817999999999998</v>
      </c>
      <c r="H11030" t="s">
        <v>14</v>
      </c>
      <c r="I11030" t="s">
        <v>10</v>
      </c>
    </row>
    <row r="11031" spans="1:9" x14ac:dyDescent="0.25">
      <c r="A11031" t="str">
        <f t="shared" si="267"/>
        <v>89301000</v>
      </c>
      <c r="B11031" t="str">
        <f>"7060033530"</f>
        <v>7060033530</v>
      </c>
      <c r="C11031" s="1">
        <v>44942</v>
      </c>
      <c r="D11031" s="1">
        <v>44949</v>
      </c>
      <c r="E11031">
        <v>1</v>
      </c>
      <c r="F11031" t="str">
        <f>"09-I09-02"</f>
        <v>09-I09-02</v>
      </c>
      <c r="G11031">
        <v>0.76900000000000002</v>
      </c>
      <c r="H11031" t="s">
        <v>12</v>
      </c>
      <c r="I11031" t="s">
        <v>10</v>
      </c>
    </row>
    <row r="11032" spans="1:9" x14ac:dyDescent="0.25">
      <c r="A11032" t="str">
        <f t="shared" si="267"/>
        <v>89301000</v>
      </c>
      <c r="B11032" t="str">
        <f>"7060095515"</f>
        <v>7060095515</v>
      </c>
      <c r="C11032" s="1">
        <v>45271</v>
      </c>
      <c r="D11032" s="1">
        <v>45274</v>
      </c>
      <c r="E11032">
        <v>1</v>
      </c>
      <c r="F11032" t="str">
        <f>"13-I11-03"</f>
        <v>13-I11-03</v>
      </c>
      <c r="G11032">
        <v>1.4332</v>
      </c>
      <c r="H11032" t="s">
        <v>9</v>
      </c>
      <c r="I11032" t="s">
        <v>10</v>
      </c>
    </row>
    <row r="11033" spans="1:9" x14ac:dyDescent="0.25">
      <c r="A11033" t="str">
        <f t="shared" si="267"/>
        <v>89301000</v>
      </c>
      <c r="B11033" t="str">
        <f>"7060104469"</f>
        <v>7060104469</v>
      </c>
      <c r="C11033" s="1">
        <v>44993</v>
      </c>
      <c r="D11033" s="1">
        <v>44995</v>
      </c>
      <c r="E11033">
        <v>1</v>
      </c>
      <c r="F11033" t="str">
        <f>"06-M01-02"</f>
        <v>06-M01-02</v>
      </c>
      <c r="G11033">
        <v>1.2206999999999999</v>
      </c>
      <c r="H11033" t="s">
        <v>11</v>
      </c>
      <c r="I11033" t="s">
        <v>10</v>
      </c>
    </row>
    <row r="11034" spans="1:9" x14ac:dyDescent="0.25">
      <c r="A11034" t="str">
        <f t="shared" si="267"/>
        <v>89301000</v>
      </c>
      <c r="B11034" t="str">
        <f>"7060124929"</f>
        <v>7060124929</v>
      </c>
      <c r="C11034" s="1">
        <v>45138</v>
      </c>
      <c r="D11034" s="1">
        <v>45154</v>
      </c>
      <c r="E11034">
        <v>1</v>
      </c>
      <c r="F11034" t="str">
        <f>"20-K05-02"</f>
        <v>20-K05-02</v>
      </c>
      <c r="G11034">
        <v>1.7688999999999999</v>
      </c>
      <c r="H11034" t="s">
        <v>11</v>
      </c>
      <c r="I11034" t="s">
        <v>10</v>
      </c>
    </row>
    <row r="11035" spans="1:9" x14ac:dyDescent="0.25">
      <c r="A11035" t="str">
        <f t="shared" si="267"/>
        <v>89301000</v>
      </c>
      <c r="B11035" t="str">
        <f>"7060174462"</f>
        <v>7060174462</v>
      </c>
      <c r="C11035" s="1">
        <v>44935</v>
      </c>
      <c r="D11035" s="1">
        <v>44936</v>
      </c>
      <c r="E11035">
        <v>1</v>
      </c>
      <c r="F11035" t="str">
        <f>"13-I19-00"</f>
        <v>13-I19-00</v>
      </c>
      <c r="G11035">
        <v>0.28249999999999997</v>
      </c>
      <c r="H11035" t="s">
        <v>11</v>
      </c>
      <c r="I11035" t="s">
        <v>10</v>
      </c>
    </row>
    <row r="11036" spans="1:9" x14ac:dyDescent="0.25">
      <c r="A11036" t="str">
        <f t="shared" si="267"/>
        <v>89301000</v>
      </c>
      <c r="B11036" t="str">
        <f>"7060174462"</f>
        <v>7060174462</v>
      </c>
      <c r="C11036" s="1">
        <v>45232</v>
      </c>
      <c r="D11036" s="1">
        <v>45235</v>
      </c>
      <c r="E11036">
        <v>1</v>
      </c>
      <c r="F11036" t="str">
        <f>"07-I10-06"</f>
        <v>07-I10-06</v>
      </c>
      <c r="G11036">
        <v>0.98419999999999996</v>
      </c>
      <c r="H11036" t="s">
        <v>12</v>
      </c>
      <c r="I11036" t="s">
        <v>10</v>
      </c>
    </row>
    <row r="11037" spans="1:9" x14ac:dyDescent="0.25">
      <c r="A11037" t="str">
        <f t="shared" si="267"/>
        <v>89301000</v>
      </c>
      <c r="B11037" t="str">
        <f>"7060305318"</f>
        <v>7060305318</v>
      </c>
      <c r="C11037" s="1">
        <v>45245</v>
      </c>
      <c r="D11037" s="1">
        <v>45249</v>
      </c>
      <c r="E11037">
        <v>1</v>
      </c>
      <c r="F11037" t="str">
        <f>"13-I11-03"</f>
        <v>13-I11-03</v>
      </c>
      <c r="G11037">
        <v>1.4332</v>
      </c>
      <c r="H11037" t="s">
        <v>9</v>
      </c>
      <c r="I11037" t="s">
        <v>10</v>
      </c>
    </row>
    <row r="11038" spans="1:9" x14ac:dyDescent="0.25">
      <c r="A11038" t="str">
        <f t="shared" si="267"/>
        <v>89301000</v>
      </c>
      <c r="B11038" t="str">
        <f>"7060305318"</f>
        <v>7060305318</v>
      </c>
      <c r="C11038" s="1">
        <v>45156</v>
      </c>
      <c r="D11038" s="1">
        <v>45157</v>
      </c>
      <c r="E11038">
        <v>1</v>
      </c>
      <c r="F11038" t="str">
        <f>"13-I19-00"</f>
        <v>13-I19-00</v>
      </c>
      <c r="G11038">
        <v>0.28249999999999997</v>
      </c>
      <c r="H11038" t="s">
        <v>11</v>
      </c>
      <c r="I11038" t="s">
        <v>10</v>
      </c>
    </row>
    <row r="11039" spans="1:9" x14ac:dyDescent="0.25">
      <c r="A11039" t="str">
        <f t="shared" si="267"/>
        <v>89301000</v>
      </c>
      <c r="B11039" t="str">
        <f>"7060305780"</f>
        <v>7060305780</v>
      </c>
      <c r="C11039" s="1">
        <v>45201</v>
      </c>
      <c r="D11039" s="1">
        <v>45204</v>
      </c>
      <c r="E11039">
        <v>1</v>
      </c>
      <c r="F11039" t="str">
        <f>"13-I17-00"</f>
        <v>13-I17-00</v>
      </c>
      <c r="G11039">
        <v>0.80579999999999996</v>
      </c>
      <c r="H11039" t="s">
        <v>9</v>
      </c>
      <c r="I11039" t="s">
        <v>10</v>
      </c>
    </row>
    <row r="11040" spans="1:9" x14ac:dyDescent="0.25">
      <c r="A11040" t="str">
        <f t="shared" si="267"/>
        <v>89301000</v>
      </c>
      <c r="B11040" t="str">
        <f>"7060305780"</f>
        <v>7060305780</v>
      </c>
      <c r="C11040" s="1">
        <v>45028</v>
      </c>
      <c r="D11040" s="1">
        <v>45033</v>
      </c>
      <c r="E11040">
        <v>1</v>
      </c>
      <c r="F11040" t="str">
        <f>"13-I18-01"</f>
        <v>13-I18-01</v>
      </c>
      <c r="G11040">
        <v>1.7659</v>
      </c>
      <c r="H11040" t="s">
        <v>11</v>
      </c>
      <c r="I11040" t="s">
        <v>10</v>
      </c>
    </row>
    <row r="11041" spans="1:9" x14ac:dyDescent="0.25">
      <c r="A11041" t="str">
        <f t="shared" si="267"/>
        <v>89301000</v>
      </c>
      <c r="B11041" t="str">
        <f>"7061050062"</f>
        <v>7061050062</v>
      </c>
      <c r="C11041" s="1">
        <v>45224</v>
      </c>
      <c r="D11041" s="1">
        <v>45229</v>
      </c>
      <c r="E11041">
        <v>1</v>
      </c>
      <c r="F11041" t="str">
        <f>"13-I04-01"</f>
        <v>13-I04-01</v>
      </c>
      <c r="G11041">
        <v>2.8856000000000002</v>
      </c>
      <c r="H11041" t="s">
        <v>14</v>
      </c>
      <c r="I11041" t="s">
        <v>10</v>
      </c>
    </row>
    <row r="11042" spans="1:9" x14ac:dyDescent="0.25">
      <c r="A11042" t="str">
        <f t="shared" si="267"/>
        <v>89301000</v>
      </c>
      <c r="B11042" t="str">
        <f>"7061125236"</f>
        <v>7061125236</v>
      </c>
      <c r="C11042" s="1">
        <v>45114</v>
      </c>
      <c r="D11042" s="1">
        <v>45118</v>
      </c>
      <c r="E11042">
        <v>1</v>
      </c>
      <c r="F11042" t="str">
        <f>"08-I04-03"</f>
        <v>08-I04-03</v>
      </c>
      <c r="G11042">
        <v>1.3045</v>
      </c>
      <c r="H11042" t="s">
        <v>14</v>
      </c>
      <c r="I11042" t="s">
        <v>10</v>
      </c>
    </row>
    <row r="11043" spans="1:9" x14ac:dyDescent="0.25">
      <c r="A11043" t="str">
        <f t="shared" si="267"/>
        <v>89301000</v>
      </c>
      <c r="B11043" t="str">
        <f>"7061125236"</f>
        <v>7061125236</v>
      </c>
      <c r="C11043" s="1">
        <v>45175</v>
      </c>
      <c r="D11043" s="1">
        <v>45177</v>
      </c>
      <c r="E11043">
        <v>1</v>
      </c>
      <c r="F11043" t="str">
        <f>"05-K12-01"</f>
        <v>05-K12-01</v>
      </c>
      <c r="G11043">
        <v>1.2442</v>
      </c>
      <c r="H11043" t="s">
        <v>11</v>
      </c>
      <c r="I11043" t="s">
        <v>10</v>
      </c>
    </row>
    <row r="11044" spans="1:9" x14ac:dyDescent="0.25">
      <c r="A11044" t="str">
        <f t="shared" si="267"/>
        <v>89301000</v>
      </c>
      <c r="B11044" t="str">
        <f>"7061265343"</f>
        <v>7061265343</v>
      </c>
      <c r="C11044" s="1">
        <v>45272</v>
      </c>
      <c r="D11044" s="1">
        <v>45279</v>
      </c>
      <c r="E11044">
        <v>1</v>
      </c>
      <c r="F11044" t="str">
        <f>"01-I06-04"</f>
        <v>01-I06-04</v>
      </c>
      <c r="G11044">
        <v>3.6478999999999999</v>
      </c>
      <c r="H11044" t="s">
        <v>12</v>
      </c>
      <c r="I11044" t="s">
        <v>10</v>
      </c>
    </row>
    <row r="11045" spans="1:9" x14ac:dyDescent="0.25">
      <c r="A11045" t="str">
        <f t="shared" ref="A11045:A11108" si="268">"89301000"</f>
        <v>89301000</v>
      </c>
      <c r="B11045" t="str">
        <f>"7061285308"</f>
        <v>7061285308</v>
      </c>
      <c r="C11045" s="1">
        <v>45267</v>
      </c>
      <c r="D11045" s="1">
        <v>45269</v>
      </c>
      <c r="E11045">
        <v>1</v>
      </c>
      <c r="F11045" t="str">
        <f>"09-I09-02"</f>
        <v>09-I09-02</v>
      </c>
      <c r="G11045">
        <v>0.76900000000000002</v>
      </c>
      <c r="H11045" t="s">
        <v>12</v>
      </c>
      <c r="I11045" t="s">
        <v>10</v>
      </c>
    </row>
    <row r="11046" spans="1:9" x14ac:dyDescent="0.25">
      <c r="A11046" t="str">
        <f t="shared" si="268"/>
        <v>89301000</v>
      </c>
      <c r="B11046" t="str">
        <f>"7062023507"</f>
        <v>7062023507</v>
      </c>
      <c r="C11046" s="1">
        <v>45055</v>
      </c>
      <c r="D11046" s="1">
        <v>45061</v>
      </c>
      <c r="E11046">
        <v>1</v>
      </c>
      <c r="F11046" t="str">
        <f>"08-I03-04"</f>
        <v>08-I03-04</v>
      </c>
      <c r="G11046">
        <v>4.7522000000000002</v>
      </c>
      <c r="H11046" t="s">
        <v>9</v>
      </c>
      <c r="I11046" t="s">
        <v>10</v>
      </c>
    </row>
    <row r="11047" spans="1:9" x14ac:dyDescent="0.25">
      <c r="A11047" t="str">
        <f t="shared" si="268"/>
        <v>89301000</v>
      </c>
      <c r="B11047" t="str">
        <f>"7062023507"</f>
        <v>7062023507</v>
      </c>
      <c r="C11047" s="1">
        <v>45180</v>
      </c>
      <c r="D11047" s="1">
        <v>45191</v>
      </c>
      <c r="E11047">
        <v>1</v>
      </c>
      <c r="F11047" t="str">
        <f>"24-M06-02"</f>
        <v>24-M06-02</v>
      </c>
      <c r="G11047">
        <v>1.0699000000000001</v>
      </c>
      <c r="H11047" t="s">
        <v>11</v>
      </c>
      <c r="I11047" t="s">
        <v>10</v>
      </c>
    </row>
    <row r="11048" spans="1:9" x14ac:dyDescent="0.25">
      <c r="A11048" t="str">
        <f t="shared" si="268"/>
        <v>89301000</v>
      </c>
      <c r="B11048" t="str">
        <f>"7062055759"</f>
        <v>7062055759</v>
      </c>
      <c r="C11048" s="1">
        <v>45278</v>
      </c>
      <c r="D11048" s="1">
        <v>45281</v>
      </c>
      <c r="E11048">
        <v>1</v>
      </c>
      <c r="F11048" t="str">
        <f>"05-D01-06"</f>
        <v>05-D01-06</v>
      </c>
      <c r="G11048">
        <v>0.7571</v>
      </c>
      <c r="H11048" t="s">
        <v>11</v>
      </c>
      <c r="I11048" t="s">
        <v>10</v>
      </c>
    </row>
    <row r="11049" spans="1:9" x14ac:dyDescent="0.25">
      <c r="A11049" t="str">
        <f t="shared" si="268"/>
        <v>89301000</v>
      </c>
      <c r="B11049" t="str">
        <f>"7062065450"</f>
        <v>7062065450</v>
      </c>
      <c r="C11049" s="1">
        <v>45236</v>
      </c>
      <c r="D11049" s="1">
        <v>45238</v>
      </c>
      <c r="E11049">
        <v>1</v>
      </c>
      <c r="F11049" t="str">
        <f>"08-M03-05"</f>
        <v>08-M03-05</v>
      </c>
      <c r="G11049">
        <v>0.46810000000000002</v>
      </c>
      <c r="H11049" t="s">
        <v>11</v>
      </c>
      <c r="I11049" t="s">
        <v>10</v>
      </c>
    </row>
    <row r="11050" spans="1:9" x14ac:dyDescent="0.25">
      <c r="A11050" t="str">
        <f t="shared" si="268"/>
        <v>89301000</v>
      </c>
      <c r="B11050" t="str">
        <f>"7062095315"</f>
        <v>7062095315</v>
      </c>
      <c r="C11050" s="1">
        <v>45056</v>
      </c>
      <c r="D11050" s="1">
        <v>45061</v>
      </c>
      <c r="E11050">
        <v>1</v>
      </c>
      <c r="F11050" t="str">
        <f>"05-D01-06"</f>
        <v>05-D01-06</v>
      </c>
      <c r="G11050">
        <v>0.7571</v>
      </c>
      <c r="H11050" t="s">
        <v>11</v>
      </c>
      <c r="I11050" t="s">
        <v>10</v>
      </c>
    </row>
    <row r="11051" spans="1:9" x14ac:dyDescent="0.25">
      <c r="A11051" t="str">
        <f t="shared" si="268"/>
        <v>89301000</v>
      </c>
      <c r="B11051" t="str">
        <f>"7062205315"</f>
        <v>7062205315</v>
      </c>
      <c r="C11051" s="1">
        <v>45224</v>
      </c>
      <c r="D11051" s="1">
        <v>45229</v>
      </c>
      <c r="E11051">
        <v>4</v>
      </c>
      <c r="F11051" t="str">
        <f>"08-I06-04"</f>
        <v>08-I06-04</v>
      </c>
      <c r="G11051">
        <v>2.4180000000000001</v>
      </c>
      <c r="H11051" t="s">
        <v>9</v>
      </c>
      <c r="I11051" t="s">
        <v>10</v>
      </c>
    </row>
    <row r="11052" spans="1:9" x14ac:dyDescent="0.25">
      <c r="A11052" t="str">
        <f t="shared" si="268"/>
        <v>89301000</v>
      </c>
      <c r="B11052" t="str">
        <f>"7062244464"</f>
        <v>7062244464</v>
      </c>
      <c r="C11052" s="1">
        <v>45260</v>
      </c>
      <c r="D11052" s="1">
        <v>45263</v>
      </c>
      <c r="E11052">
        <v>1</v>
      </c>
      <c r="F11052" t="str">
        <f>"23-I07-00"</f>
        <v>23-I07-00</v>
      </c>
      <c r="G11052">
        <v>1.4204000000000001</v>
      </c>
      <c r="H11052" t="s">
        <v>9</v>
      </c>
      <c r="I11052" t="s">
        <v>10</v>
      </c>
    </row>
    <row r="11053" spans="1:9" x14ac:dyDescent="0.25">
      <c r="A11053" t="str">
        <f t="shared" si="268"/>
        <v>89301000</v>
      </c>
      <c r="B11053" t="str">
        <f>"7062295306"</f>
        <v>7062295306</v>
      </c>
      <c r="C11053" s="1">
        <v>45242</v>
      </c>
      <c r="D11053" s="1">
        <v>45250</v>
      </c>
      <c r="E11053">
        <v>4</v>
      </c>
      <c r="F11053" t="str">
        <f>"08-I05-04"</f>
        <v>08-I05-04</v>
      </c>
      <c r="G11053">
        <v>2.4445000000000001</v>
      </c>
      <c r="H11053" t="s">
        <v>12</v>
      </c>
      <c r="I11053" t="s">
        <v>10</v>
      </c>
    </row>
    <row r="11054" spans="1:9" x14ac:dyDescent="0.25">
      <c r="A11054" t="str">
        <f t="shared" si="268"/>
        <v>89301000</v>
      </c>
      <c r="B11054" t="str">
        <f>"7101055324"</f>
        <v>7101055324</v>
      </c>
      <c r="C11054" s="1">
        <v>45155</v>
      </c>
      <c r="D11054" s="1">
        <v>45158</v>
      </c>
      <c r="E11054">
        <v>1</v>
      </c>
      <c r="F11054" t="str">
        <f>"05-M07-06"</f>
        <v>05-M07-06</v>
      </c>
      <c r="G11054">
        <v>1.2264999999999999</v>
      </c>
      <c r="H11054" t="s">
        <v>12</v>
      </c>
      <c r="I11054" t="s">
        <v>10</v>
      </c>
    </row>
    <row r="11055" spans="1:9" x14ac:dyDescent="0.25">
      <c r="A11055" t="str">
        <f t="shared" si="268"/>
        <v>89301000</v>
      </c>
      <c r="B11055" t="str">
        <f>"7101065334"</f>
        <v>7101065334</v>
      </c>
      <c r="C11055" s="1">
        <v>45141</v>
      </c>
      <c r="D11055" s="1">
        <v>45141</v>
      </c>
      <c r="E11055">
        <v>1</v>
      </c>
      <c r="F11055" t="str">
        <f>"05-D01-08"</f>
        <v>05-D01-08</v>
      </c>
      <c r="G11055">
        <v>0.2303</v>
      </c>
      <c r="H11055" t="s">
        <v>11</v>
      </c>
      <c r="I11055" t="s">
        <v>10</v>
      </c>
    </row>
    <row r="11056" spans="1:9" x14ac:dyDescent="0.25">
      <c r="A11056" t="str">
        <f t="shared" si="268"/>
        <v>89301000</v>
      </c>
      <c r="B11056" t="str">
        <f>"7101154478"</f>
        <v>7101154478</v>
      </c>
      <c r="C11056" s="1">
        <v>45266</v>
      </c>
      <c r="D11056" s="1">
        <v>45268</v>
      </c>
      <c r="E11056">
        <v>1</v>
      </c>
      <c r="F11056" t="str">
        <f>"03-I24-00"</f>
        <v>03-I24-00</v>
      </c>
      <c r="G11056">
        <v>0.40670000000000001</v>
      </c>
      <c r="H11056" t="s">
        <v>11</v>
      </c>
      <c r="I11056" t="s">
        <v>10</v>
      </c>
    </row>
    <row r="11057" spans="1:9" x14ac:dyDescent="0.25">
      <c r="A11057" t="str">
        <f t="shared" si="268"/>
        <v>89301000</v>
      </c>
      <c r="B11057" t="str">
        <f>"7101215352"</f>
        <v>7101215352</v>
      </c>
      <c r="C11057" s="1">
        <v>44943</v>
      </c>
      <c r="D11057" s="1">
        <v>44944</v>
      </c>
      <c r="E11057">
        <v>1</v>
      </c>
      <c r="F11057" t="str">
        <f>"12-K04-00"</f>
        <v>12-K04-00</v>
      </c>
      <c r="G11057">
        <v>0.34389999999999998</v>
      </c>
      <c r="H11057" t="s">
        <v>11</v>
      </c>
      <c r="I11057" t="s">
        <v>10</v>
      </c>
    </row>
    <row r="11058" spans="1:9" x14ac:dyDescent="0.25">
      <c r="A11058" t="str">
        <f t="shared" si="268"/>
        <v>89301000</v>
      </c>
      <c r="B11058" t="str">
        <f>"7101255392"</f>
        <v>7101255392</v>
      </c>
      <c r="C11058" s="1">
        <v>45033</v>
      </c>
      <c r="D11058" s="1">
        <v>45037</v>
      </c>
      <c r="E11058">
        <v>1</v>
      </c>
      <c r="F11058" t="str">
        <f>"08-I05-04"</f>
        <v>08-I05-04</v>
      </c>
      <c r="G11058">
        <v>2.4445000000000001</v>
      </c>
      <c r="H11058" t="s">
        <v>12</v>
      </c>
      <c r="I11058" t="s">
        <v>10</v>
      </c>
    </row>
    <row r="11059" spans="1:9" x14ac:dyDescent="0.25">
      <c r="A11059" t="str">
        <f t="shared" si="268"/>
        <v>89301000</v>
      </c>
      <c r="B11059" t="str">
        <f>"7102054476"</f>
        <v>7102054476</v>
      </c>
      <c r="C11059" s="1">
        <v>45124</v>
      </c>
      <c r="D11059" s="1">
        <v>45125</v>
      </c>
      <c r="E11059">
        <v>1</v>
      </c>
      <c r="F11059" t="str">
        <f>"10-K15-02"</f>
        <v>10-K15-02</v>
      </c>
      <c r="G11059">
        <v>0.66379999999999995</v>
      </c>
      <c r="H11059" t="s">
        <v>11</v>
      </c>
      <c r="I11059" t="s">
        <v>10</v>
      </c>
    </row>
    <row r="11060" spans="1:9" x14ac:dyDescent="0.25">
      <c r="A11060" t="str">
        <f t="shared" si="268"/>
        <v>89301000</v>
      </c>
      <c r="B11060" t="str">
        <f>"7102054476"</f>
        <v>7102054476</v>
      </c>
      <c r="C11060" s="1">
        <v>45191</v>
      </c>
      <c r="D11060" s="1">
        <v>45193</v>
      </c>
      <c r="E11060">
        <v>1</v>
      </c>
      <c r="F11060" t="str">
        <f>"10-K15-02"</f>
        <v>10-K15-02</v>
      </c>
      <c r="G11060">
        <v>0.66379999999999995</v>
      </c>
      <c r="H11060" t="s">
        <v>11</v>
      </c>
      <c r="I11060" t="s">
        <v>10</v>
      </c>
    </row>
    <row r="11061" spans="1:9" x14ac:dyDescent="0.25">
      <c r="A11061" t="str">
        <f t="shared" si="268"/>
        <v>89301000</v>
      </c>
      <c r="B11061" t="str">
        <f>"7102095858"</f>
        <v>7102095858</v>
      </c>
      <c r="C11061" s="1">
        <v>45280</v>
      </c>
      <c r="D11061" s="1">
        <v>45282</v>
      </c>
      <c r="E11061">
        <v>1</v>
      </c>
      <c r="F11061" t="str">
        <f>"09-K04-02"</f>
        <v>09-K04-02</v>
      </c>
      <c r="G11061">
        <v>0.64849999999999997</v>
      </c>
      <c r="H11061" t="s">
        <v>11</v>
      </c>
      <c r="I11061" t="s">
        <v>10</v>
      </c>
    </row>
    <row r="11062" spans="1:9" x14ac:dyDescent="0.25">
      <c r="A11062" t="str">
        <f t="shared" si="268"/>
        <v>89301000</v>
      </c>
      <c r="B11062" t="str">
        <f>"7102095869"</f>
        <v>7102095869</v>
      </c>
      <c r="C11062" s="1">
        <v>45207</v>
      </c>
      <c r="D11062" s="1">
        <v>45208</v>
      </c>
      <c r="E11062">
        <v>1</v>
      </c>
      <c r="F11062" t="str">
        <f>"03-K02-03"</f>
        <v>03-K02-03</v>
      </c>
      <c r="G11062">
        <v>0.34050000000000002</v>
      </c>
      <c r="H11062" t="s">
        <v>11</v>
      </c>
      <c r="I11062" t="s">
        <v>10</v>
      </c>
    </row>
    <row r="11063" spans="1:9" x14ac:dyDescent="0.25">
      <c r="A11063" t="str">
        <f t="shared" si="268"/>
        <v>89301000</v>
      </c>
      <c r="B11063" t="str">
        <f>"7102095869"</f>
        <v>7102095869</v>
      </c>
      <c r="C11063" s="1">
        <v>45222</v>
      </c>
      <c r="D11063" s="1">
        <v>45224</v>
      </c>
      <c r="E11063">
        <v>1</v>
      </c>
      <c r="F11063" t="str">
        <f>"03-I18-01"</f>
        <v>03-I18-01</v>
      </c>
      <c r="G11063">
        <v>1.1439999999999999</v>
      </c>
      <c r="H11063" t="s">
        <v>9</v>
      </c>
      <c r="I11063" t="s">
        <v>10</v>
      </c>
    </row>
    <row r="11064" spans="1:9" x14ac:dyDescent="0.25">
      <c r="A11064" t="str">
        <f t="shared" si="268"/>
        <v>89301000</v>
      </c>
      <c r="B11064" t="str">
        <f>"7102114118"</f>
        <v>7102114118</v>
      </c>
      <c r="C11064" s="1">
        <v>45200</v>
      </c>
      <c r="D11064" s="1">
        <v>45209</v>
      </c>
      <c r="E11064">
        <v>1</v>
      </c>
      <c r="F11064" t="str">
        <f>"16-K02-02"</f>
        <v>16-K02-02</v>
      </c>
      <c r="G11064">
        <v>0.76349999999999996</v>
      </c>
      <c r="H11064" t="s">
        <v>11</v>
      </c>
      <c r="I11064" t="s">
        <v>10</v>
      </c>
    </row>
    <row r="11065" spans="1:9" x14ac:dyDescent="0.25">
      <c r="A11065" t="str">
        <f t="shared" si="268"/>
        <v>89301000</v>
      </c>
      <c r="B11065" t="str">
        <f>"7102135370"</f>
        <v>7102135370</v>
      </c>
      <c r="C11065" s="1">
        <v>45091</v>
      </c>
      <c r="D11065" s="1">
        <v>45092</v>
      </c>
      <c r="E11065">
        <v>1</v>
      </c>
      <c r="F11065" t="str">
        <f>"01-K01-02"</f>
        <v>01-K01-02</v>
      </c>
      <c r="G11065">
        <v>0.442</v>
      </c>
      <c r="H11065" t="s">
        <v>11</v>
      </c>
      <c r="I11065" t="s">
        <v>10</v>
      </c>
    </row>
    <row r="11066" spans="1:9" x14ac:dyDescent="0.25">
      <c r="A11066" t="str">
        <f t="shared" si="268"/>
        <v>89301000</v>
      </c>
      <c r="B11066" t="str">
        <f>"7102135370"</f>
        <v>7102135370</v>
      </c>
      <c r="C11066" s="1">
        <v>45105</v>
      </c>
      <c r="D11066" s="1">
        <v>45106</v>
      </c>
      <c r="E11066">
        <v>1</v>
      </c>
      <c r="F11066" t="str">
        <f>"01-K01-02"</f>
        <v>01-K01-02</v>
      </c>
      <c r="G11066">
        <v>0.442</v>
      </c>
      <c r="H11066" t="s">
        <v>11</v>
      </c>
      <c r="I11066" t="s">
        <v>10</v>
      </c>
    </row>
    <row r="11067" spans="1:9" x14ac:dyDescent="0.25">
      <c r="A11067" t="str">
        <f t="shared" si="268"/>
        <v>89301000</v>
      </c>
      <c r="B11067" t="str">
        <f>"7102155698"</f>
        <v>7102155698</v>
      </c>
      <c r="C11067" s="1">
        <v>45189</v>
      </c>
      <c r="D11067" s="1">
        <v>45191</v>
      </c>
      <c r="E11067">
        <v>1</v>
      </c>
      <c r="F11067" t="str">
        <f>"02-K07-01"</f>
        <v>02-K07-01</v>
      </c>
      <c r="G11067">
        <v>0.77580000000000005</v>
      </c>
      <c r="H11067" t="s">
        <v>11</v>
      </c>
      <c r="I11067" t="s">
        <v>10</v>
      </c>
    </row>
    <row r="11068" spans="1:9" x14ac:dyDescent="0.25">
      <c r="A11068" t="str">
        <f t="shared" si="268"/>
        <v>89301000</v>
      </c>
      <c r="B11068" t="str">
        <f>"7102165323"</f>
        <v>7102165323</v>
      </c>
      <c r="C11068" s="1">
        <v>45271</v>
      </c>
      <c r="D11068" s="1">
        <v>45280</v>
      </c>
      <c r="E11068">
        <v>1</v>
      </c>
      <c r="F11068" t="str">
        <f>"01-K13-02"</f>
        <v>01-K13-02</v>
      </c>
      <c r="G11068">
        <v>0.73899999999999999</v>
      </c>
      <c r="H11068" t="s">
        <v>11</v>
      </c>
      <c r="I11068" t="s">
        <v>10</v>
      </c>
    </row>
    <row r="11069" spans="1:9" x14ac:dyDescent="0.25">
      <c r="A11069" t="str">
        <f t="shared" si="268"/>
        <v>89301000</v>
      </c>
      <c r="B11069" t="str">
        <f>"7102205770"</f>
        <v>7102205770</v>
      </c>
      <c r="C11069" s="1">
        <v>45152</v>
      </c>
      <c r="D11069" s="1">
        <v>45153</v>
      </c>
      <c r="E11069">
        <v>1</v>
      </c>
      <c r="F11069" t="str">
        <f>"05-D01-08"</f>
        <v>05-D01-08</v>
      </c>
      <c r="G11069">
        <v>0.43159999999999998</v>
      </c>
      <c r="H11069" t="s">
        <v>11</v>
      </c>
      <c r="I11069" t="s">
        <v>10</v>
      </c>
    </row>
    <row r="11070" spans="1:9" x14ac:dyDescent="0.25">
      <c r="A11070" t="str">
        <f t="shared" si="268"/>
        <v>89301000</v>
      </c>
      <c r="B11070" t="str">
        <f>"7103054508"</f>
        <v>7103054508</v>
      </c>
      <c r="C11070" s="1">
        <v>45139</v>
      </c>
      <c r="D11070" s="1">
        <v>45140</v>
      </c>
      <c r="E11070">
        <v>1</v>
      </c>
      <c r="F11070" t="str">
        <f>"05-M06-08"</f>
        <v>05-M06-08</v>
      </c>
      <c r="G11070">
        <v>1.4228000000000001</v>
      </c>
      <c r="H11070" t="s">
        <v>12</v>
      </c>
      <c r="I11070" t="s">
        <v>10</v>
      </c>
    </row>
    <row r="11071" spans="1:9" x14ac:dyDescent="0.25">
      <c r="A11071" t="str">
        <f t="shared" si="268"/>
        <v>89301000</v>
      </c>
      <c r="B11071" t="str">
        <f>"7103054508"</f>
        <v>7103054508</v>
      </c>
      <c r="C11071" s="1">
        <v>45181</v>
      </c>
      <c r="D11071" s="1">
        <v>45181</v>
      </c>
      <c r="E11071">
        <v>1</v>
      </c>
      <c r="F11071" t="str">
        <f>"05-M06-08"</f>
        <v>05-M06-08</v>
      </c>
      <c r="G11071">
        <v>1.1012</v>
      </c>
      <c r="H11071" t="s">
        <v>12</v>
      </c>
      <c r="I11071" t="s">
        <v>10</v>
      </c>
    </row>
    <row r="11072" spans="1:9" x14ac:dyDescent="0.25">
      <c r="A11072" t="str">
        <f t="shared" si="268"/>
        <v>89301000</v>
      </c>
      <c r="B11072" t="str">
        <f>"7103054508"</f>
        <v>7103054508</v>
      </c>
      <c r="C11072" s="1">
        <v>45103</v>
      </c>
      <c r="D11072" s="1">
        <v>45107</v>
      </c>
      <c r="E11072">
        <v>1</v>
      </c>
      <c r="F11072" t="str">
        <f>"08-K01-03"</f>
        <v>08-K01-03</v>
      </c>
      <c r="G11072">
        <v>0.59570000000000001</v>
      </c>
      <c r="H11072" t="s">
        <v>11</v>
      </c>
      <c r="I11072" t="s">
        <v>10</v>
      </c>
    </row>
    <row r="11073" spans="1:9" x14ac:dyDescent="0.25">
      <c r="A11073" t="str">
        <f t="shared" si="268"/>
        <v>89301000</v>
      </c>
      <c r="B11073" t="str">
        <f>"7103054508"</f>
        <v>7103054508</v>
      </c>
      <c r="C11073" s="1">
        <v>45146</v>
      </c>
      <c r="D11073" s="1">
        <v>45149</v>
      </c>
      <c r="E11073">
        <v>1</v>
      </c>
      <c r="F11073" t="str">
        <f>"08-K04-03"</f>
        <v>08-K04-03</v>
      </c>
      <c r="G11073">
        <v>0.41799999999999998</v>
      </c>
      <c r="H11073" t="s">
        <v>11</v>
      </c>
      <c r="I11073" t="s">
        <v>10</v>
      </c>
    </row>
    <row r="11074" spans="1:9" x14ac:dyDescent="0.25">
      <c r="A11074" t="str">
        <f t="shared" si="268"/>
        <v>89301000</v>
      </c>
      <c r="B11074" t="str">
        <f>"7103055762"</f>
        <v>7103055762</v>
      </c>
      <c r="C11074" s="1">
        <v>45264</v>
      </c>
      <c r="D11074" s="1">
        <v>45268</v>
      </c>
      <c r="E11074">
        <v>1</v>
      </c>
      <c r="F11074" t="str">
        <f>"07-I10-02"</f>
        <v>07-I10-02</v>
      </c>
      <c r="G11074">
        <v>2.0217999999999998</v>
      </c>
      <c r="H11074" t="s">
        <v>12</v>
      </c>
      <c r="I11074" t="s">
        <v>10</v>
      </c>
    </row>
    <row r="11075" spans="1:9" x14ac:dyDescent="0.25">
      <c r="A11075" t="str">
        <f t="shared" si="268"/>
        <v>89301000</v>
      </c>
      <c r="B11075" t="str">
        <f>"7103059359"</f>
        <v>7103059359</v>
      </c>
      <c r="C11075" s="1">
        <v>45055</v>
      </c>
      <c r="D11075" s="1">
        <v>45060</v>
      </c>
      <c r="E11075">
        <v>1</v>
      </c>
      <c r="F11075" t="str">
        <f>"12-I03-01"</f>
        <v>12-I03-01</v>
      </c>
      <c r="G11075">
        <v>2.6934999999999998</v>
      </c>
      <c r="H11075" t="s">
        <v>9</v>
      </c>
      <c r="I11075" t="s">
        <v>10</v>
      </c>
    </row>
    <row r="11076" spans="1:9" x14ac:dyDescent="0.25">
      <c r="A11076" t="str">
        <f t="shared" si="268"/>
        <v>89301000</v>
      </c>
      <c r="B11076" t="str">
        <f>"7103065244"</f>
        <v>7103065244</v>
      </c>
      <c r="C11076" s="1">
        <v>44943</v>
      </c>
      <c r="D11076" s="1">
        <v>44944</v>
      </c>
      <c r="E11076">
        <v>1</v>
      </c>
      <c r="F11076" t="str">
        <f>"05-M06-08"</f>
        <v>05-M06-08</v>
      </c>
      <c r="G11076">
        <v>1.4228000000000001</v>
      </c>
      <c r="H11076" t="s">
        <v>12</v>
      </c>
      <c r="I11076" t="s">
        <v>10</v>
      </c>
    </row>
    <row r="11077" spans="1:9" x14ac:dyDescent="0.25">
      <c r="A11077" t="str">
        <f t="shared" si="268"/>
        <v>89301000</v>
      </c>
      <c r="B11077" t="str">
        <f>"7103065244"</f>
        <v>7103065244</v>
      </c>
      <c r="C11077" s="1">
        <v>44978</v>
      </c>
      <c r="D11077" s="1">
        <v>44978</v>
      </c>
      <c r="E11077">
        <v>1</v>
      </c>
      <c r="F11077" t="str">
        <f>"05-M06-08"</f>
        <v>05-M06-08</v>
      </c>
      <c r="G11077">
        <v>1.1012</v>
      </c>
      <c r="H11077" t="s">
        <v>12</v>
      </c>
      <c r="I11077" t="s">
        <v>10</v>
      </c>
    </row>
    <row r="11078" spans="1:9" x14ac:dyDescent="0.25">
      <c r="A11078" t="str">
        <f t="shared" si="268"/>
        <v>89301000</v>
      </c>
      <c r="B11078" t="str">
        <f>"7103065244"</f>
        <v>7103065244</v>
      </c>
      <c r="C11078" s="1">
        <v>45039</v>
      </c>
      <c r="D11078" s="1">
        <v>45041</v>
      </c>
      <c r="E11078">
        <v>1</v>
      </c>
      <c r="F11078" t="str">
        <f>"05-I14-04"</f>
        <v>05-I14-04</v>
      </c>
      <c r="G11078">
        <v>5.2220000000000004</v>
      </c>
      <c r="H11078" t="s">
        <v>12</v>
      </c>
      <c r="I11078" t="s">
        <v>10</v>
      </c>
    </row>
    <row r="11079" spans="1:9" x14ac:dyDescent="0.25">
      <c r="A11079" t="str">
        <f t="shared" si="268"/>
        <v>89301000</v>
      </c>
      <c r="B11079" t="str">
        <f>"7103105306"</f>
        <v>7103105306</v>
      </c>
      <c r="C11079" s="1">
        <v>44952</v>
      </c>
      <c r="D11079" s="1">
        <v>44953</v>
      </c>
      <c r="E11079">
        <v>1</v>
      </c>
      <c r="F11079" t="str">
        <f>"06-M01-02"</f>
        <v>06-M01-02</v>
      </c>
      <c r="G11079">
        <v>1.2206999999999999</v>
      </c>
      <c r="H11079" t="s">
        <v>11</v>
      </c>
      <c r="I11079" t="s">
        <v>10</v>
      </c>
    </row>
    <row r="11080" spans="1:9" x14ac:dyDescent="0.25">
      <c r="A11080" t="str">
        <f t="shared" si="268"/>
        <v>89301000</v>
      </c>
      <c r="B11080" t="str">
        <f>"7103174122"</f>
        <v>7103174122</v>
      </c>
      <c r="C11080" s="1">
        <v>45041</v>
      </c>
      <c r="D11080" s="1">
        <v>45046</v>
      </c>
      <c r="E11080">
        <v>1</v>
      </c>
      <c r="F11080" t="str">
        <f>"03-I17-00"</f>
        <v>03-I17-00</v>
      </c>
      <c r="G11080">
        <v>0.83489999999999998</v>
      </c>
      <c r="H11080" t="s">
        <v>9</v>
      </c>
      <c r="I11080" t="s">
        <v>10</v>
      </c>
    </row>
    <row r="11081" spans="1:9" x14ac:dyDescent="0.25">
      <c r="A11081" t="str">
        <f t="shared" si="268"/>
        <v>89301000</v>
      </c>
      <c r="B11081" t="str">
        <f>"7103185364"</f>
        <v>7103185364</v>
      </c>
      <c r="C11081" s="1">
        <v>45096</v>
      </c>
      <c r="D11081" s="1">
        <v>45114</v>
      </c>
      <c r="E11081">
        <v>1</v>
      </c>
      <c r="F11081" t="str">
        <f>"02-K01-02"</f>
        <v>02-K01-02</v>
      </c>
      <c r="G11081">
        <v>1.377</v>
      </c>
      <c r="H11081" t="s">
        <v>11</v>
      </c>
      <c r="I11081" t="s">
        <v>10</v>
      </c>
    </row>
    <row r="11082" spans="1:9" x14ac:dyDescent="0.25">
      <c r="A11082" t="str">
        <f t="shared" si="268"/>
        <v>89301000</v>
      </c>
      <c r="B11082" t="str">
        <f>"7103225833"</f>
        <v>7103225833</v>
      </c>
      <c r="C11082" s="1">
        <v>45260</v>
      </c>
      <c r="D11082" s="1">
        <v>45260</v>
      </c>
      <c r="E11082">
        <v>1</v>
      </c>
      <c r="F11082" t="str">
        <f>"05-M06-08"</f>
        <v>05-M06-08</v>
      </c>
      <c r="G11082">
        <v>1.1012</v>
      </c>
      <c r="H11082" t="s">
        <v>12</v>
      </c>
      <c r="I11082" t="s">
        <v>10</v>
      </c>
    </row>
    <row r="11083" spans="1:9" x14ac:dyDescent="0.25">
      <c r="A11083" t="str">
        <f t="shared" si="268"/>
        <v>89301000</v>
      </c>
      <c r="B11083" t="str">
        <f>"7103304989"</f>
        <v>7103304989</v>
      </c>
      <c r="C11083" s="1">
        <v>45225</v>
      </c>
      <c r="D11083" s="1">
        <v>45226</v>
      </c>
      <c r="E11083">
        <v>1</v>
      </c>
      <c r="F11083" t="str">
        <f>"06-K20-03"</f>
        <v>06-K20-03</v>
      </c>
      <c r="G11083">
        <v>0.40229999999999999</v>
      </c>
      <c r="H11083" t="s">
        <v>11</v>
      </c>
      <c r="I11083" t="s">
        <v>10</v>
      </c>
    </row>
    <row r="11084" spans="1:9" x14ac:dyDescent="0.25">
      <c r="A11084" t="str">
        <f t="shared" si="268"/>
        <v>89301000</v>
      </c>
      <c r="B11084" t="str">
        <f>"7104015347"</f>
        <v>7104015347</v>
      </c>
      <c r="C11084" s="1">
        <v>45141</v>
      </c>
      <c r="D11084" s="1">
        <v>45147</v>
      </c>
      <c r="E11084">
        <v>1</v>
      </c>
      <c r="F11084" t="str">
        <f>"12-I02-01"</f>
        <v>12-I02-01</v>
      </c>
      <c r="G11084">
        <v>3.3855</v>
      </c>
      <c r="H11084" t="s">
        <v>9</v>
      </c>
      <c r="I11084" t="s">
        <v>10</v>
      </c>
    </row>
    <row r="11085" spans="1:9" x14ac:dyDescent="0.25">
      <c r="A11085" t="str">
        <f t="shared" si="268"/>
        <v>89301000</v>
      </c>
      <c r="B11085" t="str">
        <f>"7104085747"</f>
        <v>7104085747</v>
      </c>
      <c r="C11085" s="1">
        <v>45203</v>
      </c>
      <c r="D11085" s="1">
        <v>45204</v>
      </c>
      <c r="E11085">
        <v>1</v>
      </c>
      <c r="F11085" t="str">
        <f>"01-D01-03"</f>
        <v>01-D01-03</v>
      </c>
      <c r="G11085">
        <v>0.16200000000000001</v>
      </c>
      <c r="H11085" t="s">
        <v>11</v>
      </c>
      <c r="I11085" t="s">
        <v>10</v>
      </c>
    </row>
    <row r="11086" spans="1:9" x14ac:dyDescent="0.25">
      <c r="A11086" t="str">
        <f t="shared" si="268"/>
        <v>89301000</v>
      </c>
      <c r="B11086" t="str">
        <f>"7104164507"</f>
        <v>7104164507</v>
      </c>
      <c r="C11086" s="1">
        <v>45246</v>
      </c>
      <c r="D11086" s="1">
        <v>45247</v>
      </c>
      <c r="E11086">
        <v>1</v>
      </c>
      <c r="F11086" t="str">
        <f>"03-K02-03"</f>
        <v>03-K02-03</v>
      </c>
      <c r="G11086">
        <v>0.33960000000000001</v>
      </c>
      <c r="H11086" t="s">
        <v>11</v>
      </c>
      <c r="I11086" t="s">
        <v>10</v>
      </c>
    </row>
    <row r="11087" spans="1:9" x14ac:dyDescent="0.25">
      <c r="A11087" t="str">
        <f t="shared" si="268"/>
        <v>89301000</v>
      </c>
      <c r="B11087" t="str">
        <f>"7104185319"</f>
        <v>7104185319</v>
      </c>
      <c r="C11087" s="1">
        <v>45027</v>
      </c>
      <c r="D11087" s="1">
        <v>45030</v>
      </c>
      <c r="E11087">
        <v>1</v>
      </c>
      <c r="F11087" t="str">
        <f>"03-I19-03"</f>
        <v>03-I19-03</v>
      </c>
      <c r="G11087">
        <v>0.53249999999999997</v>
      </c>
      <c r="H11087" t="s">
        <v>11</v>
      </c>
      <c r="I11087" t="s">
        <v>10</v>
      </c>
    </row>
    <row r="11088" spans="1:9" x14ac:dyDescent="0.25">
      <c r="A11088" t="str">
        <f t="shared" si="268"/>
        <v>89301000</v>
      </c>
      <c r="B11088" t="str">
        <f>"7104225304"</f>
        <v>7104225304</v>
      </c>
      <c r="C11088" s="1">
        <v>45171</v>
      </c>
      <c r="D11088" s="1">
        <v>45180</v>
      </c>
      <c r="E11088">
        <v>1</v>
      </c>
      <c r="F11088" t="str">
        <f>"07-M02-03"</f>
        <v>07-M02-03</v>
      </c>
      <c r="G11088">
        <v>1.2942</v>
      </c>
      <c r="H11088" t="s">
        <v>12</v>
      </c>
      <c r="I11088" t="s">
        <v>10</v>
      </c>
    </row>
    <row r="11089" spans="1:9" x14ac:dyDescent="0.25">
      <c r="A11089" t="str">
        <f t="shared" si="268"/>
        <v>89301000</v>
      </c>
      <c r="B11089" t="str">
        <f>"7104225304"</f>
        <v>7104225304</v>
      </c>
      <c r="C11089" s="1">
        <v>45217</v>
      </c>
      <c r="D11089" s="1">
        <v>45221</v>
      </c>
      <c r="E11089">
        <v>1</v>
      </c>
      <c r="F11089" t="str">
        <f>"07-I10-06"</f>
        <v>07-I10-06</v>
      </c>
      <c r="G11089">
        <v>0.98419999999999996</v>
      </c>
      <c r="H11089" t="s">
        <v>12</v>
      </c>
      <c r="I11089" t="s">
        <v>10</v>
      </c>
    </row>
    <row r="11090" spans="1:9" x14ac:dyDescent="0.25">
      <c r="A11090" t="str">
        <f t="shared" si="268"/>
        <v>89301000</v>
      </c>
      <c r="B11090" t="str">
        <f>"7104245324"</f>
        <v>7104245324</v>
      </c>
      <c r="C11090" s="1">
        <v>45159</v>
      </c>
      <c r="D11090" s="1">
        <v>45160</v>
      </c>
      <c r="E11090">
        <v>1</v>
      </c>
      <c r="F11090" t="str">
        <f>"05-M05-02"</f>
        <v>05-M05-02</v>
      </c>
      <c r="G11090">
        <v>3.6899000000000002</v>
      </c>
      <c r="H11090" t="s">
        <v>14</v>
      </c>
      <c r="I11090" t="s">
        <v>10</v>
      </c>
    </row>
    <row r="11091" spans="1:9" x14ac:dyDescent="0.25">
      <c r="A11091" t="str">
        <f t="shared" si="268"/>
        <v>89301000</v>
      </c>
      <c r="B11091" t="str">
        <f>"7104274122"</f>
        <v>7104274122</v>
      </c>
      <c r="C11091" s="1">
        <v>45238</v>
      </c>
      <c r="D11091" s="1">
        <v>45254</v>
      </c>
      <c r="E11091">
        <v>1</v>
      </c>
      <c r="F11091" t="str">
        <f>"08-I32-00"</f>
        <v>08-I32-00</v>
      </c>
      <c r="G11091">
        <v>1.4449000000000001</v>
      </c>
      <c r="H11091" t="s">
        <v>11</v>
      </c>
      <c r="I11091" t="s">
        <v>10</v>
      </c>
    </row>
    <row r="11092" spans="1:9" x14ac:dyDescent="0.25">
      <c r="A11092" t="str">
        <f t="shared" si="268"/>
        <v>89301000</v>
      </c>
      <c r="B11092" t="str">
        <f>"7105054495"</f>
        <v>7105054495</v>
      </c>
      <c r="C11092" s="1">
        <v>45192</v>
      </c>
      <c r="D11092" s="1">
        <v>45198</v>
      </c>
      <c r="E11092">
        <v>1</v>
      </c>
      <c r="F11092" t="str">
        <f>"06-K10-03"</f>
        <v>06-K10-03</v>
      </c>
      <c r="G11092">
        <v>0.43519999999999998</v>
      </c>
      <c r="H11092" t="s">
        <v>11</v>
      </c>
      <c r="I11092" t="s">
        <v>10</v>
      </c>
    </row>
    <row r="11093" spans="1:9" x14ac:dyDescent="0.25">
      <c r="A11093" t="str">
        <f t="shared" si="268"/>
        <v>89301000</v>
      </c>
      <c r="B11093" t="str">
        <f>"7105055771"</f>
        <v>7105055771</v>
      </c>
      <c r="C11093" s="1">
        <v>45274</v>
      </c>
      <c r="D11093" s="1">
        <v>45275</v>
      </c>
      <c r="E11093">
        <v>1</v>
      </c>
      <c r="F11093" t="str">
        <f>"02-I13-02"</f>
        <v>02-I13-02</v>
      </c>
      <c r="G11093">
        <v>0.4259</v>
      </c>
      <c r="H11093" t="s">
        <v>11</v>
      </c>
      <c r="I11093" t="s">
        <v>10</v>
      </c>
    </row>
    <row r="11094" spans="1:9" x14ac:dyDescent="0.25">
      <c r="A11094" t="str">
        <f t="shared" si="268"/>
        <v>89301000</v>
      </c>
      <c r="B11094" t="str">
        <f>"7105105304"</f>
        <v>7105105304</v>
      </c>
      <c r="C11094" s="1">
        <v>44978</v>
      </c>
      <c r="D11094" s="1">
        <v>44981</v>
      </c>
      <c r="E11094">
        <v>1</v>
      </c>
      <c r="F11094" t="str">
        <f>"06-I17-04"</f>
        <v>06-I17-04</v>
      </c>
      <c r="G11094">
        <v>0.49869999999999998</v>
      </c>
      <c r="H11094" t="s">
        <v>12</v>
      </c>
      <c r="I11094" t="s">
        <v>10</v>
      </c>
    </row>
    <row r="11095" spans="1:9" x14ac:dyDescent="0.25">
      <c r="A11095" t="str">
        <f t="shared" si="268"/>
        <v>89301000</v>
      </c>
      <c r="B11095" t="str">
        <f>"7105134487"</f>
        <v>7105134487</v>
      </c>
      <c r="C11095" s="1">
        <v>45104</v>
      </c>
      <c r="D11095" s="1">
        <v>45107</v>
      </c>
      <c r="E11095">
        <v>1</v>
      </c>
      <c r="F11095" t="str">
        <f>"07-K04-02"</f>
        <v>07-K04-02</v>
      </c>
      <c r="G11095">
        <v>1.4416</v>
      </c>
      <c r="H11095" t="s">
        <v>11</v>
      </c>
      <c r="I11095" t="s">
        <v>10</v>
      </c>
    </row>
    <row r="11096" spans="1:9" x14ac:dyDescent="0.25">
      <c r="A11096" t="str">
        <f t="shared" si="268"/>
        <v>89301000</v>
      </c>
      <c r="B11096" t="str">
        <f>"7105165771"</f>
        <v>7105165771</v>
      </c>
      <c r="C11096" s="1">
        <v>45257</v>
      </c>
      <c r="D11096" s="1">
        <v>45260</v>
      </c>
      <c r="E11096">
        <v>1</v>
      </c>
      <c r="F11096" t="str">
        <f>"08-M03-05"</f>
        <v>08-M03-05</v>
      </c>
      <c r="G11096">
        <v>0.46810000000000002</v>
      </c>
      <c r="H11096" t="s">
        <v>11</v>
      </c>
      <c r="I11096" t="s">
        <v>10</v>
      </c>
    </row>
    <row r="11097" spans="1:9" x14ac:dyDescent="0.25">
      <c r="A11097" t="str">
        <f t="shared" si="268"/>
        <v>89301000</v>
      </c>
      <c r="B11097" t="str">
        <f t="shared" ref="B11097:B11106" si="269">"7105224841"</f>
        <v>7105224841</v>
      </c>
      <c r="C11097" s="1">
        <v>44951</v>
      </c>
      <c r="D11097" s="1">
        <v>44954</v>
      </c>
      <c r="E11097">
        <v>1</v>
      </c>
      <c r="F11097" t="str">
        <f>"06-C02-01"</f>
        <v>06-C02-01</v>
      </c>
      <c r="G11097">
        <v>0.31909999999999999</v>
      </c>
      <c r="H11097" t="s">
        <v>11</v>
      </c>
      <c r="I11097" t="s">
        <v>10</v>
      </c>
    </row>
    <row r="11098" spans="1:9" x14ac:dyDescent="0.25">
      <c r="A11098" t="str">
        <f t="shared" si="268"/>
        <v>89301000</v>
      </c>
      <c r="B11098" t="str">
        <f t="shared" si="269"/>
        <v>7105224841</v>
      </c>
      <c r="C11098" s="1">
        <v>45097</v>
      </c>
      <c r="D11098" s="1">
        <v>45097</v>
      </c>
      <c r="E11098">
        <v>8</v>
      </c>
      <c r="F11098" t="str">
        <f>"06-K14-01"</f>
        <v>06-K14-01</v>
      </c>
      <c r="G11098">
        <v>0.39379999999999998</v>
      </c>
      <c r="H11098" t="s">
        <v>11</v>
      </c>
      <c r="I11098" t="s">
        <v>10</v>
      </c>
    </row>
    <row r="11099" spans="1:9" x14ac:dyDescent="0.25">
      <c r="A11099" t="str">
        <f t="shared" si="268"/>
        <v>89301000</v>
      </c>
      <c r="B11099" t="str">
        <f t="shared" si="269"/>
        <v>7105224841</v>
      </c>
      <c r="C11099" s="1">
        <v>44930</v>
      </c>
      <c r="D11099" s="1">
        <v>44933</v>
      </c>
      <c r="E11099">
        <v>1</v>
      </c>
      <c r="F11099" t="str">
        <f t="shared" ref="F11099:F11106" si="270">"06-C02-01"</f>
        <v>06-C02-01</v>
      </c>
      <c r="G11099">
        <v>0.31909999999999999</v>
      </c>
      <c r="H11099" t="s">
        <v>11</v>
      </c>
      <c r="I11099" t="s">
        <v>10</v>
      </c>
    </row>
    <row r="11100" spans="1:9" x14ac:dyDescent="0.25">
      <c r="A11100" t="str">
        <f t="shared" si="268"/>
        <v>89301000</v>
      </c>
      <c r="B11100" t="str">
        <f t="shared" si="269"/>
        <v>7105224841</v>
      </c>
      <c r="C11100" s="1">
        <v>45056</v>
      </c>
      <c r="D11100" s="1">
        <v>45058</v>
      </c>
      <c r="E11100">
        <v>1</v>
      </c>
      <c r="F11100" t="str">
        <f t="shared" si="270"/>
        <v>06-C02-01</v>
      </c>
      <c r="G11100">
        <v>0.31909999999999999</v>
      </c>
      <c r="H11100" t="s">
        <v>11</v>
      </c>
      <c r="I11100" t="s">
        <v>10</v>
      </c>
    </row>
    <row r="11101" spans="1:9" x14ac:dyDescent="0.25">
      <c r="A11101" t="str">
        <f t="shared" si="268"/>
        <v>89301000</v>
      </c>
      <c r="B11101" t="str">
        <f t="shared" si="269"/>
        <v>7105224841</v>
      </c>
      <c r="C11101" s="1">
        <v>44965</v>
      </c>
      <c r="D11101" s="1">
        <v>44968</v>
      </c>
      <c r="E11101">
        <v>1</v>
      </c>
      <c r="F11101" t="str">
        <f t="shared" si="270"/>
        <v>06-C02-01</v>
      </c>
      <c r="G11101">
        <v>0.31909999999999999</v>
      </c>
      <c r="H11101" t="s">
        <v>11</v>
      </c>
      <c r="I11101" t="s">
        <v>10</v>
      </c>
    </row>
    <row r="11102" spans="1:9" x14ac:dyDescent="0.25">
      <c r="A11102" t="str">
        <f t="shared" si="268"/>
        <v>89301000</v>
      </c>
      <c r="B11102" t="str">
        <f t="shared" si="269"/>
        <v>7105224841</v>
      </c>
      <c r="C11102" s="1">
        <v>44980</v>
      </c>
      <c r="D11102" s="1">
        <v>44986</v>
      </c>
      <c r="E11102">
        <v>1</v>
      </c>
      <c r="F11102" t="str">
        <f t="shared" si="270"/>
        <v>06-C02-01</v>
      </c>
      <c r="G11102">
        <v>0.42799999999999999</v>
      </c>
      <c r="H11102" t="s">
        <v>11</v>
      </c>
      <c r="I11102" t="s">
        <v>10</v>
      </c>
    </row>
    <row r="11103" spans="1:9" x14ac:dyDescent="0.25">
      <c r="A11103" t="str">
        <f t="shared" si="268"/>
        <v>89301000</v>
      </c>
      <c r="B11103" t="str">
        <f t="shared" si="269"/>
        <v>7105224841</v>
      </c>
      <c r="C11103" s="1">
        <v>45006</v>
      </c>
      <c r="D11103" s="1">
        <v>45008</v>
      </c>
      <c r="E11103">
        <v>1</v>
      </c>
      <c r="F11103" t="str">
        <f t="shared" si="270"/>
        <v>06-C02-01</v>
      </c>
      <c r="G11103">
        <v>0.31909999999999999</v>
      </c>
      <c r="H11103" t="s">
        <v>11</v>
      </c>
      <c r="I11103" t="s">
        <v>10</v>
      </c>
    </row>
    <row r="11104" spans="1:9" x14ac:dyDescent="0.25">
      <c r="A11104" t="str">
        <f t="shared" si="268"/>
        <v>89301000</v>
      </c>
      <c r="B11104" t="str">
        <f t="shared" si="269"/>
        <v>7105224841</v>
      </c>
      <c r="C11104" s="1">
        <v>45020</v>
      </c>
      <c r="D11104" s="1">
        <v>45022</v>
      </c>
      <c r="E11104">
        <v>1</v>
      </c>
      <c r="F11104" t="str">
        <f t="shared" si="270"/>
        <v>06-C02-01</v>
      </c>
      <c r="G11104">
        <v>0.31909999999999999</v>
      </c>
      <c r="H11104" t="s">
        <v>11</v>
      </c>
      <c r="I11104" t="s">
        <v>10</v>
      </c>
    </row>
    <row r="11105" spans="1:9" x14ac:dyDescent="0.25">
      <c r="A11105" t="str">
        <f t="shared" si="268"/>
        <v>89301000</v>
      </c>
      <c r="B11105" t="str">
        <f t="shared" si="269"/>
        <v>7105224841</v>
      </c>
      <c r="C11105" s="1">
        <v>45041</v>
      </c>
      <c r="D11105" s="1">
        <v>45043</v>
      </c>
      <c r="E11105">
        <v>1</v>
      </c>
      <c r="F11105" t="str">
        <f t="shared" si="270"/>
        <v>06-C02-01</v>
      </c>
      <c r="G11105">
        <v>0.31909999999999999</v>
      </c>
      <c r="H11105" t="s">
        <v>11</v>
      </c>
      <c r="I11105" t="s">
        <v>10</v>
      </c>
    </row>
    <row r="11106" spans="1:9" x14ac:dyDescent="0.25">
      <c r="A11106" t="str">
        <f t="shared" si="268"/>
        <v>89301000</v>
      </c>
      <c r="B11106" t="str">
        <f t="shared" si="269"/>
        <v>7105224841</v>
      </c>
      <c r="C11106" s="1">
        <v>45082</v>
      </c>
      <c r="D11106" s="1">
        <v>45085</v>
      </c>
      <c r="E11106">
        <v>1</v>
      </c>
      <c r="F11106" t="str">
        <f t="shared" si="270"/>
        <v>06-C02-01</v>
      </c>
      <c r="G11106">
        <v>0.31909999999999999</v>
      </c>
      <c r="H11106" t="s">
        <v>11</v>
      </c>
      <c r="I11106" t="s">
        <v>10</v>
      </c>
    </row>
    <row r="11107" spans="1:9" x14ac:dyDescent="0.25">
      <c r="A11107" t="str">
        <f t="shared" si="268"/>
        <v>89301000</v>
      </c>
      <c r="B11107" t="str">
        <f>"7105245334"</f>
        <v>7105245334</v>
      </c>
      <c r="C11107" s="1">
        <v>44998</v>
      </c>
      <c r="D11107" s="1">
        <v>45009</v>
      </c>
      <c r="E11107">
        <v>1</v>
      </c>
      <c r="F11107" t="str">
        <f>"24-M06-02"</f>
        <v>24-M06-02</v>
      </c>
      <c r="G11107">
        <v>1.0699000000000001</v>
      </c>
      <c r="H11107" t="s">
        <v>11</v>
      </c>
      <c r="I11107" t="s">
        <v>10</v>
      </c>
    </row>
    <row r="11108" spans="1:9" x14ac:dyDescent="0.25">
      <c r="A11108" t="str">
        <f t="shared" si="268"/>
        <v>89301000</v>
      </c>
      <c r="B11108" t="str">
        <f>"7105255333"</f>
        <v>7105255333</v>
      </c>
      <c r="C11108" s="1">
        <v>45027</v>
      </c>
      <c r="D11108" s="1">
        <v>45037</v>
      </c>
      <c r="E11108">
        <v>1</v>
      </c>
      <c r="F11108" t="str">
        <f>"03-I11-03"</f>
        <v>03-I11-03</v>
      </c>
      <c r="G11108">
        <v>1.1267</v>
      </c>
      <c r="H11108" t="s">
        <v>12</v>
      </c>
      <c r="I11108" t="s">
        <v>10</v>
      </c>
    </row>
    <row r="11109" spans="1:9" x14ac:dyDescent="0.25">
      <c r="A11109" t="str">
        <f t="shared" ref="A11109:A11171" si="271">"89301000"</f>
        <v>89301000</v>
      </c>
      <c r="B11109" t="str">
        <f>"7106094457"</f>
        <v>7106094457</v>
      </c>
      <c r="C11109" s="1">
        <v>45222</v>
      </c>
      <c r="D11109" s="1">
        <v>45223</v>
      </c>
      <c r="E11109">
        <v>1</v>
      </c>
      <c r="F11109" t="str">
        <f>"01-D01-03"</f>
        <v>01-D01-03</v>
      </c>
      <c r="G11109">
        <v>0.16200000000000001</v>
      </c>
      <c r="H11109" t="s">
        <v>11</v>
      </c>
      <c r="I11109" t="s">
        <v>10</v>
      </c>
    </row>
    <row r="11110" spans="1:9" x14ac:dyDescent="0.25">
      <c r="A11110" t="str">
        <f t="shared" si="271"/>
        <v>89301000</v>
      </c>
      <c r="B11110" t="str">
        <f>"7106115764"</f>
        <v>7106115764</v>
      </c>
      <c r="C11110" s="1">
        <v>45240</v>
      </c>
      <c r="D11110" s="1">
        <v>45241</v>
      </c>
      <c r="E11110">
        <v>1</v>
      </c>
      <c r="F11110" t="str">
        <f>"06-M01-03"</f>
        <v>06-M01-03</v>
      </c>
      <c r="G11110">
        <v>0.82350000000000001</v>
      </c>
      <c r="H11110" t="s">
        <v>11</v>
      </c>
      <c r="I11110" t="s">
        <v>10</v>
      </c>
    </row>
    <row r="11111" spans="1:9" x14ac:dyDescent="0.25">
      <c r="A11111" t="str">
        <f t="shared" si="271"/>
        <v>89301000</v>
      </c>
      <c r="B11111" t="str">
        <f>"7106154682"</f>
        <v>7106154682</v>
      </c>
      <c r="C11111" s="1">
        <v>44938</v>
      </c>
      <c r="D11111" s="1">
        <v>44941</v>
      </c>
      <c r="E11111">
        <v>1</v>
      </c>
      <c r="F11111" t="str">
        <f>"08-I22-02"</f>
        <v>08-I22-02</v>
      </c>
      <c r="G11111">
        <v>1.131</v>
      </c>
      <c r="H11111" t="s">
        <v>12</v>
      </c>
      <c r="I11111" t="s">
        <v>10</v>
      </c>
    </row>
    <row r="11112" spans="1:9" x14ac:dyDescent="0.25">
      <c r="A11112" t="str">
        <f t="shared" si="271"/>
        <v>89301000</v>
      </c>
      <c r="B11112" t="str">
        <f>"7106255321"</f>
        <v>7106255321</v>
      </c>
      <c r="C11112" s="1">
        <v>45235</v>
      </c>
      <c r="D11112" s="1">
        <v>45238</v>
      </c>
      <c r="E11112">
        <v>1</v>
      </c>
      <c r="F11112" t="str">
        <f>"06-I16-04"</f>
        <v>06-I16-04</v>
      </c>
      <c r="G11112">
        <v>0.68920000000000003</v>
      </c>
      <c r="H11112" t="s">
        <v>9</v>
      </c>
      <c r="I11112" t="s">
        <v>10</v>
      </c>
    </row>
    <row r="11113" spans="1:9" x14ac:dyDescent="0.25">
      <c r="A11113" t="str">
        <f t="shared" si="271"/>
        <v>89301000</v>
      </c>
      <c r="B11113" t="str">
        <f>"7107035342"</f>
        <v>7107035342</v>
      </c>
      <c r="C11113" s="1">
        <v>44984</v>
      </c>
      <c r="D11113" s="1">
        <v>45007</v>
      </c>
      <c r="E11113">
        <v>1</v>
      </c>
      <c r="F11113" t="str">
        <f>"08-K08-00"</f>
        <v>08-K08-00</v>
      </c>
      <c r="G11113">
        <v>1.1620999999999999</v>
      </c>
      <c r="H11113" t="s">
        <v>11</v>
      </c>
      <c r="I11113" t="s">
        <v>10</v>
      </c>
    </row>
    <row r="11114" spans="1:9" x14ac:dyDescent="0.25">
      <c r="A11114" t="str">
        <f t="shared" si="271"/>
        <v>89301000</v>
      </c>
      <c r="B11114" t="str">
        <f>"7107035342"</f>
        <v>7107035342</v>
      </c>
      <c r="C11114" s="1">
        <v>45028</v>
      </c>
      <c r="D11114" s="1">
        <v>45033</v>
      </c>
      <c r="E11114">
        <v>1</v>
      </c>
      <c r="F11114" t="str">
        <f>"04-K07-03"</f>
        <v>04-K07-03</v>
      </c>
      <c r="G11114">
        <v>0.61119999999999997</v>
      </c>
      <c r="H11114" t="s">
        <v>11</v>
      </c>
      <c r="I11114" t="s">
        <v>10</v>
      </c>
    </row>
    <row r="11115" spans="1:9" x14ac:dyDescent="0.25">
      <c r="A11115" t="str">
        <f t="shared" si="271"/>
        <v>89301000</v>
      </c>
      <c r="B11115" t="str">
        <f>"7107085326"</f>
        <v>7107085326</v>
      </c>
      <c r="C11115" s="1">
        <v>44999</v>
      </c>
      <c r="D11115" s="1">
        <v>45000</v>
      </c>
      <c r="E11115">
        <v>1</v>
      </c>
      <c r="F11115" t="str">
        <f>"02-I13-02"</f>
        <v>02-I13-02</v>
      </c>
      <c r="G11115">
        <v>0.4259</v>
      </c>
      <c r="H11115" t="s">
        <v>11</v>
      </c>
      <c r="I11115" t="s">
        <v>10</v>
      </c>
    </row>
    <row r="11116" spans="1:9" x14ac:dyDescent="0.25">
      <c r="A11116" t="str">
        <f t="shared" si="271"/>
        <v>89301000</v>
      </c>
      <c r="B11116" t="str">
        <f>"7107114465"</f>
        <v>7107114465</v>
      </c>
      <c r="C11116" s="1">
        <v>45257</v>
      </c>
      <c r="D11116" s="1">
        <v>45259</v>
      </c>
      <c r="E11116">
        <v>1</v>
      </c>
      <c r="F11116" t="str">
        <f>"08-M03-05"</f>
        <v>08-M03-05</v>
      </c>
      <c r="G11116">
        <v>0.46810000000000002</v>
      </c>
      <c r="H11116" t="s">
        <v>11</v>
      </c>
      <c r="I11116" t="s">
        <v>10</v>
      </c>
    </row>
    <row r="11117" spans="1:9" x14ac:dyDescent="0.25">
      <c r="A11117" t="str">
        <f t="shared" si="271"/>
        <v>89301000</v>
      </c>
      <c r="B11117" t="str">
        <f>"7107155308"</f>
        <v>7107155308</v>
      </c>
      <c r="C11117" s="1">
        <v>45037</v>
      </c>
      <c r="D11117" s="1">
        <v>45042</v>
      </c>
      <c r="E11117">
        <v>1</v>
      </c>
      <c r="F11117" t="str">
        <f>"16-I04-01"</f>
        <v>16-I04-01</v>
      </c>
      <c r="G11117">
        <v>0.93820000000000003</v>
      </c>
      <c r="H11117" t="s">
        <v>12</v>
      </c>
      <c r="I11117" t="s">
        <v>10</v>
      </c>
    </row>
    <row r="11118" spans="1:9" x14ac:dyDescent="0.25">
      <c r="A11118" t="str">
        <f t="shared" si="271"/>
        <v>89301000</v>
      </c>
      <c r="B11118" t="str">
        <f>"7107155308"</f>
        <v>7107155308</v>
      </c>
      <c r="C11118" s="1">
        <v>45097</v>
      </c>
      <c r="D11118" s="1">
        <v>45105</v>
      </c>
      <c r="E11118">
        <v>1</v>
      </c>
      <c r="F11118" t="str">
        <f>"03-I13-00"</f>
        <v>03-I13-00</v>
      </c>
      <c r="G11118">
        <v>1.2201</v>
      </c>
      <c r="H11118" t="s">
        <v>9</v>
      </c>
      <c r="I11118" t="s">
        <v>10</v>
      </c>
    </row>
    <row r="11119" spans="1:9" x14ac:dyDescent="0.25">
      <c r="A11119" t="str">
        <f t="shared" si="271"/>
        <v>89301000</v>
      </c>
      <c r="B11119" t="str">
        <f>"7107165318"</f>
        <v>7107165318</v>
      </c>
      <c r="C11119" s="1">
        <v>45159</v>
      </c>
      <c r="D11119" s="1">
        <v>45160</v>
      </c>
      <c r="E11119">
        <v>1</v>
      </c>
      <c r="F11119" t="str">
        <f>"03-K13-02"</f>
        <v>03-K13-02</v>
      </c>
      <c r="G11119">
        <v>0.24440000000000001</v>
      </c>
      <c r="H11119" t="s">
        <v>11</v>
      </c>
      <c r="I11119" t="s">
        <v>10</v>
      </c>
    </row>
    <row r="11120" spans="1:9" x14ac:dyDescent="0.25">
      <c r="A11120" t="str">
        <f t="shared" si="271"/>
        <v>89301000</v>
      </c>
      <c r="B11120" t="str">
        <f>"7107174140"</f>
        <v>7107174140</v>
      </c>
      <c r="C11120" s="1">
        <v>45250</v>
      </c>
      <c r="D11120" s="1">
        <v>45261</v>
      </c>
      <c r="E11120">
        <v>1</v>
      </c>
      <c r="F11120" t="str">
        <f>"24-M06-02"</f>
        <v>24-M06-02</v>
      </c>
      <c r="G11120">
        <v>1.0699000000000001</v>
      </c>
      <c r="H11120" t="s">
        <v>11</v>
      </c>
      <c r="I11120" t="s">
        <v>10</v>
      </c>
    </row>
    <row r="11121" spans="1:9" x14ac:dyDescent="0.25">
      <c r="A11121" t="str">
        <f t="shared" si="271"/>
        <v>89301000</v>
      </c>
      <c r="B11121" t="str">
        <f>"7107174140"</f>
        <v>7107174140</v>
      </c>
      <c r="C11121" s="1">
        <v>45208</v>
      </c>
      <c r="D11121" s="1">
        <v>45216</v>
      </c>
      <c r="E11121">
        <v>1</v>
      </c>
      <c r="F11121" t="str">
        <f>"08-I03-06"</f>
        <v>08-I03-06</v>
      </c>
      <c r="G11121">
        <v>3.2523</v>
      </c>
      <c r="H11121" t="s">
        <v>9</v>
      </c>
      <c r="I11121" t="s">
        <v>10</v>
      </c>
    </row>
    <row r="11122" spans="1:9" x14ac:dyDescent="0.25">
      <c r="A11122" t="str">
        <f t="shared" si="271"/>
        <v>89301000</v>
      </c>
      <c r="B11122" t="str">
        <f>"7107234475"</f>
        <v>7107234475</v>
      </c>
      <c r="C11122" s="1">
        <v>45015</v>
      </c>
      <c r="D11122" s="1">
        <v>45016</v>
      </c>
      <c r="E11122">
        <v>1</v>
      </c>
      <c r="F11122" t="str">
        <f>"04-I04-00"</f>
        <v>04-I04-00</v>
      </c>
      <c r="G11122">
        <v>2.4784000000000002</v>
      </c>
      <c r="H11122" t="s">
        <v>12</v>
      </c>
      <c r="I11122" t="s">
        <v>10</v>
      </c>
    </row>
    <row r="11123" spans="1:9" x14ac:dyDescent="0.25">
      <c r="A11123" t="str">
        <f t="shared" si="271"/>
        <v>89301000</v>
      </c>
      <c r="B11123" t="str">
        <f>"7108025331"</f>
        <v>7108025331</v>
      </c>
      <c r="C11123" s="1">
        <v>45124</v>
      </c>
      <c r="D11123" s="1">
        <v>45125</v>
      </c>
      <c r="E11123">
        <v>1</v>
      </c>
      <c r="F11123" t="str">
        <f>"11-I16-02"</f>
        <v>11-I16-02</v>
      </c>
      <c r="G11123">
        <v>0.45679999999999998</v>
      </c>
      <c r="H11123" t="s">
        <v>11</v>
      </c>
      <c r="I11123" t="s">
        <v>10</v>
      </c>
    </row>
    <row r="11124" spans="1:9" x14ac:dyDescent="0.25">
      <c r="A11124" t="str">
        <f t="shared" si="271"/>
        <v>89301000</v>
      </c>
      <c r="B11124" t="str">
        <f>"7108025331"</f>
        <v>7108025331</v>
      </c>
      <c r="C11124" s="1">
        <v>45202</v>
      </c>
      <c r="D11124" s="1">
        <v>45208</v>
      </c>
      <c r="E11124">
        <v>1</v>
      </c>
      <c r="F11124" t="str">
        <f>"11-I08-03"</f>
        <v>11-I08-03</v>
      </c>
      <c r="G11124">
        <v>2.0529999999999999</v>
      </c>
      <c r="H11124" t="s">
        <v>9</v>
      </c>
      <c r="I11124" t="s">
        <v>10</v>
      </c>
    </row>
    <row r="11125" spans="1:9" x14ac:dyDescent="0.25">
      <c r="A11125" t="str">
        <f t="shared" si="271"/>
        <v>89301000</v>
      </c>
      <c r="B11125" t="str">
        <f>"7108105367"</f>
        <v>7108105367</v>
      </c>
      <c r="C11125" s="1">
        <v>45231</v>
      </c>
      <c r="D11125" s="1">
        <v>45275</v>
      </c>
      <c r="E11125">
        <v>1</v>
      </c>
      <c r="F11125" t="str">
        <f>"19-K08-01"</f>
        <v>19-K08-01</v>
      </c>
      <c r="G11125">
        <v>4.8014999999999999</v>
      </c>
      <c r="H11125" t="s">
        <v>15</v>
      </c>
      <c r="I11125" t="s">
        <v>10</v>
      </c>
    </row>
    <row r="11126" spans="1:9" x14ac:dyDescent="0.25">
      <c r="A11126" t="str">
        <f t="shared" si="271"/>
        <v>89301000</v>
      </c>
      <c r="B11126" t="str">
        <f>"7108124276"</f>
        <v>7108124276</v>
      </c>
      <c r="C11126" s="1">
        <v>45216</v>
      </c>
      <c r="D11126" s="1">
        <v>45219</v>
      </c>
      <c r="E11126">
        <v>1</v>
      </c>
      <c r="F11126" t="str">
        <f>"04-K04-02"</f>
        <v>04-K04-02</v>
      </c>
      <c r="G11126">
        <v>0.52159999999999995</v>
      </c>
      <c r="H11126" t="s">
        <v>11</v>
      </c>
      <c r="I11126" t="s">
        <v>10</v>
      </c>
    </row>
    <row r="11127" spans="1:9" x14ac:dyDescent="0.25">
      <c r="A11127" t="str">
        <f t="shared" si="271"/>
        <v>89301000</v>
      </c>
      <c r="B11127" t="str">
        <f>"7108124474"</f>
        <v>7108124474</v>
      </c>
      <c r="C11127" s="1">
        <v>45051</v>
      </c>
      <c r="D11127" s="1">
        <v>45056</v>
      </c>
      <c r="E11127">
        <v>1</v>
      </c>
      <c r="F11127" t="str">
        <f>"05-I25-02"</f>
        <v>05-I25-02</v>
      </c>
      <c r="G11127">
        <v>2.9415</v>
      </c>
      <c r="H11127" t="s">
        <v>12</v>
      </c>
      <c r="I11127" t="s">
        <v>10</v>
      </c>
    </row>
    <row r="11128" spans="1:9" x14ac:dyDescent="0.25">
      <c r="A11128" t="str">
        <f t="shared" si="271"/>
        <v>89301000</v>
      </c>
      <c r="B11128" t="str">
        <f>"7108124474"</f>
        <v>7108124474</v>
      </c>
      <c r="C11128" s="1">
        <v>45105</v>
      </c>
      <c r="D11128" s="1">
        <v>45106</v>
      </c>
      <c r="E11128">
        <v>1</v>
      </c>
      <c r="F11128" t="str">
        <f>"05-M05-03"</f>
        <v>05-M05-03</v>
      </c>
      <c r="G11128">
        <v>1.6755</v>
      </c>
      <c r="H11128" t="s">
        <v>14</v>
      </c>
      <c r="I11128" t="s">
        <v>10</v>
      </c>
    </row>
    <row r="11129" spans="1:9" x14ac:dyDescent="0.25">
      <c r="A11129" t="str">
        <f t="shared" si="271"/>
        <v>89301000</v>
      </c>
      <c r="B11129" t="str">
        <f>"7108269905"</f>
        <v>7108269905</v>
      </c>
      <c r="C11129" s="1">
        <v>45183</v>
      </c>
      <c r="D11129" s="1">
        <v>45187</v>
      </c>
      <c r="E11129">
        <v>1</v>
      </c>
      <c r="F11129" t="str">
        <f>"10-K04-04"</f>
        <v>10-K04-04</v>
      </c>
      <c r="G11129">
        <v>0.53949999999999998</v>
      </c>
      <c r="H11129" t="s">
        <v>11</v>
      </c>
      <c r="I11129" t="s">
        <v>10</v>
      </c>
    </row>
    <row r="11130" spans="1:9" x14ac:dyDescent="0.25">
      <c r="A11130" t="str">
        <f t="shared" si="271"/>
        <v>89301000</v>
      </c>
      <c r="B11130" t="str">
        <f>"7108305325"</f>
        <v>7108305325</v>
      </c>
      <c r="C11130" s="1">
        <v>45055</v>
      </c>
      <c r="D11130" s="1">
        <v>45057</v>
      </c>
      <c r="E11130">
        <v>1</v>
      </c>
      <c r="F11130" t="str">
        <f>"11-M05-02"</f>
        <v>11-M05-02</v>
      </c>
      <c r="G11130">
        <v>0.6694</v>
      </c>
      <c r="H11130" t="s">
        <v>12</v>
      </c>
      <c r="I11130" t="s">
        <v>10</v>
      </c>
    </row>
    <row r="11131" spans="1:9" x14ac:dyDescent="0.25">
      <c r="A11131" t="str">
        <f t="shared" si="271"/>
        <v>89301000</v>
      </c>
      <c r="B11131" t="str">
        <f>"7109085302"</f>
        <v>7109085302</v>
      </c>
      <c r="C11131" s="1">
        <v>45018</v>
      </c>
      <c r="D11131" s="1">
        <v>45025</v>
      </c>
      <c r="E11131">
        <v>1</v>
      </c>
      <c r="F11131" t="str">
        <f>"06-I07-05"</f>
        <v>06-I07-05</v>
      </c>
      <c r="G11131">
        <v>2.7919999999999998</v>
      </c>
      <c r="H11131" t="s">
        <v>12</v>
      </c>
      <c r="I11131" t="s">
        <v>10</v>
      </c>
    </row>
    <row r="11132" spans="1:9" x14ac:dyDescent="0.25">
      <c r="A11132" t="str">
        <f t="shared" si="271"/>
        <v>89301000</v>
      </c>
      <c r="B11132" t="str">
        <f>"7109104200"</f>
        <v>7109104200</v>
      </c>
      <c r="C11132" s="1">
        <v>44944</v>
      </c>
      <c r="D11132" s="1">
        <v>44953</v>
      </c>
      <c r="E11132">
        <v>1</v>
      </c>
      <c r="F11132" t="str">
        <f>"08-I04-03"</f>
        <v>08-I04-03</v>
      </c>
      <c r="G11132">
        <v>1.3045</v>
      </c>
      <c r="H11132" t="s">
        <v>14</v>
      </c>
      <c r="I11132" t="s">
        <v>10</v>
      </c>
    </row>
    <row r="11133" spans="1:9" x14ac:dyDescent="0.25">
      <c r="A11133" t="str">
        <f t="shared" si="271"/>
        <v>89301000</v>
      </c>
      <c r="B11133" t="str">
        <f>"7109114474"</f>
        <v>7109114474</v>
      </c>
      <c r="C11133" s="1">
        <v>44967</v>
      </c>
      <c r="D11133" s="1">
        <v>44971</v>
      </c>
      <c r="E11133">
        <v>1</v>
      </c>
      <c r="F11133" t="str">
        <f>"05-M06-06"</f>
        <v>05-M06-06</v>
      </c>
      <c r="G11133">
        <v>1.8264</v>
      </c>
      <c r="H11133" t="s">
        <v>12</v>
      </c>
      <c r="I11133" t="s">
        <v>10</v>
      </c>
    </row>
    <row r="11134" spans="1:9" x14ac:dyDescent="0.25">
      <c r="A11134" t="str">
        <f t="shared" si="271"/>
        <v>89301000</v>
      </c>
      <c r="B11134" t="str">
        <f>"7109234462"</f>
        <v>7109234462</v>
      </c>
      <c r="C11134" s="1">
        <v>45090</v>
      </c>
      <c r="D11134" s="1">
        <v>45097</v>
      </c>
      <c r="E11134">
        <v>1</v>
      </c>
      <c r="F11134" t="str">
        <f>"06-I07-05"</f>
        <v>06-I07-05</v>
      </c>
      <c r="G11134">
        <v>2.7919999999999998</v>
      </c>
      <c r="H11134" t="s">
        <v>12</v>
      </c>
      <c r="I11134" t="s">
        <v>10</v>
      </c>
    </row>
    <row r="11135" spans="1:9" x14ac:dyDescent="0.25">
      <c r="A11135" t="str">
        <f t="shared" si="271"/>
        <v>89301000</v>
      </c>
      <c r="B11135" t="str">
        <f>"7109255307"</f>
        <v>7109255307</v>
      </c>
      <c r="C11135" s="1">
        <v>45257</v>
      </c>
      <c r="D11135" s="1">
        <v>45260</v>
      </c>
      <c r="E11135">
        <v>1</v>
      </c>
      <c r="F11135" t="str">
        <f>"07-I10-06"</f>
        <v>07-I10-06</v>
      </c>
      <c r="G11135">
        <v>0.98419999999999996</v>
      </c>
      <c r="H11135" t="s">
        <v>12</v>
      </c>
      <c r="I11135" t="s">
        <v>10</v>
      </c>
    </row>
    <row r="11136" spans="1:9" x14ac:dyDescent="0.25">
      <c r="A11136" t="str">
        <f t="shared" si="271"/>
        <v>89301000</v>
      </c>
      <c r="B11136" t="str">
        <f>"7109255758"</f>
        <v>7109255758</v>
      </c>
      <c r="C11136" s="1">
        <v>45008</v>
      </c>
      <c r="D11136" s="1">
        <v>45011</v>
      </c>
      <c r="E11136">
        <v>1</v>
      </c>
      <c r="F11136" t="str">
        <f>"08-I17-02"</f>
        <v>08-I17-02</v>
      </c>
      <c r="G11136">
        <v>0.89680000000000004</v>
      </c>
      <c r="H11136" t="s">
        <v>11</v>
      </c>
      <c r="I11136" t="s">
        <v>10</v>
      </c>
    </row>
    <row r="11137" spans="1:9" x14ac:dyDescent="0.25">
      <c r="A11137" t="str">
        <f t="shared" si="271"/>
        <v>89301000</v>
      </c>
      <c r="B11137" t="str">
        <f>"7109255758"</f>
        <v>7109255758</v>
      </c>
      <c r="C11137" s="1">
        <v>45048</v>
      </c>
      <c r="D11137" s="1">
        <v>45058</v>
      </c>
      <c r="E11137">
        <v>1</v>
      </c>
      <c r="F11137" t="str">
        <f>"24-M06-02"</f>
        <v>24-M06-02</v>
      </c>
      <c r="G11137">
        <v>1.0699000000000001</v>
      </c>
      <c r="H11137" t="s">
        <v>11</v>
      </c>
      <c r="I11137" t="s">
        <v>10</v>
      </c>
    </row>
    <row r="11138" spans="1:9" x14ac:dyDescent="0.25">
      <c r="A11138" t="str">
        <f t="shared" si="271"/>
        <v>89301000</v>
      </c>
      <c r="B11138" t="str">
        <f>"7109305335"</f>
        <v>7109305335</v>
      </c>
      <c r="C11138" s="1">
        <v>44936</v>
      </c>
      <c r="D11138" s="1">
        <v>44937</v>
      </c>
      <c r="E11138">
        <v>1</v>
      </c>
      <c r="F11138" t="str">
        <f>"08-I18-02"</f>
        <v>08-I18-02</v>
      </c>
      <c r="G11138">
        <v>0.62509999999999999</v>
      </c>
      <c r="H11138" t="s">
        <v>12</v>
      </c>
      <c r="I11138" t="s">
        <v>10</v>
      </c>
    </row>
    <row r="11139" spans="1:9" x14ac:dyDescent="0.25">
      <c r="A11139" t="str">
        <f t="shared" si="271"/>
        <v>89301000</v>
      </c>
      <c r="B11139" t="str">
        <f>"7109740528"</f>
        <v>7109740528</v>
      </c>
      <c r="C11139" s="1">
        <v>45040</v>
      </c>
      <c r="D11139" s="1">
        <v>45051</v>
      </c>
      <c r="E11139">
        <v>1</v>
      </c>
      <c r="F11139" t="str">
        <f>"11-K03-02"</f>
        <v>11-K03-02</v>
      </c>
      <c r="G11139">
        <v>1.0926</v>
      </c>
      <c r="H11139" t="s">
        <v>11</v>
      </c>
      <c r="I11139" t="s">
        <v>10</v>
      </c>
    </row>
    <row r="11140" spans="1:9" x14ac:dyDescent="0.25">
      <c r="A11140" t="str">
        <f t="shared" si="271"/>
        <v>89301000</v>
      </c>
      <c r="B11140" t="str">
        <f>"7110053577"</f>
        <v>7110053577</v>
      </c>
      <c r="C11140" s="1">
        <v>45095</v>
      </c>
      <c r="D11140" s="1">
        <v>45096</v>
      </c>
      <c r="E11140">
        <v>1</v>
      </c>
      <c r="F11140" t="str">
        <f>"08-I15-03"</f>
        <v>08-I15-03</v>
      </c>
      <c r="G11140">
        <v>0.94059999999999999</v>
      </c>
      <c r="H11140" t="s">
        <v>12</v>
      </c>
      <c r="I11140" t="s">
        <v>10</v>
      </c>
    </row>
    <row r="11141" spans="1:9" x14ac:dyDescent="0.25">
      <c r="A11141" t="str">
        <f t="shared" si="271"/>
        <v>89301000</v>
      </c>
      <c r="B11141" t="str">
        <f>"7110105761"</f>
        <v>7110105761</v>
      </c>
      <c r="C11141" s="1">
        <v>45138</v>
      </c>
      <c r="D11141" s="1">
        <v>45138</v>
      </c>
      <c r="E11141">
        <v>1</v>
      </c>
      <c r="F11141" t="str">
        <f>"05-D01-08"</f>
        <v>05-D01-08</v>
      </c>
      <c r="G11141">
        <v>0.46899999999999997</v>
      </c>
      <c r="H11141" t="s">
        <v>11</v>
      </c>
      <c r="I11141" t="s">
        <v>10</v>
      </c>
    </row>
    <row r="11142" spans="1:9" x14ac:dyDescent="0.25">
      <c r="A11142" t="str">
        <f t="shared" si="271"/>
        <v>89301000</v>
      </c>
      <c r="B11142" t="str">
        <f>"7110125341"</f>
        <v>7110125341</v>
      </c>
      <c r="C11142" s="1">
        <v>45135</v>
      </c>
      <c r="D11142" s="1">
        <v>45139</v>
      </c>
      <c r="E11142">
        <v>1</v>
      </c>
      <c r="F11142" t="str">
        <f>"08-I03-07"</f>
        <v>08-I03-07</v>
      </c>
      <c r="G11142">
        <v>3.3094999999999999</v>
      </c>
      <c r="H11142" t="s">
        <v>9</v>
      </c>
      <c r="I11142" t="s">
        <v>10</v>
      </c>
    </row>
    <row r="11143" spans="1:9" x14ac:dyDescent="0.25">
      <c r="A11143" t="str">
        <f t="shared" si="271"/>
        <v>89301000</v>
      </c>
      <c r="B11143" t="str">
        <f>"7110184466"</f>
        <v>7110184466</v>
      </c>
      <c r="C11143" s="1">
        <v>45215</v>
      </c>
      <c r="D11143" s="1">
        <v>45217</v>
      </c>
      <c r="E11143">
        <v>1</v>
      </c>
      <c r="F11143" t="str">
        <f>"05-I30-02"</f>
        <v>05-I30-02</v>
      </c>
      <c r="G11143">
        <v>0.41699999999999998</v>
      </c>
      <c r="H11143" t="s">
        <v>12</v>
      </c>
      <c r="I11143" t="s">
        <v>10</v>
      </c>
    </row>
    <row r="11144" spans="1:9" x14ac:dyDescent="0.25">
      <c r="A11144" t="str">
        <f t="shared" si="271"/>
        <v>89301000</v>
      </c>
      <c r="B11144" t="str">
        <f>"7110205311"</f>
        <v>7110205311</v>
      </c>
      <c r="C11144" s="1">
        <v>44974</v>
      </c>
      <c r="D11144" s="1">
        <v>44977</v>
      </c>
      <c r="E11144">
        <v>1</v>
      </c>
      <c r="F11144" t="str">
        <f>"09-K02-00"</f>
        <v>09-K02-00</v>
      </c>
      <c r="G11144">
        <v>0.99539999999999995</v>
      </c>
      <c r="H11144" t="s">
        <v>11</v>
      </c>
      <c r="I11144" t="s">
        <v>10</v>
      </c>
    </row>
    <row r="11145" spans="1:9" x14ac:dyDescent="0.25">
      <c r="A11145" t="str">
        <f t="shared" si="271"/>
        <v>89301000</v>
      </c>
      <c r="B11145" t="str">
        <f>"7110225331"</f>
        <v>7110225331</v>
      </c>
      <c r="C11145" s="1">
        <v>45253</v>
      </c>
      <c r="D11145" s="1">
        <v>45258</v>
      </c>
      <c r="E11145">
        <v>1</v>
      </c>
      <c r="F11145" t="str">
        <f>"03-I16-02"</f>
        <v>03-I16-02</v>
      </c>
      <c r="G11145">
        <v>0.92979999999999996</v>
      </c>
      <c r="H11145" t="s">
        <v>9</v>
      </c>
      <c r="I11145" t="s">
        <v>10</v>
      </c>
    </row>
    <row r="11146" spans="1:9" x14ac:dyDescent="0.25">
      <c r="A11146" t="str">
        <f t="shared" si="271"/>
        <v>89301000</v>
      </c>
      <c r="B11146" t="str">
        <f>"7110264458"</f>
        <v>7110264458</v>
      </c>
      <c r="C11146" s="1">
        <v>45004</v>
      </c>
      <c r="D11146" s="1">
        <v>45006</v>
      </c>
      <c r="E11146">
        <v>1</v>
      </c>
      <c r="F11146" t="str">
        <f>"08-M03-05"</f>
        <v>08-M03-05</v>
      </c>
      <c r="G11146">
        <v>0.46910000000000002</v>
      </c>
      <c r="H11146" t="s">
        <v>11</v>
      </c>
      <c r="I11146" t="s">
        <v>10</v>
      </c>
    </row>
    <row r="11147" spans="1:9" x14ac:dyDescent="0.25">
      <c r="A11147" t="str">
        <f t="shared" si="271"/>
        <v>89301000</v>
      </c>
      <c r="B11147" t="str">
        <f>"7110285776"</f>
        <v>7110285776</v>
      </c>
      <c r="C11147" s="1">
        <v>45196</v>
      </c>
      <c r="D11147" s="1">
        <v>45196</v>
      </c>
      <c r="E11147">
        <v>7</v>
      </c>
      <c r="F11147" t="str">
        <f>"25-I02-02"</f>
        <v>25-I02-02</v>
      </c>
      <c r="G11147">
        <v>2.0144000000000002</v>
      </c>
      <c r="H11147" t="s">
        <v>14</v>
      </c>
      <c r="I11147" t="s">
        <v>10</v>
      </c>
    </row>
    <row r="11148" spans="1:9" x14ac:dyDescent="0.25">
      <c r="A11148" t="str">
        <f t="shared" si="271"/>
        <v>89301000</v>
      </c>
      <c r="B11148" t="str">
        <f>"7111195311"</f>
        <v>7111195311</v>
      </c>
      <c r="C11148" s="1">
        <v>45068</v>
      </c>
      <c r="D11148" s="1">
        <v>45069</v>
      </c>
      <c r="E11148">
        <v>1</v>
      </c>
      <c r="F11148" t="str">
        <f>"09-K13-01"</f>
        <v>09-K13-01</v>
      </c>
      <c r="G11148">
        <v>0.54759999999999998</v>
      </c>
      <c r="H11148" t="s">
        <v>11</v>
      </c>
      <c r="I11148" t="s">
        <v>10</v>
      </c>
    </row>
    <row r="11149" spans="1:9" x14ac:dyDescent="0.25">
      <c r="A11149" t="str">
        <f t="shared" si="271"/>
        <v>89301000</v>
      </c>
      <c r="B11149" t="str">
        <f>"7111203748"</f>
        <v>7111203748</v>
      </c>
      <c r="C11149" s="1">
        <v>45104</v>
      </c>
      <c r="D11149" s="1">
        <v>45105</v>
      </c>
      <c r="E11149">
        <v>1</v>
      </c>
      <c r="F11149" t="str">
        <f>"02-I13-02"</f>
        <v>02-I13-02</v>
      </c>
      <c r="G11149">
        <v>0.4259</v>
      </c>
      <c r="H11149" t="s">
        <v>11</v>
      </c>
      <c r="I11149" t="s">
        <v>10</v>
      </c>
    </row>
    <row r="11150" spans="1:9" x14ac:dyDescent="0.25">
      <c r="A11150" t="str">
        <f t="shared" si="271"/>
        <v>89301000</v>
      </c>
      <c r="B11150" t="str">
        <f>"7111203748"</f>
        <v>7111203748</v>
      </c>
      <c r="C11150" s="1">
        <v>45070</v>
      </c>
      <c r="D11150" s="1">
        <v>45075</v>
      </c>
      <c r="E11150">
        <v>1</v>
      </c>
      <c r="F11150" t="str">
        <f>"01-D01-03"</f>
        <v>01-D01-03</v>
      </c>
      <c r="G11150">
        <v>0.30780000000000002</v>
      </c>
      <c r="H11150" t="s">
        <v>11</v>
      </c>
      <c r="I11150" t="s">
        <v>10</v>
      </c>
    </row>
    <row r="11151" spans="1:9" x14ac:dyDescent="0.25">
      <c r="A11151" t="str">
        <f t="shared" si="271"/>
        <v>89301000</v>
      </c>
      <c r="B11151" t="str">
        <f>"7111284114"</f>
        <v>7111284114</v>
      </c>
      <c r="C11151" s="1">
        <v>45207</v>
      </c>
      <c r="D11151" s="1">
        <v>45216</v>
      </c>
      <c r="E11151">
        <v>5</v>
      </c>
      <c r="F11151" t="str">
        <f>"05-I16-05"</f>
        <v>05-I16-05</v>
      </c>
      <c r="G11151">
        <v>5.6303000000000001</v>
      </c>
      <c r="H11151" t="s">
        <v>14</v>
      </c>
      <c r="I11151" t="s">
        <v>10</v>
      </c>
    </row>
    <row r="11152" spans="1:9" x14ac:dyDescent="0.25">
      <c r="A11152" t="str">
        <f t="shared" si="271"/>
        <v>89301000</v>
      </c>
      <c r="B11152" t="str">
        <f>"7111295708"</f>
        <v>7111295708</v>
      </c>
      <c r="C11152" s="1">
        <v>45231</v>
      </c>
      <c r="D11152" s="1">
        <v>45233</v>
      </c>
      <c r="E11152">
        <v>1</v>
      </c>
      <c r="F11152" t="str">
        <f>"03-R01-08"</f>
        <v>03-R01-08</v>
      </c>
      <c r="G11152">
        <v>1.0552999999999999</v>
      </c>
      <c r="H11152" t="s">
        <v>11</v>
      </c>
      <c r="I11152" t="s">
        <v>10</v>
      </c>
    </row>
    <row r="11153" spans="1:9" x14ac:dyDescent="0.25">
      <c r="A11153" t="str">
        <f t="shared" si="271"/>
        <v>89301000</v>
      </c>
      <c r="B11153" t="str">
        <f>"7111295708"</f>
        <v>7111295708</v>
      </c>
      <c r="C11153" s="1">
        <v>45148</v>
      </c>
      <c r="D11153" s="1">
        <v>45168</v>
      </c>
      <c r="E11153">
        <v>1</v>
      </c>
      <c r="F11153" t="str">
        <f>"03-I05-01"</f>
        <v>03-I05-01</v>
      </c>
      <c r="G11153">
        <v>5.7450999999999999</v>
      </c>
      <c r="H11153" t="s">
        <v>9</v>
      </c>
      <c r="I11153" t="s">
        <v>10</v>
      </c>
    </row>
    <row r="11154" spans="1:9" x14ac:dyDescent="0.25">
      <c r="A11154" t="str">
        <f t="shared" si="271"/>
        <v>89301000</v>
      </c>
      <c r="B11154" t="str">
        <f>"7112125328"</f>
        <v>7112125328</v>
      </c>
      <c r="C11154" s="1">
        <v>45122</v>
      </c>
      <c r="D11154" s="1">
        <v>45134</v>
      </c>
      <c r="E11154">
        <v>1</v>
      </c>
      <c r="F11154" t="str">
        <f>"08-K08-00"</f>
        <v>08-K08-00</v>
      </c>
      <c r="G11154">
        <v>0.57989999999999997</v>
      </c>
      <c r="H11154" t="s">
        <v>11</v>
      </c>
      <c r="I11154" t="s">
        <v>10</v>
      </c>
    </row>
    <row r="11155" spans="1:9" x14ac:dyDescent="0.25">
      <c r="A11155" t="str">
        <f t="shared" si="271"/>
        <v>89301000</v>
      </c>
      <c r="B11155" t="str">
        <f>"7112195354"</f>
        <v>7112195354</v>
      </c>
      <c r="C11155" s="1">
        <v>45195</v>
      </c>
      <c r="D11155" s="1">
        <v>45205</v>
      </c>
      <c r="E11155">
        <v>1</v>
      </c>
      <c r="F11155" t="str">
        <f>"07-K03-01"</f>
        <v>07-K03-01</v>
      </c>
      <c r="G11155">
        <v>2.3277999999999999</v>
      </c>
      <c r="H11155" t="s">
        <v>11</v>
      </c>
      <c r="I11155" t="s">
        <v>10</v>
      </c>
    </row>
    <row r="11156" spans="1:9" x14ac:dyDescent="0.25">
      <c r="A11156" t="str">
        <f t="shared" si="271"/>
        <v>89301000</v>
      </c>
      <c r="B11156" t="str">
        <f>"7112195354"</f>
        <v>7112195354</v>
      </c>
      <c r="C11156" s="1">
        <v>45016</v>
      </c>
      <c r="D11156" s="1">
        <v>45022</v>
      </c>
      <c r="E11156">
        <v>1</v>
      </c>
      <c r="F11156" t="str">
        <f>"07-K03-02"</f>
        <v>07-K03-02</v>
      </c>
      <c r="G11156">
        <v>0.4521</v>
      </c>
      <c r="H11156" t="s">
        <v>11</v>
      </c>
      <c r="I11156" t="s">
        <v>10</v>
      </c>
    </row>
    <row r="11157" spans="1:9" x14ac:dyDescent="0.25">
      <c r="A11157" t="str">
        <f t="shared" si="271"/>
        <v>89301000</v>
      </c>
      <c r="B11157" t="str">
        <f>"7112195354"</f>
        <v>7112195354</v>
      </c>
      <c r="C11157" s="1">
        <v>44962</v>
      </c>
      <c r="D11157" s="1">
        <v>44974</v>
      </c>
      <c r="E11157">
        <v>1</v>
      </c>
      <c r="F11157" t="str">
        <f>"07-K02-03"</f>
        <v>07-K02-03</v>
      </c>
      <c r="G11157">
        <v>0.78139999999999998</v>
      </c>
      <c r="H11157" t="s">
        <v>11</v>
      </c>
      <c r="I11157" t="s">
        <v>10</v>
      </c>
    </row>
    <row r="11158" spans="1:9" x14ac:dyDescent="0.25">
      <c r="A11158" t="str">
        <f t="shared" si="271"/>
        <v>89301000</v>
      </c>
      <c r="B11158" t="str">
        <f>"7112195354"</f>
        <v>7112195354</v>
      </c>
      <c r="C11158" s="1">
        <v>44948</v>
      </c>
      <c r="D11158" s="1">
        <v>44955</v>
      </c>
      <c r="E11158">
        <v>1</v>
      </c>
      <c r="F11158" t="str">
        <f>"07-K02-03"</f>
        <v>07-K02-03</v>
      </c>
      <c r="G11158">
        <v>0.78139999999999998</v>
      </c>
      <c r="H11158" t="s">
        <v>11</v>
      </c>
      <c r="I11158" t="s">
        <v>10</v>
      </c>
    </row>
    <row r="11159" spans="1:9" x14ac:dyDescent="0.25">
      <c r="A11159" t="str">
        <f t="shared" si="271"/>
        <v>89301000</v>
      </c>
      <c r="B11159" t="str">
        <f>"7112195354"</f>
        <v>7112195354</v>
      </c>
      <c r="C11159" s="1">
        <v>45223</v>
      </c>
      <c r="D11159" s="1">
        <v>45225</v>
      </c>
      <c r="E11159">
        <v>1</v>
      </c>
      <c r="F11159" t="str">
        <f>"07-K02-03"</f>
        <v>07-K02-03</v>
      </c>
      <c r="G11159">
        <v>0.78139999999999998</v>
      </c>
      <c r="H11159" t="s">
        <v>11</v>
      </c>
      <c r="I11159" t="s">
        <v>10</v>
      </c>
    </row>
    <row r="11160" spans="1:9" x14ac:dyDescent="0.25">
      <c r="A11160" t="str">
        <f t="shared" si="271"/>
        <v>89301000</v>
      </c>
      <c r="B11160" t="str">
        <f>"7112224460"</f>
        <v>7112224460</v>
      </c>
      <c r="C11160" s="1">
        <v>45215</v>
      </c>
      <c r="D11160" s="1">
        <v>45220</v>
      </c>
      <c r="E11160">
        <v>1</v>
      </c>
      <c r="F11160" t="str">
        <f>"08-I03-06"</f>
        <v>08-I03-06</v>
      </c>
      <c r="G11160">
        <v>2.9211999999999998</v>
      </c>
      <c r="H11160" t="s">
        <v>9</v>
      </c>
      <c r="I11160" t="s">
        <v>10</v>
      </c>
    </row>
    <row r="11161" spans="1:9" x14ac:dyDescent="0.25">
      <c r="A11161" t="str">
        <f t="shared" si="271"/>
        <v>89301000</v>
      </c>
      <c r="B11161" t="str">
        <f>"7112275313"</f>
        <v>7112275313</v>
      </c>
      <c r="C11161" s="1">
        <v>45191</v>
      </c>
      <c r="D11161" s="1">
        <v>45196</v>
      </c>
      <c r="E11161">
        <v>1</v>
      </c>
      <c r="F11161" t="str">
        <f>"10-K04-04"</f>
        <v>10-K04-04</v>
      </c>
      <c r="G11161">
        <v>0.53949999999999998</v>
      </c>
      <c r="H11161" t="s">
        <v>11</v>
      </c>
      <c r="I11161" t="s">
        <v>10</v>
      </c>
    </row>
    <row r="11162" spans="1:9" x14ac:dyDescent="0.25">
      <c r="A11162" t="str">
        <f t="shared" si="271"/>
        <v>89301000</v>
      </c>
      <c r="B11162" t="str">
        <f>"7112295795"</f>
        <v>7112295795</v>
      </c>
      <c r="C11162" s="1">
        <v>45253</v>
      </c>
      <c r="D11162" s="1">
        <v>45258</v>
      </c>
      <c r="E11162">
        <v>3</v>
      </c>
      <c r="F11162" t="str">
        <f>"08-I04-01"</f>
        <v>08-I04-01</v>
      </c>
      <c r="G11162">
        <v>2.7970000000000002</v>
      </c>
      <c r="H11162" t="s">
        <v>14</v>
      </c>
      <c r="I11162" t="s">
        <v>10</v>
      </c>
    </row>
    <row r="11163" spans="1:9" x14ac:dyDescent="0.25">
      <c r="A11163" t="str">
        <f t="shared" si="271"/>
        <v>89301000</v>
      </c>
      <c r="B11163" t="str">
        <f>"7112295795"</f>
        <v>7112295795</v>
      </c>
      <c r="C11163" s="1">
        <v>45258</v>
      </c>
      <c r="D11163" s="1">
        <v>45267</v>
      </c>
      <c r="E11163">
        <v>1</v>
      </c>
      <c r="F11163" t="str">
        <f>"24-M06-01"</f>
        <v>24-M06-01</v>
      </c>
      <c r="G11163">
        <v>1.1990000000000001</v>
      </c>
      <c r="H11163" t="s">
        <v>11</v>
      </c>
      <c r="I11163" t="s">
        <v>10</v>
      </c>
    </row>
    <row r="11164" spans="1:9" x14ac:dyDescent="0.25">
      <c r="A11164" t="str">
        <f t="shared" si="271"/>
        <v>89301000</v>
      </c>
      <c r="B11164" t="str">
        <f>"7112315782"</f>
        <v>7112315782</v>
      </c>
      <c r="C11164" s="1">
        <v>44950</v>
      </c>
      <c r="D11164" s="1">
        <v>44956</v>
      </c>
      <c r="E11164">
        <v>1</v>
      </c>
      <c r="F11164" t="str">
        <f>"04-K04-02"</f>
        <v>04-K04-02</v>
      </c>
      <c r="G11164">
        <v>0.54059999999999997</v>
      </c>
      <c r="H11164" t="s">
        <v>11</v>
      </c>
      <c r="I11164" t="s">
        <v>10</v>
      </c>
    </row>
    <row r="11165" spans="1:9" x14ac:dyDescent="0.25">
      <c r="A11165" t="str">
        <f t="shared" si="271"/>
        <v>89301000</v>
      </c>
      <c r="B11165" t="str">
        <f>"7151065306"</f>
        <v>7151065306</v>
      </c>
      <c r="C11165" s="1">
        <v>45201</v>
      </c>
      <c r="D11165" s="1">
        <v>45205</v>
      </c>
      <c r="E11165">
        <v>1</v>
      </c>
      <c r="F11165" t="str">
        <f>"13-I11-03"</f>
        <v>13-I11-03</v>
      </c>
      <c r="G11165">
        <v>1.4332</v>
      </c>
      <c r="H11165" t="s">
        <v>9</v>
      </c>
      <c r="I11165" t="s">
        <v>10</v>
      </c>
    </row>
    <row r="11166" spans="1:9" x14ac:dyDescent="0.25">
      <c r="A11166" t="str">
        <f t="shared" si="271"/>
        <v>89301000</v>
      </c>
      <c r="B11166" t="str">
        <f>"7151125333"</f>
        <v>7151125333</v>
      </c>
      <c r="C11166" s="1">
        <v>45093</v>
      </c>
      <c r="D11166" s="1">
        <v>45100</v>
      </c>
      <c r="E11166">
        <v>1</v>
      </c>
      <c r="F11166" t="str">
        <f>"06-K02-03"</f>
        <v>06-K02-03</v>
      </c>
      <c r="G11166">
        <v>0.50470000000000004</v>
      </c>
      <c r="H11166" t="s">
        <v>11</v>
      </c>
      <c r="I11166" t="s">
        <v>10</v>
      </c>
    </row>
    <row r="11167" spans="1:9" x14ac:dyDescent="0.25">
      <c r="A11167" t="str">
        <f t="shared" si="271"/>
        <v>89301000</v>
      </c>
      <c r="B11167" t="str">
        <f>"7151225345"</f>
        <v>7151225345</v>
      </c>
      <c r="C11167" s="1">
        <v>45259</v>
      </c>
      <c r="D11167" s="1">
        <v>45262</v>
      </c>
      <c r="E11167">
        <v>1</v>
      </c>
      <c r="F11167" t="str">
        <f>"13-I11-03"</f>
        <v>13-I11-03</v>
      </c>
      <c r="G11167">
        <v>1.9234</v>
      </c>
      <c r="H11167" t="s">
        <v>9</v>
      </c>
      <c r="I11167" t="s">
        <v>10</v>
      </c>
    </row>
    <row r="11168" spans="1:9" x14ac:dyDescent="0.25">
      <c r="A11168" t="str">
        <f t="shared" si="271"/>
        <v>89301000</v>
      </c>
      <c r="B11168" t="str">
        <f>"7152034307"</f>
        <v>7152034307</v>
      </c>
      <c r="C11168" s="1">
        <v>45126</v>
      </c>
      <c r="D11168" s="1">
        <v>45131</v>
      </c>
      <c r="E11168">
        <v>1</v>
      </c>
      <c r="F11168" t="str">
        <f>"23-K05-01"</f>
        <v>23-K05-01</v>
      </c>
      <c r="G11168">
        <v>0.56269999999999998</v>
      </c>
      <c r="H11168" t="s">
        <v>11</v>
      </c>
      <c r="I11168" t="s">
        <v>10</v>
      </c>
    </row>
    <row r="11169" spans="1:9" x14ac:dyDescent="0.25">
      <c r="A11169" t="str">
        <f t="shared" si="271"/>
        <v>89301000</v>
      </c>
      <c r="B11169" t="str">
        <f>"7152034307"</f>
        <v>7152034307</v>
      </c>
      <c r="C11169" s="1">
        <v>44998</v>
      </c>
      <c r="D11169" s="1">
        <v>45007</v>
      </c>
      <c r="E11169">
        <v>1</v>
      </c>
      <c r="F11169" t="str">
        <f>"10-R02-01"</f>
        <v>10-R02-01</v>
      </c>
      <c r="G11169">
        <v>0.92279999999999995</v>
      </c>
      <c r="H11169" t="s">
        <v>9</v>
      </c>
      <c r="I11169" t="s">
        <v>10</v>
      </c>
    </row>
    <row r="11170" spans="1:9" x14ac:dyDescent="0.25">
      <c r="A11170" t="str">
        <f t="shared" si="271"/>
        <v>89301000</v>
      </c>
      <c r="B11170" t="str">
        <f>"7152045318"</f>
        <v>7152045318</v>
      </c>
      <c r="C11170" s="1">
        <v>45160</v>
      </c>
      <c r="D11170" s="1">
        <v>45161</v>
      </c>
      <c r="E11170">
        <v>1</v>
      </c>
      <c r="F11170" t="str">
        <f>"13-I19-00"</f>
        <v>13-I19-00</v>
      </c>
      <c r="G11170">
        <v>0.28249999999999997</v>
      </c>
      <c r="H11170" t="s">
        <v>11</v>
      </c>
      <c r="I11170" t="s">
        <v>10</v>
      </c>
    </row>
    <row r="11171" spans="1:9" x14ac:dyDescent="0.25">
      <c r="A11171" t="str">
        <f t="shared" si="271"/>
        <v>89301000</v>
      </c>
      <c r="B11171" t="str">
        <f>"7152065305"</f>
        <v>7152065305</v>
      </c>
      <c r="C11171" s="1">
        <v>45260</v>
      </c>
      <c r="D11171" s="1">
        <v>45262</v>
      </c>
      <c r="E11171">
        <v>1</v>
      </c>
      <c r="F11171" t="str">
        <f>"06-K15-02"</f>
        <v>06-K15-02</v>
      </c>
      <c r="G11171">
        <v>0.26600000000000001</v>
      </c>
      <c r="H11171" t="s">
        <v>11</v>
      </c>
      <c r="I11171" t="s">
        <v>10</v>
      </c>
    </row>
    <row r="11172" spans="1:9" x14ac:dyDescent="0.25">
      <c r="A11172" t="str">
        <f t="shared" ref="A11172:A11235" si="272">"89301000"</f>
        <v>89301000</v>
      </c>
      <c r="B11172" t="str">
        <f>"7152065338"</f>
        <v>7152065338</v>
      </c>
      <c r="C11172" s="1">
        <v>45268</v>
      </c>
      <c r="D11172" s="1">
        <v>45271</v>
      </c>
      <c r="E11172">
        <v>1</v>
      </c>
      <c r="F11172" t="str">
        <f>"05-K13-02"</f>
        <v>05-K13-02</v>
      </c>
      <c r="G11172">
        <v>0.57220000000000004</v>
      </c>
      <c r="H11172" t="s">
        <v>11</v>
      </c>
      <c r="I11172" t="s">
        <v>10</v>
      </c>
    </row>
    <row r="11173" spans="1:9" x14ac:dyDescent="0.25">
      <c r="A11173" t="str">
        <f t="shared" si="272"/>
        <v>89301000</v>
      </c>
      <c r="B11173" t="str">
        <f>"7152065338"</f>
        <v>7152065338</v>
      </c>
      <c r="C11173" s="1">
        <v>45260</v>
      </c>
      <c r="D11173" s="1">
        <v>45265</v>
      </c>
      <c r="E11173">
        <v>1</v>
      </c>
      <c r="F11173" t="str">
        <f>"09-I07-01"</f>
        <v>09-I07-01</v>
      </c>
      <c r="G11173">
        <v>1.6956</v>
      </c>
      <c r="H11173" t="s">
        <v>14</v>
      </c>
      <c r="I11173" t="s">
        <v>10</v>
      </c>
    </row>
    <row r="11174" spans="1:9" x14ac:dyDescent="0.25">
      <c r="A11174" t="str">
        <f t="shared" si="272"/>
        <v>89301000</v>
      </c>
      <c r="B11174" t="str">
        <f>"7152065338"</f>
        <v>7152065338</v>
      </c>
      <c r="C11174" s="1">
        <v>45098</v>
      </c>
      <c r="D11174" s="1">
        <v>45100</v>
      </c>
      <c r="E11174">
        <v>1</v>
      </c>
      <c r="F11174" t="str">
        <f>"09-I04-02"</f>
        <v>09-I04-02</v>
      </c>
      <c r="G11174">
        <v>1.0899000000000001</v>
      </c>
      <c r="H11174" t="s">
        <v>12</v>
      </c>
      <c r="I11174" t="s">
        <v>10</v>
      </c>
    </row>
    <row r="11175" spans="1:9" x14ac:dyDescent="0.25">
      <c r="A11175" t="str">
        <f t="shared" si="272"/>
        <v>89301000</v>
      </c>
      <c r="B11175" t="str">
        <f>"7152065338"</f>
        <v>7152065338</v>
      </c>
      <c r="C11175" s="1">
        <v>44969</v>
      </c>
      <c r="D11175" s="1">
        <v>44972</v>
      </c>
      <c r="E11175">
        <v>1</v>
      </c>
      <c r="F11175" t="str">
        <f>"23-I08-00"</f>
        <v>23-I08-00</v>
      </c>
      <c r="G11175">
        <v>0.81740000000000002</v>
      </c>
      <c r="H11175" t="s">
        <v>9</v>
      </c>
      <c r="I11175" t="s">
        <v>10</v>
      </c>
    </row>
    <row r="11176" spans="1:9" x14ac:dyDescent="0.25">
      <c r="A11176" t="str">
        <f t="shared" si="272"/>
        <v>89301000</v>
      </c>
      <c r="B11176" t="str">
        <f>"7152105323"</f>
        <v>7152105323</v>
      </c>
      <c r="C11176" s="1">
        <v>45057</v>
      </c>
      <c r="D11176" s="1">
        <v>45060</v>
      </c>
      <c r="E11176">
        <v>1</v>
      </c>
      <c r="F11176" t="str">
        <f>"18-K02-05"</f>
        <v>18-K02-05</v>
      </c>
      <c r="G11176">
        <v>0.49120000000000003</v>
      </c>
      <c r="H11176" t="s">
        <v>11</v>
      </c>
      <c r="I11176" t="s">
        <v>10</v>
      </c>
    </row>
    <row r="11177" spans="1:9" x14ac:dyDescent="0.25">
      <c r="A11177" t="str">
        <f t="shared" si="272"/>
        <v>89301000</v>
      </c>
      <c r="B11177" t="str">
        <f>"7152174403"</f>
        <v>7152174403</v>
      </c>
      <c r="C11177" s="1">
        <v>44945</v>
      </c>
      <c r="D11177" s="1">
        <v>44948</v>
      </c>
      <c r="E11177">
        <v>1</v>
      </c>
      <c r="F11177" t="str">
        <f>"08-I03-08"</f>
        <v>08-I03-08</v>
      </c>
      <c r="G11177">
        <v>1.9455</v>
      </c>
      <c r="H11177" t="s">
        <v>9</v>
      </c>
      <c r="I11177" t="s">
        <v>10</v>
      </c>
    </row>
    <row r="11178" spans="1:9" x14ac:dyDescent="0.25">
      <c r="A11178" t="str">
        <f t="shared" si="272"/>
        <v>89301000</v>
      </c>
      <c r="B11178" t="str">
        <f>"7152205346"</f>
        <v>7152205346</v>
      </c>
      <c r="C11178" s="1">
        <v>45213</v>
      </c>
      <c r="D11178" s="1">
        <v>45224</v>
      </c>
      <c r="E11178">
        <v>1</v>
      </c>
      <c r="F11178" t="str">
        <f>"08-K08-00"</f>
        <v>08-K08-00</v>
      </c>
      <c r="G11178">
        <v>0.5272</v>
      </c>
      <c r="H11178" t="s">
        <v>11</v>
      </c>
      <c r="I11178" t="s">
        <v>10</v>
      </c>
    </row>
    <row r="11179" spans="1:9" x14ac:dyDescent="0.25">
      <c r="A11179" t="str">
        <f t="shared" si="272"/>
        <v>89301000</v>
      </c>
      <c r="B11179" t="str">
        <f>"7152255341"</f>
        <v>7152255341</v>
      </c>
      <c r="C11179" s="1">
        <v>44924</v>
      </c>
      <c r="D11179" s="1">
        <v>44928</v>
      </c>
      <c r="E11179">
        <v>1</v>
      </c>
      <c r="F11179" t="str">
        <f>"08-I03-06"</f>
        <v>08-I03-06</v>
      </c>
      <c r="G11179">
        <v>2.9276</v>
      </c>
      <c r="H11179" t="s">
        <v>9</v>
      </c>
      <c r="I11179" t="s">
        <v>10</v>
      </c>
    </row>
    <row r="11180" spans="1:9" x14ac:dyDescent="0.25">
      <c r="A11180" t="str">
        <f t="shared" si="272"/>
        <v>89301000</v>
      </c>
      <c r="B11180" t="str">
        <f>"7153055327"</f>
        <v>7153055327</v>
      </c>
      <c r="C11180" s="1">
        <v>45093</v>
      </c>
      <c r="D11180" s="1">
        <v>45099</v>
      </c>
      <c r="E11180">
        <v>1</v>
      </c>
      <c r="F11180" t="str">
        <f>"01-K04-02"</f>
        <v>01-K04-02</v>
      </c>
      <c r="G11180">
        <v>0.79990000000000006</v>
      </c>
      <c r="H11180" t="s">
        <v>11</v>
      </c>
      <c r="I11180" t="s">
        <v>10</v>
      </c>
    </row>
    <row r="11181" spans="1:9" x14ac:dyDescent="0.25">
      <c r="A11181" t="str">
        <f t="shared" si="272"/>
        <v>89301000</v>
      </c>
      <c r="B11181" t="str">
        <f>"7153055382"</f>
        <v>7153055382</v>
      </c>
      <c r="C11181" s="1">
        <v>45090</v>
      </c>
      <c r="D11181" s="1">
        <v>45094</v>
      </c>
      <c r="E11181">
        <v>1</v>
      </c>
      <c r="F11181" t="str">
        <f>"17-I10-02"</f>
        <v>17-I10-02</v>
      </c>
      <c r="G11181">
        <v>0.84730000000000005</v>
      </c>
      <c r="H11181" t="s">
        <v>11</v>
      </c>
      <c r="I11181" t="s">
        <v>10</v>
      </c>
    </row>
    <row r="11182" spans="1:9" x14ac:dyDescent="0.25">
      <c r="A11182" t="str">
        <f t="shared" si="272"/>
        <v>89301000</v>
      </c>
      <c r="B11182" t="str">
        <f>"7153075303"</f>
        <v>7153075303</v>
      </c>
      <c r="C11182" s="1">
        <v>44958</v>
      </c>
      <c r="D11182" s="1">
        <v>44965</v>
      </c>
      <c r="E11182">
        <v>8</v>
      </c>
      <c r="F11182" t="str">
        <f>"18-K01-04"</f>
        <v>18-K01-04</v>
      </c>
      <c r="G11182">
        <v>2.9117000000000002</v>
      </c>
      <c r="H11182" t="s">
        <v>11</v>
      </c>
      <c r="I11182" t="s">
        <v>10</v>
      </c>
    </row>
    <row r="11183" spans="1:9" x14ac:dyDescent="0.25">
      <c r="A11183" t="str">
        <f t="shared" si="272"/>
        <v>89301000</v>
      </c>
      <c r="B11183" t="str">
        <f>"7153075325"</f>
        <v>7153075325</v>
      </c>
      <c r="C11183" s="1">
        <v>44938</v>
      </c>
      <c r="D11183" s="1">
        <v>44939</v>
      </c>
      <c r="E11183">
        <v>1</v>
      </c>
      <c r="F11183" t="str">
        <f>"08-I32-00"</f>
        <v>08-I32-00</v>
      </c>
      <c r="G11183">
        <v>0.4093</v>
      </c>
      <c r="H11183" t="s">
        <v>11</v>
      </c>
      <c r="I11183" t="s">
        <v>10</v>
      </c>
    </row>
    <row r="11184" spans="1:9" x14ac:dyDescent="0.25">
      <c r="A11184" t="str">
        <f t="shared" si="272"/>
        <v>89301000</v>
      </c>
      <c r="B11184" t="str">
        <f t="shared" ref="B11184:B11195" si="273">"7153145769"</f>
        <v>7153145769</v>
      </c>
      <c r="C11184" s="1">
        <v>45188</v>
      </c>
      <c r="D11184" s="1">
        <v>45189</v>
      </c>
      <c r="E11184">
        <v>1</v>
      </c>
      <c r="F11184" t="str">
        <f>"13-K07-02"</f>
        <v>13-K07-02</v>
      </c>
      <c r="G11184">
        <v>0.43559999999999999</v>
      </c>
      <c r="H11184" t="s">
        <v>11</v>
      </c>
      <c r="I11184" t="s">
        <v>10</v>
      </c>
    </row>
    <row r="11185" spans="1:9" x14ac:dyDescent="0.25">
      <c r="A11185" t="str">
        <f t="shared" si="272"/>
        <v>89301000</v>
      </c>
      <c r="B11185" t="str">
        <f t="shared" si="273"/>
        <v>7153145769</v>
      </c>
      <c r="C11185" s="1">
        <v>45174</v>
      </c>
      <c r="D11185" s="1">
        <v>45175</v>
      </c>
      <c r="E11185">
        <v>1</v>
      </c>
      <c r="F11185" t="str">
        <f>"13-C01-02"</f>
        <v>13-C01-02</v>
      </c>
      <c r="G11185">
        <v>0.25209999999999999</v>
      </c>
      <c r="H11185" t="s">
        <v>11</v>
      </c>
      <c r="I11185" t="s">
        <v>10</v>
      </c>
    </row>
    <row r="11186" spans="1:9" x14ac:dyDescent="0.25">
      <c r="A11186" t="str">
        <f t="shared" si="272"/>
        <v>89301000</v>
      </c>
      <c r="B11186" t="str">
        <f t="shared" si="273"/>
        <v>7153145769</v>
      </c>
      <c r="C11186" s="1">
        <v>45167</v>
      </c>
      <c r="D11186" s="1">
        <v>45168</v>
      </c>
      <c r="E11186">
        <v>1</v>
      </c>
      <c r="F11186" t="str">
        <f>"13-C01-02"</f>
        <v>13-C01-02</v>
      </c>
      <c r="G11186">
        <v>0.25209999999999999</v>
      </c>
      <c r="H11186" t="s">
        <v>11</v>
      </c>
      <c r="I11186" t="s">
        <v>10</v>
      </c>
    </row>
    <row r="11187" spans="1:9" x14ac:dyDescent="0.25">
      <c r="A11187" t="str">
        <f t="shared" si="272"/>
        <v>89301000</v>
      </c>
      <c r="B11187" t="str">
        <f t="shared" si="273"/>
        <v>7153145769</v>
      </c>
      <c r="C11187" s="1">
        <v>45160</v>
      </c>
      <c r="D11187" s="1">
        <v>45161</v>
      </c>
      <c r="E11187">
        <v>1</v>
      </c>
      <c r="F11187" t="str">
        <f>"13-C01-02"</f>
        <v>13-C01-02</v>
      </c>
      <c r="G11187">
        <v>0.25209999999999999</v>
      </c>
      <c r="H11187" t="s">
        <v>11</v>
      </c>
      <c r="I11187" t="s">
        <v>10</v>
      </c>
    </row>
    <row r="11188" spans="1:9" x14ac:dyDescent="0.25">
      <c r="A11188" t="str">
        <f t="shared" si="272"/>
        <v>89301000</v>
      </c>
      <c r="B11188" t="str">
        <f t="shared" si="273"/>
        <v>7153145769</v>
      </c>
      <c r="C11188" s="1">
        <v>45146</v>
      </c>
      <c r="D11188" s="1">
        <v>45147</v>
      </c>
      <c r="E11188">
        <v>1</v>
      </c>
      <c r="F11188" t="str">
        <f>"13-C01-02"</f>
        <v>13-C01-02</v>
      </c>
      <c r="G11188">
        <v>0.25209999999999999</v>
      </c>
      <c r="H11188" t="s">
        <v>11</v>
      </c>
      <c r="I11188" t="s">
        <v>10</v>
      </c>
    </row>
    <row r="11189" spans="1:9" x14ac:dyDescent="0.25">
      <c r="A11189" t="str">
        <f t="shared" si="272"/>
        <v>89301000</v>
      </c>
      <c r="B11189" t="str">
        <f t="shared" si="273"/>
        <v>7153145769</v>
      </c>
      <c r="C11189" s="1">
        <v>45181</v>
      </c>
      <c r="D11189" s="1">
        <v>45182</v>
      </c>
      <c r="E11189">
        <v>1</v>
      </c>
      <c r="F11189" t="str">
        <f>"13-C01-02"</f>
        <v>13-C01-02</v>
      </c>
      <c r="G11189">
        <v>0.25209999999999999</v>
      </c>
      <c r="H11189" t="s">
        <v>11</v>
      </c>
      <c r="I11189" t="s">
        <v>10</v>
      </c>
    </row>
    <row r="11190" spans="1:9" x14ac:dyDescent="0.25">
      <c r="A11190" t="str">
        <f t="shared" si="272"/>
        <v>89301000</v>
      </c>
      <c r="B11190" t="str">
        <f t="shared" si="273"/>
        <v>7153145769</v>
      </c>
      <c r="C11190" s="1">
        <v>45047</v>
      </c>
      <c r="D11190" s="1">
        <v>45054</v>
      </c>
      <c r="E11190">
        <v>1</v>
      </c>
      <c r="F11190" t="str">
        <f>"13-I04-01"</f>
        <v>13-I04-01</v>
      </c>
      <c r="G11190">
        <v>2.8856000000000002</v>
      </c>
      <c r="H11190" t="s">
        <v>14</v>
      </c>
      <c r="I11190" t="s">
        <v>10</v>
      </c>
    </row>
    <row r="11191" spans="1:9" x14ac:dyDescent="0.25">
      <c r="A11191" t="str">
        <f t="shared" si="272"/>
        <v>89301000</v>
      </c>
      <c r="B11191" t="str">
        <f t="shared" si="273"/>
        <v>7153145769</v>
      </c>
      <c r="C11191" s="1">
        <v>45110</v>
      </c>
      <c r="D11191" s="1">
        <v>45111</v>
      </c>
      <c r="E11191">
        <v>1</v>
      </c>
      <c r="F11191" t="str">
        <f>"13-C01-02"</f>
        <v>13-C01-02</v>
      </c>
      <c r="G11191">
        <v>0.25209999999999999</v>
      </c>
      <c r="H11191" t="s">
        <v>11</v>
      </c>
      <c r="I11191" t="s">
        <v>10</v>
      </c>
    </row>
    <row r="11192" spans="1:9" x14ac:dyDescent="0.25">
      <c r="A11192" t="str">
        <f t="shared" si="272"/>
        <v>89301000</v>
      </c>
      <c r="B11192" t="str">
        <f t="shared" si="273"/>
        <v>7153145769</v>
      </c>
      <c r="C11192" s="1">
        <v>45117</v>
      </c>
      <c r="D11192" s="1">
        <v>45118</v>
      </c>
      <c r="E11192">
        <v>1</v>
      </c>
      <c r="F11192" t="str">
        <f>"13-C01-02"</f>
        <v>13-C01-02</v>
      </c>
      <c r="G11192">
        <v>0.25209999999999999</v>
      </c>
      <c r="H11192" t="s">
        <v>11</v>
      </c>
      <c r="I11192" t="s">
        <v>10</v>
      </c>
    </row>
    <row r="11193" spans="1:9" x14ac:dyDescent="0.25">
      <c r="A11193" t="str">
        <f t="shared" si="272"/>
        <v>89301000</v>
      </c>
      <c r="B11193" t="str">
        <f t="shared" si="273"/>
        <v>7153145769</v>
      </c>
      <c r="C11193" s="1">
        <v>45124</v>
      </c>
      <c r="D11193" s="1">
        <v>45125</v>
      </c>
      <c r="E11193">
        <v>1</v>
      </c>
      <c r="F11193" t="str">
        <f>"13-C01-02"</f>
        <v>13-C01-02</v>
      </c>
      <c r="G11193">
        <v>0.25209999999999999</v>
      </c>
      <c r="H11193" t="s">
        <v>11</v>
      </c>
      <c r="I11193" t="s">
        <v>10</v>
      </c>
    </row>
    <row r="11194" spans="1:9" x14ac:dyDescent="0.25">
      <c r="A11194" t="str">
        <f t="shared" si="272"/>
        <v>89301000</v>
      </c>
      <c r="B11194" t="str">
        <f t="shared" si="273"/>
        <v>7153145769</v>
      </c>
      <c r="C11194" s="1">
        <v>45132</v>
      </c>
      <c r="D11194" s="1">
        <v>45133</v>
      </c>
      <c r="E11194">
        <v>1</v>
      </c>
      <c r="F11194" t="str">
        <f>"13-C01-02"</f>
        <v>13-C01-02</v>
      </c>
      <c r="G11194">
        <v>0.25209999999999999</v>
      </c>
      <c r="H11194" t="s">
        <v>11</v>
      </c>
      <c r="I11194" t="s">
        <v>10</v>
      </c>
    </row>
    <row r="11195" spans="1:9" x14ac:dyDescent="0.25">
      <c r="A11195" t="str">
        <f t="shared" si="272"/>
        <v>89301000</v>
      </c>
      <c r="B11195" t="str">
        <f t="shared" si="273"/>
        <v>7153145769</v>
      </c>
      <c r="C11195" s="1">
        <v>45139</v>
      </c>
      <c r="D11195" s="1">
        <v>45140</v>
      </c>
      <c r="E11195">
        <v>1</v>
      </c>
      <c r="F11195" t="str">
        <f>"13-C01-02"</f>
        <v>13-C01-02</v>
      </c>
      <c r="G11195">
        <v>0.25209999999999999</v>
      </c>
      <c r="H11195" t="s">
        <v>11</v>
      </c>
      <c r="I11195" t="s">
        <v>10</v>
      </c>
    </row>
    <row r="11196" spans="1:9" x14ac:dyDescent="0.25">
      <c r="A11196" t="str">
        <f t="shared" si="272"/>
        <v>89301000</v>
      </c>
      <c r="B11196" t="str">
        <f>"7153155361"</f>
        <v>7153155361</v>
      </c>
      <c r="C11196" s="1">
        <v>45104</v>
      </c>
      <c r="D11196" s="1">
        <v>45114</v>
      </c>
      <c r="E11196">
        <v>1</v>
      </c>
      <c r="F11196" t="str">
        <f>"24-M06-02"</f>
        <v>24-M06-02</v>
      </c>
      <c r="G11196">
        <v>1.0699000000000001</v>
      </c>
      <c r="H11196" t="s">
        <v>11</v>
      </c>
      <c r="I11196" t="s">
        <v>10</v>
      </c>
    </row>
    <row r="11197" spans="1:9" x14ac:dyDescent="0.25">
      <c r="A11197" t="str">
        <f t="shared" si="272"/>
        <v>89301000</v>
      </c>
      <c r="B11197" t="str">
        <f>"7153155361"</f>
        <v>7153155361</v>
      </c>
      <c r="C11197" s="1">
        <v>45102</v>
      </c>
      <c r="D11197" s="1">
        <v>45104</v>
      </c>
      <c r="E11197">
        <v>3</v>
      </c>
      <c r="F11197" t="str">
        <f>"08-M03-05"</f>
        <v>08-M03-05</v>
      </c>
      <c r="G11197">
        <v>0.46810000000000002</v>
      </c>
      <c r="H11197" t="s">
        <v>11</v>
      </c>
      <c r="I11197" t="s">
        <v>10</v>
      </c>
    </row>
    <row r="11198" spans="1:9" x14ac:dyDescent="0.25">
      <c r="A11198" t="str">
        <f t="shared" si="272"/>
        <v>89301000</v>
      </c>
      <c r="B11198" t="str">
        <f>"7153165316"</f>
        <v>7153165316</v>
      </c>
      <c r="C11198" s="1">
        <v>44965</v>
      </c>
      <c r="D11198" s="1">
        <v>44966</v>
      </c>
      <c r="E11198">
        <v>1</v>
      </c>
      <c r="F11198" t="str">
        <f>"13-I19-00"</f>
        <v>13-I19-00</v>
      </c>
      <c r="G11198">
        <v>0.28249999999999997</v>
      </c>
      <c r="H11198" t="s">
        <v>11</v>
      </c>
      <c r="I11198" t="s">
        <v>10</v>
      </c>
    </row>
    <row r="11199" spans="1:9" x14ac:dyDescent="0.25">
      <c r="A11199" t="str">
        <f t="shared" si="272"/>
        <v>89301000</v>
      </c>
      <c r="B11199" t="str">
        <f>"7153165338"</f>
        <v>7153165338</v>
      </c>
      <c r="C11199" s="1">
        <v>44928</v>
      </c>
      <c r="D11199" s="1">
        <v>44939</v>
      </c>
      <c r="E11199">
        <v>1</v>
      </c>
      <c r="F11199" t="str">
        <f>"24-M06-01"</f>
        <v>24-M06-01</v>
      </c>
      <c r="G11199">
        <v>1.1990000000000001</v>
      </c>
      <c r="H11199" t="s">
        <v>11</v>
      </c>
      <c r="I11199" t="s">
        <v>10</v>
      </c>
    </row>
    <row r="11200" spans="1:9" x14ac:dyDescent="0.25">
      <c r="A11200" t="str">
        <f t="shared" si="272"/>
        <v>89301000</v>
      </c>
      <c r="B11200" t="str">
        <f>"7153185303"</f>
        <v>7153185303</v>
      </c>
      <c r="C11200" s="1">
        <v>45237</v>
      </c>
      <c r="D11200" s="1">
        <v>45238</v>
      </c>
      <c r="E11200">
        <v>1</v>
      </c>
      <c r="F11200" t="str">
        <f>"08-M03-05"</f>
        <v>08-M03-05</v>
      </c>
      <c r="G11200">
        <v>0.46910000000000002</v>
      </c>
      <c r="H11200" t="s">
        <v>11</v>
      </c>
      <c r="I11200" t="s">
        <v>10</v>
      </c>
    </row>
    <row r="11201" spans="1:9" x14ac:dyDescent="0.25">
      <c r="A11201" t="str">
        <f t="shared" si="272"/>
        <v>89301000</v>
      </c>
      <c r="B11201" t="str">
        <f>"7153305324"</f>
        <v>7153305324</v>
      </c>
      <c r="C11201" s="1">
        <v>44970</v>
      </c>
      <c r="D11201" s="1">
        <v>44971</v>
      </c>
      <c r="E11201">
        <v>6</v>
      </c>
      <c r="F11201" t="str">
        <f>"01-C02-02"</f>
        <v>01-C02-02</v>
      </c>
      <c r="G11201">
        <v>1.6685000000000001</v>
      </c>
      <c r="H11201" t="s">
        <v>11</v>
      </c>
      <c r="I11201" t="s">
        <v>10</v>
      </c>
    </row>
    <row r="11202" spans="1:9" x14ac:dyDescent="0.25">
      <c r="A11202" t="str">
        <f t="shared" si="272"/>
        <v>89301000</v>
      </c>
      <c r="B11202" t="str">
        <f>"7154045327"</f>
        <v>7154045327</v>
      </c>
      <c r="C11202" s="1">
        <v>45125</v>
      </c>
      <c r="D11202" s="1">
        <v>45127</v>
      </c>
      <c r="E11202">
        <v>1</v>
      </c>
      <c r="F11202" t="str">
        <f>"01-K07-03"</f>
        <v>01-K07-03</v>
      </c>
      <c r="G11202">
        <v>0.48680000000000001</v>
      </c>
      <c r="H11202" t="s">
        <v>11</v>
      </c>
      <c r="I11202" t="s">
        <v>10</v>
      </c>
    </row>
    <row r="11203" spans="1:9" x14ac:dyDescent="0.25">
      <c r="A11203" t="str">
        <f t="shared" si="272"/>
        <v>89301000</v>
      </c>
      <c r="B11203" t="str">
        <f>"7154224869"</f>
        <v>7154224869</v>
      </c>
      <c r="C11203" s="1">
        <v>44927</v>
      </c>
      <c r="D11203" s="1">
        <v>44931</v>
      </c>
      <c r="E11203">
        <v>1</v>
      </c>
      <c r="F11203" t="str">
        <f>"08-M03-05"</f>
        <v>08-M03-05</v>
      </c>
      <c r="G11203">
        <v>0.46910000000000002</v>
      </c>
      <c r="H11203" t="s">
        <v>11</v>
      </c>
      <c r="I11203" t="s">
        <v>10</v>
      </c>
    </row>
    <row r="11204" spans="1:9" x14ac:dyDescent="0.25">
      <c r="A11204" t="str">
        <f t="shared" si="272"/>
        <v>89301000</v>
      </c>
      <c r="B11204" t="str">
        <f>"7154265316"</f>
        <v>7154265316</v>
      </c>
      <c r="C11204" s="1">
        <v>45243</v>
      </c>
      <c r="D11204" s="1">
        <v>45245</v>
      </c>
      <c r="E11204">
        <v>1</v>
      </c>
      <c r="F11204" t="str">
        <f>"01-K07-02"</f>
        <v>01-K07-02</v>
      </c>
      <c r="G11204">
        <v>0.6341</v>
      </c>
      <c r="H11204" t="s">
        <v>11</v>
      </c>
      <c r="I11204" t="s">
        <v>10</v>
      </c>
    </row>
    <row r="11205" spans="1:9" x14ac:dyDescent="0.25">
      <c r="A11205" t="str">
        <f t="shared" si="272"/>
        <v>89301000</v>
      </c>
      <c r="B11205" t="str">
        <f>"7154284456"</f>
        <v>7154284456</v>
      </c>
      <c r="C11205" s="1">
        <v>45050</v>
      </c>
      <c r="D11205" s="1">
        <v>45051</v>
      </c>
      <c r="E11205">
        <v>1</v>
      </c>
      <c r="F11205" t="str">
        <f>"13-K12-00"</f>
        <v>13-K12-00</v>
      </c>
      <c r="G11205">
        <v>0.25119999999999998</v>
      </c>
      <c r="H11205" t="s">
        <v>11</v>
      </c>
      <c r="I11205" t="s">
        <v>10</v>
      </c>
    </row>
    <row r="11206" spans="1:9" x14ac:dyDescent="0.25">
      <c r="A11206" t="str">
        <f t="shared" si="272"/>
        <v>89301000</v>
      </c>
      <c r="B11206" t="str">
        <f>"7154285314"</f>
        <v>7154285314</v>
      </c>
      <c r="C11206" s="1">
        <v>45154</v>
      </c>
      <c r="D11206" s="1">
        <v>45160</v>
      </c>
      <c r="E11206">
        <v>3</v>
      </c>
      <c r="F11206" t="str">
        <f>"08-I05-04"</f>
        <v>08-I05-04</v>
      </c>
      <c r="G11206">
        <v>2.4445000000000001</v>
      </c>
      <c r="H11206" t="s">
        <v>12</v>
      </c>
      <c r="I11206" t="s">
        <v>10</v>
      </c>
    </row>
    <row r="11207" spans="1:9" x14ac:dyDescent="0.25">
      <c r="A11207" t="str">
        <f t="shared" si="272"/>
        <v>89301000</v>
      </c>
      <c r="B11207" t="str">
        <f>"7154285314"</f>
        <v>7154285314</v>
      </c>
      <c r="C11207" s="1">
        <v>45160</v>
      </c>
      <c r="D11207" s="1">
        <v>45170</v>
      </c>
      <c r="E11207">
        <v>1</v>
      </c>
      <c r="F11207" t="str">
        <f>"24-M06-02"</f>
        <v>24-M06-02</v>
      </c>
      <c r="G11207">
        <v>1.0699000000000001</v>
      </c>
      <c r="H11207" t="s">
        <v>11</v>
      </c>
      <c r="I11207" t="s">
        <v>10</v>
      </c>
    </row>
    <row r="11208" spans="1:9" x14ac:dyDescent="0.25">
      <c r="A11208" t="str">
        <f t="shared" si="272"/>
        <v>89301000</v>
      </c>
      <c r="B11208" t="str">
        <f>"7154302584"</f>
        <v>7154302584</v>
      </c>
      <c r="C11208" s="1">
        <v>45043</v>
      </c>
      <c r="D11208" s="1">
        <v>45046</v>
      </c>
      <c r="E11208">
        <v>1</v>
      </c>
      <c r="F11208" t="str">
        <f>"08-M03-02"</f>
        <v>08-M03-02</v>
      </c>
      <c r="G11208">
        <v>0.91359999999999997</v>
      </c>
      <c r="H11208" t="s">
        <v>11</v>
      </c>
      <c r="I11208" t="s">
        <v>10</v>
      </c>
    </row>
    <row r="11209" spans="1:9" x14ac:dyDescent="0.25">
      <c r="A11209" t="str">
        <f t="shared" si="272"/>
        <v>89301000</v>
      </c>
      <c r="B11209" t="str">
        <f>"7155045326"</f>
        <v>7155045326</v>
      </c>
      <c r="C11209" s="1">
        <v>45096</v>
      </c>
      <c r="D11209" s="1">
        <v>45099</v>
      </c>
      <c r="E11209">
        <v>1</v>
      </c>
      <c r="F11209" t="str">
        <f>"08-K02-02"</f>
        <v>08-K02-02</v>
      </c>
      <c r="G11209">
        <v>0.81369999999999998</v>
      </c>
      <c r="H11209" t="s">
        <v>11</v>
      </c>
      <c r="I11209" t="s">
        <v>10</v>
      </c>
    </row>
    <row r="11210" spans="1:9" x14ac:dyDescent="0.25">
      <c r="A11210" t="str">
        <f t="shared" si="272"/>
        <v>89301000</v>
      </c>
      <c r="B11210" t="str">
        <f>"7155145338"</f>
        <v>7155145338</v>
      </c>
      <c r="C11210" s="1">
        <v>45056</v>
      </c>
      <c r="D11210" s="1">
        <v>45058</v>
      </c>
      <c r="E11210">
        <v>1</v>
      </c>
      <c r="F11210" t="str">
        <f>"03-I14-02"</f>
        <v>03-I14-02</v>
      </c>
      <c r="G11210">
        <v>1.0793999999999999</v>
      </c>
      <c r="H11210" t="s">
        <v>11</v>
      </c>
      <c r="I11210" t="s">
        <v>10</v>
      </c>
    </row>
    <row r="11211" spans="1:9" x14ac:dyDescent="0.25">
      <c r="A11211" t="str">
        <f t="shared" si="272"/>
        <v>89301000</v>
      </c>
      <c r="B11211" t="str">
        <f>"7155145338"</f>
        <v>7155145338</v>
      </c>
      <c r="C11211" s="1">
        <v>45242</v>
      </c>
      <c r="D11211" s="1">
        <v>45244</v>
      </c>
      <c r="E11211">
        <v>1</v>
      </c>
      <c r="F11211" t="str">
        <f>"03-I14-02"</f>
        <v>03-I14-02</v>
      </c>
      <c r="G11211">
        <v>1.0793999999999999</v>
      </c>
      <c r="H11211" t="s">
        <v>11</v>
      </c>
      <c r="I11211" t="s">
        <v>10</v>
      </c>
    </row>
    <row r="11212" spans="1:9" x14ac:dyDescent="0.25">
      <c r="A11212" t="str">
        <f t="shared" si="272"/>
        <v>89301000</v>
      </c>
      <c r="B11212" t="str">
        <f>"7155155755"</f>
        <v>7155155755</v>
      </c>
      <c r="C11212" s="1">
        <v>44958</v>
      </c>
      <c r="D11212" s="1">
        <v>44959</v>
      </c>
      <c r="E11212">
        <v>1</v>
      </c>
      <c r="F11212" t="str">
        <f>"05-M05-03"</f>
        <v>05-M05-03</v>
      </c>
      <c r="G11212">
        <v>2.0312999999999999</v>
      </c>
      <c r="H11212" t="s">
        <v>14</v>
      </c>
      <c r="I11212" t="s">
        <v>10</v>
      </c>
    </row>
    <row r="11213" spans="1:9" x14ac:dyDescent="0.25">
      <c r="A11213" t="str">
        <f t="shared" si="272"/>
        <v>89301000</v>
      </c>
      <c r="B11213" t="str">
        <f>"7155221843"</f>
        <v>7155221843</v>
      </c>
      <c r="C11213" s="1">
        <v>44988</v>
      </c>
      <c r="D11213" s="1">
        <v>44988</v>
      </c>
      <c r="E11213">
        <v>1</v>
      </c>
      <c r="F11213" t="str">
        <f>"05-D01-05"</f>
        <v>05-D01-05</v>
      </c>
      <c r="G11213">
        <v>0.74509999999999998</v>
      </c>
      <c r="H11213" t="s">
        <v>11</v>
      </c>
      <c r="I11213" t="s">
        <v>10</v>
      </c>
    </row>
    <row r="11214" spans="1:9" x14ac:dyDescent="0.25">
      <c r="A11214" t="str">
        <f t="shared" si="272"/>
        <v>89301000</v>
      </c>
      <c r="B11214" t="str">
        <f>"7155221843"</f>
        <v>7155221843</v>
      </c>
      <c r="C11214" s="1">
        <v>45002</v>
      </c>
      <c r="D11214" s="1">
        <v>45003</v>
      </c>
      <c r="E11214">
        <v>1</v>
      </c>
      <c r="F11214" t="str">
        <f>"05-I14-03"</f>
        <v>05-I14-03</v>
      </c>
      <c r="G11214">
        <v>6.0362</v>
      </c>
      <c r="H11214" t="s">
        <v>12</v>
      </c>
      <c r="I11214" t="s">
        <v>10</v>
      </c>
    </row>
    <row r="11215" spans="1:9" x14ac:dyDescent="0.25">
      <c r="A11215" t="str">
        <f t="shared" si="272"/>
        <v>89301000</v>
      </c>
      <c r="B11215" t="str">
        <f>"7155221843"</f>
        <v>7155221843</v>
      </c>
      <c r="C11215" s="1">
        <v>45048</v>
      </c>
      <c r="D11215" s="1">
        <v>45055</v>
      </c>
      <c r="E11215">
        <v>1</v>
      </c>
      <c r="F11215" t="str">
        <f>"05-I21-01"</f>
        <v>05-I21-01</v>
      </c>
      <c r="G11215">
        <v>3.6871999999999998</v>
      </c>
      <c r="H11215" t="s">
        <v>12</v>
      </c>
      <c r="I11215" t="s">
        <v>10</v>
      </c>
    </row>
    <row r="11216" spans="1:9" x14ac:dyDescent="0.25">
      <c r="A11216" t="str">
        <f t="shared" si="272"/>
        <v>89301000</v>
      </c>
      <c r="B11216" t="str">
        <f>"7155225341"</f>
        <v>7155225341</v>
      </c>
      <c r="C11216" s="1">
        <v>45076</v>
      </c>
      <c r="D11216" s="1">
        <v>45077</v>
      </c>
      <c r="E11216">
        <v>1</v>
      </c>
      <c r="F11216" t="str">
        <f>"13-I19-00"</f>
        <v>13-I19-00</v>
      </c>
      <c r="G11216">
        <v>0.28249999999999997</v>
      </c>
      <c r="H11216" t="s">
        <v>11</v>
      </c>
      <c r="I11216" t="s">
        <v>10</v>
      </c>
    </row>
    <row r="11217" spans="1:9" x14ac:dyDescent="0.25">
      <c r="A11217" t="str">
        <f t="shared" si="272"/>
        <v>89301000</v>
      </c>
      <c r="B11217" t="str">
        <f>"7155225341"</f>
        <v>7155225341</v>
      </c>
      <c r="C11217" s="1">
        <v>45172</v>
      </c>
      <c r="D11217" s="1">
        <v>45176</v>
      </c>
      <c r="E11217">
        <v>1</v>
      </c>
      <c r="F11217" t="str">
        <f>"13-I08-03"</f>
        <v>13-I08-03</v>
      </c>
      <c r="G11217">
        <v>1.3751</v>
      </c>
      <c r="H11217" t="s">
        <v>14</v>
      </c>
      <c r="I11217" t="s">
        <v>10</v>
      </c>
    </row>
    <row r="11218" spans="1:9" x14ac:dyDescent="0.25">
      <c r="A11218" t="str">
        <f t="shared" si="272"/>
        <v>89301000</v>
      </c>
      <c r="B11218" t="str">
        <f>"7155285753"</f>
        <v>7155285753</v>
      </c>
      <c r="C11218" s="1">
        <v>44934</v>
      </c>
      <c r="D11218" s="1">
        <v>44940</v>
      </c>
      <c r="E11218">
        <v>1</v>
      </c>
      <c r="F11218" t="str">
        <f>"03-I12-02"</f>
        <v>03-I12-02</v>
      </c>
      <c r="G11218">
        <v>1.2831999999999999</v>
      </c>
      <c r="H11218" t="s">
        <v>12</v>
      </c>
      <c r="I11218" t="s">
        <v>10</v>
      </c>
    </row>
    <row r="11219" spans="1:9" x14ac:dyDescent="0.25">
      <c r="A11219" t="str">
        <f t="shared" si="272"/>
        <v>89301000</v>
      </c>
      <c r="B11219" t="str">
        <f>"7155305685"</f>
        <v>7155305685</v>
      </c>
      <c r="C11219" s="1">
        <v>45149</v>
      </c>
      <c r="D11219" s="1">
        <v>45150</v>
      </c>
      <c r="E11219">
        <v>1</v>
      </c>
      <c r="F11219" t="str">
        <f>"08-M03-04"</f>
        <v>08-M03-04</v>
      </c>
      <c r="G11219">
        <v>0.87760000000000005</v>
      </c>
      <c r="H11219" t="s">
        <v>11</v>
      </c>
      <c r="I11219" t="s">
        <v>10</v>
      </c>
    </row>
    <row r="11220" spans="1:9" x14ac:dyDescent="0.25">
      <c r="A11220" t="str">
        <f t="shared" si="272"/>
        <v>89301000</v>
      </c>
      <c r="B11220" t="str">
        <f>"7156185729"</f>
        <v>7156185729</v>
      </c>
      <c r="C11220" s="1">
        <v>45187</v>
      </c>
      <c r="D11220" s="1">
        <v>45189</v>
      </c>
      <c r="E11220">
        <v>1</v>
      </c>
      <c r="F11220" t="str">
        <f>"08-I31-04"</f>
        <v>08-I31-04</v>
      </c>
      <c r="G11220">
        <v>0.4894</v>
      </c>
      <c r="H11220" t="s">
        <v>11</v>
      </c>
      <c r="I11220" t="s">
        <v>10</v>
      </c>
    </row>
    <row r="11221" spans="1:9" x14ac:dyDescent="0.25">
      <c r="A11221" t="str">
        <f t="shared" si="272"/>
        <v>89301000</v>
      </c>
      <c r="B11221" t="str">
        <f>"7156235306"</f>
        <v>7156235306</v>
      </c>
      <c r="C11221" s="1">
        <v>45013</v>
      </c>
      <c r="D11221" s="1">
        <v>45017</v>
      </c>
      <c r="E11221">
        <v>1</v>
      </c>
      <c r="F11221" t="str">
        <f>"10-I13-02"</f>
        <v>10-I13-02</v>
      </c>
      <c r="G11221">
        <v>1.1227</v>
      </c>
      <c r="H11221" t="s">
        <v>9</v>
      </c>
      <c r="I11221" t="s">
        <v>10</v>
      </c>
    </row>
    <row r="11222" spans="1:9" x14ac:dyDescent="0.25">
      <c r="A11222" t="str">
        <f t="shared" si="272"/>
        <v>89301000</v>
      </c>
      <c r="B11222" t="str">
        <f>"7156255700"</f>
        <v>7156255700</v>
      </c>
      <c r="C11222" s="1">
        <v>44927</v>
      </c>
      <c r="D11222" s="1">
        <v>44939</v>
      </c>
      <c r="E11222">
        <v>1</v>
      </c>
      <c r="F11222" t="str">
        <f>"01-K06-00"</f>
        <v>01-K06-00</v>
      </c>
      <c r="G11222">
        <v>0.47589999999999999</v>
      </c>
      <c r="H11222" t="s">
        <v>11</v>
      </c>
      <c r="I11222" t="s">
        <v>10</v>
      </c>
    </row>
    <row r="11223" spans="1:9" x14ac:dyDescent="0.25">
      <c r="A11223" t="str">
        <f t="shared" si="272"/>
        <v>89301000</v>
      </c>
      <c r="B11223" t="str">
        <f>"7156285312"</f>
        <v>7156285312</v>
      </c>
      <c r="C11223" s="1">
        <v>45252</v>
      </c>
      <c r="D11223" s="1">
        <v>45257</v>
      </c>
      <c r="E11223">
        <v>1</v>
      </c>
      <c r="F11223" t="str">
        <f>"13-I11-03"</f>
        <v>13-I11-03</v>
      </c>
      <c r="G11223">
        <v>1.4332</v>
      </c>
      <c r="H11223" t="s">
        <v>9</v>
      </c>
      <c r="I11223" t="s">
        <v>10</v>
      </c>
    </row>
    <row r="11224" spans="1:9" x14ac:dyDescent="0.25">
      <c r="A11224" t="str">
        <f t="shared" si="272"/>
        <v>89301000</v>
      </c>
      <c r="B11224" t="str">
        <f>"7156304881"</f>
        <v>7156304881</v>
      </c>
      <c r="C11224" s="1">
        <v>44907</v>
      </c>
      <c r="D11224" s="1">
        <v>44939</v>
      </c>
      <c r="E11224">
        <v>1</v>
      </c>
      <c r="F11224" t="str">
        <f>"16-K04-01"</f>
        <v>16-K04-01</v>
      </c>
      <c r="G11224">
        <v>2.7925</v>
      </c>
      <c r="H11224" t="s">
        <v>11</v>
      </c>
      <c r="I11224" t="s">
        <v>10</v>
      </c>
    </row>
    <row r="11225" spans="1:9" x14ac:dyDescent="0.25">
      <c r="A11225" t="str">
        <f t="shared" si="272"/>
        <v>89301000</v>
      </c>
      <c r="B11225" t="str">
        <f>"7156305332"</f>
        <v>7156305332</v>
      </c>
      <c r="C11225" s="1">
        <v>45224</v>
      </c>
      <c r="D11225" s="1">
        <v>45226</v>
      </c>
      <c r="E11225">
        <v>1</v>
      </c>
      <c r="F11225" t="str">
        <f>"05-M10-00"</f>
        <v>05-M10-00</v>
      </c>
      <c r="G11225">
        <v>0.2036</v>
      </c>
      <c r="H11225" t="s">
        <v>11</v>
      </c>
      <c r="I11225" t="s">
        <v>10</v>
      </c>
    </row>
    <row r="11226" spans="1:9" x14ac:dyDescent="0.25">
      <c r="A11226" t="str">
        <f t="shared" si="272"/>
        <v>89301000</v>
      </c>
      <c r="B11226" t="str">
        <f>"7157025326"</f>
        <v>7157025326</v>
      </c>
      <c r="C11226" s="1">
        <v>45111</v>
      </c>
      <c r="D11226" s="1">
        <v>45114</v>
      </c>
      <c r="E11226">
        <v>1</v>
      </c>
      <c r="F11226" t="str">
        <f>"19-K02-03"</f>
        <v>19-K02-03</v>
      </c>
      <c r="G11226">
        <v>0.71950000000000003</v>
      </c>
      <c r="H11226" t="s">
        <v>15</v>
      </c>
      <c r="I11226" t="s">
        <v>10</v>
      </c>
    </row>
    <row r="11227" spans="1:9" x14ac:dyDescent="0.25">
      <c r="A11227" t="str">
        <f t="shared" si="272"/>
        <v>89301000</v>
      </c>
      <c r="B11227" t="str">
        <f>"7157045302"</f>
        <v>7157045302</v>
      </c>
      <c r="C11227" s="1">
        <v>45217</v>
      </c>
      <c r="D11227" s="1">
        <v>45218</v>
      </c>
      <c r="E11227">
        <v>1</v>
      </c>
      <c r="F11227" t="str">
        <f>"05-M03-00"</f>
        <v>05-M03-00</v>
      </c>
      <c r="G11227">
        <v>3.4253999999999998</v>
      </c>
      <c r="H11227" t="s">
        <v>14</v>
      </c>
      <c r="I11227" t="s">
        <v>10</v>
      </c>
    </row>
    <row r="11228" spans="1:9" x14ac:dyDescent="0.25">
      <c r="A11228" t="str">
        <f t="shared" si="272"/>
        <v>89301000</v>
      </c>
      <c r="B11228" t="str">
        <f>"7157165598"</f>
        <v>7157165598</v>
      </c>
      <c r="C11228" s="1">
        <v>45082</v>
      </c>
      <c r="D11228" s="1">
        <v>45091</v>
      </c>
      <c r="E11228">
        <v>1</v>
      </c>
      <c r="F11228" t="str">
        <f>"11-K01-01"</f>
        <v>11-K01-01</v>
      </c>
      <c r="G11228">
        <v>1.377</v>
      </c>
      <c r="H11228" t="s">
        <v>11</v>
      </c>
      <c r="I11228" t="s">
        <v>10</v>
      </c>
    </row>
    <row r="11229" spans="1:9" x14ac:dyDescent="0.25">
      <c r="A11229" t="str">
        <f t="shared" si="272"/>
        <v>89301000</v>
      </c>
      <c r="B11229" t="str">
        <f>"7157235360"</f>
        <v>7157235360</v>
      </c>
      <c r="C11229" s="1">
        <v>45264</v>
      </c>
      <c r="D11229" s="1">
        <v>45269</v>
      </c>
      <c r="E11229">
        <v>1</v>
      </c>
      <c r="F11229" t="str">
        <f>"01-I06-04"</f>
        <v>01-I06-04</v>
      </c>
      <c r="G11229">
        <v>3.6478999999999999</v>
      </c>
      <c r="H11229" t="s">
        <v>12</v>
      </c>
      <c r="I11229" t="s">
        <v>10</v>
      </c>
    </row>
    <row r="11230" spans="1:9" x14ac:dyDescent="0.25">
      <c r="A11230" t="str">
        <f t="shared" si="272"/>
        <v>89301000</v>
      </c>
      <c r="B11230" t="str">
        <f>"7158025336"</f>
        <v>7158025336</v>
      </c>
      <c r="C11230" s="1">
        <v>44963</v>
      </c>
      <c r="D11230" s="1">
        <v>44965</v>
      </c>
      <c r="E11230">
        <v>1</v>
      </c>
      <c r="F11230" t="str">
        <f>"07-M02-04"</f>
        <v>07-M02-04</v>
      </c>
      <c r="G11230">
        <v>0.77339999999999998</v>
      </c>
      <c r="H11230" t="s">
        <v>12</v>
      </c>
      <c r="I11230" t="s">
        <v>10</v>
      </c>
    </row>
    <row r="11231" spans="1:9" x14ac:dyDescent="0.25">
      <c r="A11231" t="str">
        <f t="shared" si="272"/>
        <v>89301000</v>
      </c>
      <c r="B11231" t="str">
        <f>"7158025336"</f>
        <v>7158025336</v>
      </c>
      <c r="C11231" s="1">
        <v>45061</v>
      </c>
      <c r="D11231" s="1">
        <v>45062</v>
      </c>
      <c r="E11231">
        <v>1</v>
      </c>
      <c r="F11231" t="str">
        <f>"07-K05-03"</f>
        <v>07-K05-03</v>
      </c>
      <c r="G11231">
        <v>0.35659999999999997</v>
      </c>
      <c r="H11231" t="s">
        <v>11</v>
      </c>
      <c r="I11231" t="s">
        <v>10</v>
      </c>
    </row>
    <row r="11232" spans="1:9" x14ac:dyDescent="0.25">
      <c r="A11232" t="str">
        <f t="shared" si="272"/>
        <v>89301000</v>
      </c>
      <c r="B11232" t="str">
        <f>"7158035346"</f>
        <v>7158035346</v>
      </c>
      <c r="C11232" s="1">
        <v>44945</v>
      </c>
      <c r="D11232" s="1">
        <v>44949</v>
      </c>
      <c r="E11232">
        <v>1</v>
      </c>
      <c r="F11232" t="str">
        <f>"02-I06-03"</f>
        <v>02-I06-03</v>
      </c>
      <c r="G11232">
        <v>0.99260000000000004</v>
      </c>
      <c r="H11232" t="s">
        <v>12</v>
      </c>
      <c r="I11232" t="s">
        <v>10</v>
      </c>
    </row>
    <row r="11233" spans="1:9" x14ac:dyDescent="0.25">
      <c r="A11233" t="str">
        <f t="shared" si="272"/>
        <v>89301000</v>
      </c>
      <c r="B11233" t="str">
        <f>"7158075342"</f>
        <v>7158075342</v>
      </c>
      <c r="C11233" s="1">
        <v>44970</v>
      </c>
      <c r="D11233" s="1">
        <v>44972</v>
      </c>
      <c r="E11233">
        <v>1</v>
      </c>
      <c r="F11233" t="str">
        <f>"06-M01-03"</f>
        <v>06-M01-03</v>
      </c>
      <c r="G11233">
        <v>0.82350000000000001</v>
      </c>
      <c r="H11233" t="s">
        <v>11</v>
      </c>
      <c r="I11233" t="s">
        <v>10</v>
      </c>
    </row>
    <row r="11234" spans="1:9" x14ac:dyDescent="0.25">
      <c r="A11234" t="str">
        <f t="shared" si="272"/>
        <v>89301000</v>
      </c>
      <c r="B11234" t="str">
        <f>"7158075342"</f>
        <v>7158075342</v>
      </c>
      <c r="C11234" s="1">
        <v>44945</v>
      </c>
      <c r="D11234" s="1">
        <v>44949</v>
      </c>
      <c r="E11234">
        <v>1</v>
      </c>
      <c r="F11234" t="str">
        <f>"07-K04-02"</f>
        <v>07-K04-02</v>
      </c>
      <c r="G11234">
        <v>1.5216000000000001</v>
      </c>
      <c r="H11234" t="s">
        <v>11</v>
      </c>
      <c r="I11234" t="s">
        <v>10</v>
      </c>
    </row>
    <row r="11235" spans="1:9" x14ac:dyDescent="0.25">
      <c r="A11235" t="str">
        <f t="shared" si="272"/>
        <v>89301000</v>
      </c>
      <c r="B11235" t="str">
        <f>"7158183670"</f>
        <v>7158183670</v>
      </c>
      <c r="C11235" s="1">
        <v>45077</v>
      </c>
      <c r="D11235" s="1">
        <v>45079</v>
      </c>
      <c r="E11235">
        <v>1</v>
      </c>
      <c r="F11235" t="str">
        <f>"02-I09-03"</f>
        <v>02-I09-03</v>
      </c>
      <c r="G11235">
        <v>0.89090000000000003</v>
      </c>
      <c r="H11235" t="s">
        <v>11</v>
      </c>
      <c r="I11235" t="s">
        <v>10</v>
      </c>
    </row>
    <row r="11236" spans="1:9" x14ac:dyDescent="0.25">
      <c r="A11236" t="str">
        <f t="shared" ref="A11236:A11299" si="274">"89301000"</f>
        <v>89301000</v>
      </c>
      <c r="B11236" t="str">
        <f>"7158183670"</f>
        <v>7158183670</v>
      </c>
      <c r="C11236" s="1">
        <v>44930</v>
      </c>
      <c r="D11236" s="1">
        <v>44932</v>
      </c>
      <c r="E11236">
        <v>1</v>
      </c>
      <c r="F11236" t="str">
        <f>"02-I09-03"</f>
        <v>02-I09-03</v>
      </c>
      <c r="G11236">
        <v>0.88970000000000005</v>
      </c>
      <c r="H11236" t="s">
        <v>11</v>
      </c>
      <c r="I11236" t="s">
        <v>10</v>
      </c>
    </row>
    <row r="11237" spans="1:9" x14ac:dyDescent="0.25">
      <c r="A11237" t="str">
        <f t="shared" si="274"/>
        <v>89301000</v>
      </c>
      <c r="B11237" t="str">
        <f>"7158185320"</f>
        <v>7158185320</v>
      </c>
      <c r="C11237" s="1">
        <v>45042</v>
      </c>
      <c r="D11237" s="1">
        <v>45048</v>
      </c>
      <c r="E11237">
        <v>1</v>
      </c>
      <c r="F11237" t="str">
        <f>"23-K05-01"</f>
        <v>23-K05-01</v>
      </c>
      <c r="G11237">
        <v>0.56269999999999998</v>
      </c>
      <c r="H11237" t="s">
        <v>11</v>
      </c>
      <c r="I11237" t="s">
        <v>10</v>
      </c>
    </row>
    <row r="11238" spans="1:9" x14ac:dyDescent="0.25">
      <c r="A11238" t="str">
        <f t="shared" si="274"/>
        <v>89301000</v>
      </c>
      <c r="B11238" t="str">
        <f>"7158185320"</f>
        <v>7158185320</v>
      </c>
      <c r="C11238" s="1">
        <v>45202</v>
      </c>
      <c r="D11238" s="1">
        <v>45205</v>
      </c>
      <c r="E11238">
        <v>1</v>
      </c>
      <c r="F11238" t="str">
        <f>"01-K08-02"</f>
        <v>01-K08-02</v>
      </c>
      <c r="G11238">
        <v>0.60619999999999996</v>
      </c>
      <c r="H11238" t="s">
        <v>11</v>
      </c>
      <c r="I11238" t="s">
        <v>10</v>
      </c>
    </row>
    <row r="11239" spans="1:9" x14ac:dyDescent="0.25">
      <c r="A11239" t="str">
        <f t="shared" si="274"/>
        <v>89301000</v>
      </c>
      <c r="B11239" t="str">
        <f t="shared" ref="B11239:B11244" si="275">"7158186684"</f>
        <v>7158186684</v>
      </c>
      <c r="C11239" s="1">
        <v>45083</v>
      </c>
      <c r="D11239" s="1">
        <v>45105</v>
      </c>
      <c r="E11239">
        <v>1</v>
      </c>
      <c r="F11239" t="str">
        <f>"00-M07-00"</f>
        <v>00-M07-00</v>
      </c>
      <c r="G11239">
        <v>7.7793999999999999</v>
      </c>
      <c r="H11239" t="s">
        <v>14</v>
      </c>
      <c r="I11239" t="s">
        <v>10</v>
      </c>
    </row>
    <row r="11240" spans="1:9" x14ac:dyDescent="0.25">
      <c r="A11240" t="str">
        <f t="shared" si="274"/>
        <v>89301000</v>
      </c>
      <c r="B11240" t="str">
        <f t="shared" si="275"/>
        <v>7158186684</v>
      </c>
      <c r="C11240" s="1">
        <v>45042</v>
      </c>
      <c r="D11240" s="1">
        <v>45050</v>
      </c>
      <c r="E11240">
        <v>1</v>
      </c>
      <c r="F11240" t="str">
        <f>"00-M10-01"</f>
        <v>00-M10-01</v>
      </c>
      <c r="G11240">
        <v>1.5888</v>
      </c>
      <c r="H11240" t="s">
        <v>14</v>
      </c>
      <c r="I11240" t="s">
        <v>10</v>
      </c>
    </row>
    <row r="11241" spans="1:9" x14ac:dyDescent="0.25">
      <c r="A11241" t="str">
        <f t="shared" si="274"/>
        <v>89301000</v>
      </c>
      <c r="B11241" t="str">
        <f t="shared" si="275"/>
        <v>7158186684</v>
      </c>
      <c r="C11241" s="1">
        <v>45033</v>
      </c>
      <c r="D11241" s="1">
        <v>45036</v>
      </c>
      <c r="E11241">
        <v>1</v>
      </c>
      <c r="F11241" t="str">
        <f>"17-C05-05"</f>
        <v>17-C05-05</v>
      </c>
      <c r="G11241">
        <v>0.66069999999999995</v>
      </c>
      <c r="H11241" t="s">
        <v>11</v>
      </c>
      <c r="I11241" t="s">
        <v>10</v>
      </c>
    </row>
    <row r="11242" spans="1:9" x14ac:dyDescent="0.25">
      <c r="A11242" t="str">
        <f t="shared" si="274"/>
        <v>89301000</v>
      </c>
      <c r="B11242" t="str">
        <f t="shared" si="275"/>
        <v>7158186684</v>
      </c>
      <c r="C11242" s="1">
        <v>44952</v>
      </c>
      <c r="D11242" s="1">
        <v>44955</v>
      </c>
      <c r="E11242">
        <v>1</v>
      </c>
      <c r="F11242" t="str">
        <f>"17-C05-05"</f>
        <v>17-C05-05</v>
      </c>
      <c r="G11242">
        <v>0.66069999999999995</v>
      </c>
      <c r="H11242" t="s">
        <v>11</v>
      </c>
      <c r="I11242" t="s">
        <v>10</v>
      </c>
    </row>
    <row r="11243" spans="1:9" x14ac:dyDescent="0.25">
      <c r="A11243" t="str">
        <f t="shared" si="274"/>
        <v>89301000</v>
      </c>
      <c r="B11243" t="str">
        <f t="shared" si="275"/>
        <v>7158186684</v>
      </c>
      <c r="C11243" s="1">
        <v>44977</v>
      </c>
      <c r="D11243" s="1">
        <v>44992</v>
      </c>
      <c r="E11243">
        <v>1</v>
      </c>
      <c r="F11243" t="str">
        <f>"17-C05-02"</f>
        <v>17-C05-02</v>
      </c>
      <c r="G11243">
        <v>2.3085</v>
      </c>
      <c r="H11243" t="s">
        <v>11</v>
      </c>
      <c r="I11243" t="s">
        <v>10</v>
      </c>
    </row>
    <row r="11244" spans="1:9" x14ac:dyDescent="0.25">
      <c r="A11244" t="str">
        <f t="shared" si="274"/>
        <v>89301000</v>
      </c>
      <c r="B11244" t="str">
        <f t="shared" si="275"/>
        <v>7158186684</v>
      </c>
      <c r="C11244" s="1">
        <v>44931</v>
      </c>
      <c r="D11244" s="1">
        <v>44942</v>
      </c>
      <c r="E11244">
        <v>1</v>
      </c>
      <c r="F11244" t="str">
        <f>"17-C05-03"</f>
        <v>17-C05-03</v>
      </c>
      <c r="G11244">
        <v>1.4158999999999999</v>
      </c>
      <c r="H11244" t="s">
        <v>11</v>
      </c>
      <c r="I11244" t="s">
        <v>10</v>
      </c>
    </row>
    <row r="11245" spans="1:9" x14ac:dyDescent="0.25">
      <c r="A11245" t="str">
        <f t="shared" si="274"/>
        <v>89301000</v>
      </c>
      <c r="B11245" t="str">
        <f>"7158265334"</f>
        <v>7158265334</v>
      </c>
      <c r="C11245" s="1">
        <v>45245</v>
      </c>
      <c r="D11245" s="1">
        <v>45248</v>
      </c>
      <c r="E11245">
        <v>1</v>
      </c>
      <c r="F11245" t="str">
        <f>"09-I07-02"</f>
        <v>09-I07-02</v>
      </c>
      <c r="G11245">
        <v>1.401</v>
      </c>
      <c r="H11245" t="s">
        <v>14</v>
      </c>
      <c r="I11245" t="s">
        <v>10</v>
      </c>
    </row>
    <row r="11246" spans="1:9" x14ac:dyDescent="0.25">
      <c r="A11246" t="str">
        <f t="shared" si="274"/>
        <v>89301000</v>
      </c>
      <c r="B11246" t="str">
        <f>"7158285310"</f>
        <v>7158285310</v>
      </c>
      <c r="C11246" s="1">
        <v>45117</v>
      </c>
      <c r="D11246" s="1">
        <v>45119</v>
      </c>
      <c r="E11246">
        <v>1</v>
      </c>
      <c r="F11246" t="str">
        <f>"01-K01-02"</f>
        <v>01-K01-02</v>
      </c>
      <c r="G11246">
        <v>0.442</v>
      </c>
      <c r="H11246" t="s">
        <v>11</v>
      </c>
      <c r="I11246" t="s">
        <v>10</v>
      </c>
    </row>
    <row r="11247" spans="1:9" x14ac:dyDescent="0.25">
      <c r="A11247" t="str">
        <f t="shared" si="274"/>
        <v>89301000</v>
      </c>
      <c r="B11247" t="str">
        <f>"7159045696"</f>
        <v>7159045696</v>
      </c>
      <c r="C11247" s="1">
        <v>44976</v>
      </c>
      <c r="D11247" s="1">
        <v>44979</v>
      </c>
      <c r="E11247">
        <v>1</v>
      </c>
      <c r="F11247" t="str">
        <f>"06-K11-00"</f>
        <v>06-K11-00</v>
      </c>
      <c r="G11247">
        <v>0.34639999999999999</v>
      </c>
      <c r="H11247" t="s">
        <v>11</v>
      </c>
      <c r="I11247" t="s">
        <v>10</v>
      </c>
    </row>
    <row r="11248" spans="1:9" x14ac:dyDescent="0.25">
      <c r="A11248" t="str">
        <f t="shared" si="274"/>
        <v>89301000</v>
      </c>
      <c r="B11248" t="str">
        <f>"7159095317"</f>
        <v>7159095317</v>
      </c>
      <c r="C11248" s="1">
        <v>45234</v>
      </c>
      <c r="D11248" s="1">
        <v>45238</v>
      </c>
      <c r="E11248">
        <v>1</v>
      </c>
      <c r="F11248" t="str">
        <f>"06-I18-05"</f>
        <v>06-I18-05</v>
      </c>
      <c r="G11248">
        <v>0.82420000000000004</v>
      </c>
      <c r="H11248" t="s">
        <v>9</v>
      </c>
      <c r="I11248" t="s">
        <v>10</v>
      </c>
    </row>
    <row r="11249" spans="1:9" x14ac:dyDescent="0.25">
      <c r="A11249" t="str">
        <f t="shared" si="274"/>
        <v>89301000</v>
      </c>
      <c r="B11249" t="str">
        <f>"7159155322"</f>
        <v>7159155322</v>
      </c>
      <c r="C11249" s="1">
        <v>45162</v>
      </c>
      <c r="D11249" s="1">
        <v>45170</v>
      </c>
      <c r="E11249">
        <v>1</v>
      </c>
      <c r="F11249" t="str">
        <f>"05-I11-04"</f>
        <v>05-I11-04</v>
      </c>
      <c r="G11249">
        <v>6.915</v>
      </c>
      <c r="H11249" t="s">
        <v>14</v>
      </c>
      <c r="I11249" t="s">
        <v>10</v>
      </c>
    </row>
    <row r="11250" spans="1:9" x14ac:dyDescent="0.25">
      <c r="A11250" t="str">
        <f t="shared" si="274"/>
        <v>89301000</v>
      </c>
      <c r="B11250" t="str">
        <f>"7159155322"</f>
        <v>7159155322</v>
      </c>
      <c r="C11250" s="1">
        <v>45150</v>
      </c>
      <c r="D11250" s="1">
        <v>45153</v>
      </c>
      <c r="E11250">
        <v>1</v>
      </c>
      <c r="F11250" t="str">
        <f>"05-K05-05"</f>
        <v>05-K05-05</v>
      </c>
      <c r="G11250">
        <v>0.35659999999999997</v>
      </c>
      <c r="H11250" t="s">
        <v>11</v>
      </c>
      <c r="I11250" t="s">
        <v>10</v>
      </c>
    </row>
    <row r="11251" spans="1:9" x14ac:dyDescent="0.25">
      <c r="A11251" t="str">
        <f t="shared" si="274"/>
        <v>89301000</v>
      </c>
      <c r="B11251" t="str">
        <f>"7159155322"</f>
        <v>7159155322</v>
      </c>
      <c r="C11251" s="1">
        <v>45132</v>
      </c>
      <c r="D11251" s="1">
        <v>45132</v>
      </c>
      <c r="E11251">
        <v>1</v>
      </c>
      <c r="F11251" t="str">
        <f>"05-D01-06"</f>
        <v>05-D01-06</v>
      </c>
      <c r="G11251">
        <v>0.4037</v>
      </c>
      <c r="H11251" t="s">
        <v>11</v>
      </c>
      <c r="I11251" t="s">
        <v>10</v>
      </c>
    </row>
    <row r="11252" spans="1:9" x14ac:dyDescent="0.25">
      <c r="A11252" t="str">
        <f t="shared" si="274"/>
        <v>89301000</v>
      </c>
      <c r="B11252" t="str">
        <f>"7159155399"</f>
        <v>7159155399</v>
      </c>
      <c r="C11252" s="1">
        <v>45001</v>
      </c>
      <c r="D11252" s="1">
        <v>45002</v>
      </c>
      <c r="E11252">
        <v>1</v>
      </c>
      <c r="F11252" t="str">
        <f>"13-I19-00"</f>
        <v>13-I19-00</v>
      </c>
      <c r="G11252">
        <v>0.28249999999999997</v>
      </c>
      <c r="H11252" t="s">
        <v>11</v>
      </c>
      <c r="I11252" t="s">
        <v>10</v>
      </c>
    </row>
    <row r="11253" spans="1:9" x14ac:dyDescent="0.25">
      <c r="A11253" t="str">
        <f t="shared" si="274"/>
        <v>89301000</v>
      </c>
      <c r="B11253" t="str">
        <f>"7159185000"</f>
        <v>7159185000</v>
      </c>
      <c r="C11253" s="1">
        <v>44992</v>
      </c>
      <c r="D11253" s="1">
        <v>44993</v>
      </c>
      <c r="E11253">
        <v>1</v>
      </c>
      <c r="F11253" t="str">
        <f>"08-I15-03"</f>
        <v>08-I15-03</v>
      </c>
      <c r="G11253">
        <v>0.94059999999999999</v>
      </c>
      <c r="H11253" t="s">
        <v>12</v>
      </c>
      <c r="I11253" t="s">
        <v>10</v>
      </c>
    </row>
    <row r="11254" spans="1:9" x14ac:dyDescent="0.25">
      <c r="A11254" t="str">
        <f t="shared" si="274"/>
        <v>89301000</v>
      </c>
      <c r="B11254" t="str">
        <f>"7159305318"</f>
        <v>7159305318</v>
      </c>
      <c r="C11254" s="1">
        <v>45006</v>
      </c>
      <c r="D11254" s="1">
        <v>45008</v>
      </c>
      <c r="E11254">
        <v>1</v>
      </c>
      <c r="F11254" t="str">
        <f>"08-I23-02"</f>
        <v>08-I23-02</v>
      </c>
      <c r="G11254">
        <v>0.91059999999999997</v>
      </c>
      <c r="H11254" t="s">
        <v>12</v>
      </c>
      <c r="I11254" t="s">
        <v>10</v>
      </c>
    </row>
    <row r="11255" spans="1:9" x14ac:dyDescent="0.25">
      <c r="A11255" t="str">
        <f t="shared" si="274"/>
        <v>89301000</v>
      </c>
      <c r="B11255" t="str">
        <f>"7159680517"</f>
        <v>7159680517</v>
      </c>
      <c r="C11255" s="1">
        <v>45223</v>
      </c>
      <c r="D11255" s="1">
        <v>45229</v>
      </c>
      <c r="E11255">
        <v>1</v>
      </c>
      <c r="F11255" t="str">
        <f>"06-I15-00"</f>
        <v>06-I15-00</v>
      </c>
      <c r="G11255">
        <v>1.8702000000000001</v>
      </c>
      <c r="H11255" t="s">
        <v>9</v>
      </c>
      <c r="I11255" t="s">
        <v>10</v>
      </c>
    </row>
    <row r="11256" spans="1:9" x14ac:dyDescent="0.25">
      <c r="A11256" t="str">
        <f t="shared" si="274"/>
        <v>89301000</v>
      </c>
      <c r="B11256" t="str">
        <f>"7160065319"</f>
        <v>7160065319</v>
      </c>
      <c r="C11256" s="1">
        <v>45065</v>
      </c>
      <c r="D11256" s="1">
        <v>45068</v>
      </c>
      <c r="E11256">
        <v>1</v>
      </c>
      <c r="F11256" t="str">
        <f>"01-D01-03"</f>
        <v>01-D01-03</v>
      </c>
      <c r="G11256">
        <v>0.21060000000000001</v>
      </c>
      <c r="H11256" t="s">
        <v>11</v>
      </c>
      <c r="I11256" t="s">
        <v>10</v>
      </c>
    </row>
    <row r="11257" spans="1:9" x14ac:dyDescent="0.25">
      <c r="A11257" t="str">
        <f t="shared" si="274"/>
        <v>89301000</v>
      </c>
      <c r="B11257" t="str">
        <f>"7160135334"</f>
        <v>7160135334</v>
      </c>
      <c r="C11257" s="1">
        <v>45098</v>
      </c>
      <c r="D11257" s="1">
        <v>45100</v>
      </c>
      <c r="E11257">
        <v>1</v>
      </c>
      <c r="F11257" t="str">
        <f>"08-I25-02"</f>
        <v>08-I25-02</v>
      </c>
      <c r="G11257">
        <v>0.62239999999999995</v>
      </c>
      <c r="H11257" t="s">
        <v>11</v>
      </c>
      <c r="I11257" t="s">
        <v>10</v>
      </c>
    </row>
    <row r="11258" spans="1:9" x14ac:dyDescent="0.25">
      <c r="A11258" t="str">
        <f t="shared" si="274"/>
        <v>89301000</v>
      </c>
      <c r="B11258" t="str">
        <f>"7160316064"</f>
        <v>7160316064</v>
      </c>
      <c r="C11258" s="1">
        <v>45186</v>
      </c>
      <c r="D11258" s="1">
        <v>45189</v>
      </c>
      <c r="E11258">
        <v>1</v>
      </c>
      <c r="F11258" t="str">
        <f>"10-I13-02"</f>
        <v>10-I13-02</v>
      </c>
      <c r="G11258">
        <v>1.1124000000000001</v>
      </c>
      <c r="H11258" t="s">
        <v>9</v>
      </c>
      <c r="I11258" t="s">
        <v>10</v>
      </c>
    </row>
    <row r="11259" spans="1:9" x14ac:dyDescent="0.25">
      <c r="A11259" t="str">
        <f t="shared" si="274"/>
        <v>89301000</v>
      </c>
      <c r="B11259" t="str">
        <f>"7161034463"</f>
        <v>7161034463</v>
      </c>
      <c r="C11259" s="1">
        <v>45188</v>
      </c>
      <c r="D11259" s="1">
        <v>45194</v>
      </c>
      <c r="E11259">
        <v>1</v>
      </c>
      <c r="F11259" t="str">
        <f>"06-I05-01"</f>
        <v>06-I05-01</v>
      </c>
      <c r="G11259">
        <v>3.8811</v>
      </c>
      <c r="H11259" t="s">
        <v>12</v>
      </c>
      <c r="I11259" t="s">
        <v>10</v>
      </c>
    </row>
    <row r="11260" spans="1:9" x14ac:dyDescent="0.25">
      <c r="A11260" t="str">
        <f t="shared" si="274"/>
        <v>89301000</v>
      </c>
      <c r="B11260" t="str">
        <f>"7161044484"</f>
        <v>7161044484</v>
      </c>
      <c r="C11260" s="1">
        <v>45231</v>
      </c>
      <c r="D11260" s="1">
        <v>45231</v>
      </c>
      <c r="E11260">
        <v>1</v>
      </c>
      <c r="F11260" t="str">
        <f>"05-M06-04"</f>
        <v>05-M06-04</v>
      </c>
      <c r="G11260">
        <v>2.0196000000000001</v>
      </c>
      <c r="H11260" t="s">
        <v>12</v>
      </c>
      <c r="I11260" t="s">
        <v>10</v>
      </c>
    </row>
    <row r="11261" spans="1:9" x14ac:dyDescent="0.25">
      <c r="A11261" t="str">
        <f t="shared" si="274"/>
        <v>89301000</v>
      </c>
      <c r="B11261" t="str">
        <f>"7161075394"</f>
        <v>7161075394</v>
      </c>
      <c r="C11261" s="1">
        <v>45283</v>
      </c>
      <c r="D11261" s="1">
        <v>45287</v>
      </c>
      <c r="E11261">
        <v>1</v>
      </c>
      <c r="F11261" t="str">
        <f>"08-I04-03"</f>
        <v>08-I04-03</v>
      </c>
      <c r="G11261">
        <v>1.3045</v>
      </c>
      <c r="H11261" t="s">
        <v>14</v>
      </c>
      <c r="I11261" t="s">
        <v>10</v>
      </c>
    </row>
    <row r="11262" spans="1:9" x14ac:dyDescent="0.25">
      <c r="A11262" t="str">
        <f t="shared" si="274"/>
        <v>89301000</v>
      </c>
      <c r="B11262" t="str">
        <f>"7161075394"</f>
        <v>7161075394</v>
      </c>
      <c r="C11262" s="1">
        <v>45241</v>
      </c>
      <c r="D11262" s="1">
        <v>45245</v>
      </c>
      <c r="E11262">
        <v>1</v>
      </c>
      <c r="F11262" t="str">
        <f>"08-I04-03"</f>
        <v>08-I04-03</v>
      </c>
      <c r="G11262">
        <v>1.2817000000000001</v>
      </c>
      <c r="H11262" t="s">
        <v>14</v>
      </c>
      <c r="I11262" t="s">
        <v>10</v>
      </c>
    </row>
    <row r="11263" spans="1:9" x14ac:dyDescent="0.25">
      <c r="A11263" t="str">
        <f t="shared" si="274"/>
        <v>89301000</v>
      </c>
      <c r="B11263" t="str">
        <f>"7161115753"</f>
        <v>7161115753</v>
      </c>
      <c r="C11263" s="1">
        <v>45049</v>
      </c>
      <c r="D11263" s="1">
        <v>45050</v>
      </c>
      <c r="E11263">
        <v>1</v>
      </c>
      <c r="F11263" t="str">
        <f>"13-I19-00"</f>
        <v>13-I19-00</v>
      </c>
      <c r="G11263">
        <v>0.28249999999999997</v>
      </c>
      <c r="H11263" t="s">
        <v>11</v>
      </c>
      <c r="I11263" t="s">
        <v>10</v>
      </c>
    </row>
    <row r="11264" spans="1:9" x14ac:dyDescent="0.25">
      <c r="A11264" t="str">
        <f t="shared" si="274"/>
        <v>89301000</v>
      </c>
      <c r="B11264" t="str">
        <f>"7161125323"</f>
        <v>7161125323</v>
      </c>
      <c r="C11264" s="1">
        <v>45115</v>
      </c>
      <c r="D11264" s="1">
        <v>45117</v>
      </c>
      <c r="E11264">
        <v>1</v>
      </c>
      <c r="F11264" t="str">
        <f>"13-I14-03"</f>
        <v>13-I14-03</v>
      </c>
      <c r="G11264">
        <v>0.87760000000000005</v>
      </c>
      <c r="H11264" t="s">
        <v>9</v>
      </c>
      <c r="I11264" t="s">
        <v>10</v>
      </c>
    </row>
    <row r="11265" spans="1:9" x14ac:dyDescent="0.25">
      <c r="A11265" t="str">
        <f t="shared" si="274"/>
        <v>89301000</v>
      </c>
      <c r="B11265" t="str">
        <f>"7161145761"</f>
        <v>7161145761</v>
      </c>
      <c r="C11265" s="1">
        <v>44931</v>
      </c>
      <c r="D11265" s="1">
        <v>44935</v>
      </c>
      <c r="E11265">
        <v>1</v>
      </c>
      <c r="F11265" t="str">
        <f>"05-I24-04"</f>
        <v>05-I24-04</v>
      </c>
      <c r="G11265">
        <v>2.2088000000000001</v>
      </c>
      <c r="H11265" t="s">
        <v>12</v>
      </c>
      <c r="I11265" t="s">
        <v>10</v>
      </c>
    </row>
    <row r="11266" spans="1:9" x14ac:dyDescent="0.25">
      <c r="A11266" t="str">
        <f t="shared" si="274"/>
        <v>89301000</v>
      </c>
      <c r="B11266" t="str">
        <f>"7161145761"</f>
        <v>7161145761</v>
      </c>
      <c r="C11266" s="1">
        <v>45175</v>
      </c>
      <c r="D11266" s="1">
        <v>45177</v>
      </c>
      <c r="E11266">
        <v>1</v>
      </c>
      <c r="F11266" t="str">
        <f>"11-M02-06"</f>
        <v>11-M02-06</v>
      </c>
      <c r="G11266">
        <v>1.1301000000000001</v>
      </c>
      <c r="H11266" t="s">
        <v>11</v>
      </c>
      <c r="I11266" t="s">
        <v>10</v>
      </c>
    </row>
    <row r="11267" spans="1:9" x14ac:dyDescent="0.25">
      <c r="A11267" t="str">
        <f t="shared" si="274"/>
        <v>89301000</v>
      </c>
      <c r="B11267" t="str">
        <f>"7161185306"</f>
        <v>7161185306</v>
      </c>
      <c r="C11267" s="1">
        <v>45226</v>
      </c>
      <c r="D11267" s="1">
        <v>45227</v>
      </c>
      <c r="E11267">
        <v>1</v>
      </c>
      <c r="F11267" t="str">
        <f>"09-I04-02"</f>
        <v>09-I04-02</v>
      </c>
      <c r="G11267">
        <v>1.0899000000000001</v>
      </c>
      <c r="H11267" t="s">
        <v>12</v>
      </c>
      <c r="I11267" t="s">
        <v>10</v>
      </c>
    </row>
    <row r="11268" spans="1:9" x14ac:dyDescent="0.25">
      <c r="A11268" t="str">
        <f t="shared" si="274"/>
        <v>89301000</v>
      </c>
      <c r="B11268" t="str">
        <f>"7161195305"</f>
        <v>7161195305</v>
      </c>
      <c r="C11268" s="1">
        <v>44931</v>
      </c>
      <c r="D11268" s="1">
        <v>44932</v>
      </c>
      <c r="E11268">
        <v>1</v>
      </c>
      <c r="F11268" t="str">
        <f>"13-I19-00"</f>
        <v>13-I19-00</v>
      </c>
      <c r="G11268">
        <v>0.28249999999999997</v>
      </c>
      <c r="H11268" t="s">
        <v>11</v>
      </c>
      <c r="I11268" t="s">
        <v>10</v>
      </c>
    </row>
    <row r="11269" spans="1:9" x14ac:dyDescent="0.25">
      <c r="A11269" t="str">
        <f t="shared" si="274"/>
        <v>89301000</v>
      </c>
      <c r="B11269" t="str">
        <f>"7161225302"</f>
        <v>7161225302</v>
      </c>
      <c r="C11269" s="1">
        <v>45277</v>
      </c>
      <c r="D11269" s="1">
        <v>45282</v>
      </c>
      <c r="E11269">
        <v>1</v>
      </c>
      <c r="F11269" t="str">
        <f>"01-M01-03"</f>
        <v>01-M01-03</v>
      </c>
      <c r="G11269">
        <v>4.1477000000000004</v>
      </c>
      <c r="H11269" t="s">
        <v>14</v>
      </c>
      <c r="I11269" t="s">
        <v>10</v>
      </c>
    </row>
    <row r="11270" spans="1:9" x14ac:dyDescent="0.25">
      <c r="A11270" t="str">
        <f t="shared" si="274"/>
        <v>89301000</v>
      </c>
      <c r="B11270" t="str">
        <f>"7161255552"</f>
        <v>7161255552</v>
      </c>
      <c r="C11270" s="1">
        <v>45235</v>
      </c>
      <c r="D11270" s="1">
        <v>45236</v>
      </c>
      <c r="E11270">
        <v>1</v>
      </c>
      <c r="F11270" t="str">
        <f>"01-K16-06"</f>
        <v>01-K16-06</v>
      </c>
      <c r="G11270">
        <v>0.27150000000000002</v>
      </c>
      <c r="H11270" t="s">
        <v>11</v>
      </c>
      <c r="I11270" t="s">
        <v>10</v>
      </c>
    </row>
    <row r="11271" spans="1:9" x14ac:dyDescent="0.25">
      <c r="A11271" t="str">
        <f t="shared" si="274"/>
        <v>89301000</v>
      </c>
      <c r="B11271" t="str">
        <f>"7161265408"</f>
        <v>7161265408</v>
      </c>
      <c r="C11271" s="1">
        <v>45261</v>
      </c>
      <c r="D11271" s="1">
        <v>45267</v>
      </c>
      <c r="E11271">
        <v>1</v>
      </c>
      <c r="F11271" t="str">
        <f>"01-K07-02"</f>
        <v>01-K07-02</v>
      </c>
      <c r="G11271">
        <v>0.6341</v>
      </c>
      <c r="H11271" t="s">
        <v>11</v>
      </c>
      <c r="I11271" t="s">
        <v>10</v>
      </c>
    </row>
    <row r="11272" spans="1:9" x14ac:dyDescent="0.25">
      <c r="A11272" t="str">
        <f t="shared" si="274"/>
        <v>89301000</v>
      </c>
      <c r="B11272" t="str">
        <f>"7162034484"</f>
        <v>7162034484</v>
      </c>
      <c r="C11272" s="1">
        <v>44973</v>
      </c>
      <c r="D11272" s="1">
        <v>44985</v>
      </c>
      <c r="E11272">
        <v>1</v>
      </c>
      <c r="F11272" t="str">
        <f>"01-I06-01"</f>
        <v>01-I06-01</v>
      </c>
      <c r="G11272">
        <v>8.0223999999999993</v>
      </c>
      <c r="H11272" t="s">
        <v>12</v>
      </c>
      <c r="I11272" t="s">
        <v>10</v>
      </c>
    </row>
    <row r="11273" spans="1:9" x14ac:dyDescent="0.25">
      <c r="A11273" t="str">
        <f t="shared" si="274"/>
        <v>89301000</v>
      </c>
      <c r="B11273" t="str">
        <f>"7162035320"</f>
        <v>7162035320</v>
      </c>
      <c r="C11273" s="1">
        <v>45261</v>
      </c>
      <c r="D11273" s="1">
        <v>45264</v>
      </c>
      <c r="E11273">
        <v>1</v>
      </c>
      <c r="F11273" t="str">
        <f>"13-I11-03"</f>
        <v>13-I11-03</v>
      </c>
      <c r="G11273">
        <v>1.4332</v>
      </c>
      <c r="H11273" t="s">
        <v>9</v>
      </c>
      <c r="I11273" t="s">
        <v>10</v>
      </c>
    </row>
    <row r="11274" spans="1:9" x14ac:dyDescent="0.25">
      <c r="A11274" t="str">
        <f t="shared" si="274"/>
        <v>89301000</v>
      </c>
      <c r="B11274" t="str">
        <f>"7162085315"</f>
        <v>7162085315</v>
      </c>
      <c r="C11274" s="1">
        <v>44930</v>
      </c>
      <c r="D11274" s="1">
        <v>44931</v>
      </c>
      <c r="E11274">
        <v>1</v>
      </c>
      <c r="F11274" t="str">
        <f>"09-K08-01"</f>
        <v>09-K08-01</v>
      </c>
      <c r="G11274">
        <v>0.83279999999999998</v>
      </c>
      <c r="H11274" t="s">
        <v>11</v>
      </c>
      <c r="I11274" t="s">
        <v>10</v>
      </c>
    </row>
    <row r="11275" spans="1:9" x14ac:dyDescent="0.25">
      <c r="A11275" t="str">
        <f t="shared" si="274"/>
        <v>89301000</v>
      </c>
      <c r="B11275" t="str">
        <f>"7162144231"</f>
        <v>7162144231</v>
      </c>
      <c r="C11275" s="1">
        <v>45286</v>
      </c>
      <c r="D11275" s="1">
        <v>45290</v>
      </c>
      <c r="E11275">
        <v>1</v>
      </c>
      <c r="F11275" t="str">
        <f>"10-I12-00"</f>
        <v>10-I12-00</v>
      </c>
      <c r="G11275">
        <v>1.8041</v>
      </c>
      <c r="H11275" t="s">
        <v>12</v>
      </c>
      <c r="I11275" t="s">
        <v>10</v>
      </c>
    </row>
    <row r="11276" spans="1:9" x14ac:dyDescent="0.25">
      <c r="A11276" t="str">
        <f t="shared" si="274"/>
        <v>89301000</v>
      </c>
      <c r="B11276" t="str">
        <f>"7162214994"</f>
        <v>7162214994</v>
      </c>
      <c r="C11276" s="1">
        <v>44929</v>
      </c>
      <c r="D11276" s="1">
        <v>44932</v>
      </c>
      <c r="E11276">
        <v>1</v>
      </c>
      <c r="F11276" t="str">
        <f>"01-K08-02"</f>
        <v>01-K08-02</v>
      </c>
      <c r="G11276">
        <v>0.60619999999999996</v>
      </c>
      <c r="H11276" t="s">
        <v>11</v>
      </c>
      <c r="I11276" t="s">
        <v>10</v>
      </c>
    </row>
    <row r="11277" spans="1:9" x14ac:dyDescent="0.25">
      <c r="A11277" t="str">
        <f t="shared" si="274"/>
        <v>89301000</v>
      </c>
      <c r="B11277" t="str">
        <f>"7162215346"</f>
        <v>7162215346</v>
      </c>
      <c r="C11277" s="1">
        <v>45072</v>
      </c>
      <c r="D11277" s="1">
        <v>45076</v>
      </c>
      <c r="E11277">
        <v>1</v>
      </c>
      <c r="F11277" t="str">
        <f>"11-I08-03"</f>
        <v>11-I08-03</v>
      </c>
      <c r="G11277">
        <v>2.0529999999999999</v>
      </c>
      <c r="H11277" t="s">
        <v>9</v>
      </c>
      <c r="I11277" t="s">
        <v>10</v>
      </c>
    </row>
    <row r="11278" spans="1:9" x14ac:dyDescent="0.25">
      <c r="A11278" t="str">
        <f t="shared" si="274"/>
        <v>89301000</v>
      </c>
      <c r="B11278" t="str">
        <f>"7201044851"</f>
        <v>7201044851</v>
      </c>
      <c r="C11278" s="1">
        <v>45051</v>
      </c>
      <c r="D11278" s="1">
        <v>45054</v>
      </c>
      <c r="E11278">
        <v>1</v>
      </c>
      <c r="F11278" t="str">
        <f>"05-M06-06"</f>
        <v>05-M06-06</v>
      </c>
      <c r="G11278">
        <v>1.8264</v>
      </c>
      <c r="H11278" t="s">
        <v>12</v>
      </c>
      <c r="I11278" t="s">
        <v>10</v>
      </c>
    </row>
    <row r="11279" spans="1:9" x14ac:dyDescent="0.25">
      <c r="A11279" t="str">
        <f t="shared" si="274"/>
        <v>89301000</v>
      </c>
      <c r="B11279" t="str">
        <f>"7201065377"</f>
        <v>7201065377</v>
      </c>
      <c r="C11279" s="1">
        <v>45078</v>
      </c>
      <c r="D11279" s="1">
        <v>45080</v>
      </c>
      <c r="E11279">
        <v>1</v>
      </c>
      <c r="F11279" t="str">
        <f>"06-I17-04"</f>
        <v>06-I17-04</v>
      </c>
      <c r="G11279">
        <v>0.49869999999999998</v>
      </c>
      <c r="H11279" t="s">
        <v>12</v>
      </c>
      <c r="I11279" t="s">
        <v>10</v>
      </c>
    </row>
    <row r="11280" spans="1:9" x14ac:dyDescent="0.25">
      <c r="A11280" t="str">
        <f t="shared" si="274"/>
        <v>89301000</v>
      </c>
      <c r="B11280" t="str">
        <f>"7201085309"</f>
        <v>7201085309</v>
      </c>
      <c r="C11280" s="1">
        <v>44939</v>
      </c>
      <c r="D11280" s="1">
        <v>44941</v>
      </c>
      <c r="E11280">
        <v>1</v>
      </c>
      <c r="F11280" t="str">
        <f>"02-K11-02"</f>
        <v>02-K11-02</v>
      </c>
      <c r="G11280">
        <v>0.56559999999999999</v>
      </c>
      <c r="H11280" t="s">
        <v>11</v>
      </c>
      <c r="I11280" t="s">
        <v>10</v>
      </c>
    </row>
    <row r="11281" spans="1:9" x14ac:dyDescent="0.25">
      <c r="A11281" t="str">
        <f t="shared" si="274"/>
        <v>89301000</v>
      </c>
      <c r="B11281" t="str">
        <f>"7201085309"</f>
        <v>7201085309</v>
      </c>
      <c r="C11281" s="1">
        <v>44960</v>
      </c>
      <c r="D11281" s="1">
        <v>44966</v>
      </c>
      <c r="E11281">
        <v>1</v>
      </c>
      <c r="F11281" t="str">
        <f>"10-I13-02"</f>
        <v>10-I13-02</v>
      </c>
      <c r="G11281">
        <v>1.1124000000000001</v>
      </c>
      <c r="H11281" t="s">
        <v>9</v>
      </c>
      <c r="I11281" t="s">
        <v>10</v>
      </c>
    </row>
    <row r="11282" spans="1:9" x14ac:dyDescent="0.25">
      <c r="A11282" t="str">
        <f t="shared" si="274"/>
        <v>89301000</v>
      </c>
      <c r="B11282" t="str">
        <f>"7201125261"</f>
        <v>7201125261</v>
      </c>
      <c r="C11282" s="1">
        <v>45022</v>
      </c>
      <c r="D11282" s="1">
        <v>45024</v>
      </c>
      <c r="E11282">
        <v>1</v>
      </c>
      <c r="F11282" t="str">
        <f>"03-I24-00"</f>
        <v>03-I24-00</v>
      </c>
      <c r="G11282">
        <v>0.40670000000000001</v>
      </c>
      <c r="H11282" t="s">
        <v>11</v>
      </c>
      <c r="I11282" t="s">
        <v>10</v>
      </c>
    </row>
    <row r="11283" spans="1:9" x14ac:dyDescent="0.25">
      <c r="A11283" t="str">
        <f t="shared" si="274"/>
        <v>89301000</v>
      </c>
      <c r="B11283" t="str">
        <f>"7201195342"</f>
        <v>7201195342</v>
      </c>
      <c r="C11283" s="1">
        <v>45133</v>
      </c>
      <c r="D11283" s="1">
        <v>45140</v>
      </c>
      <c r="E11283">
        <v>1</v>
      </c>
      <c r="F11283" t="str">
        <f>"20-K03-03"</f>
        <v>20-K03-03</v>
      </c>
      <c r="G11283">
        <v>0.94020000000000004</v>
      </c>
      <c r="H11283" t="s">
        <v>11</v>
      </c>
      <c r="I11283" t="s">
        <v>10</v>
      </c>
    </row>
    <row r="11284" spans="1:9" x14ac:dyDescent="0.25">
      <c r="A11284" t="str">
        <f t="shared" si="274"/>
        <v>89301000</v>
      </c>
      <c r="B11284" t="str">
        <f>"7201205396"</f>
        <v>7201205396</v>
      </c>
      <c r="C11284" s="1">
        <v>45216</v>
      </c>
      <c r="D11284" s="1">
        <v>45217</v>
      </c>
      <c r="E11284">
        <v>1</v>
      </c>
      <c r="F11284" t="str">
        <f>"06-K09-02"</f>
        <v>06-K09-02</v>
      </c>
      <c r="G11284">
        <v>0.31809999999999999</v>
      </c>
      <c r="H11284" t="s">
        <v>11</v>
      </c>
      <c r="I11284" t="s">
        <v>10</v>
      </c>
    </row>
    <row r="11285" spans="1:9" x14ac:dyDescent="0.25">
      <c r="A11285" t="str">
        <f t="shared" si="274"/>
        <v>89301000</v>
      </c>
      <c r="B11285" t="str">
        <f>"7201254467"</f>
        <v>7201254467</v>
      </c>
      <c r="C11285" s="1">
        <v>44991</v>
      </c>
      <c r="D11285" s="1">
        <v>44993</v>
      </c>
      <c r="E11285">
        <v>1</v>
      </c>
      <c r="F11285" t="str">
        <f>"08-I26-03"</f>
        <v>08-I26-03</v>
      </c>
      <c r="G11285">
        <v>0.47610000000000002</v>
      </c>
      <c r="H11285" t="s">
        <v>11</v>
      </c>
      <c r="I11285" t="s">
        <v>10</v>
      </c>
    </row>
    <row r="11286" spans="1:9" x14ac:dyDescent="0.25">
      <c r="A11286" t="str">
        <f t="shared" si="274"/>
        <v>89301000</v>
      </c>
      <c r="B11286" t="str">
        <f>"7201264620"</f>
        <v>7201264620</v>
      </c>
      <c r="C11286" s="1">
        <v>45106</v>
      </c>
      <c r="D11286" s="1">
        <v>45107</v>
      </c>
      <c r="E11286">
        <v>1</v>
      </c>
      <c r="F11286" t="str">
        <f>"05-M06-08"</f>
        <v>05-M06-08</v>
      </c>
      <c r="G11286">
        <v>1.4228000000000001</v>
      </c>
      <c r="H11286" t="s">
        <v>12</v>
      </c>
      <c r="I11286" t="s">
        <v>10</v>
      </c>
    </row>
    <row r="11287" spans="1:9" x14ac:dyDescent="0.25">
      <c r="A11287" t="str">
        <f t="shared" si="274"/>
        <v>89301000</v>
      </c>
      <c r="B11287" t="str">
        <f>"7201315341"</f>
        <v>7201315341</v>
      </c>
      <c r="C11287" s="1">
        <v>45089</v>
      </c>
      <c r="D11287" s="1">
        <v>45093</v>
      </c>
      <c r="E11287">
        <v>1</v>
      </c>
      <c r="F11287" t="str">
        <f>"06-K22-03"</f>
        <v>06-K22-03</v>
      </c>
      <c r="G11287">
        <v>2.6962999999999999</v>
      </c>
      <c r="H11287" t="s">
        <v>11</v>
      </c>
      <c r="I11287" t="s">
        <v>10</v>
      </c>
    </row>
    <row r="11288" spans="1:9" x14ac:dyDescent="0.25">
      <c r="A11288" t="str">
        <f t="shared" si="274"/>
        <v>89301000</v>
      </c>
      <c r="B11288" t="str">
        <f>"7202115767"</f>
        <v>7202115767</v>
      </c>
      <c r="C11288" s="1">
        <v>45029</v>
      </c>
      <c r="D11288" s="1">
        <v>45033</v>
      </c>
      <c r="E11288">
        <v>1</v>
      </c>
      <c r="F11288" t="str">
        <f>"01-K08-02"</f>
        <v>01-K08-02</v>
      </c>
      <c r="G11288">
        <v>0.60619999999999996</v>
      </c>
      <c r="H11288" t="s">
        <v>11</v>
      </c>
      <c r="I11288" t="s">
        <v>10</v>
      </c>
    </row>
    <row r="11289" spans="1:9" x14ac:dyDescent="0.25">
      <c r="A11289" t="str">
        <f t="shared" si="274"/>
        <v>89301000</v>
      </c>
      <c r="B11289" t="str">
        <f>"7202115767"</f>
        <v>7202115767</v>
      </c>
      <c r="C11289" s="1">
        <v>45211</v>
      </c>
      <c r="D11289" s="1">
        <v>45215</v>
      </c>
      <c r="E11289">
        <v>1</v>
      </c>
      <c r="F11289" t="str">
        <f>"10-K04-04"</f>
        <v>10-K04-04</v>
      </c>
      <c r="G11289">
        <v>0.53949999999999998</v>
      </c>
      <c r="H11289" t="s">
        <v>11</v>
      </c>
      <c r="I11289" t="s">
        <v>10</v>
      </c>
    </row>
    <row r="11290" spans="1:9" x14ac:dyDescent="0.25">
      <c r="A11290" t="str">
        <f t="shared" si="274"/>
        <v>89301000</v>
      </c>
      <c r="B11290" t="str">
        <f>"7202134467"</f>
        <v>7202134467</v>
      </c>
      <c r="C11290" s="1">
        <v>44972</v>
      </c>
      <c r="D11290" s="1">
        <v>44976</v>
      </c>
      <c r="E11290">
        <v>1</v>
      </c>
      <c r="F11290" t="str">
        <f>"08-I04-03"</f>
        <v>08-I04-03</v>
      </c>
      <c r="G11290">
        <v>1.3045</v>
      </c>
      <c r="H11290" t="s">
        <v>14</v>
      </c>
      <c r="I11290" t="s">
        <v>10</v>
      </c>
    </row>
    <row r="11291" spans="1:9" x14ac:dyDescent="0.25">
      <c r="A11291" t="str">
        <f t="shared" si="274"/>
        <v>89301000</v>
      </c>
      <c r="B11291" t="str">
        <f>"7202134467"</f>
        <v>7202134467</v>
      </c>
      <c r="C11291" s="1">
        <v>45110</v>
      </c>
      <c r="D11291" s="1">
        <v>45112</v>
      </c>
      <c r="E11291">
        <v>1</v>
      </c>
      <c r="F11291" t="str">
        <f>"08-I04-03"</f>
        <v>08-I04-03</v>
      </c>
      <c r="G11291">
        <v>1.3045</v>
      </c>
      <c r="H11291" t="s">
        <v>14</v>
      </c>
      <c r="I11291" t="s">
        <v>10</v>
      </c>
    </row>
    <row r="11292" spans="1:9" x14ac:dyDescent="0.25">
      <c r="A11292" t="str">
        <f t="shared" si="274"/>
        <v>89301000</v>
      </c>
      <c r="B11292" t="str">
        <f>"7202235348"</f>
        <v>7202235348</v>
      </c>
      <c r="C11292" s="1">
        <v>45175</v>
      </c>
      <c r="D11292" s="1">
        <v>45177</v>
      </c>
      <c r="E11292">
        <v>1</v>
      </c>
      <c r="F11292" t="str">
        <f>"08-I32-00"</f>
        <v>08-I32-00</v>
      </c>
      <c r="G11292">
        <v>0.4093</v>
      </c>
      <c r="H11292" t="s">
        <v>11</v>
      </c>
      <c r="I11292" t="s">
        <v>10</v>
      </c>
    </row>
    <row r="11293" spans="1:9" x14ac:dyDescent="0.25">
      <c r="A11293" t="str">
        <f t="shared" si="274"/>
        <v>89301000</v>
      </c>
      <c r="B11293" t="str">
        <f>"7202245358"</f>
        <v>7202245358</v>
      </c>
      <c r="C11293" s="1">
        <v>45096</v>
      </c>
      <c r="D11293" s="1">
        <v>45100</v>
      </c>
      <c r="E11293">
        <v>1</v>
      </c>
      <c r="F11293" t="str">
        <f>"10-K04-04"</f>
        <v>10-K04-04</v>
      </c>
      <c r="G11293">
        <v>0.53949999999999998</v>
      </c>
      <c r="H11293" t="s">
        <v>11</v>
      </c>
      <c r="I11293" t="s">
        <v>10</v>
      </c>
    </row>
    <row r="11294" spans="1:9" x14ac:dyDescent="0.25">
      <c r="A11294" t="str">
        <f t="shared" si="274"/>
        <v>89301000</v>
      </c>
      <c r="B11294" t="str">
        <f>"7202254466"</f>
        <v>7202254466</v>
      </c>
      <c r="C11294" s="1">
        <v>45042</v>
      </c>
      <c r="D11294" s="1">
        <v>45048</v>
      </c>
      <c r="E11294">
        <v>1</v>
      </c>
      <c r="F11294" t="str">
        <f>"07-K02-03"</f>
        <v>07-K02-03</v>
      </c>
      <c r="G11294">
        <v>0.78139999999999998</v>
      </c>
      <c r="H11294" t="s">
        <v>11</v>
      </c>
      <c r="I11294" t="s">
        <v>10</v>
      </c>
    </row>
    <row r="11295" spans="1:9" x14ac:dyDescent="0.25">
      <c r="A11295" t="str">
        <f t="shared" si="274"/>
        <v>89301000</v>
      </c>
      <c r="B11295" t="str">
        <f>"7202285332"</f>
        <v>7202285332</v>
      </c>
      <c r="C11295" s="1">
        <v>45238</v>
      </c>
      <c r="D11295" s="1">
        <v>45239</v>
      </c>
      <c r="E11295">
        <v>1</v>
      </c>
      <c r="F11295" t="str">
        <f>"05-M03-00"</f>
        <v>05-M03-00</v>
      </c>
      <c r="G11295">
        <v>3.4253999999999998</v>
      </c>
      <c r="H11295" t="s">
        <v>14</v>
      </c>
      <c r="I11295" t="s">
        <v>10</v>
      </c>
    </row>
    <row r="11296" spans="1:9" x14ac:dyDescent="0.25">
      <c r="A11296" t="str">
        <f t="shared" si="274"/>
        <v>89301000</v>
      </c>
      <c r="B11296" t="str">
        <f>"7202285332"</f>
        <v>7202285332</v>
      </c>
      <c r="C11296" s="1">
        <v>44972</v>
      </c>
      <c r="D11296" s="1">
        <v>44981</v>
      </c>
      <c r="E11296">
        <v>1</v>
      </c>
      <c r="F11296" t="str">
        <f>"01-M02-00"</f>
        <v>01-M02-00</v>
      </c>
      <c r="G11296">
        <v>4.7084999999999999</v>
      </c>
      <c r="H11296" t="s">
        <v>12</v>
      </c>
      <c r="I11296" t="s">
        <v>10</v>
      </c>
    </row>
    <row r="11297" spans="1:9" x14ac:dyDescent="0.25">
      <c r="A11297" t="str">
        <f t="shared" si="274"/>
        <v>89301000</v>
      </c>
      <c r="B11297" t="str">
        <f>"7203065705"</f>
        <v>7203065705</v>
      </c>
      <c r="C11297" s="1">
        <v>44998</v>
      </c>
      <c r="D11297" s="1">
        <v>45001</v>
      </c>
      <c r="E11297">
        <v>1</v>
      </c>
      <c r="F11297" t="str">
        <f>"05-M06-06"</f>
        <v>05-M06-06</v>
      </c>
      <c r="G11297">
        <v>1.8264</v>
      </c>
      <c r="H11297" t="s">
        <v>12</v>
      </c>
      <c r="I11297" t="s">
        <v>10</v>
      </c>
    </row>
    <row r="11298" spans="1:9" x14ac:dyDescent="0.25">
      <c r="A11298" t="str">
        <f t="shared" si="274"/>
        <v>89301000</v>
      </c>
      <c r="B11298" t="str">
        <f>"7203275772"</f>
        <v>7203275772</v>
      </c>
      <c r="C11298" s="1">
        <v>45140</v>
      </c>
      <c r="D11298" s="1">
        <v>45141</v>
      </c>
      <c r="E11298">
        <v>1</v>
      </c>
      <c r="F11298" t="str">
        <f>"01-D01-03"</f>
        <v>01-D01-03</v>
      </c>
      <c r="G11298">
        <v>0.16200000000000001</v>
      </c>
      <c r="H11298" t="s">
        <v>11</v>
      </c>
      <c r="I11298" t="s">
        <v>10</v>
      </c>
    </row>
    <row r="11299" spans="1:9" x14ac:dyDescent="0.25">
      <c r="A11299" t="str">
        <f t="shared" si="274"/>
        <v>89301000</v>
      </c>
      <c r="B11299" t="str">
        <f>"7203295319"</f>
        <v>7203295319</v>
      </c>
      <c r="C11299" s="1">
        <v>45272</v>
      </c>
      <c r="D11299" s="1">
        <v>45275</v>
      </c>
      <c r="E11299">
        <v>1</v>
      </c>
      <c r="F11299" t="str">
        <f>"08-I23-02"</f>
        <v>08-I23-02</v>
      </c>
      <c r="G11299">
        <v>0.91059999999999997</v>
      </c>
      <c r="H11299" t="s">
        <v>12</v>
      </c>
      <c r="I11299" t="s">
        <v>10</v>
      </c>
    </row>
    <row r="11300" spans="1:9" x14ac:dyDescent="0.25">
      <c r="A11300" t="str">
        <f t="shared" ref="A11300:A11363" si="276">"89301000"</f>
        <v>89301000</v>
      </c>
      <c r="B11300" t="str">
        <f>"7203304460"</f>
        <v>7203304460</v>
      </c>
      <c r="C11300" s="1">
        <v>45083</v>
      </c>
      <c r="D11300" s="1">
        <v>45084</v>
      </c>
      <c r="E11300">
        <v>1</v>
      </c>
      <c r="F11300" t="str">
        <f>"02-I13-02"</f>
        <v>02-I13-02</v>
      </c>
      <c r="G11300">
        <v>0.4259</v>
      </c>
      <c r="H11300" t="s">
        <v>11</v>
      </c>
      <c r="I11300" t="s">
        <v>10</v>
      </c>
    </row>
    <row r="11301" spans="1:9" x14ac:dyDescent="0.25">
      <c r="A11301" t="str">
        <f t="shared" si="276"/>
        <v>89301000</v>
      </c>
      <c r="B11301" t="str">
        <f>"7203313513"</f>
        <v>7203313513</v>
      </c>
      <c r="C11301" s="1">
        <v>45259</v>
      </c>
      <c r="D11301" s="1">
        <v>45261</v>
      </c>
      <c r="E11301">
        <v>1</v>
      </c>
      <c r="F11301" t="str">
        <f>"06-I17-04"</f>
        <v>06-I17-04</v>
      </c>
      <c r="G11301">
        <v>0.49869999999999998</v>
      </c>
      <c r="H11301" t="s">
        <v>12</v>
      </c>
      <c r="I11301" t="s">
        <v>10</v>
      </c>
    </row>
    <row r="11302" spans="1:9" x14ac:dyDescent="0.25">
      <c r="A11302" t="str">
        <f t="shared" si="276"/>
        <v>89301000</v>
      </c>
      <c r="B11302" t="str">
        <f>"7204065759"</f>
        <v>7204065759</v>
      </c>
      <c r="C11302" s="1">
        <v>45186</v>
      </c>
      <c r="D11302" s="1">
        <v>45195</v>
      </c>
      <c r="E11302">
        <v>1</v>
      </c>
      <c r="F11302" t="str">
        <f>"12-I08-03"</f>
        <v>12-I08-03</v>
      </c>
      <c r="G11302">
        <v>0.7258</v>
      </c>
      <c r="H11302" t="s">
        <v>11</v>
      </c>
      <c r="I11302" t="s">
        <v>10</v>
      </c>
    </row>
    <row r="11303" spans="1:9" x14ac:dyDescent="0.25">
      <c r="A11303" t="str">
        <f t="shared" si="276"/>
        <v>89301000</v>
      </c>
      <c r="B11303" t="str">
        <f>"7204065759"</f>
        <v>7204065759</v>
      </c>
      <c r="C11303" s="1">
        <v>45172</v>
      </c>
      <c r="D11303" s="1">
        <v>45181</v>
      </c>
      <c r="E11303">
        <v>1</v>
      </c>
      <c r="F11303" t="str">
        <f>"12-K01-02"</f>
        <v>12-K01-02</v>
      </c>
      <c r="G11303">
        <v>0.56440000000000001</v>
      </c>
      <c r="H11303" t="s">
        <v>11</v>
      </c>
      <c r="I11303" t="s">
        <v>10</v>
      </c>
    </row>
    <row r="11304" spans="1:9" x14ac:dyDescent="0.25">
      <c r="A11304" t="str">
        <f t="shared" si="276"/>
        <v>89301000</v>
      </c>
      <c r="B11304" t="str">
        <f>"7204095360"</f>
        <v>7204095360</v>
      </c>
      <c r="C11304" s="1">
        <v>44991</v>
      </c>
      <c r="D11304" s="1">
        <v>44992</v>
      </c>
      <c r="E11304">
        <v>1</v>
      </c>
      <c r="F11304" t="str">
        <f>"05-D01-08"</f>
        <v>05-D01-08</v>
      </c>
      <c r="G11304">
        <v>0.43159999999999998</v>
      </c>
      <c r="H11304" t="s">
        <v>11</v>
      </c>
      <c r="I11304" t="s">
        <v>10</v>
      </c>
    </row>
    <row r="11305" spans="1:9" x14ac:dyDescent="0.25">
      <c r="A11305" t="str">
        <f t="shared" si="276"/>
        <v>89301000</v>
      </c>
      <c r="B11305" t="str">
        <f>"7204105315"</f>
        <v>7204105315</v>
      </c>
      <c r="C11305" s="1">
        <v>45047</v>
      </c>
      <c r="D11305" s="1">
        <v>45052</v>
      </c>
      <c r="E11305">
        <v>1</v>
      </c>
      <c r="F11305" t="str">
        <f>"06-I17-02"</f>
        <v>06-I17-02</v>
      </c>
      <c r="G11305">
        <v>1.0106999999999999</v>
      </c>
      <c r="H11305" t="s">
        <v>12</v>
      </c>
      <c r="I11305" t="s">
        <v>10</v>
      </c>
    </row>
    <row r="11306" spans="1:9" x14ac:dyDescent="0.25">
      <c r="A11306" t="str">
        <f t="shared" si="276"/>
        <v>89301000</v>
      </c>
      <c r="B11306" t="str">
        <f>"7204105337"</f>
        <v>7204105337</v>
      </c>
      <c r="C11306" s="1">
        <v>44990</v>
      </c>
      <c r="D11306" s="1">
        <v>44992</v>
      </c>
      <c r="E11306">
        <v>1</v>
      </c>
      <c r="F11306" t="str">
        <f>"08-I16-04"</f>
        <v>08-I16-04</v>
      </c>
      <c r="G11306">
        <v>0.83040000000000003</v>
      </c>
      <c r="H11306" t="s">
        <v>12</v>
      </c>
      <c r="I11306" t="s">
        <v>10</v>
      </c>
    </row>
    <row r="11307" spans="1:9" x14ac:dyDescent="0.25">
      <c r="A11307" t="str">
        <f t="shared" si="276"/>
        <v>89301000</v>
      </c>
      <c r="B11307" t="str">
        <f>"7204124466"</f>
        <v>7204124466</v>
      </c>
      <c r="C11307" s="1">
        <v>44983</v>
      </c>
      <c r="D11307" s="1">
        <v>44987</v>
      </c>
      <c r="E11307">
        <v>1</v>
      </c>
      <c r="F11307" t="str">
        <f>"08-I04-03"</f>
        <v>08-I04-03</v>
      </c>
      <c r="G11307">
        <v>1.3045</v>
      </c>
      <c r="H11307" t="s">
        <v>14</v>
      </c>
      <c r="I11307" t="s">
        <v>10</v>
      </c>
    </row>
    <row r="11308" spans="1:9" x14ac:dyDescent="0.25">
      <c r="A11308" t="str">
        <f t="shared" si="276"/>
        <v>89301000</v>
      </c>
      <c r="B11308" t="str">
        <f>"7204255355"</f>
        <v>7204255355</v>
      </c>
      <c r="C11308" s="1">
        <v>45281</v>
      </c>
      <c r="D11308" s="1">
        <v>45282</v>
      </c>
      <c r="E11308">
        <v>1</v>
      </c>
      <c r="F11308" t="str">
        <f>"08-M03-05"</f>
        <v>08-M03-05</v>
      </c>
      <c r="G11308">
        <v>0.46910000000000002</v>
      </c>
      <c r="H11308" t="s">
        <v>11</v>
      </c>
      <c r="I11308" t="s">
        <v>10</v>
      </c>
    </row>
    <row r="11309" spans="1:9" x14ac:dyDescent="0.25">
      <c r="A11309" t="str">
        <f t="shared" si="276"/>
        <v>89301000</v>
      </c>
      <c r="B11309" t="str">
        <f>"7204275309"</f>
        <v>7204275309</v>
      </c>
      <c r="C11309" s="1">
        <v>44986</v>
      </c>
      <c r="D11309" s="1">
        <v>44991</v>
      </c>
      <c r="E11309">
        <v>1</v>
      </c>
      <c r="F11309" t="str">
        <f>"06-I21-03"</f>
        <v>06-I21-03</v>
      </c>
      <c r="G11309">
        <v>0.4572</v>
      </c>
      <c r="H11309" t="s">
        <v>12</v>
      </c>
      <c r="I11309" t="s">
        <v>10</v>
      </c>
    </row>
    <row r="11310" spans="1:9" x14ac:dyDescent="0.25">
      <c r="A11310" t="str">
        <f t="shared" si="276"/>
        <v>89301000</v>
      </c>
      <c r="B11310" t="str">
        <f>"7205155320"</f>
        <v>7205155320</v>
      </c>
      <c r="C11310" s="1">
        <v>44967</v>
      </c>
      <c r="D11310" s="1">
        <v>44968</v>
      </c>
      <c r="E11310">
        <v>1</v>
      </c>
      <c r="F11310" t="str">
        <f>"12-I13-02"</f>
        <v>12-I13-02</v>
      </c>
      <c r="G11310">
        <v>0.53879999999999995</v>
      </c>
      <c r="H11310" t="s">
        <v>9</v>
      </c>
      <c r="I11310" t="s">
        <v>10</v>
      </c>
    </row>
    <row r="11311" spans="1:9" x14ac:dyDescent="0.25">
      <c r="A11311" t="str">
        <f t="shared" si="276"/>
        <v>89301000</v>
      </c>
      <c r="B11311" t="str">
        <f>"7205224466"</f>
        <v>7205224466</v>
      </c>
      <c r="C11311" s="1">
        <v>45279</v>
      </c>
      <c r="D11311" s="1">
        <v>45282</v>
      </c>
      <c r="E11311">
        <v>1</v>
      </c>
      <c r="F11311" t="str">
        <f>"08-I25-02"</f>
        <v>08-I25-02</v>
      </c>
      <c r="G11311">
        <v>0.53059999999999996</v>
      </c>
      <c r="H11311" t="s">
        <v>11</v>
      </c>
      <c r="I11311" t="s">
        <v>10</v>
      </c>
    </row>
    <row r="11312" spans="1:9" x14ac:dyDescent="0.25">
      <c r="A11312" t="str">
        <f t="shared" si="276"/>
        <v>89301000</v>
      </c>
      <c r="B11312" t="str">
        <f>"7205245817"</f>
        <v>7205245817</v>
      </c>
      <c r="C11312" s="1">
        <v>45029</v>
      </c>
      <c r="D11312" s="1">
        <v>45033</v>
      </c>
      <c r="E11312">
        <v>1</v>
      </c>
      <c r="F11312" t="str">
        <f>"06-I16-04"</f>
        <v>06-I16-04</v>
      </c>
      <c r="G11312">
        <v>0.68920000000000003</v>
      </c>
      <c r="H11312" t="s">
        <v>9</v>
      </c>
      <c r="I11312" t="s">
        <v>10</v>
      </c>
    </row>
    <row r="11313" spans="1:9" x14ac:dyDescent="0.25">
      <c r="A11313" t="str">
        <f t="shared" si="276"/>
        <v>89301000</v>
      </c>
      <c r="B11313" t="str">
        <f>"7205265782"</f>
        <v>7205265782</v>
      </c>
      <c r="C11313" s="1">
        <v>44983</v>
      </c>
      <c r="D11313" s="1">
        <v>44991</v>
      </c>
      <c r="E11313">
        <v>1</v>
      </c>
      <c r="F11313" t="str">
        <f>"08-I03-04"</f>
        <v>08-I03-04</v>
      </c>
      <c r="G11313">
        <v>4.1139999999999999</v>
      </c>
      <c r="H11313" t="s">
        <v>9</v>
      </c>
      <c r="I11313" t="s">
        <v>10</v>
      </c>
    </row>
    <row r="11314" spans="1:9" x14ac:dyDescent="0.25">
      <c r="A11314" t="str">
        <f t="shared" si="276"/>
        <v>89301000</v>
      </c>
      <c r="B11314" t="str">
        <f>"7205295328"</f>
        <v>7205295328</v>
      </c>
      <c r="C11314" s="1">
        <v>45173</v>
      </c>
      <c r="D11314" s="1">
        <v>45184</v>
      </c>
      <c r="E11314">
        <v>1</v>
      </c>
      <c r="F11314" t="str">
        <f>"18-K01-05"</f>
        <v>18-K01-05</v>
      </c>
      <c r="G11314">
        <v>1.8069999999999999</v>
      </c>
      <c r="H11314" t="s">
        <v>11</v>
      </c>
      <c r="I11314" t="s">
        <v>10</v>
      </c>
    </row>
    <row r="11315" spans="1:9" x14ac:dyDescent="0.25">
      <c r="A11315" t="str">
        <f t="shared" si="276"/>
        <v>89301000</v>
      </c>
      <c r="B11315" t="str">
        <f>"7205315359"</f>
        <v>7205315359</v>
      </c>
      <c r="C11315" s="1">
        <v>44986</v>
      </c>
      <c r="D11315" s="1">
        <v>44993</v>
      </c>
      <c r="E11315">
        <v>1</v>
      </c>
      <c r="F11315" t="str">
        <f>"08-I03-06"</f>
        <v>08-I03-06</v>
      </c>
      <c r="G11315">
        <v>3.2523</v>
      </c>
      <c r="H11315" t="s">
        <v>9</v>
      </c>
      <c r="I11315" t="s">
        <v>10</v>
      </c>
    </row>
    <row r="11316" spans="1:9" x14ac:dyDescent="0.25">
      <c r="A11316" t="str">
        <f t="shared" si="276"/>
        <v>89301000</v>
      </c>
      <c r="B11316" t="str">
        <f>"7206011835"</f>
        <v>7206011835</v>
      </c>
      <c r="C11316" s="1">
        <v>44963</v>
      </c>
      <c r="D11316" s="1">
        <v>44966</v>
      </c>
      <c r="E11316">
        <v>1</v>
      </c>
      <c r="F11316" t="str">
        <f>"06-I18-05"</f>
        <v>06-I18-05</v>
      </c>
      <c r="G11316">
        <v>0.82420000000000004</v>
      </c>
      <c r="H11316" t="s">
        <v>9</v>
      </c>
      <c r="I11316" t="s">
        <v>10</v>
      </c>
    </row>
    <row r="11317" spans="1:9" x14ac:dyDescent="0.25">
      <c r="A11317" t="str">
        <f t="shared" si="276"/>
        <v>89301000</v>
      </c>
      <c r="B11317" t="str">
        <f>"7206024474"</f>
        <v>7206024474</v>
      </c>
      <c r="C11317" s="1">
        <v>45091</v>
      </c>
      <c r="D11317" s="1">
        <v>45096</v>
      </c>
      <c r="E11317">
        <v>1</v>
      </c>
      <c r="F11317" t="str">
        <f>"06-K21-03"</f>
        <v>06-K21-03</v>
      </c>
      <c r="G11317">
        <v>0.38469999999999999</v>
      </c>
      <c r="H11317" t="s">
        <v>11</v>
      </c>
      <c r="I11317" t="s">
        <v>10</v>
      </c>
    </row>
    <row r="11318" spans="1:9" x14ac:dyDescent="0.25">
      <c r="A11318" t="str">
        <f t="shared" si="276"/>
        <v>89301000</v>
      </c>
      <c r="B11318" t="str">
        <f>"7206083753"</f>
        <v>7206083753</v>
      </c>
      <c r="C11318" s="1">
        <v>44986</v>
      </c>
      <c r="D11318" s="1">
        <v>44989</v>
      </c>
      <c r="E11318">
        <v>1</v>
      </c>
      <c r="F11318" t="str">
        <f>"06-I16-04"</f>
        <v>06-I16-04</v>
      </c>
      <c r="G11318">
        <v>0.68920000000000003</v>
      </c>
      <c r="H11318" t="s">
        <v>9</v>
      </c>
      <c r="I11318" t="s">
        <v>10</v>
      </c>
    </row>
    <row r="11319" spans="1:9" x14ac:dyDescent="0.25">
      <c r="A11319" t="str">
        <f t="shared" si="276"/>
        <v>89301000</v>
      </c>
      <c r="B11319" t="str">
        <f>"7206095809"</f>
        <v>7206095809</v>
      </c>
      <c r="C11319" s="1">
        <v>45134</v>
      </c>
      <c r="D11319" s="1">
        <v>45135</v>
      </c>
      <c r="E11319">
        <v>1</v>
      </c>
      <c r="F11319" t="str">
        <f>"03-K13-02"</f>
        <v>03-K13-02</v>
      </c>
      <c r="G11319">
        <v>0.24440000000000001</v>
      </c>
      <c r="H11319" t="s">
        <v>11</v>
      </c>
      <c r="I11319" t="s">
        <v>10</v>
      </c>
    </row>
    <row r="11320" spans="1:9" x14ac:dyDescent="0.25">
      <c r="A11320" t="str">
        <f t="shared" si="276"/>
        <v>89301000</v>
      </c>
      <c r="B11320" t="str">
        <f>"7206215313"</f>
        <v>7206215313</v>
      </c>
      <c r="C11320" s="1">
        <v>45161</v>
      </c>
      <c r="D11320" s="1">
        <v>45165</v>
      </c>
      <c r="E11320">
        <v>1</v>
      </c>
      <c r="F11320" t="str">
        <f>"08-I04-03"</f>
        <v>08-I04-03</v>
      </c>
      <c r="G11320">
        <v>1.3045</v>
      </c>
      <c r="H11320" t="s">
        <v>14</v>
      </c>
      <c r="I11320" t="s">
        <v>10</v>
      </c>
    </row>
    <row r="11321" spans="1:9" x14ac:dyDescent="0.25">
      <c r="A11321" t="str">
        <f t="shared" si="276"/>
        <v>89301000</v>
      </c>
      <c r="B11321" t="str">
        <f>"7206259907"</f>
        <v>7206259907</v>
      </c>
      <c r="C11321" s="1">
        <v>45128</v>
      </c>
      <c r="D11321" s="1">
        <v>45131</v>
      </c>
      <c r="E11321">
        <v>1</v>
      </c>
      <c r="F11321" t="str">
        <f>"01-D01-03"</f>
        <v>01-D01-03</v>
      </c>
      <c r="G11321">
        <v>0.21060000000000001</v>
      </c>
      <c r="H11321" t="s">
        <v>11</v>
      </c>
      <c r="I11321" t="s">
        <v>10</v>
      </c>
    </row>
    <row r="11322" spans="1:9" x14ac:dyDescent="0.25">
      <c r="A11322" t="str">
        <f t="shared" si="276"/>
        <v>89301000</v>
      </c>
      <c r="B11322" t="str">
        <f>"7206760528"</f>
        <v>7206760528</v>
      </c>
      <c r="C11322" s="1">
        <v>44927</v>
      </c>
      <c r="D11322" s="1">
        <v>44935</v>
      </c>
      <c r="E11322">
        <v>1</v>
      </c>
      <c r="F11322" t="str">
        <f>"04-M01-07"</f>
        <v>04-M01-07</v>
      </c>
      <c r="G11322">
        <v>3.2717000000000001</v>
      </c>
      <c r="H11322" t="s">
        <v>11</v>
      </c>
      <c r="I11322" t="s">
        <v>10</v>
      </c>
    </row>
    <row r="11323" spans="1:9" x14ac:dyDescent="0.25">
      <c r="A11323" t="str">
        <f t="shared" si="276"/>
        <v>89301000</v>
      </c>
      <c r="B11323" t="str">
        <f>"7206760528"</f>
        <v>7206760528</v>
      </c>
      <c r="C11323" s="1">
        <v>45123</v>
      </c>
      <c r="D11323" s="1">
        <v>45126</v>
      </c>
      <c r="E11323">
        <v>1</v>
      </c>
      <c r="F11323" t="str">
        <f>"05-M07-06"</f>
        <v>05-M07-06</v>
      </c>
      <c r="G11323">
        <v>1.2264999999999999</v>
      </c>
      <c r="H11323" t="s">
        <v>12</v>
      </c>
      <c r="I11323" t="s">
        <v>10</v>
      </c>
    </row>
    <row r="11324" spans="1:9" x14ac:dyDescent="0.25">
      <c r="A11324" t="str">
        <f t="shared" si="276"/>
        <v>89301000</v>
      </c>
      <c r="B11324" t="str">
        <f>"7207015222"</f>
        <v>7207015222</v>
      </c>
      <c r="C11324" s="1">
        <v>45041</v>
      </c>
      <c r="D11324" s="1">
        <v>45043</v>
      </c>
      <c r="E11324">
        <v>1</v>
      </c>
      <c r="F11324" t="str">
        <f>"08-M03-05"</f>
        <v>08-M03-05</v>
      </c>
      <c r="G11324">
        <v>0.46810000000000002</v>
      </c>
      <c r="H11324" t="s">
        <v>11</v>
      </c>
      <c r="I11324" t="s">
        <v>10</v>
      </c>
    </row>
    <row r="11325" spans="1:9" x14ac:dyDescent="0.25">
      <c r="A11325" t="str">
        <f t="shared" si="276"/>
        <v>89301000</v>
      </c>
      <c r="B11325" t="str">
        <f>"7207015816"</f>
        <v>7207015816</v>
      </c>
      <c r="C11325" s="1">
        <v>44999</v>
      </c>
      <c r="D11325" s="1">
        <v>45005</v>
      </c>
      <c r="E11325">
        <v>1</v>
      </c>
      <c r="F11325" t="str">
        <f>"01-D01-03"</f>
        <v>01-D01-03</v>
      </c>
      <c r="G11325">
        <v>0.30780000000000002</v>
      </c>
      <c r="H11325" t="s">
        <v>11</v>
      </c>
      <c r="I11325" t="s">
        <v>10</v>
      </c>
    </row>
    <row r="11326" spans="1:9" x14ac:dyDescent="0.25">
      <c r="A11326" t="str">
        <f t="shared" si="276"/>
        <v>89301000</v>
      </c>
      <c r="B11326" t="str">
        <f>"7207034494"</f>
        <v>7207034494</v>
      </c>
      <c r="C11326" s="1">
        <v>45084</v>
      </c>
      <c r="D11326" s="1">
        <v>45087</v>
      </c>
      <c r="E11326">
        <v>1</v>
      </c>
      <c r="F11326" t="str">
        <f>"07-I10-06"</f>
        <v>07-I10-06</v>
      </c>
      <c r="G11326">
        <v>0.98419999999999996</v>
      </c>
      <c r="H11326" t="s">
        <v>12</v>
      </c>
      <c r="I11326" t="s">
        <v>10</v>
      </c>
    </row>
    <row r="11327" spans="1:9" x14ac:dyDescent="0.25">
      <c r="A11327" t="str">
        <f t="shared" si="276"/>
        <v>89301000</v>
      </c>
      <c r="B11327" t="str">
        <f>"7207035330"</f>
        <v>7207035330</v>
      </c>
      <c r="C11327" s="1">
        <v>45048</v>
      </c>
      <c r="D11327" s="1">
        <v>45049</v>
      </c>
      <c r="E11327">
        <v>1</v>
      </c>
      <c r="F11327" t="str">
        <f>"08-I15-03"</f>
        <v>08-I15-03</v>
      </c>
      <c r="G11327">
        <v>0.94059999999999999</v>
      </c>
      <c r="H11327" t="s">
        <v>12</v>
      </c>
      <c r="I11327" t="s">
        <v>10</v>
      </c>
    </row>
    <row r="11328" spans="1:9" x14ac:dyDescent="0.25">
      <c r="A11328" t="str">
        <f t="shared" si="276"/>
        <v>89301000</v>
      </c>
      <c r="B11328" t="str">
        <f>"7207065349"</f>
        <v>7207065349</v>
      </c>
      <c r="C11328" s="1">
        <v>45026</v>
      </c>
      <c r="D11328" s="1">
        <v>45029</v>
      </c>
      <c r="E11328">
        <v>1</v>
      </c>
      <c r="F11328" t="str">
        <f>"08-M03-05"</f>
        <v>08-M03-05</v>
      </c>
      <c r="G11328">
        <v>0.46810000000000002</v>
      </c>
      <c r="H11328" t="s">
        <v>11</v>
      </c>
      <c r="I11328" t="s">
        <v>10</v>
      </c>
    </row>
    <row r="11329" spans="1:9" x14ac:dyDescent="0.25">
      <c r="A11329" t="str">
        <f t="shared" si="276"/>
        <v>89301000</v>
      </c>
      <c r="B11329" t="str">
        <f>"7207085380"</f>
        <v>7207085380</v>
      </c>
      <c r="C11329" s="1">
        <v>45256</v>
      </c>
      <c r="D11329" s="1">
        <v>45259</v>
      </c>
      <c r="E11329">
        <v>1</v>
      </c>
      <c r="F11329" t="str">
        <f>"08-K08-00"</f>
        <v>08-K08-00</v>
      </c>
      <c r="G11329">
        <v>0.5272</v>
      </c>
      <c r="H11329" t="s">
        <v>11</v>
      </c>
      <c r="I11329" t="s">
        <v>10</v>
      </c>
    </row>
    <row r="11330" spans="1:9" x14ac:dyDescent="0.25">
      <c r="A11330" t="str">
        <f t="shared" si="276"/>
        <v>89301000</v>
      </c>
      <c r="B11330" t="str">
        <f>"7207164855"</f>
        <v>7207164855</v>
      </c>
      <c r="C11330" s="1">
        <v>45147</v>
      </c>
      <c r="D11330" s="1">
        <v>45149</v>
      </c>
      <c r="E11330">
        <v>1</v>
      </c>
      <c r="F11330" t="str">
        <f>"08-I19-03"</f>
        <v>08-I19-03</v>
      </c>
      <c r="G11330">
        <v>0.59130000000000005</v>
      </c>
      <c r="H11330" t="s">
        <v>12</v>
      </c>
      <c r="I11330" t="s">
        <v>10</v>
      </c>
    </row>
    <row r="11331" spans="1:9" x14ac:dyDescent="0.25">
      <c r="A11331" t="str">
        <f t="shared" si="276"/>
        <v>89301000</v>
      </c>
      <c r="B11331" t="str">
        <f>"7207205324"</f>
        <v>7207205324</v>
      </c>
      <c r="C11331" s="1">
        <v>45184</v>
      </c>
      <c r="D11331" s="1">
        <v>45187</v>
      </c>
      <c r="E11331">
        <v>1</v>
      </c>
      <c r="F11331" t="str">
        <f>"01-D01-03"</f>
        <v>01-D01-03</v>
      </c>
      <c r="G11331">
        <v>0.21060000000000001</v>
      </c>
      <c r="H11331" t="s">
        <v>11</v>
      </c>
      <c r="I11331" t="s">
        <v>10</v>
      </c>
    </row>
    <row r="11332" spans="1:9" x14ac:dyDescent="0.25">
      <c r="A11332" t="str">
        <f t="shared" si="276"/>
        <v>89301000</v>
      </c>
      <c r="B11332" t="str">
        <f>"7207254461"</f>
        <v>7207254461</v>
      </c>
      <c r="C11332" s="1">
        <v>45079</v>
      </c>
      <c r="D11332" s="1">
        <v>45080</v>
      </c>
      <c r="E11332">
        <v>1</v>
      </c>
      <c r="F11332" t="str">
        <f>"04-K15-03"</f>
        <v>04-K15-03</v>
      </c>
      <c r="G11332">
        <v>0.49790000000000001</v>
      </c>
      <c r="H11332" t="s">
        <v>11</v>
      </c>
      <c r="I11332" t="s">
        <v>10</v>
      </c>
    </row>
    <row r="11333" spans="1:9" x14ac:dyDescent="0.25">
      <c r="A11333" t="str">
        <f t="shared" si="276"/>
        <v>89301000</v>
      </c>
      <c r="B11333" t="str">
        <f>"7208015320"</f>
        <v>7208015320</v>
      </c>
      <c r="C11333" s="1">
        <v>45228</v>
      </c>
      <c r="D11333" s="1">
        <v>45231</v>
      </c>
      <c r="E11333">
        <v>1</v>
      </c>
      <c r="F11333" t="str">
        <f>"08-M03-05"</f>
        <v>08-M03-05</v>
      </c>
      <c r="G11333">
        <v>0.46810000000000002</v>
      </c>
      <c r="H11333" t="s">
        <v>11</v>
      </c>
      <c r="I11333" t="s">
        <v>10</v>
      </c>
    </row>
    <row r="11334" spans="1:9" x14ac:dyDescent="0.25">
      <c r="A11334" t="str">
        <f t="shared" si="276"/>
        <v>89301000</v>
      </c>
      <c r="B11334" t="str">
        <f>"7208084477"</f>
        <v>7208084477</v>
      </c>
      <c r="C11334" s="1">
        <v>44998</v>
      </c>
      <c r="D11334" s="1">
        <v>45001</v>
      </c>
      <c r="E11334">
        <v>1</v>
      </c>
      <c r="F11334" t="str">
        <f>"08-I03-08"</f>
        <v>08-I03-08</v>
      </c>
      <c r="G11334">
        <v>1.9455</v>
      </c>
      <c r="H11334" t="s">
        <v>9</v>
      </c>
      <c r="I11334" t="s">
        <v>10</v>
      </c>
    </row>
    <row r="11335" spans="1:9" x14ac:dyDescent="0.25">
      <c r="A11335" t="str">
        <f t="shared" si="276"/>
        <v>89301000</v>
      </c>
      <c r="B11335" t="str">
        <f>"7208085324"</f>
        <v>7208085324</v>
      </c>
      <c r="C11335" s="1">
        <v>45025</v>
      </c>
      <c r="D11335" s="1">
        <v>45027</v>
      </c>
      <c r="E11335">
        <v>1</v>
      </c>
      <c r="F11335" t="str">
        <f>"05-M06-06"</f>
        <v>05-M06-06</v>
      </c>
      <c r="G11335">
        <v>1.8264</v>
      </c>
      <c r="H11335" t="s">
        <v>12</v>
      </c>
      <c r="I11335" t="s">
        <v>10</v>
      </c>
    </row>
    <row r="11336" spans="1:9" x14ac:dyDescent="0.25">
      <c r="A11336" t="str">
        <f t="shared" si="276"/>
        <v>89301000</v>
      </c>
      <c r="B11336" t="str">
        <f>"7208154459"</f>
        <v>7208154459</v>
      </c>
      <c r="C11336" s="1">
        <v>45001</v>
      </c>
      <c r="D11336" s="1">
        <v>45047</v>
      </c>
      <c r="E11336">
        <v>4</v>
      </c>
      <c r="F11336" t="str">
        <f>"05-I10-02"</f>
        <v>05-I10-02</v>
      </c>
      <c r="G11336">
        <v>14.266</v>
      </c>
      <c r="H11336" t="s">
        <v>14</v>
      </c>
      <c r="I11336" t="s">
        <v>10</v>
      </c>
    </row>
    <row r="11337" spans="1:9" x14ac:dyDescent="0.25">
      <c r="A11337" t="str">
        <f t="shared" si="276"/>
        <v>89301000</v>
      </c>
      <c r="B11337" t="str">
        <f>"7208155779"</f>
        <v>7208155779</v>
      </c>
      <c r="C11337" s="1">
        <v>45093</v>
      </c>
      <c r="D11337" s="1">
        <v>45094</v>
      </c>
      <c r="E11337">
        <v>1</v>
      </c>
      <c r="F11337" t="str">
        <f>"06-M01-02"</f>
        <v>06-M01-02</v>
      </c>
      <c r="G11337">
        <v>1.2206999999999999</v>
      </c>
      <c r="H11337" t="s">
        <v>11</v>
      </c>
      <c r="I11337" t="s">
        <v>10</v>
      </c>
    </row>
    <row r="11338" spans="1:9" x14ac:dyDescent="0.25">
      <c r="A11338" t="str">
        <f t="shared" si="276"/>
        <v>89301000</v>
      </c>
      <c r="B11338" t="str">
        <f>"7209015759"</f>
        <v>7209015759</v>
      </c>
      <c r="C11338" s="1">
        <v>45040</v>
      </c>
      <c r="D11338" s="1">
        <v>45046</v>
      </c>
      <c r="E11338">
        <v>1</v>
      </c>
      <c r="F11338" t="str">
        <f>"12-I03-01"</f>
        <v>12-I03-01</v>
      </c>
      <c r="G11338">
        <v>2.6934999999999998</v>
      </c>
      <c r="H11338" t="s">
        <v>9</v>
      </c>
      <c r="I11338" t="s">
        <v>10</v>
      </c>
    </row>
    <row r="11339" spans="1:9" x14ac:dyDescent="0.25">
      <c r="A11339" t="str">
        <f t="shared" si="276"/>
        <v>89301000</v>
      </c>
      <c r="B11339" t="str">
        <f>"7209115342"</f>
        <v>7209115342</v>
      </c>
      <c r="C11339" s="1">
        <v>45174</v>
      </c>
      <c r="D11339" s="1">
        <v>45177</v>
      </c>
      <c r="E11339">
        <v>1</v>
      </c>
      <c r="F11339" t="str">
        <f>"01-K07-03"</f>
        <v>01-K07-03</v>
      </c>
      <c r="G11339">
        <v>0.48680000000000001</v>
      </c>
      <c r="H11339" t="s">
        <v>11</v>
      </c>
      <c r="I11339" t="s">
        <v>10</v>
      </c>
    </row>
    <row r="11340" spans="1:9" x14ac:dyDescent="0.25">
      <c r="A11340" t="str">
        <f t="shared" si="276"/>
        <v>89301000</v>
      </c>
      <c r="B11340" t="str">
        <f>"7209145691"</f>
        <v>7209145691</v>
      </c>
      <c r="C11340" s="1">
        <v>45041</v>
      </c>
      <c r="D11340" s="1">
        <v>45044</v>
      </c>
      <c r="E11340">
        <v>1</v>
      </c>
      <c r="F11340" t="str">
        <f>"19-K02-03"</f>
        <v>19-K02-03</v>
      </c>
      <c r="G11340">
        <v>0.71950000000000003</v>
      </c>
      <c r="H11340" t="s">
        <v>15</v>
      </c>
      <c r="I11340" t="s">
        <v>10</v>
      </c>
    </row>
    <row r="11341" spans="1:9" x14ac:dyDescent="0.25">
      <c r="A11341" t="str">
        <f t="shared" si="276"/>
        <v>89301000</v>
      </c>
      <c r="B11341" t="str">
        <f>"7209145988"</f>
        <v>7209145988</v>
      </c>
      <c r="C11341" s="1">
        <v>44984</v>
      </c>
      <c r="D11341" s="1">
        <v>44986</v>
      </c>
      <c r="E11341">
        <v>1</v>
      </c>
      <c r="F11341" t="str">
        <f>"06-I21-03"</f>
        <v>06-I21-03</v>
      </c>
      <c r="G11341">
        <v>0.4572</v>
      </c>
      <c r="H11341" t="s">
        <v>12</v>
      </c>
      <c r="I11341" t="s">
        <v>10</v>
      </c>
    </row>
    <row r="11342" spans="1:9" x14ac:dyDescent="0.25">
      <c r="A11342" t="str">
        <f t="shared" si="276"/>
        <v>89301000</v>
      </c>
      <c r="B11342" t="str">
        <f>"7209145988"</f>
        <v>7209145988</v>
      </c>
      <c r="C11342" s="1">
        <v>45026</v>
      </c>
      <c r="D11342" s="1">
        <v>45029</v>
      </c>
      <c r="E11342">
        <v>1</v>
      </c>
      <c r="F11342" t="str">
        <f>"06-K11-00"</f>
        <v>06-K11-00</v>
      </c>
      <c r="G11342">
        <v>0.34639999999999999</v>
      </c>
      <c r="H11342" t="s">
        <v>11</v>
      </c>
      <c r="I11342" t="s">
        <v>10</v>
      </c>
    </row>
    <row r="11343" spans="1:9" x14ac:dyDescent="0.25">
      <c r="A11343" t="str">
        <f t="shared" si="276"/>
        <v>89301000</v>
      </c>
      <c r="B11343" t="str">
        <f>"7209204607"</f>
        <v>7209204607</v>
      </c>
      <c r="C11343" s="1">
        <v>45237</v>
      </c>
      <c r="D11343" s="1">
        <v>45245</v>
      </c>
      <c r="E11343">
        <v>1</v>
      </c>
      <c r="F11343" t="str">
        <f>"05-I12-03"</f>
        <v>05-I12-03</v>
      </c>
      <c r="G11343">
        <v>6.7502000000000004</v>
      </c>
      <c r="H11343" t="s">
        <v>14</v>
      </c>
      <c r="I11343" t="s">
        <v>10</v>
      </c>
    </row>
    <row r="11344" spans="1:9" x14ac:dyDescent="0.25">
      <c r="A11344" t="str">
        <f t="shared" si="276"/>
        <v>89301000</v>
      </c>
      <c r="B11344" t="str">
        <f>"7209204607"</f>
        <v>7209204607</v>
      </c>
      <c r="C11344" s="1">
        <v>45189</v>
      </c>
      <c r="D11344" s="1">
        <v>45189</v>
      </c>
      <c r="E11344">
        <v>1</v>
      </c>
      <c r="F11344" t="str">
        <f>"05-D01-08"</f>
        <v>05-D01-08</v>
      </c>
      <c r="G11344">
        <v>0.2303</v>
      </c>
      <c r="H11344" t="s">
        <v>11</v>
      </c>
      <c r="I11344" t="s">
        <v>10</v>
      </c>
    </row>
    <row r="11345" spans="1:9" x14ac:dyDescent="0.25">
      <c r="A11345" t="str">
        <f t="shared" si="276"/>
        <v>89301000</v>
      </c>
      <c r="B11345" t="str">
        <f>"7209294862"</f>
        <v>7209294862</v>
      </c>
      <c r="C11345" s="1">
        <v>44944</v>
      </c>
      <c r="D11345" s="1">
        <v>44947</v>
      </c>
      <c r="E11345">
        <v>1</v>
      </c>
      <c r="F11345" t="str">
        <f>"08-M03-05"</f>
        <v>08-M03-05</v>
      </c>
      <c r="G11345">
        <v>0.46810000000000002</v>
      </c>
      <c r="H11345" t="s">
        <v>11</v>
      </c>
      <c r="I11345" t="s">
        <v>10</v>
      </c>
    </row>
    <row r="11346" spans="1:9" x14ac:dyDescent="0.25">
      <c r="A11346" t="str">
        <f t="shared" si="276"/>
        <v>89301000</v>
      </c>
      <c r="B11346" t="str">
        <f>"7210025350"</f>
        <v>7210025350</v>
      </c>
      <c r="C11346" s="1">
        <v>45079</v>
      </c>
      <c r="D11346" s="1">
        <v>45080</v>
      </c>
      <c r="E11346">
        <v>1</v>
      </c>
      <c r="F11346" t="str">
        <f>"12-I14-00"</f>
        <v>12-I14-00</v>
      </c>
      <c r="G11346">
        <v>0.42920000000000003</v>
      </c>
      <c r="H11346" t="s">
        <v>11</v>
      </c>
      <c r="I11346" t="s">
        <v>10</v>
      </c>
    </row>
    <row r="11347" spans="1:9" x14ac:dyDescent="0.25">
      <c r="A11347" t="str">
        <f t="shared" si="276"/>
        <v>89301000</v>
      </c>
      <c r="B11347" t="str">
        <f>"7210045315"</f>
        <v>7210045315</v>
      </c>
      <c r="C11347" s="1">
        <v>45039</v>
      </c>
      <c r="D11347" s="1">
        <v>45044</v>
      </c>
      <c r="E11347">
        <v>1</v>
      </c>
      <c r="F11347" t="str">
        <f>"08-I03-04"</f>
        <v>08-I03-04</v>
      </c>
      <c r="G11347">
        <v>4.7615999999999996</v>
      </c>
      <c r="H11347" t="s">
        <v>9</v>
      </c>
      <c r="I11347" t="s">
        <v>10</v>
      </c>
    </row>
    <row r="11348" spans="1:9" x14ac:dyDescent="0.25">
      <c r="A11348" t="str">
        <f t="shared" si="276"/>
        <v>89301000</v>
      </c>
      <c r="B11348" t="str">
        <f>"7210055358"</f>
        <v>7210055358</v>
      </c>
      <c r="C11348" s="1">
        <v>44944</v>
      </c>
      <c r="D11348" s="1">
        <v>44946</v>
      </c>
      <c r="E11348">
        <v>1</v>
      </c>
      <c r="F11348" t="str">
        <f>"01-K07-03"</f>
        <v>01-K07-03</v>
      </c>
      <c r="G11348">
        <v>0.48680000000000001</v>
      </c>
      <c r="H11348" t="s">
        <v>11</v>
      </c>
      <c r="I11348" t="s">
        <v>10</v>
      </c>
    </row>
    <row r="11349" spans="1:9" x14ac:dyDescent="0.25">
      <c r="A11349" t="str">
        <f t="shared" si="276"/>
        <v>89301000</v>
      </c>
      <c r="B11349" t="str">
        <f>"7210155843"</f>
        <v>7210155843</v>
      </c>
      <c r="C11349" s="1">
        <v>44971</v>
      </c>
      <c r="D11349" s="1">
        <v>44973</v>
      </c>
      <c r="E11349">
        <v>1</v>
      </c>
      <c r="F11349" t="str">
        <f>"08-I03-08"</f>
        <v>08-I03-08</v>
      </c>
      <c r="G11349">
        <v>1.9455</v>
      </c>
      <c r="H11349" t="s">
        <v>9</v>
      </c>
      <c r="I11349" t="s">
        <v>10</v>
      </c>
    </row>
    <row r="11350" spans="1:9" x14ac:dyDescent="0.25">
      <c r="A11350" t="str">
        <f t="shared" si="276"/>
        <v>89301000</v>
      </c>
      <c r="B11350" t="str">
        <f>"7210224868"</f>
        <v>7210224868</v>
      </c>
      <c r="C11350" s="1">
        <v>44928</v>
      </c>
      <c r="D11350" s="1">
        <v>44930</v>
      </c>
      <c r="E11350">
        <v>1</v>
      </c>
      <c r="F11350" t="str">
        <f>"01-D01-03"</f>
        <v>01-D01-03</v>
      </c>
      <c r="G11350">
        <v>0.16200000000000001</v>
      </c>
      <c r="H11350" t="s">
        <v>11</v>
      </c>
      <c r="I11350" t="s">
        <v>10</v>
      </c>
    </row>
    <row r="11351" spans="1:9" x14ac:dyDescent="0.25">
      <c r="A11351" t="str">
        <f t="shared" si="276"/>
        <v>89301000</v>
      </c>
      <c r="B11351" t="str">
        <f>"7210314782"</f>
        <v>7210314782</v>
      </c>
      <c r="C11351" s="1">
        <v>44949</v>
      </c>
      <c r="D11351" s="1">
        <v>44951</v>
      </c>
      <c r="E11351">
        <v>1</v>
      </c>
      <c r="F11351" t="str">
        <f>"06-M01-02"</f>
        <v>06-M01-02</v>
      </c>
      <c r="G11351">
        <v>1.2206999999999999</v>
      </c>
      <c r="H11351" t="s">
        <v>11</v>
      </c>
      <c r="I11351" t="s">
        <v>10</v>
      </c>
    </row>
    <row r="11352" spans="1:9" x14ac:dyDescent="0.25">
      <c r="A11352" t="str">
        <f t="shared" si="276"/>
        <v>89301000</v>
      </c>
      <c r="B11352" t="str">
        <f>"7210314782"</f>
        <v>7210314782</v>
      </c>
      <c r="C11352" s="1">
        <v>45103</v>
      </c>
      <c r="D11352" s="1">
        <v>45105</v>
      </c>
      <c r="E11352">
        <v>1</v>
      </c>
      <c r="F11352" t="str">
        <f>"06-M01-02"</f>
        <v>06-M01-02</v>
      </c>
      <c r="G11352">
        <v>1.4636</v>
      </c>
      <c r="H11352" t="s">
        <v>11</v>
      </c>
      <c r="I11352" t="s">
        <v>10</v>
      </c>
    </row>
    <row r="11353" spans="1:9" x14ac:dyDescent="0.25">
      <c r="A11353" t="str">
        <f t="shared" si="276"/>
        <v>89301000</v>
      </c>
      <c r="B11353" t="str">
        <f>"7211065180"</f>
        <v>7211065180</v>
      </c>
      <c r="C11353" s="1">
        <v>45055</v>
      </c>
      <c r="D11353" s="1">
        <v>45058</v>
      </c>
      <c r="E11353">
        <v>1</v>
      </c>
      <c r="F11353" t="str">
        <f>"08-K02-03"</f>
        <v>08-K02-03</v>
      </c>
      <c r="G11353">
        <v>0.6361</v>
      </c>
      <c r="H11353" t="s">
        <v>11</v>
      </c>
      <c r="I11353" t="s">
        <v>10</v>
      </c>
    </row>
    <row r="11354" spans="1:9" x14ac:dyDescent="0.25">
      <c r="A11354" t="str">
        <f t="shared" si="276"/>
        <v>89301000</v>
      </c>
      <c r="B11354" t="str">
        <f>"7211065180"</f>
        <v>7211065180</v>
      </c>
      <c r="C11354" s="1">
        <v>45230</v>
      </c>
      <c r="D11354" s="1">
        <v>45232</v>
      </c>
      <c r="E11354">
        <v>1</v>
      </c>
      <c r="F11354" t="str">
        <f>"17-I10-02"</f>
        <v>17-I10-02</v>
      </c>
      <c r="G11354">
        <v>0.83779999999999999</v>
      </c>
      <c r="H11354" t="s">
        <v>11</v>
      </c>
      <c r="I11354" t="s">
        <v>10</v>
      </c>
    </row>
    <row r="11355" spans="1:9" x14ac:dyDescent="0.25">
      <c r="A11355" t="str">
        <f t="shared" si="276"/>
        <v>89301000</v>
      </c>
      <c r="B11355" t="str">
        <f>"7211155325"</f>
        <v>7211155325</v>
      </c>
      <c r="C11355" s="1">
        <v>45186</v>
      </c>
      <c r="D11355" s="1">
        <v>45189</v>
      </c>
      <c r="E11355">
        <v>1</v>
      </c>
      <c r="F11355" t="str">
        <f>"05-K13-02"</f>
        <v>05-K13-02</v>
      </c>
      <c r="G11355">
        <v>0.57220000000000004</v>
      </c>
      <c r="H11355" t="s">
        <v>11</v>
      </c>
      <c r="I11355" t="s">
        <v>10</v>
      </c>
    </row>
    <row r="11356" spans="1:9" x14ac:dyDescent="0.25">
      <c r="A11356" t="str">
        <f t="shared" si="276"/>
        <v>89301000</v>
      </c>
      <c r="B11356" t="str">
        <f>"7211204473"</f>
        <v>7211204473</v>
      </c>
      <c r="C11356" s="1">
        <v>44974</v>
      </c>
      <c r="D11356" s="1">
        <v>44977</v>
      </c>
      <c r="E11356">
        <v>1</v>
      </c>
      <c r="F11356" t="str">
        <f>"01-D01-03"</f>
        <v>01-D01-03</v>
      </c>
      <c r="G11356">
        <v>0.21060000000000001</v>
      </c>
      <c r="H11356" t="s">
        <v>11</v>
      </c>
      <c r="I11356" t="s">
        <v>10</v>
      </c>
    </row>
    <row r="11357" spans="1:9" x14ac:dyDescent="0.25">
      <c r="A11357" t="str">
        <f t="shared" si="276"/>
        <v>89301000</v>
      </c>
      <c r="B11357" t="str">
        <f>"7212015327"</f>
        <v>7212015327</v>
      </c>
      <c r="C11357" s="1">
        <v>45123</v>
      </c>
      <c r="D11357" s="1">
        <v>45132</v>
      </c>
      <c r="E11357">
        <v>1</v>
      </c>
      <c r="F11357" t="str">
        <f>"25-I02-02"</f>
        <v>25-I02-02</v>
      </c>
      <c r="G11357">
        <v>6.6448999999999998</v>
      </c>
      <c r="H11357" t="s">
        <v>14</v>
      </c>
      <c r="I11357" t="s">
        <v>10</v>
      </c>
    </row>
    <row r="11358" spans="1:9" x14ac:dyDescent="0.25">
      <c r="A11358" t="str">
        <f t="shared" si="276"/>
        <v>89301000</v>
      </c>
      <c r="B11358" t="str">
        <f>"7212095803"</f>
        <v>7212095803</v>
      </c>
      <c r="C11358" s="1">
        <v>45040</v>
      </c>
      <c r="D11358" s="1">
        <v>45042</v>
      </c>
      <c r="E11358">
        <v>1</v>
      </c>
      <c r="F11358" t="str">
        <f>"01-D01-03"</f>
        <v>01-D01-03</v>
      </c>
      <c r="G11358">
        <v>0.16200000000000001</v>
      </c>
      <c r="H11358" t="s">
        <v>11</v>
      </c>
      <c r="I11358" t="s">
        <v>10</v>
      </c>
    </row>
    <row r="11359" spans="1:9" x14ac:dyDescent="0.25">
      <c r="A11359" t="str">
        <f t="shared" si="276"/>
        <v>89301000</v>
      </c>
      <c r="B11359" t="str">
        <f>"7212120696"</f>
        <v>7212120696</v>
      </c>
      <c r="C11359" s="1">
        <v>45207</v>
      </c>
      <c r="D11359" s="1">
        <v>45213</v>
      </c>
      <c r="E11359">
        <v>1</v>
      </c>
      <c r="F11359" t="str">
        <f>"11-I08-03"</f>
        <v>11-I08-03</v>
      </c>
      <c r="G11359">
        <v>2.0529999999999999</v>
      </c>
      <c r="H11359" t="s">
        <v>9</v>
      </c>
      <c r="I11359" t="s">
        <v>10</v>
      </c>
    </row>
    <row r="11360" spans="1:9" x14ac:dyDescent="0.25">
      <c r="A11360" t="str">
        <f t="shared" si="276"/>
        <v>89301000</v>
      </c>
      <c r="B11360" t="str">
        <f>"7212135304"</f>
        <v>7212135304</v>
      </c>
      <c r="C11360" s="1">
        <v>44992</v>
      </c>
      <c r="D11360" s="1">
        <v>44993</v>
      </c>
      <c r="E11360">
        <v>1</v>
      </c>
      <c r="F11360" t="str">
        <f>"03-K13-02"</f>
        <v>03-K13-02</v>
      </c>
      <c r="G11360">
        <v>0.24440000000000001</v>
      </c>
      <c r="H11360" t="s">
        <v>11</v>
      </c>
      <c r="I11360" t="s">
        <v>10</v>
      </c>
    </row>
    <row r="11361" spans="1:9" x14ac:dyDescent="0.25">
      <c r="A11361" t="str">
        <f t="shared" si="276"/>
        <v>89301000</v>
      </c>
      <c r="B11361" t="str">
        <f>"7212135304"</f>
        <v>7212135304</v>
      </c>
      <c r="C11361" s="1">
        <v>44958</v>
      </c>
      <c r="D11361" s="1">
        <v>44960</v>
      </c>
      <c r="E11361">
        <v>1</v>
      </c>
      <c r="F11361" t="str">
        <f>"04-M02-04"</f>
        <v>04-M02-04</v>
      </c>
      <c r="G11361">
        <v>0.82489999999999997</v>
      </c>
      <c r="H11361" t="s">
        <v>11</v>
      </c>
      <c r="I11361" t="s">
        <v>10</v>
      </c>
    </row>
    <row r="11362" spans="1:9" x14ac:dyDescent="0.25">
      <c r="A11362" t="str">
        <f t="shared" si="276"/>
        <v>89301000</v>
      </c>
      <c r="B11362" t="str">
        <f>"7212165334"</f>
        <v>7212165334</v>
      </c>
      <c r="C11362" s="1">
        <v>44987</v>
      </c>
      <c r="D11362" s="1">
        <v>44988</v>
      </c>
      <c r="E11362">
        <v>1</v>
      </c>
      <c r="F11362" t="str">
        <f>"10-K15-02"</f>
        <v>10-K15-02</v>
      </c>
      <c r="G11362">
        <v>0.66379999999999995</v>
      </c>
      <c r="H11362" t="s">
        <v>11</v>
      </c>
      <c r="I11362" t="s">
        <v>10</v>
      </c>
    </row>
    <row r="11363" spans="1:9" x14ac:dyDescent="0.25">
      <c r="A11363" t="str">
        <f t="shared" si="276"/>
        <v>89301000</v>
      </c>
      <c r="B11363" t="str">
        <f>"7212215791"</f>
        <v>7212215791</v>
      </c>
      <c r="C11363" s="1">
        <v>44952</v>
      </c>
      <c r="D11363" s="1">
        <v>44956</v>
      </c>
      <c r="E11363">
        <v>1</v>
      </c>
      <c r="F11363" t="str">
        <f>"05-M05-02"</f>
        <v>05-M05-02</v>
      </c>
      <c r="G11363">
        <v>3.4817999999999998</v>
      </c>
      <c r="H11363" t="s">
        <v>14</v>
      </c>
      <c r="I11363" t="s">
        <v>10</v>
      </c>
    </row>
    <row r="11364" spans="1:9" x14ac:dyDescent="0.25">
      <c r="A11364" t="str">
        <f t="shared" ref="A11364:A11426" si="277">"89301000"</f>
        <v>89301000</v>
      </c>
      <c r="B11364" t="str">
        <f>"7212255325"</f>
        <v>7212255325</v>
      </c>
      <c r="C11364" s="1">
        <v>45055</v>
      </c>
      <c r="D11364" s="1">
        <v>45058</v>
      </c>
      <c r="E11364">
        <v>1</v>
      </c>
      <c r="F11364" t="str">
        <f>"08-I03-06"</f>
        <v>08-I03-06</v>
      </c>
      <c r="G11364">
        <v>3.2523</v>
      </c>
      <c r="H11364" t="s">
        <v>9</v>
      </c>
      <c r="I11364" t="s">
        <v>10</v>
      </c>
    </row>
    <row r="11365" spans="1:9" x14ac:dyDescent="0.25">
      <c r="A11365" t="str">
        <f t="shared" si="277"/>
        <v>89301000</v>
      </c>
      <c r="B11365" t="str">
        <f>"7251075304"</f>
        <v>7251075304</v>
      </c>
      <c r="C11365" s="1">
        <v>45217</v>
      </c>
      <c r="D11365" s="1">
        <v>45221</v>
      </c>
      <c r="E11365">
        <v>1</v>
      </c>
      <c r="F11365" t="str">
        <f>"07-I10-06"</f>
        <v>07-I10-06</v>
      </c>
      <c r="G11365">
        <v>0.98419999999999996</v>
      </c>
      <c r="H11365" t="s">
        <v>12</v>
      </c>
      <c r="I11365" t="s">
        <v>10</v>
      </c>
    </row>
    <row r="11366" spans="1:9" x14ac:dyDescent="0.25">
      <c r="A11366" t="str">
        <f t="shared" si="277"/>
        <v>89301000</v>
      </c>
      <c r="B11366" t="str">
        <f>"7251075304"</f>
        <v>7251075304</v>
      </c>
      <c r="C11366" s="1">
        <v>45154</v>
      </c>
      <c r="D11366" s="1">
        <v>45159</v>
      </c>
      <c r="E11366">
        <v>1</v>
      </c>
      <c r="F11366" t="str">
        <f>"07-K05-02"</f>
        <v>07-K05-02</v>
      </c>
      <c r="G11366">
        <v>0.64410000000000001</v>
      </c>
      <c r="H11366" t="s">
        <v>11</v>
      </c>
      <c r="I11366" t="s">
        <v>10</v>
      </c>
    </row>
    <row r="11367" spans="1:9" x14ac:dyDescent="0.25">
      <c r="A11367" t="str">
        <f t="shared" si="277"/>
        <v>89301000</v>
      </c>
      <c r="B11367" t="str">
        <f>"7251134473"</f>
        <v>7251134473</v>
      </c>
      <c r="C11367" s="1">
        <v>44971</v>
      </c>
      <c r="D11367" s="1">
        <v>44988</v>
      </c>
      <c r="E11367">
        <v>1</v>
      </c>
      <c r="F11367" t="str">
        <f>"00-I05-01"</f>
        <v>00-I05-01</v>
      </c>
      <c r="G11367">
        <v>9.1571999999999996</v>
      </c>
      <c r="H11367" t="s">
        <v>14</v>
      </c>
      <c r="I11367" t="s">
        <v>10</v>
      </c>
    </row>
    <row r="11368" spans="1:9" x14ac:dyDescent="0.25">
      <c r="A11368" t="str">
        <f t="shared" si="277"/>
        <v>89301000</v>
      </c>
      <c r="B11368" t="str">
        <f>"7251134473"</f>
        <v>7251134473</v>
      </c>
      <c r="C11368" s="1">
        <v>45012</v>
      </c>
      <c r="D11368" s="1">
        <v>45014</v>
      </c>
      <c r="E11368">
        <v>1</v>
      </c>
      <c r="F11368" t="str">
        <f>"11-K03-02"</f>
        <v>11-K03-02</v>
      </c>
      <c r="G11368">
        <v>0.622</v>
      </c>
      <c r="H11368" t="s">
        <v>11</v>
      </c>
      <c r="I11368" t="s">
        <v>10</v>
      </c>
    </row>
    <row r="11369" spans="1:9" x14ac:dyDescent="0.25">
      <c r="A11369" t="str">
        <f t="shared" si="277"/>
        <v>89301000</v>
      </c>
      <c r="B11369" t="str">
        <f>"7251165306"</f>
        <v>7251165306</v>
      </c>
      <c r="C11369" s="1">
        <v>45155</v>
      </c>
      <c r="D11369" s="1">
        <v>45155</v>
      </c>
      <c r="E11369">
        <v>1</v>
      </c>
      <c r="F11369" t="str">
        <f>"09-K13-02"</f>
        <v>09-K13-02</v>
      </c>
      <c r="G11369">
        <v>0.156</v>
      </c>
      <c r="H11369" t="s">
        <v>11</v>
      </c>
      <c r="I11369" t="s">
        <v>10</v>
      </c>
    </row>
    <row r="11370" spans="1:9" x14ac:dyDescent="0.25">
      <c r="A11370" t="str">
        <f t="shared" si="277"/>
        <v>89301000</v>
      </c>
      <c r="B11370" t="str">
        <f>"7251245331"</f>
        <v>7251245331</v>
      </c>
      <c r="C11370" s="1">
        <v>45264</v>
      </c>
      <c r="D11370" s="1">
        <v>45267</v>
      </c>
      <c r="E11370">
        <v>1</v>
      </c>
      <c r="F11370" t="str">
        <f>"09-I07-02"</f>
        <v>09-I07-02</v>
      </c>
      <c r="G11370">
        <v>1.3968</v>
      </c>
      <c r="H11370" t="s">
        <v>14</v>
      </c>
      <c r="I11370" t="s">
        <v>10</v>
      </c>
    </row>
    <row r="11371" spans="1:9" x14ac:dyDescent="0.25">
      <c r="A11371" t="str">
        <f t="shared" si="277"/>
        <v>89301000</v>
      </c>
      <c r="B11371" t="str">
        <f>"7251255308"</f>
        <v>7251255308</v>
      </c>
      <c r="C11371" s="1">
        <v>45158</v>
      </c>
      <c r="D11371" s="1">
        <v>45166</v>
      </c>
      <c r="E11371">
        <v>1</v>
      </c>
      <c r="F11371" t="str">
        <f>"08-K08-00"</f>
        <v>08-K08-00</v>
      </c>
      <c r="G11371">
        <v>0.5272</v>
      </c>
      <c r="H11371" t="s">
        <v>11</v>
      </c>
      <c r="I11371" t="s">
        <v>10</v>
      </c>
    </row>
    <row r="11372" spans="1:9" x14ac:dyDescent="0.25">
      <c r="A11372" t="str">
        <f t="shared" si="277"/>
        <v>89301000</v>
      </c>
      <c r="B11372" t="str">
        <f>"7251295678"</f>
        <v>7251295678</v>
      </c>
      <c r="C11372" s="1">
        <v>44937</v>
      </c>
      <c r="D11372" s="1">
        <v>44943</v>
      </c>
      <c r="E11372">
        <v>1</v>
      </c>
      <c r="F11372" t="str">
        <f>"08-K01-03"</f>
        <v>08-K01-03</v>
      </c>
      <c r="G11372">
        <v>0.59189999999999998</v>
      </c>
      <c r="H11372" t="s">
        <v>11</v>
      </c>
      <c r="I11372" t="s">
        <v>10</v>
      </c>
    </row>
    <row r="11373" spans="1:9" x14ac:dyDescent="0.25">
      <c r="A11373" t="str">
        <f t="shared" si="277"/>
        <v>89301000</v>
      </c>
      <c r="B11373" t="str">
        <f>"7252065304"</f>
        <v>7252065304</v>
      </c>
      <c r="C11373" s="1">
        <v>44974</v>
      </c>
      <c r="D11373" s="1">
        <v>44978</v>
      </c>
      <c r="E11373">
        <v>1</v>
      </c>
      <c r="F11373" t="str">
        <f>"08-I03-06"</f>
        <v>08-I03-06</v>
      </c>
      <c r="G11373">
        <v>3.2523</v>
      </c>
      <c r="H11373" t="s">
        <v>9</v>
      </c>
      <c r="I11373" t="s">
        <v>10</v>
      </c>
    </row>
    <row r="11374" spans="1:9" x14ac:dyDescent="0.25">
      <c r="A11374" t="str">
        <f t="shared" si="277"/>
        <v>89301000</v>
      </c>
      <c r="B11374" t="str">
        <f>"7252175535"</f>
        <v>7252175535</v>
      </c>
      <c r="C11374" s="1">
        <v>45042</v>
      </c>
      <c r="D11374" s="1">
        <v>45046</v>
      </c>
      <c r="E11374">
        <v>1</v>
      </c>
      <c r="F11374" t="str">
        <f>"25-K01-02"</f>
        <v>25-K01-02</v>
      </c>
      <c r="G11374">
        <v>2.2376999999999998</v>
      </c>
      <c r="H11374" t="s">
        <v>14</v>
      </c>
      <c r="I11374" t="s">
        <v>10</v>
      </c>
    </row>
    <row r="11375" spans="1:9" x14ac:dyDescent="0.25">
      <c r="A11375" t="str">
        <f t="shared" si="277"/>
        <v>89301000</v>
      </c>
      <c r="B11375" t="str">
        <f>"7252184467"</f>
        <v>7252184467</v>
      </c>
      <c r="C11375" s="1">
        <v>45071</v>
      </c>
      <c r="D11375" s="1">
        <v>45075</v>
      </c>
      <c r="E11375">
        <v>1</v>
      </c>
      <c r="F11375" t="str">
        <f>"07-I10-06"</f>
        <v>07-I10-06</v>
      </c>
      <c r="G11375">
        <v>0.98419999999999996</v>
      </c>
      <c r="H11375" t="s">
        <v>12</v>
      </c>
      <c r="I11375" t="s">
        <v>10</v>
      </c>
    </row>
    <row r="11376" spans="1:9" x14ac:dyDescent="0.25">
      <c r="A11376" t="str">
        <f t="shared" si="277"/>
        <v>89301000</v>
      </c>
      <c r="B11376" t="str">
        <f>"7252215773"</f>
        <v>7252215773</v>
      </c>
      <c r="C11376" s="1">
        <v>44950</v>
      </c>
      <c r="D11376" s="1">
        <v>44953</v>
      </c>
      <c r="E11376">
        <v>1</v>
      </c>
      <c r="F11376" t="str">
        <f>"08-I03-08"</f>
        <v>08-I03-08</v>
      </c>
      <c r="G11376">
        <v>1.9455</v>
      </c>
      <c r="H11376" t="s">
        <v>9</v>
      </c>
      <c r="I11376" t="s">
        <v>10</v>
      </c>
    </row>
    <row r="11377" spans="1:9" x14ac:dyDescent="0.25">
      <c r="A11377" t="str">
        <f t="shared" si="277"/>
        <v>89301000</v>
      </c>
      <c r="B11377" t="str">
        <f>"7252215773"</f>
        <v>7252215773</v>
      </c>
      <c r="C11377" s="1">
        <v>45005</v>
      </c>
      <c r="D11377" s="1">
        <v>45016</v>
      </c>
      <c r="E11377">
        <v>1</v>
      </c>
      <c r="F11377" t="str">
        <f>"24-M06-02"</f>
        <v>24-M06-02</v>
      </c>
      <c r="G11377">
        <v>1.0699000000000001</v>
      </c>
      <c r="H11377" t="s">
        <v>11</v>
      </c>
      <c r="I11377" t="s">
        <v>10</v>
      </c>
    </row>
    <row r="11378" spans="1:9" x14ac:dyDescent="0.25">
      <c r="A11378" t="str">
        <f t="shared" si="277"/>
        <v>89301000</v>
      </c>
      <c r="B11378" t="str">
        <f>"7252245363"</f>
        <v>7252245363</v>
      </c>
      <c r="C11378" s="1">
        <v>45231</v>
      </c>
      <c r="D11378" s="1">
        <v>45233</v>
      </c>
      <c r="E11378">
        <v>1</v>
      </c>
      <c r="F11378" t="str">
        <f>"13-I19-00"</f>
        <v>13-I19-00</v>
      </c>
      <c r="G11378">
        <v>0.28270000000000001</v>
      </c>
      <c r="H11378" t="s">
        <v>11</v>
      </c>
      <c r="I11378" t="s">
        <v>10</v>
      </c>
    </row>
    <row r="11379" spans="1:9" x14ac:dyDescent="0.25">
      <c r="A11379" t="str">
        <f t="shared" si="277"/>
        <v>89301000</v>
      </c>
      <c r="B11379" t="str">
        <f>"7252275349"</f>
        <v>7252275349</v>
      </c>
      <c r="C11379" s="1">
        <v>45119</v>
      </c>
      <c r="D11379" s="1">
        <v>45121</v>
      </c>
      <c r="E11379">
        <v>1</v>
      </c>
      <c r="F11379" t="str">
        <f>"05-I14-04"</f>
        <v>05-I14-04</v>
      </c>
      <c r="G11379">
        <v>5.2220000000000004</v>
      </c>
      <c r="H11379" t="s">
        <v>12</v>
      </c>
      <c r="I11379" t="s">
        <v>10</v>
      </c>
    </row>
    <row r="11380" spans="1:9" x14ac:dyDescent="0.25">
      <c r="A11380" t="str">
        <f t="shared" si="277"/>
        <v>89301000</v>
      </c>
      <c r="B11380" t="str">
        <f>"7252275349"</f>
        <v>7252275349</v>
      </c>
      <c r="C11380" s="1">
        <v>45133</v>
      </c>
      <c r="D11380" s="1">
        <v>45133</v>
      </c>
      <c r="E11380">
        <v>1</v>
      </c>
      <c r="F11380" t="str">
        <f>"05-D01-06"</f>
        <v>05-D01-06</v>
      </c>
      <c r="G11380">
        <v>0.4037</v>
      </c>
      <c r="H11380" t="s">
        <v>11</v>
      </c>
      <c r="I11380" t="s">
        <v>10</v>
      </c>
    </row>
    <row r="11381" spans="1:9" x14ac:dyDescent="0.25">
      <c r="A11381" t="str">
        <f t="shared" si="277"/>
        <v>89301000</v>
      </c>
      <c r="B11381" t="str">
        <f>"7252275349"</f>
        <v>7252275349</v>
      </c>
      <c r="C11381" s="1">
        <v>45089</v>
      </c>
      <c r="D11381" s="1">
        <v>45090</v>
      </c>
      <c r="E11381">
        <v>1</v>
      </c>
      <c r="F11381" t="str">
        <f>"05-K01-03"</f>
        <v>05-K01-03</v>
      </c>
      <c r="G11381">
        <v>0.72089999999999999</v>
      </c>
      <c r="H11381" t="s">
        <v>11</v>
      </c>
      <c r="I11381" t="s">
        <v>10</v>
      </c>
    </row>
    <row r="11382" spans="1:9" x14ac:dyDescent="0.25">
      <c r="A11382" t="str">
        <f t="shared" si="277"/>
        <v>89301000</v>
      </c>
      <c r="B11382" t="str">
        <f>"7253045767"</f>
        <v>7253045767</v>
      </c>
      <c r="C11382" s="1">
        <v>44944</v>
      </c>
      <c r="D11382" s="1">
        <v>44946</v>
      </c>
      <c r="E11382">
        <v>1</v>
      </c>
      <c r="F11382" t="str">
        <f>"02-I06-04"</f>
        <v>02-I06-04</v>
      </c>
      <c r="G11382">
        <v>0.79630000000000001</v>
      </c>
      <c r="H11382" t="s">
        <v>12</v>
      </c>
      <c r="I11382" t="s">
        <v>10</v>
      </c>
    </row>
    <row r="11383" spans="1:9" x14ac:dyDescent="0.25">
      <c r="A11383" t="str">
        <f t="shared" si="277"/>
        <v>89301000</v>
      </c>
      <c r="B11383" t="str">
        <f>"7253055315"</f>
        <v>7253055315</v>
      </c>
      <c r="C11383" s="1">
        <v>45260</v>
      </c>
      <c r="D11383" s="1">
        <v>45281</v>
      </c>
      <c r="E11383">
        <v>1</v>
      </c>
      <c r="F11383" t="str">
        <f>"05-I10-03"</f>
        <v>05-I10-03</v>
      </c>
      <c r="G11383">
        <v>9.0363000000000007</v>
      </c>
      <c r="H11383" t="s">
        <v>14</v>
      </c>
      <c r="I11383" t="s">
        <v>10</v>
      </c>
    </row>
    <row r="11384" spans="1:9" x14ac:dyDescent="0.25">
      <c r="A11384" t="str">
        <f t="shared" si="277"/>
        <v>89301000</v>
      </c>
      <c r="B11384" t="str">
        <f>"7253095773"</f>
        <v>7253095773</v>
      </c>
      <c r="C11384" s="1">
        <v>45005</v>
      </c>
      <c r="D11384" s="1">
        <v>45008</v>
      </c>
      <c r="E11384">
        <v>1</v>
      </c>
      <c r="F11384" t="str">
        <f>"09-I09-02"</f>
        <v>09-I09-02</v>
      </c>
      <c r="G11384">
        <v>0.76900000000000002</v>
      </c>
      <c r="H11384" t="s">
        <v>12</v>
      </c>
      <c r="I11384" t="s">
        <v>10</v>
      </c>
    </row>
    <row r="11385" spans="1:9" x14ac:dyDescent="0.25">
      <c r="A11385" t="str">
        <f t="shared" si="277"/>
        <v>89301000</v>
      </c>
      <c r="B11385" t="str">
        <f>"7253135340"</f>
        <v>7253135340</v>
      </c>
      <c r="C11385" s="1">
        <v>44936</v>
      </c>
      <c r="D11385" s="1">
        <v>44943</v>
      </c>
      <c r="E11385">
        <v>1</v>
      </c>
      <c r="F11385" t="str">
        <f>"07-K02-03"</f>
        <v>07-K02-03</v>
      </c>
      <c r="G11385">
        <v>0.78139999999999998</v>
      </c>
      <c r="H11385" t="s">
        <v>11</v>
      </c>
      <c r="I11385" t="s">
        <v>10</v>
      </c>
    </row>
    <row r="11386" spans="1:9" x14ac:dyDescent="0.25">
      <c r="A11386" t="str">
        <f t="shared" si="277"/>
        <v>89301000</v>
      </c>
      <c r="B11386" t="str">
        <f>"7253185346"</f>
        <v>7253185346</v>
      </c>
      <c r="C11386" s="1">
        <v>45117</v>
      </c>
      <c r="D11386" s="1">
        <v>45134</v>
      </c>
      <c r="E11386">
        <v>1</v>
      </c>
      <c r="F11386" t="str">
        <f>"19-K05-02"</f>
        <v>19-K05-02</v>
      </c>
      <c r="G11386">
        <v>1.7688999999999999</v>
      </c>
      <c r="H11386" t="s">
        <v>15</v>
      </c>
      <c r="I11386" t="s">
        <v>10</v>
      </c>
    </row>
    <row r="11387" spans="1:9" x14ac:dyDescent="0.25">
      <c r="A11387" t="str">
        <f t="shared" si="277"/>
        <v>89301000</v>
      </c>
      <c r="B11387" t="str">
        <f>"7253214474"</f>
        <v>7253214474</v>
      </c>
      <c r="C11387" s="1">
        <v>45064</v>
      </c>
      <c r="D11387" s="1">
        <v>45068</v>
      </c>
      <c r="E11387">
        <v>1</v>
      </c>
      <c r="F11387" t="str">
        <f>"06-I22-01"</f>
        <v>06-I22-01</v>
      </c>
      <c r="G11387">
        <v>0.68120000000000003</v>
      </c>
      <c r="H11387" t="s">
        <v>12</v>
      </c>
      <c r="I11387" t="s">
        <v>10</v>
      </c>
    </row>
    <row r="11388" spans="1:9" x14ac:dyDescent="0.25">
      <c r="A11388" t="str">
        <f t="shared" si="277"/>
        <v>89301000</v>
      </c>
      <c r="B11388" t="str">
        <f>"7253265327"</f>
        <v>7253265327</v>
      </c>
      <c r="C11388" s="1">
        <v>45157</v>
      </c>
      <c r="D11388" s="1">
        <v>45169</v>
      </c>
      <c r="E11388">
        <v>1</v>
      </c>
      <c r="F11388" t="str">
        <f>"06-I05-04"</f>
        <v>06-I05-04</v>
      </c>
      <c r="G11388">
        <v>3.2768999999999999</v>
      </c>
      <c r="H11388" t="s">
        <v>12</v>
      </c>
      <c r="I11388" t="s">
        <v>10</v>
      </c>
    </row>
    <row r="11389" spans="1:9" x14ac:dyDescent="0.25">
      <c r="A11389" t="str">
        <f t="shared" si="277"/>
        <v>89301000</v>
      </c>
      <c r="B11389" t="str">
        <f>"7253265327"</f>
        <v>7253265327</v>
      </c>
      <c r="C11389" s="1">
        <v>45115</v>
      </c>
      <c r="D11389" s="1">
        <v>45120</v>
      </c>
      <c r="E11389">
        <v>1</v>
      </c>
      <c r="F11389" t="str">
        <f>"06-K07-02"</f>
        <v>06-K07-02</v>
      </c>
      <c r="G11389">
        <v>0.4385</v>
      </c>
      <c r="H11389" t="s">
        <v>11</v>
      </c>
      <c r="I11389" t="s">
        <v>10</v>
      </c>
    </row>
    <row r="11390" spans="1:9" x14ac:dyDescent="0.25">
      <c r="A11390" t="str">
        <f t="shared" si="277"/>
        <v>89301000</v>
      </c>
      <c r="B11390" t="str">
        <f>"7253270893"</f>
        <v>7253270893</v>
      </c>
      <c r="C11390" s="1">
        <v>45031</v>
      </c>
      <c r="D11390" s="1">
        <v>45036</v>
      </c>
      <c r="E11390">
        <v>5</v>
      </c>
      <c r="F11390" t="str">
        <f>"04-M01-05"</f>
        <v>04-M01-05</v>
      </c>
      <c r="G11390">
        <v>6.4522000000000004</v>
      </c>
      <c r="H11390" t="s">
        <v>11</v>
      </c>
      <c r="I11390" t="s">
        <v>10</v>
      </c>
    </row>
    <row r="11391" spans="1:9" x14ac:dyDescent="0.25">
      <c r="A11391" t="str">
        <f t="shared" si="277"/>
        <v>89301000</v>
      </c>
      <c r="B11391" t="str">
        <f>"7253294466"</f>
        <v>7253294466</v>
      </c>
      <c r="C11391" s="1">
        <v>45007</v>
      </c>
      <c r="D11391" s="1">
        <v>45011</v>
      </c>
      <c r="E11391">
        <v>1</v>
      </c>
      <c r="F11391" t="str">
        <f>"13-I11-03"</f>
        <v>13-I11-03</v>
      </c>
      <c r="G11391">
        <v>1.4332</v>
      </c>
      <c r="H11391" t="s">
        <v>9</v>
      </c>
      <c r="I11391" t="s">
        <v>10</v>
      </c>
    </row>
    <row r="11392" spans="1:9" x14ac:dyDescent="0.25">
      <c r="A11392" t="str">
        <f t="shared" si="277"/>
        <v>89301000</v>
      </c>
      <c r="B11392" t="str">
        <f>"7254013987"</f>
        <v>7254013987</v>
      </c>
      <c r="C11392" s="1">
        <v>45056</v>
      </c>
      <c r="D11392" s="1">
        <v>45065</v>
      </c>
      <c r="E11392">
        <v>1</v>
      </c>
      <c r="F11392" t="str">
        <f>"09-K04-01"</f>
        <v>09-K04-01</v>
      </c>
      <c r="G11392">
        <v>0.80930000000000002</v>
      </c>
      <c r="H11392" t="s">
        <v>11</v>
      </c>
      <c r="I11392" t="s">
        <v>10</v>
      </c>
    </row>
    <row r="11393" spans="1:9" x14ac:dyDescent="0.25">
      <c r="A11393" t="str">
        <f t="shared" si="277"/>
        <v>89301000</v>
      </c>
      <c r="B11393" t="str">
        <f>"7254013987"</f>
        <v>7254013987</v>
      </c>
      <c r="C11393" s="1">
        <v>45231</v>
      </c>
      <c r="D11393" s="1">
        <v>45233</v>
      </c>
      <c r="E11393">
        <v>1</v>
      </c>
      <c r="F11393" t="str">
        <f>"04-K03-02"</f>
        <v>04-K03-02</v>
      </c>
      <c r="G11393">
        <v>0.79500000000000004</v>
      </c>
      <c r="H11393" t="s">
        <v>11</v>
      </c>
      <c r="I11393" t="s">
        <v>10</v>
      </c>
    </row>
    <row r="11394" spans="1:9" x14ac:dyDescent="0.25">
      <c r="A11394" t="str">
        <f t="shared" si="277"/>
        <v>89301000</v>
      </c>
      <c r="B11394" t="str">
        <f>"7254013987"</f>
        <v>7254013987</v>
      </c>
      <c r="C11394" s="1">
        <v>45001</v>
      </c>
      <c r="D11394" s="1">
        <v>45005</v>
      </c>
      <c r="E11394">
        <v>1</v>
      </c>
      <c r="F11394" t="str">
        <f>"09-K04-01"</f>
        <v>09-K04-01</v>
      </c>
      <c r="G11394">
        <v>0.80930000000000002</v>
      </c>
      <c r="H11394" t="s">
        <v>11</v>
      </c>
      <c r="I11394" t="s">
        <v>10</v>
      </c>
    </row>
    <row r="11395" spans="1:9" x14ac:dyDescent="0.25">
      <c r="A11395" t="str">
        <f t="shared" si="277"/>
        <v>89301000</v>
      </c>
      <c r="B11395" t="str">
        <f>"7254034612"</f>
        <v>7254034612</v>
      </c>
      <c r="C11395" s="1">
        <v>45285</v>
      </c>
      <c r="D11395" s="1">
        <v>45289</v>
      </c>
      <c r="E11395">
        <v>1</v>
      </c>
      <c r="F11395" t="str">
        <f>"11-K01-04"</f>
        <v>11-K01-04</v>
      </c>
      <c r="G11395">
        <v>0.57130000000000003</v>
      </c>
      <c r="H11395" t="s">
        <v>11</v>
      </c>
      <c r="I11395" t="s">
        <v>10</v>
      </c>
    </row>
    <row r="11396" spans="1:9" x14ac:dyDescent="0.25">
      <c r="A11396" t="str">
        <f t="shared" si="277"/>
        <v>89301000</v>
      </c>
      <c r="B11396" t="str">
        <f>"7254075345"</f>
        <v>7254075345</v>
      </c>
      <c r="C11396" s="1">
        <v>45193</v>
      </c>
      <c r="D11396" s="1">
        <v>45198</v>
      </c>
      <c r="E11396">
        <v>1</v>
      </c>
      <c r="F11396" t="str">
        <f>"04-I02-03"</f>
        <v>04-I02-03</v>
      </c>
      <c r="G11396">
        <v>3.6791</v>
      </c>
      <c r="H11396" t="s">
        <v>14</v>
      </c>
      <c r="I11396" t="s">
        <v>10</v>
      </c>
    </row>
    <row r="11397" spans="1:9" x14ac:dyDescent="0.25">
      <c r="A11397" t="str">
        <f t="shared" si="277"/>
        <v>89301000</v>
      </c>
      <c r="B11397" t="str">
        <f>"7254105320"</f>
        <v>7254105320</v>
      </c>
      <c r="C11397" s="1">
        <v>45072</v>
      </c>
      <c r="D11397" s="1">
        <v>45076</v>
      </c>
      <c r="E11397">
        <v>1</v>
      </c>
      <c r="F11397" t="str">
        <f>"03-K06-01"</f>
        <v>03-K06-01</v>
      </c>
      <c r="G11397">
        <v>0.46660000000000001</v>
      </c>
      <c r="H11397" t="s">
        <v>11</v>
      </c>
      <c r="I11397" t="s">
        <v>10</v>
      </c>
    </row>
    <row r="11398" spans="1:9" x14ac:dyDescent="0.25">
      <c r="A11398" t="str">
        <f t="shared" si="277"/>
        <v>89301000</v>
      </c>
      <c r="B11398" t="str">
        <f>"7254125340"</f>
        <v>7254125340</v>
      </c>
      <c r="C11398" s="1">
        <v>45070</v>
      </c>
      <c r="D11398" s="1">
        <v>45077</v>
      </c>
      <c r="E11398">
        <v>1</v>
      </c>
      <c r="F11398" t="str">
        <f>"10-K04-04"</f>
        <v>10-K04-04</v>
      </c>
      <c r="G11398">
        <v>0.53949999999999998</v>
      </c>
      <c r="H11398" t="s">
        <v>11</v>
      </c>
      <c r="I11398" t="s">
        <v>10</v>
      </c>
    </row>
    <row r="11399" spans="1:9" x14ac:dyDescent="0.25">
      <c r="A11399" t="str">
        <f t="shared" si="277"/>
        <v>89301000</v>
      </c>
      <c r="B11399" t="str">
        <f>"7254125340"</f>
        <v>7254125340</v>
      </c>
      <c r="C11399" s="1">
        <v>45183</v>
      </c>
      <c r="D11399" s="1">
        <v>45185</v>
      </c>
      <c r="E11399">
        <v>1</v>
      </c>
      <c r="F11399" t="str">
        <f>"10-K15-02"</f>
        <v>10-K15-02</v>
      </c>
      <c r="G11399">
        <v>0.66379999999999995</v>
      </c>
      <c r="H11399" t="s">
        <v>11</v>
      </c>
      <c r="I11399" t="s">
        <v>10</v>
      </c>
    </row>
    <row r="11400" spans="1:9" x14ac:dyDescent="0.25">
      <c r="A11400" t="str">
        <f t="shared" si="277"/>
        <v>89301000</v>
      </c>
      <c r="B11400" t="str">
        <f>"7254125340"</f>
        <v>7254125340</v>
      </c>
      <c r="C11400" s="1">
        <v>45027</v>
      </c>
      <c r="D11400" s="1">
        <v>45042</v>
      </c>
      <c r="E11400">
        <v>1</v>
      </c>
      <c r="F11400" t="str">
        <f>"09-K03-01"</f>
        <v>09-K03-01</v>
      </c>
      <c r="G11400">
        <v>1.1753</v>
      </c>
      <c r="H11400" t="s">
        <v>11</v>
      </c>
      <c r="I11400" t="s">
        <v>10</v>
      </c>
    </row>
    <row r="11401" spans="1:9" x14ac:dyDescent="0.25">
      <c r="A11401" t="str">
        <f t="shared" si="277"/>
        <v>89301000</v>
      </c>
      <c r="B11401" t="str">
        <f>"7254195685"</f>
        <v>7254195685</v>
      </c>
      <c r="C11401" s="1">
        <v>44937</v>
      </c>
      <c r="D11401" s="1">
        <v>44940</v>
      </c>
      <c r="E11401">
        <v>1</v>
      </c>
      <c r="F11401" t="str">
        <f>"08-I23-02"</f>
        <v>08-I23-02</v>
      </c>
      <c r="G11401">
        <v>0.91059999999999997</v>
      </c>
      <c r="H11401" t="s">
        <v>12</v>
      </c>
      <c r="I11401" t="s">
        <v>10</v>
      </c>
    </row>
    <row r="11402" spans="1:9" x14ac:dyDescent="0.25">
      <c r="A11402" t="str">
        <f t="shared" si="277"/>
        <v>89301000</v>
      </c>
      <c r="B11402" t="str">
        <f>"7254225308"</f>
        <v>7254225308</v>
      </c>
      <c r="C11402" s="1">
        <v>45085</v>
      </c>
      <c r="D11402" s="1">
        <v>45089</v>
      </c>
      <c r="E11402">
        <v>1</v>
      </c>
      <c r="F11402" t="str">
        <f>"04-K02-04"</f>
        <v>04-K02-04</v>
      </c>
      <c r="G11402">
        <v>0.82099999999999995</v>
      </c>
      <c r="H11402" t="s">
        <v>11</v>
      </c>
      <c r="I11402" t="s">
        <v>10</v>
      </c>
    </row>
    <row r="11403" spans="1:9" x14ac:dyDescent="0.25">
      <c r="A11403" t="str">
        <f t="shared" si="277"/>
        <v>89301000</v>
      </c>
      <c r="B11403" t="str">
        <f>"7254275391"</f>
        <v>7254275391</v>
      </c>
      <c r="C11403" s="1">
        <v>44998</v>
      </c>
      <c r="D11403" s="1">
        <v>45001</v>
      </c>
      <c r="E11403">
        <v>1</v>
      </c>
      <c r="F11403" t="str">
        <f>"11-M06-03"</f>
        <v>11-M06-03</v>
      </c>
      <c r="G11403">
        <v>0.62009999999999998</v>
      </c>
      <c r="H11403" t="s">
        <v>12</v>
      </c>
      <c r="I11403" t="s">
        <v>10</v>
      </c>
    </row>
    <row r="11404" spans="1:9" x14ac:dyDescent="0.25">
      <c r="A11404" t="str">
        <f t="shared" si="277"/>
        <v>89301000</v>
      </c>
      <c r="B11404" t="str">
        <f>"7254285368"</f>
        <v>7254285368</v>
      </c>
      <c r="C11404" s="1">
        <v>45208</v>
      </c>
      <c r="D11404" s="1">
        <v>45209</v>
      </c>
      <c r="E11404">
        <v>1</v>
      </c>
      <c r="F11404" t="str">
        <f>"08-I26-03"</f>
        <v>08-I26-03</v>
      </c>
      <c r="G11404">
        <v>0.47610000000000002</v>
      </c>
      <c r="H11404" t="s">
        <v>11</v>
      </c>
      <c r="I11404" t="s">
        <v>10</v>
      </c>
    </row>
    <row r="11405" spans="1:9" x14ac:dyDescent="0.25">
      <c r="A11405" t="str">
        <f t="shared" si="277"/>
        <v>89301000</v>
      </c>
      <c r="B11405" t="str">
        <f>"7255092229"</f>
        <v>7255092229</v>
      </c>
      <c r="C11405" s="1">
        <v>45139</v>
      </c>
      <c r="D11405" s="1">
        <v>45140</v>
      </c>
      <c r="E11405">
        <v>6</v>
      </c>
      <c r="F11405" t="str">
        <f>"13-I19-00"</f>
        <v>13-I19-00</v>
      </c>
      <c r="G11405">
        <v>0.28249999999999997</v>
      </c>
      <c r="H11405" t="s">
        <v>11</v>
      </c>
      <c r="I11405" t="s">
        <v>10</v>
      </c>
    </row>
    <row r="11406" spans="1:9" x14ac:dyDescent="0.25">
      <c r="A11406" t="str">
        <f t="shared" si="277"/>
        <v>89301000</v>
      </c>
      <c r="B11406" t="str">
        <f>"7255205320"</f>
        <v>7255205320</v>
      </c>
      <c r="C11406" s="1">
        <v>44953</v>
      </c>
      <c r="D11406" s="1">
        <v>44955</v>
      </c>
      <c r="E11406">
        <v>1</v>
      </c>
      <c r="F11406" t="str">
        <f>"13-I14-03"</f>
        <v>13-I14-03</v>
      </c>
      <c r="G11406">
        <v>0.87760000000000005</v>
      </c>
      <c r="H11406" t="s">
        <v>9</v>
      </c>
      <c r="I11406" t="s">
        <v>10</v>
      </c>
    </row>
    <row r="11407" spans="1:9" x14ac:dyDescent="0.25">
      <c r="A11407" t="str">
        <f t="shared" si="277"/>
        <v>89301000</v>
      </c>
      <c r="B11407" t="str">
        <f>"7255235383"</f>
        <v>7255235383</v>
      </c>
      <c r="C11407" s="1">
        <v>45212</v>
      </c>
      <c r="D11407" s="1">
        <v>45215</v>
      </c>
      <c r="E11407">
        <v>1</v>
      </c>
      <c r="F11407" t="str">
        <f>"05-D01-06"</f>
        <v>05-D01-06</v>
      </c>
      <c r="G11407">
        <v>0.7571</v>
      </c>
      <c r="H11407" t="s">
        <v>11</v>
      </c>
      <c r="I11407" t="s">
        <v>10</v>
      </c>
    </row>
    <row r="11408" spans="1:9" x14ac:dyDescent="0.25">
      <c r="A11408" t="str">
        <f t="shared" si="277"/>
        <v>89301000</v>
      </c>
      <c r="B11408" t="str">
        <f>"7255264456"</f>
        <v>7255264456</v>
      </c>
      <c r="C11408" s="1">
        <v>45014</v>
      </c>
      <c r="D11408" s="1">
        <v>45019</v>
      </c>
      <c r="E11408">
        <v>1</v>
      </c>
      <c r="F11408" t="str">
        <f>"13-I11-03"</f>
        <v>13-I11-03</v>
      </c>
      <c r="G11408">
        <v>1.7888999999999999</v>
      </c>
      <c r="H11408" t="s">
        <v>9</v>
      </c>
      <c r="I11408" t="s">
        <v>10</v>
      </c>
    </row>
    <row r="11409" spans="1:9" x14ac:dyDescent="0.25">
      <c r="A11409" t="str">
        <f t="shared" si="277"/>
        <v>89301000</v>
      </c>
      <c r="B11409" t="str">
        <f>"7255305321"</f>
        <v>7255305321</v>
      </c>
      <c r="C11409" s="1">
        <v>44941</v>
      </c>
      <c r="D11409" s="1">
        <v>44963</v>
      </c>
      <c r="E11409">
        <v>1</v>
      </c>
      <c r="F11409" t="str">
        <f>"13-K08-01"</f>
        <v>13-K08-01</v>
      </c>
      <c r="G11409">
        <v>1.5221</v>
      </c>
      <c r="H11409" t="s">
        <v>11</v>
      </c>
      <c r="I11409" t="s">
        <v>10</v>
      </c>
    </row>
    <row r="11410" spans="1:9" x14ac:dyDescent="0.25">
      <c r="A11410" t="str">
        <f t="shared" si="277"/>
        <v>89301000</v>
      </c>
      <c r="B11410" t="str">
        <f>"7256073704"</f>
        <v>7256073704</v>
      </c>
      <c r="C11410" s="1">
        <v>45106</v>
      </c>
      <c r="D11410" s="1">
        <v>45111</v>
      </c>
      <c r="E11410">
        <v>1</v>
      </c>
      <c r="F11410" t="str">
        <f>"05-I22-00"</f>
        <v>05-I22-00</v>
      </c>
      <c r="G11410">
        <v>1.3868</v>
      </c>
      <c r="H11410" t="s">
        <v>12</v>
      </c>
      <c r="I11410" t="s">
        <v>10</v>
      </c>
    </row>
    <row r="11411" spans="1:9" x14ac:dyDescent="0.25">
      <c r="A11411" t="str">
        <f t="shared" si="277"/>
        <v>89301000</v>
      </c>
      <c r="B11411" t="str">
        <f>"7256155764"</f>
        <v>7256155764</v>
      </c>
      <c r="C11411" s="1">
        <v>45092</v>
      </c>
      <c r="D11411" s="1">
        <v>45095</v>
      </c>
      <c r="E11411">
        <v>1</v>
      </c>
      <c r="F11411" t="str">
        <f>"05-I30-01"</f>
        <v>05-I30-01</v>
      </c>
      <c r="G11411">
        <v>0.60309999999999997</v>
      </c>
      <c r="H11411" t="s">
        <v>12</v>
      </c>
      <c r="I11411" t="s">
        <v>10</v>
      </c>
    </row>
    <row r="11412" spans="1:9" x14ac:dyDescent="0.25">
      <c r="A11412" t="str">
        <f t="shared" si="277"/>
        <v>89301000</v>
      </c>
      <c r="B11412" t="str">
        <f>"7256195309"</f>
        <v>7256195309</v>
      </c>
      <c r="C11412" s="1">
        <v>45139</v>
      </c>
      <c r="D11412" s="1">
        <v>45140</v>
      </c>
      <c r="E11412">
        <v>1</v>
      </c>
      <c r="F11412" t="str">
        <f>"10-K15-02"</f>
        <v>10-K15-02</v>
      </c>
      <c r="G11412">
        <v>0.66379999999999995</v>
      </c>
      <c r="H11412" t="s">
        <v>11</v>
      </c>
      <c r="I11412" t="s">
        <v>10</v>
      </c>
    </row>
    <row r="11413" spans="1:9" x14ac:dyDescent="0.25">
      <c r="A11413" t="str">
        <f t="shared" si="277"/>
        <v>89301000</v>
      </c>
      <c r="B11413" t="str">
        <f>"7256195309"</f>
        <v>7256195309</v>
      </c>
      <c r="C11413" s="1">
        <v>45134</v>
      </c>
      <c r="D11413" s="1">
        <v>45135</v>
      </c>
      <c r="E11413">
        <v>1</v>
      </c>
      <c r="F11413" t="str">
        <f>"10-K15-02"</f>
        <v>10-K15-02</v>
      </c>
      <c r="G11413">
        <v>0.66379999999999995</v>
      </c>
      <c r="H11413" t="s">
        <v>11</v>
      </c>
      <c r="I11413" t="s">
        <v>10</v>
      </c>
    </row>
    <row r="11414" spans="1:9" x14ac:dyDescent="0.25">
      <c r="A11414" t="str">
        <f t="shared" si="277"/>
        <v>89301000</v>
      </c>
      <c r="B11414" t="str">
        <f>"7257045092"</f>
        <v>7257045092</v>
      </c>
      <c r="C11414" s="1">
        <v>45029</v>
      </c>
      <c r="D11414" s="1">
        <v>45035</v>
      </c>
      <c r="E11414">
        <v>1</v>
      </c>
      <c r="F11414" t="str">
        <f>"09-K04-02"</f>
        <v>09-K04-02</v>
      </c>
      <c r="G11414">
        <v>0.64849999999999997</v>
      </c>
      <c r="H11414" t="s">
        <v>11</v>
      </c>
      <c r="I11414" t="s">
        <v>10</v>
      </c>
    </row>
    <row r="11415" spans="1:9" x14ac:dyDescent="0.25">
      <c r="A11415" t="str">
        <f t="shared" si="277"/>
        <v>89301000</v>
      </c>
      <c r="B11415" t="str">
        <f>"7257089037"</f>
        <v>7257089037</v>
      </c>
      <c r="C11415" s="1">
        <v>45078</v>
      </c>
      <c r="D11415" s="1">
        <v>45082</v>
      </c>
      <c r="E11415">
        <v>1</v>
      </c>
      <c r="F11415" t="str">
        <f>"13-I11-03"</f>
        <v>13-I11-03</v>
      </c>
      <c r="G11415">
        <v>1.4332</v>
      </c>
      <c r="H11415" t="s">
        <v>9</v>
      </c>
      <c r="I11415" t="s">
        <v>10</v>
      </c>
    </row>
    <row r="11416" spans="1:9" x14ac:dyDescent="0.25">
      <c r="A11416" t="str">
        <f t="shared" si="277"/>
        <v>89301000</v>
      </c>
      <c r="B11416" t="str">
        <f>"7257135765"</f>
        <v>7257135765</v>
      </c>
      <c r="C11416" s="1">
        <v>45264</v>
      </c>
      <c r="D11416" s="1">
        <v>45268</v>
      </c>
      <c r="E11416">
        <v>1</v>
      </c>
      <c r="F11416" t="str">
        <f>"08-I03-08"</f>
        <v>08-I03-08</v>
      </c>
      <c r="G11416">
        <v>1.9455</v>
      </c>
      <c r="H11416" t="s">
        <v>9</v>
      </c>
      <c r="I11416" t="s">
        <v>10</v>
      </c>
    </row>
    <row r="11417" spans="1:9" x14ac:dyDescent="0.25">
      <c r="A11417" t="str">
        <f t="shared" si="277"/>
        <v>89301000</v>
      </c>
      <c r="B11417" t="str">
        <f>"7257148437"</f>
        <v>7257148437</v>
      </c>
      <c r="C11417" s="1">
        <v>44971</v>
      </c>
      <c r="D11417" s="1">
        <v>44976</v>
      </c>
      <c r="E11417">
        <v>1</v>
      </c>
      <c r="F11417" t="str">
        <f>"09-I07-01"</f>
        <v>09-I07-01</v>
      </c>
      <c r="G11417">
        <v>1.6956</v>
      </c>
      <c r="H11417" t="s">
        <v>14</v>
      </c>
      <c r="I11417" t="s">
        <v>10</v>
      </c>
    </row>
    <row r="11418" spans="1:9" x14ac:dyDescent="0.25">
      <c r="A11418" t="str">
        <f t="shared" si="277"/>
        <v>89301000</v>
      </c>
      <c r="B11418" t="str">
        <f>"7257175277"</f>
        <v>7257175277</v>
      </c>
      <c r="C11418" s="1">
        <v>45179</v>
      </c>
      <c r="D11418" s="1">
        <v>45184</v>
      </c>
      <c r="E11418">
        <v>1</v>
      </c>
      <c r="F11418" t="str">
        <f>"17-I08-02"</f>
        <v>17-I08-02</v>
      </c>
      <c r="G11418">
        <v>1.1373</v>
      </c>
      <c r="H11418" t="s">
        <v>11</v>
      </c>
      <c r="I11418" t="s">
        <v>10</v>
      </c>
    </row>
    <row r="11419" spans="1:9" x14ac:dyDescent="0.25">
      <c r="A11419" t="str">
        <f t="shared" si="277"/>
        <v>89301000</v>
      </c>
      <c r="B11419" t="str">
        <f>"7257175277"</f>
        <v>7257175277</v>
      </c>
      <c r="C11419" s="1">
        <v>45096</v>
      </c>
      <c r="D11419" s="1">
        <v>45098</v>
      </c>
      <c r="E11419">
        <v>1</v>
      </c>
      <c r="F11419" t="str">
        <f>"04-K10-02"</f>
        <v>04-K10-02</v>
      </c>
      <c r="G11419">
        <v>0.41899999999999998</v>
      </c>
      <c r="H11419" t="s">
        <v>11</v>
      </c>
      <c r="I11419" t="s">
        <v>10</v>
      </c>
    </row>
    <row r="11420" spans="1:9" x14ac:dyDescent="0.25">
      <c r="A11420" t="str">
        <f t="shared" si="277"/>
        <v>89301000</v>
      </c>
      <c r="B11420" t="str">
        <f>"7257284496"</f>
        <v>7257284496</v>
      </c>
      <c r="C11420" s="1">
        <v>45135</v>
      </c>
      <c r="D11420" s="1">
        <v>45138</v>
      </c>
      <c r="E11420">
        <v>1</v>
      </c>
      <c r="F11420" t="str">
        <f>"01-D01-03"</f>
        <v>01-D01-03</v>
      </c>
      <c r="G11420">
        <v>0.21060000000000001</v>
      </c>
      <c r="H11420" t="s">
        <v>11</v>
      </c>
      <c r="I11420" t="s">
        <v>10</v>
      </c>
    </row>
    <row r="11421" spans="1:9" x14ac:dyDescent="0.25">
      <c r="A11421" t="str">
        <f t="shared" si="277"/>
        <v>89301000</v>
      </c>
      <c r="B11421" t="str">
        <f>"7257284496"</f>
        <v>7257284496</v>
      </c>
      <c r="C11421" s="1">
        <v>45077</v>
      </c>
      <c r="D11421" s="1">
        <v>45078</v>
      </c>
      <c r="E11421">
        <v>1</v>
      </c>
      <c r="F11421" t="str">
        <f>"01-D01-03"</f>
        <v>01-D01-03</v>
      </c>
      <c r="G11421">
        <v>0.16200000000000001</v>
      </c>
      <c r="H11421" t="s">
        <v>11</v>
      </c>
      <c r="I11421" t="s">
        <v>10</v>
      </c>
    </row>
    <row r="11422" spans="1:9" x14ac:dyDescent="0.25">
      <c r="A11422" t="str">
        <f t="shared" si="277"/>
        <v>89301000</v>
      </c>
      <c r="B11422" t="str">
        <f>"7257295331"</f>
        <v>7257295331</v>
      </c>
      <c r="C11422" s="1">
        <v>45059</v>
      </c>
      <c r="D11422" s="1">
        <v>45061</v>
      </c>
      <c r="E11422">
        <v>1</v>
      </c>
      <c r="F11422" t="str">
        <f>"08-I15-03"</f>
        <v>08-I15-03</v>
      </c>
      <c r="G11422">
        <v>0.94059999999999999</v>
      </c>
      <c r="H11422" t="s">
        <v>12</v>
      </c>
      <c r="I11422" t="s">
        <v>10</v>
      </c>
    </row>
    <row r="11423" spans="1:9" x14ac:dyDescent="0.25">
      <c r="A11423" t="str">
        <f t="shared" si="277"/>
        <v>89301000</v>
      </c>
      <c r="B11423" t="str">
        <f>"7257305341"</f>
        <v>7257305341</v>
      </c>
      <c r="C11423" s="1">
        <v>45075</v>
      </c>
      <c r="D11423" s="1">
        <v>45076</v>
      </c>
      <c r="E11423">
        <v>1</v>
      </c>
      <c r="F11423" t="str">
        <f>"03-K13-02"</f>
        <v>03-K13-02</v>
      </c>
      <c r="G11423">
        <v>0.24440000000000001</v>
      </c>
      <c r="H11423" t="s">
        <v>11</v>
      </c>
      <c r="I11423" t="s">
        <v>10</v>
      </c>
    </row>
    <row r="11424" spans="1:9" x14ac:dyDescent="0.25">
      <c r="A11424" t="str">
        <f t="shared" si="277"/>
        <v>89301000</v>
      </c>
      <c r="B11424" t="str">
        <f>"7258115381"</f>
        <v>7258115381</v>
      </c>
      <c r="C11424" s="1">
        <v>44999</v>
      </c>
      <c r="D11424" s="1">
        <v>45000</v>
      </c>
      <c r="E11424">
        <v>1</v>
      </c>
      <c r="F11424" t="str">
        <f>"08-K08-00"</f>
        <v>08-K08-00</v>
      </c>
      <c r="G11424">
        <v>0.5272</v>
      </c>
      <c r="H11424" t="s">
        <v>11</v>
      </c>
      <c r="I11424" t="s">
        <v>10</v>
      </c>
    </row>
    <row r="11425" spans="1:9" x14ac:dyDescent="0.25">
      <c r="A11425" t="str">
        <f t="shared" si="277"/>
        <v>89301000</v>
      </c>
      <c r="B11425" t="str">
        <f>"7258125512"</f>
        <v>7258125512</v>
      </c>
      <c r="C11425" s="1">
        <v>45215</v>
      </c>
      <c r="D11425" s="1">
        <v>45226</v>
      </c>
      <c r="E11425">
        <v>1</v>
      </c>
      <c r="F11425" t="str">
        <f>"06-I07-05"</f>
        <v>06-I07-05</v>
      </c>
      <c r="G11425">
        <v>2.7919999999999998</v>
      </c>
      <c r="H11425" t="s">
        <v>12</v>
      </c>
      <c r="I11425" t="s">
        <v>10</v>
      </c>
    </row>
    <row r="11426" spans="1:9" x14ac:dyDescent="0.25">
      <c r="A11426" t="str">
        <f t="shared" si="277"/>
        <v>89301000</v>
      </c>
      <c r="B11426" t="str">
        <f>"7258175331"</f>
        <v>7258175331</v>
      </c>
      <c r="C11426" s="1">
        <v>45046</v>
      </c>
      <c r="D11426" s="1">
        <v>45058</v>
      </c>
      <c r="E11426">
        <v>1</v>
      </c>
      <c r="F11426" t="str">
        <f>"09-K14-02"</f>
        <v>09-K14-02</v>
      </c>
      <c r="G11426">
        <v>0.62</v>
      </c>
      <c r="H11426" t="s">
        <v>11</v>
      </c>
      <c r="I11426" t="s">
        <v>10</v>
      </c>
    </row>
    <row r="11427" spans="1:9" x14ac:dyDescent="0.25">
      <c r="A11427" t="str">
        <f t="shared" ref="A11427:A11489" si="278">"89301000"</f>
        <v>89301000</v>
      </c>
      <c r="B11427" t="str">
        <f>"7258184472"</f>
        <v>7258184472</v>
      </c>
      <c r="C11427" s="1">
        <v>45064</v>
      </c>
      <c r="D11427" s="1">
        <v>45068</v>
      </c>
      <c r="E11427">
        <v>1</v>
      </c>
      <c r="F11427" t="str">
        <f>"08-I22-02"</f>
        <v>08-I22-02</v>
      </c>
      <c r="G11427">
        <v>1.131</v>
      </c>
      <c r="H11427" t="s">
        <v>12</v>
      </c>
      <c r="I11427" t="s">
        <v>10</v>
      </c>
    </row>
    <row r="11428" spans="1:9" x14ac:dyDescent="0.25">
      <c r="A11428" t="str">
        <f t="shared" si="278"/>
        <v>89301000</v>
      </c>
      <c r="B11428" t="str">
        <f>"7258245313"</f>
        <v>7258245313</v>
      </c>
      <c r="C11428" s="1">
        <v>45098</v>
      </c>
      <c r="D11428" s="1">
        <v>45106</v>
      </c>
      <c r="E11428">
        <v>1</v>
      </c>
      <c r="F11428" t="str">
        <f>"06-I05-04"</f>
        <v>06-I05-04</v>
      </c>
      <c r="G11428">
        <v>3.2768999999999999</v>
      </c>
      <c r="H11428" t="s">
        <v>12</v>
      </c>
      <c r="I11428" t="s">
        <v>10</v>
      </c>
    </row>
    <row r="11429" spans="1:9" x14ac:dyDescent="0.25">
      <c r="A11429" t="str">
        <f t="shared" si="278"/>
        <v>89301000</v>
      </c>
      <c r="B11429" t="str">
        <f>"7258245313"</f>
        <v>7258245313</v>
      </c>
      <c r="C11429" s="1">
        <v>44997</v>
      </c>
      <c r="D11429" s="1">
        <v>45002</v>
      </c>
      <c r="E11429">
        <v>1</v>
      </c>
      <c r="F11429" t="str">
        <f>"06-I12-03"</f>
        <v>06-I12-03</v>
      </c>
      <c r="G11429">
        <v>1.9540999999999999</v>
      </c>
      <c r="H11429" t="s">
        <v>11</v>
      </c>
      <c r="I11429" t="s">
        <v>10</v>
      </c>
    </row>
    <row r="11430" spans="1:9" x14ac:dyDescent="0.25">
      <c r="A11430" t="str">
        <f t="shared" si="278"/>
        <v>89301000</v>
      </c>
      <c r="B11430" t="str">
        <f>"7258245324"</f>
        <v>7258245324</v>
      </c>
      <c r="C11430" s="1">
        <v>45077</v>
      </c>
      <c r="D11430" s="1">
        <v>45079</v>
      </c>
      <c r="E11430">
        <v>1</v>
      </c>
      <c r="F11430" t="str">
        <f>"08-I32-00"</f>
        <v>08-I32-00</v>
      </c>
      <c r="G11430">
        <v>0.4093</v>
      </c>
      <c r="H11430" t="s">
        <v>11</v>
      </c>
      <c r="I11430" t="s">
        <v>10</v>
      </c>
    </row>
    <row r="11431" spans="1:9" x14ac:dyDescent="0.25">
      <c r="A11431" t="str">
        <f t="shared" si="278"/>
        <v>89301000</v>
      </c>
      <c r="B11431" t="str">
        <f>"7258630511"</f>
        <v>7258630511</v>
      </c>
      <c r="C11431" s="1">
        <v>45246</v>
      </c>
      <c r="D11431" s="1">
        <v>45251</v>
      </c>
      <c r="E11431">
        <v>1</v>
      </c>
      <c r="F11431" t="str">
        <f>"07-K03-02"</f>
        <v>07-K03-02</v>
      </c>
      <c r="G11431">
        <v>0.48620000000000002</v>
      </c>
      <c r="H11431" t="s">
        <v>11</v>
      </c>
      <c r="I11431" t="s">
        <v>10</v>
      </c>
    </row>
    <row r="11432" spans="1:9" x14ac:dyDescent="0.25">
      <c r="A11432" t="str">
        <f t="shared" si="278"/>
        <v>89301000</v>
      </c>
      <c r="B11432" t="str">
        <f>"7259043539"</f>
        <v>7259043539</v>
      </c>
      <c r="C11432" s="1">
        <v>44949</v>
      </c>
      <c r="D11432" s="1">
        <v>44956</v>
      </c>
      <c r="E11432">
        <v>1</v>
      </c>
      <c r="F11432" t="str">
        <f>"06-I04-03"</f>
        <v>06-I04-03</v>
      </c>
      <c r="G11432">
        <v>4.1456999999999997</v>
      </c>
      <c r="H11432" t="s">
        <v>12</v>
      </c>
      <c r="I11432" t="s">
        <v>10</v>
      </c>
    </row>
    <row r="11433" spans="1:9" x14ac:dyDescent="0.25">
      <c r="A11433" t="str">
        <f t="shared" si="278"/>
        <v>89301000</v>
      </c>
      <c r="B11433" t="str">
        <f>"7259075692"</f>
        <v>7259075692</v>
      </c>
      <c r="C11433" s="1">
        <v>44959</v>
      </c>
      <c r="D11433" s="1">
        <v>44960</v>
      </c>
      <c r="E11433">
        <v>1</v>
      </c>
      <c r="F11433" t="str">
        <f>"03-K13-02"</f>
        <v>03-K13-02</v>
      </c>
      <c r="G11433">
        <v>0.24440000000000001</v>
      </c>
      <c r="H11433" t="s">
        <v>11</v>
      </c>
      <c r="I11433" t="s">
        <v>10</v>
      </c>
    </row>
    <row r="11434" spans="1:9" x14ac:dyDescent="0.25">
      <c r="A11434" t="str">
        <f t="shared" si="278"/>
        <v>89301000</v>
      </c>
      <c r="B11434" t="str">
        <f>"7259125324"</f>
        <v>7259125324</v>
      </c>
      <c r="C11434" s="1">
        <v>45115</v>
      </c>
      <c r="D11434" s="1">
        <v>45124</v>
      </c>
      <c r="E11434">
        <v>4</v>
      </c>
      <c r="F11434" t="str">
        <f>"08-I05-04"</f>
        <v>08-I05-04</v>
      </c>
      <c r="G11434">
        <v>2.4445000000000001</v>
      </c>
      <c r="H11434" t="s">
        <v>12</v>
      </c>
      <c r="I11434" t="s">
        <v>10</v>
      </c>
    </row>
    <row r="11435" spans="1:9" x14ac:dyDescent="0.25">
      <c r="A11435" t="str">
        <f t="shared" si="278"/>
        <v>89301000</v>
      </c>
      <c r="B11435" t="str">
        <f>"7259134465"</f>
        <v>7259134465</v>
      </c>
      <c r="C11435" s="1">
        <v>45060</v>
      </c>
      <c r="D11435" s="1">
        <v>45062</v>
      </c>
      <c r="E11435">
        <v>1</v>
      </c>
      <c r="F11435" t="str">
        <f>"01-I14-02"</f>
        <v>01-I14-02</v>
      </c>
      <c r="G11435">
        <v>1.2322</v>
      </c>
      <c r="H11435" t="s">
        <v>12</v>
      </c>
      <c r="I11435" t="s">
        <v>10</v>
      </c>
    </row>
    <row r="11436" spans="1:9" x14ac:dyDescent="0.25">
      <c r="A11436" t="str">
        <f t="shared" si="278"/>
        <v>89301000</v>
      </c>
      <c r="B11436" t="str">
        <f>"7259134465"</f>
        <v>7259134465</v>
      </c>
      <c r="C11436" s="1">
        <v>45005</v>
      </c>
      <c r="D11436" s="1">
        <v>45007</v>
      </c>
      <c r="E11436">
        <v>1</v>
      </c>
      <c r="F11436" t="str">
        <f>"08-I31-04"</f>
        <v>08-I31-04</v>
      </c>
      <c r="G11436">
        <v>0.4894</v>
      </c>
      <c r="H11436" t="s">
        <v>11</v>
      </c>
      <c r="I11436" t="s">
        <v>10</v>
      </c>
    </row>
    <row r="11437" spans="1:9" x14ac:dyDescent="0.25">
      <c r="A11437" t="str">
        <f t="shared" si="278"/>
        <v>89301000</v>
      </c>
      <c r="B11437" t="str">
        <f>"7259145333"</f>
        <v>7259145333</v>
      </c>
      <c r="C11437" s="1">
        <v>45145</v>
      </c>
      <c r="D11437" s="1">
        <v>45159</v>
      </c>
      <c r="E11437">
        <v>4</v>
      </c>
      <c r="F11437" t="str">
        <f>"24-M07-02"</f>
        <v>24-M07-02</v>
      </c>
      <c r="G11437">
        <v>1.5729</v>
      </c>
      <c r="H11437" t="s">
        <v>11</v>
      </c>
      <c r="I11437" t="s">
        <v>10</v>
      </c>
    </row>
    <row r="11438" spans="1:9" x14ac:dyDescent="0.25">
      <c r="A11438" t="str">
        <f t="shared" si="278"/>
        <v>89301000</v>
      </c>
      <c r="B11438" t="str">
        <f>"7259145333"</f>
        <v>7259145333</v>
      </c>
      <c r="C11438" s="1">
        <v>45140</v>
      </c>
      <c r="D11438" s="1">
        <v>45145</v>
      </c>
      <c r="E11438">
        <v>3</v>
      </c>
      <c r="F11438" t="str">
        <f>"08-I06-04"</f>
        <v>08-I06-04</v>
      </c>
      <c r="G11438">
        <v>2.4180000000000001</v>
      </c>
      <c r="H11438" t="s">
        <v>9</v>
      </c>
      <c r="I11438" t="s">
        <v>10</v>
      </c>
    </row>
    <row r="11439" spans="1:9" x14ac:dyDescent="0.25">
      <c r="A11439" t="str">
        <f t="shared" si="278"/>
        <v>89301000</v>
      </c>
      <c r="B11439" t="str">
        <f>"7259145366"</f>
        <v>7259145366</v>
      </c>
      <c r="C11439" s="1">
        <v>45000</v>
      </c>
      <c r="D11439" s="1">
        <v>45009</v>
      </c>
      <c r="E11439">
        <v>1</v>
      </c>
      <c r="F11439" t="str">
        <f>"19-K03-03"</f>
        <v>19-K03-03</v>
      </c>
      <c r="G11439">
        <v>0.90410000000000001</v>
      </c>
      <c r="H11439" t="s">
        <v>15</v>
      </c>
      <c r="I11439" t="s">
        <v>10</v>
      </c>
    </row>
    <row r="11440" spans="1:9" x14ac:dyDescent="0.25">
      <c r="A11440" t="str">
        <f t="shared" si="278"/>
        <v>89301000</v>
      </c>
      <c r="B11440" t="str">
        <f>"7259195372"</f>
        <v>7259195372</v>
      </c>
      <c r="C11440" s="1">
        <v>45174</v>
      </c>
      <c r="D11440" s="1">
        <v>45176</v>
      </c>
      <c r="E11440">
        <v>1</v>
      </c>
      <c r="F11440" t="str">
        <f>"08-I25-02"</f>
        <v>08-I25-02</v>
      </c>
      <c r="G11440">
        <v>0.55279999999999996</v>
      </c>
      <c r="H11440" t="s">
        <v>11</v>
      </c>
      <c r="I11440" t="s">
        <v>10</v>
      </c>
    </row>
    <row r="11441" spans="1:9" x14ac:dyDescent="0.25">
      <c r="A11441" t="str">
        <f t="shared" si="278"/>
        <v>89301000</v>
      </c>
      <c r="B11441" t="str">
        <f>"7259205327"</f>
        <v>7259205327</v>
      </c>
      <c r="C11441" s="1">
        <v>45033</v>
      </c>
      <c r="D11441" s="1">
        <v>45034</v>
      </c>
      <c r="E11441">
        <v>1</v>
      </c>
      <c r="F11441" t="str">
        <f>"05-D01-06"</f>
        <v>05-D01-06</v>
      </c>
      <c r="G11441">
        <v>0.7571</v>
      </c>
      <c r="H11441" t="s">
        <v>11</v>
      </c>
      <c r="I11441" t="s">
        <v>10</v>
      </c>
    </row>
    <row r="11442" spans="1:9" x14ac:dyDescent="0.25">
      <c r="A11442" t="str">
        <f t="shared" si="278"/>
        <v>89301000</v>
      </c>
      <c r="B11442" t="str">
        <f>"7259205327"</f>
        <v>7259205327</v>
      </c>
      <c r="C11442" s="1">
        <v>45057</v>
      </c>
      <c r="D11442" s="1">
        <v>45059</v>
      </c>
      <c r="E11442">
        <v>1</v>
      </c>
      <c r="F11442" t="str">
        <f>"05-M05-02"</f>
        <v>05-M05-02</v>
      </c>
      <c r="G11442">
        <v>3.4817999999999998</v>
      </c>
      <c r="H11442" t="s">
        <v>14</v>
      </c>
      <c r="I11442" t="s">
        <v>10</v>
      </c>
    </row>
    <row r="11443" spans="1:9" x14ac:dyDescent="0.25">
      <c r="A11443" t="str">
        <f t="shared" si="278"/>
        <v>89301000</v>
      </c>
      <c r="B11443" t="str">
        <f>"7259275342"</f>
        <v>7259275342</v>
      </c>
      <c r="C11443" s="1">
        <v>45214</v>
      </c>
      <c r="D11443" s="1">
        <v>45217</v>
      </c>
      <c r="E11443">
        <v>1</v>
      </c>
      <c r="F11443" t="str">
        <f>"05-I30-01"</f>
        <v>05-I30-01</v>
      </c>
      <c r="G11443">
        <v>0.60309999999999997</v>
      </c>
      <c r="H11443" t="s">
        <v>12</v>
      </c>
      <c r="I11443" t="s">
        <v>10</v>
      </c>
    </row>
    <row r="11444" spans="1:9" x14ac:dyDescent="0.25">
      <c r="A11444" t="str">
        <f t="shared" si="278"/>
        <v>89301000</v>
      </c>
      <c r="B11444" t="str">
        <f>"7260024464"</f>
        <v>7260024464</v>
      </c>
      <c r="C11444" s="1">
        <v>44945</v>
      </c>
      <c r="D11444" s="1">
        <v>44948</v>
      </c>
      <c r="E11444">
        <v>1</v>
      </c>
      <c r="F11444" t="str">
        <f>"08-M03-04"</f>
        <v>08-M03-04</v>
      </c>
      <c r="G11444">
        <v>0.87760000000000005</v>
      </c>
      <c r="H11444" t="s">
        <v>11</v>
      </c>
      <c r="I11444" t="s">
        <v>10</v>
      </c>
    </row>
    <row r="11445" spans="1:9" x14ac:dyDescent="0.25">
      <c r="A11445" t="str">
        <f t="shared" si="278"/>
        <v>89301000</v>
      </c>
      <c r="B11445" t="str">
        <f>"7260035442"</f>
        <v>7260035442</v>
      </c>
      <c r="C11445" s="1">
        <v>45201</v>
      </c>
      <c r="D11445" s="1">
        <v>45205</v>
      </c>
      <c r="E11445">
        <v>1</v>
      </c>
      <c r="F11445" t="str">
        <f>"08-K01-02"</f>
        <v>08-K01-02</v>
      </c>
      <c r="G11445">
        <v>0.90180000000000005</v>
      </c>
      <c r="H11445" t="s">
        <v>11</v>
      </c>
      <c r="I11445" t="s">
        <v>10</v>
      </c>
    </row>
    <row r="11446" spans="1:9" x14ac:dyDescent="0.25">
      <c r="A11446" t="str">
        <f t="shared" si="278"/>
        <v>89301000</v>
      </c>
      <c r="B11446" t="str">
        <f>"7260055308"</f>
        <v>7260055308</v>
      </c>
      <c r="C11446" s="1">
        <v>45267</v>
      </c>
      <c r="D11446" s="1">
        <v>45269</v>
      </c>
      <c r="E11446">
        <v>1</v>
      </c>
      <c r="F11446" t="str">
        <f>"09-K16-00"</f>
        <v>09-K16-00</v>
      </c>
      <c r="G11446">
        <v>0.61870000000000003</v>
      </c>
      <c r="H11446" t="s">
        <v>11</v>
      </c>
      <c r="I11446" t="s">
        <v>10</v>
      </c>
    </row>
    <row r="11447" spans="1:9" x14ac:dyDescent="0.25">
      <c r="A11447" t="str">
        <f t="shared" si="278"/>
        <v>89301000</v>
      </c>
      <c r="B11447" t="str">
        <f>"7260055308"</f>
        <v>7260055308</v>
      </c>
      <c r="C11447" s="1">
        <v>45072</v>
      </c>
      <c r="D11447" s="1">
        <v>45072</v>
      </c>
      <c r="E11447">
        <v>1</v>
      </c>
      <c r="F11447" t="str">
        <f>"09-K16-00"</f>
        <v>09-K16-00</v>
      </c>
      <c r="G11447">
        <v>0.30809999999999998</v>
      </c>
      <c r="H11447" t="s">
        <v>11</v>
      </c>
      <c r="I11447" t="s">
        <v>10</v>
      </c>
    </row>
    <row r="11448" spans="1:9" x14ac:dyDescent="0.25">
      <c r="A11448" t="str">
        <f t="shared" si="278"/>
        <v>89301000</v>
      </c>
      <c r="B11448" t="str">
        <f>"7260085305"</f>
        <v>7260085305</v>
      </c>
      <c r="C11448" s="1">
        <v>44977</v>
      </c>
      <c r="D11448" s="1">
        <v>44981</v>
      </c>
      <c r="E11448">
        <v>1</v>
      </c>
      <c r="F11448" t="str">
        <f>"13-I11-03"</f>
        <v>13-I11-03</v>
      </c>
      <c r="G11448">
        <v>1.4332</v>
      </c>
      <c r="H11448" t="s">
        <v>9</v>
      </c>
      <c r="I11448" t="s">
        <v>10</v>
      </c>
    </row>
    <row r="11449" spans="1:9" x14ac:dyDescent="0.25">
      <c r="A11449" t="str">
        <f t="shared" si="278"/>
        <v>89301000</v>
      </c>
      <c r="B11449" t="str">
        <f>"7260085305"</f>
        <v>7260085305</v>
      </c>
      <c r="C11449" s="1">
        <v>44945</v>
      </c>
      <c r="D11449" s="1">
        <v>44947</v>
      </c>
      <c r="E11449">
        <v>1</v>
      </c>
      <c r="F11449" t="str">
        <f>"13-I19-00"</f>
        <v>13-I19-00</v>
      </c>
      <c r="G11449">
        <v>0.28249999999999997</v>
      </c>
      <c r="H11449" t="s">
        <v>11</v>
      </c>
      <c r="I11449" t="s">
        <v>10</v>
      </c>
    </row>
    <row r="11450" spans="1:9" x14ac:dyDescent="0.25">
      <c r="A11450" t="str">
        <f t="shared" si="278"/>
        <v>89301000</v>
      </c>
      <c r="B11450" t="str">
        <f>"7260085305"</f>
        <v>7260085305</v>
      </c>
      <c r="C11450" s="1">
        <v>44963</v>
      </c>
      <c r="D11450" s="1">
        <v>44964</v>
      </c>
      <c r="E11450">
        <v>1</v>
      </c>
      <c r="F11450" t="str">
        <f>"13-I19-00"</f>
        <v>13-I19-00</v>
      </c>
      <c r="G11450">
        <v>0.28249999999999997</v>
      </c>
      <c r="H11450" t="s">
        <v>11</v>
      </c>
      <c r="I11450" t="s">
        <v>10</v>
      </c>
    </row>
    <row r="11451" spans="1:9" x14ac:dyDescent="0.25">
      <c r="A11451" t="str">
        <f t="shared" si="278"/>
        <v>89301000</v>
      </c>
      <c r="B11451" t="str">
        <f>"7260164461"</f>
        <v>7260164461</v>
      </c>
      <c r="C11451" s="1">
        <v>45258</v>
      </c>
      <c r="D11451" s="1">
        <v>45267</v>
      </c>
      <c r="E11451">
        <v>1</v>
      </c>
      <c r="F11451" t="str">
        <f>"07-K04-03"</f>
        <v>07-K04-03</v>
      </c>
      <c r="G11451">
        <v>0.93859999999999999</v>
      </c>
      <c r="H11451" t="s">
        <v>11</v>
      </c>
      <c r="I11451" t="s">
        <v>10</v>
      </c>
    </row>
    <row r="11452" spans="1:9" x14ac:dyDescent="0.25">
      <c r="A11452" t="str">
        <f t="shared" si="278"/>
        <v>89301000</v>
      </c>
      <c r="B11452" t="str">
        <f>"7260185306"</f>
        <v>7260185306</v>
      </c>
      <c r="C11452" s="1">
        <v>45239</v>
      </c>
      <c r="D11452" s="1">
        <v>45242</v>
      </c>
      <c r="E11452">
        <v>1</v>
      </c>
      <c r="F11452" t="str">
        <f>"05-I30-01"</f>
        <v>05-I30-01</v>
      </c>
      <c r="G11452">
        <v>0.60309999999999997</v>
      </c>
      <c r="H11452" t="s">
        <v>12</v>
      </c>
      <c r="I11452" t="s">
        <v>10</v>
      </c>
    </row>
    <row r="11453" spans="1:9" x14ac:dyDescent="0.25">
      <c r="A11453" t="str">
        <f t="shared" si="278"/>
        <v>89301000</v>
      </c>
      <c r="B11453" t="str">
        <f>"7260285758"</f>
        <v>7260285758</v>
      </c>
      <c r="C11453" s="1">
        <v>45067</v>
      </c>
      <c r="D11453" s="1">
        <v>45070</v>
      </c>
      <c r="E11453">
        <v>1</v>
      </c>
      <c r="F11453" t="str">
        <f>"05-I30-01"</f>
        <v>05-I30-01</v>
      </c>
      <c r="G11453">
        <v>0.60309999999999997</v>
      </c>
      <c r="H11453" t="s">
        <v>12</v>
      </c>
      <c r="I11453" t="s">
        <v>10</v>
      </c>
    </row>
    <row r="11454" spans="1:9" x14ac:dyDescent="0.25">
      <c r="A11454" t="str">
        <f t="shared" si="278"/>
        <v>89301000</v>
      </c>
      <c r="B11454" t="str">
        <f>"7261015685"</f>
        <v>7261015685</v>
      </c>
      <c r="C11454" s="1">
        <v>45245</v>
      </c>
      <c r="D11454" s="1">
        <v>45247</v>
      </c>
      <c r="E11454">
        <v>1</v>
      </c>
      <c r="F11454" t="str">
        <f>"08-I26-02"</f>
        <v>08-I26-02</v>
      </c>
      <c r="G11454">
        <v>0.83779999999999999</v>
      </c>
      <c r="H11454" t="s">
        <v>11</v>
      </c>
      <c r="I11454" t="s">
        <v>10</v>
      </c>
    </row>
    <row r="11455" spans="1:9" x14ac:dyDescent="0.25">
      <c r="A11455" t="str">
        <f t="shared" si="278"/>
        <v>89301000</v>
      </c>
      <c r="B11455" t="str">
        <f>"7261065339"</f>
        <v>7261065339</v>
      </c>
      <c r="C11455" s="1">
        <v>45240</v>
      </c>
      <c r="D11455" s="1">
        <v>45251</v>
      </c>
      <c r="E11455">
        <v>1</v>
      </c>
      <c r="F11455" t="str">
        <f>"09-K04-02"</f>
        <v>09-K04-02</v>
      </c>
      <c r="G11455">
        <v>0.64870000000000005</v>
      </c>
      <c r="H11455" t="s">
        <v>11</v>
      </c>
      <c r="I11455" t="s">
        <v>10</v>
      </c>
    </row>
    <row r="11456" spans="1:9" x14ac:dyDescent="0.25">
      <c r="A11456" t="str">
        <f t="shared" si="278"/>
        <v>89301000</v>
      </c>
      <c r="B11456" t="str">
        <f>"7261065339"</f>
        <v>7261065339</v>
      </c>
      <c r="C11456" s="1">
        <v>45230</v>
      </c>
      <c r="D11456" s="1">
        <v>45235</v>
      </c>
      <c r="E11456">
        <v>1</v>
      </c>
      <c r="F11456" t="str">
        <f>"08-I31-02"</f>
        <v>08-I31-02</v>
      </c>
      <c r="G11456">
        <v>1.0542</v>
      </c>
      <c r="H11456" t="s">
        <v>11</v>
      </c>
      <c r="I11456" t="s">
        <v>10</v>
      </c>
    </row>
    <row r="11457" spans="1:9" x14ac:dyDescent="0.25">
      <c r="A11457" t="str">
        <f t="shared" si="278"/>
        <v>89301000</v>
      </c>
      <c r="B11457" t="str">
        <f>"7261075316"</f>
        <v>7261075316</v>
      </c>
      <c r="C11457" s="1">
        <v>44981</v>
      </c>
      <c r="D11457" s="1">
        <v>45002</v>
      </c>
      <c r="E11457">
        <v>1</v>
      </c>
      <c r="F11457" t="str">
        <f>"19-K05-02"</f>
        <v>19-K05-02</v>
      </c>
      <c r="G11457">
        <v>1.7688999999999999</v>
      </c>
      <c r="H11457" t="s">
        <v>15</v>
      </c>
      <c r="I11457" t="s">
        <v>10</v>
      </c>
    </row>
    <row r="11458" spans="1:9" x14ac:dyDescent="0.25">
      <c r="A11458" t="str">
        <f t="shared" si="278"/>
        <v>89301000</v>
      </c>
      <c r="B11458" t="str">
        <f>"7261105335"</f>
        <v>7261105335</v>
      </c>
      <c r="C11458" s="1">
        <v>45032</v>
      </c>
      <c r="D11458" s="1">
        <v>45040</v>
      </c>
      <c r="E11458">
        <v>4</v>
      </c>
      <c r="F11458" t="str">
        <f>"08-I05-04"</f>
        <v>08-I05-04</v>
      </c>
      <c r="G11458">
        <v>2.4445000000000001</v>
      </c>
      <c r="H11458" t="s">
        <v>12</v>
      </c>
      <c r="I11458" t="s">
        <v>10</v>
      </c>
    </row>
    <row r="11459" spans="1:9" x14ac:dyDescent="0.25">
      <c r="A11459" t="str">
        <f t="shared" si="278"/>
        <v>89301000</v>
      </c>
      <c r="B11459" t="str">
        <f>"7261235333"</f>
        <v>7261235333</v>
      </c>
      <c r="C11459" s="1">
        <v>45013</v>
      </c>
      <c r="D11459" s="1">
        <v>45014</v>
      </c>
      <c r="E11459">
        <v>1</v>
      </c>
      <c r="F11459" t="str">
        <f>"03-I23-02"</f>
        <v>03-I23-02</v>
      </c>
      <c r="G11459">
        <v>0.58609999999999995</v>
      </c>
      <c r="H11459" t="s">
        <v>11</v>
      </c>
      <c r="I11459" t="s">
        <v>10</v>
      </c>
    </row>
    <row r="11460" spans="1:9" x14ac:dyDescent="0.25">
      <c r="A11460" t="str">
        <f t="shared" si="278"/>
        <v>89301000</v>
      </c>
      <c r="B11460" t="str">
        <f>"7261295327"</f>
        <v>7261295327</v>
      </c>
      <c r="C11460" s="1">
        <v>45057</v>
      </c>
      <c r="D11460" s="1">
        <v>45059</v>
      </c>
      <c r="E11460">
        <v>1</v>
      </c>
      <c r="F11460" t="str">
        <f>"08-K08-00"</f>
        <v>08-K08-00</v>
      </c>
      <c r="G11460">
        <v>0.5272</v>
      </c>
      <c r="H11460" t="s">
        <v>11</v>
      </c>
      <c r="I11460" t="s">
        <v>10</v>
      </c>
    </row>
    <row r="11461" spans="1:9" x14ac:dyDescent="0.25">
      <c r="A11461" t="str">
        <f t="shared" si="278"/>
        <v>89301000</v>
      </c>
      <c r="B11461" t="str">
        <f>"7261295756"</f>
        <v>7261295756</v>
      </c>
      <c r="C11461" s="1">
        <v>45271</v>
      </c>
      <c r="D11461" s="1">
        <v>45274</v>
      </c>
      <c r="E11461">
        <v>1</v>
      </c>
      <c r="F11461" t="str">
        <f>"05-I30-01"</f>
        <v>05-I30-01</v>
      </c>
      <c r="G11461">
        <v>0.60309999999999997</v>
      </c>
      <c r="H11461" t="s">
        <v>12</v>
      </c>
      <c r="I11461" t="s">
        <v>10</v>
      </c>
    </row>
    <row r="11462" spans="1:9" x14ac:dyDescent="0.25">
      <c r="A11462" t="str">
        <f t="shared" si="278"/>
        <v>89301000</v>
      </c>
      <c r="B11462" t="str">
        <f>"7262014463"</f>
        <v>7262014463</v>
      </c>
      <c r="C11462" s="1">
        <v>44957</v>
      </c>
      <c r="D11462" s="1">
        <v>44963</v>
      </c>
      <c r="E11462">
        <v>1</v>
      </c>
      <c r="F11462" t="str">
        <f>"17-C06-02"</f>
        <v>17-C06-02</v>
      </c>
      <c r="G11462">
        <v>0.85880000000000001</v>
      </c>
      <c r="H11462" t="s">
        <v>11</v>
      </c>
      <c r="I11462" t="s">
        <v>10</v>
      </c>
    </row>
    <row r="11463" spans="1:9" x14ac:dyDescent="0.25">
      <c r="A11463" t="str">
        <f t="shared" si="278"/>
        <v>89301000</v>
      </c>
      <c r="B11463" t="str">
        <f>"7262014463"</f>
        <v>7262014463</v>
      </c>
      <c r="C11463" s="1">
        <v>44929</v>
      </c>
      <c r="D11463" s="1">
        <v>44935</v>
      </c>
      <c r="E11463">
        <v>1</v>
      </c>
      <c r="F11463" t="str">
        <f>"06-C02-03"</f>
        <v>06-C02-03</v>
      </c>
      <c r="G11463">
        <v>0.36899999999999999</v>
      </c>
      <c r="H11463" t="s">
        <v>11</v>
      </c>
      <c r="I11463" t="s">
        <v>10</v>
      </c>
    </row>
    <row r="11464" spans="1:9" x14ac:dyDescent="0.25">
      <c r="A11464" t="str">
        <f t="shared" si="278"/>
        <v>89301000</v>
      </c>
      <c r="B11464" t="str">
        <f>"7262014463"</f>
        <v>7262014463</v>
      </c>
      <c r="C11464" s="1">
        <v>44985</v>
      </c>
      <c r="D11464" s="1">
        <v>44991</v>
      </c>
      <c r="E11464">
        <v>1</v>
      </c>
      <c r="F11464" t="str">
        <f>"06-C02-03"</f>
        <v>06-C02-03</v>
      </c>
      <c r="G11464">
        <v>0.36899999999999999</v>
      </c>
      <c r="H11464" t="s">
        <v>11</v>
      </c>
      <c r="I11464" t="s">
        <v>10</v>
      </c>
    </row>
    <row r="11465" spans="1:9" x14ac:dyDescent="0.25">
      <c r="A11465" t="str">
        <f t="shared" si="278"/>
        <v>89301000</v>
      </c>
      <c r="B11465" t="str">
        <f>"7262014463"</f>
        <v>7262014463</v>
      </c>
      <c r="C11465" s="1">
        <v>45013</v>
      </c>
      <c r="D11465" s="1">
        <v>45019</v>
      </c>
      <c r="E11465">
        <v>1</v>
      </c>
      <c r="F11465" t="str">
        <f>"06-C02-03"</f>
        <v>06-C02-03</v>
      </c>
      <c r="G11465">
        <v>0.36899999999999999</v>
      </c>
      <c r="H11465" t="s">
        <v>11</v>
      </c>
      <c r="I11465" t="s">
        <v>10</v>
      </c>
    </row>
    <row r="11466" spans="1:9" x14ac:dyDescent="0.25">
      <c r="A11466" t="str">
        <f t="shared" si="278"/>
        <v>89301000</v>
      </c>
      <c r="B11466" t="str">
        <f>"7262086326"</f>
        <v>7262086326</v>
      </c>
      <c r="C11466" s="1">
        <v>45004</v>
      </c>
      <c r="D11466" s="1">
        <v>45015</v>
      </c>
      <c r="E11466">
        <v>1</v>
      </c>
      <c r="F11466" t="str">
        <f>"09-I05-02"</f>
        <v>09-I05-02</v>
      </c>
      <c r="G11466">
        <v>1.7806</v>
      </c>
      <c r="H11466" t="s">
        <v>11</v>
      </c>
      <c r="I11466" t="s">
        <v>10</v>
      </c>
    </row>
    <row r="11467" spans="1:9" x14ac:dyDescent="0.25">
      <c r="A11467" t="str">
        <f t="shared" si="278"/>
        <v>89301000</v>
      </c>
      <c r="B11467" t="str">
        <f>"7262089967"</f>
        <v>7262089967</v>
      </c>
      <c r="C11467" s="1">
        <v>45233</v>
      </c>
      <c r="D11467" s="1">
        <v>45239</v>
      </c>
      <c r="E11467">
        <v>1</v>
      </c>
      <c r="F11467" t="str">
        <f>"09-K14-02"</f>
        <v>09-K14-02</v>
      </c>
      <c r="G11467">
        <v>0.50229999999999997</v>
      </c>
      <c r="H11467" t="s">
        <v>11</v>
      </c>
      <c r="I11467" t="s">
        <v>10</v>
      </c>
    </row>
    <row r="11468" spans="1:9" x14ac:dyDescent="0.25">
      <c r="A11468" t="str">
        <f t="shared" si="278"/>
        <v>89301000</v>
      </c>
      <c r="B11468" t="str">
        <f>"7262114464"</f>
        <v>7262114464</v>
      </c>
      <c r="C11468" s="1">
        <v>45097</v>
      </c>
      <c r="D11468" s="1">
        <v>45097</v>
      </c>
      <c r="E11468">
        <v>1</v>
      </c>
      <c r="F11468" t="str">
        <f>"05-D01-08"</f>
        <v>05-D01-08</v>
      </c>
      <c r="G11468">
        <v>0.2303</v>
      </c>
      <c r="H11468" t="s">
        <v>11</v>
      </c>
      <c r="I11468" t="s">
        <v>10</v>
      </c>
    </row>
    <row r="11469" spans="1:9" x14ac:dyDescent="0.25">
      <c r="A11469" t="str">
        <f t="shared" si="278"/>
        <v>89301000</v>
      </c>
      <c r="B11469" t="str">
        <f>"7262115355"</f>
        <v>7262115355</v>
      </c>
      <c r="C11469" s="1">
        <v>44971</v>
      </c>
      <c r="D11469" s="1">
        <v>44976</v>
      </c>
      <c r="E11469">
        <v>1</v>
      </c>
      <c r="F11469" t="str">
        <f>"13-I11-03"</f>
        <v>13-I11-03</v>
      </c>
      <c r="G11469">
        <v>1.4332</v>
      </c>
      <c r="H11469" t="s">
        <v>9</v>
      </c>
      <c r="I11469" t="s">
        <v>10</v>
      </c>
    </row>
    <row r="11470" spans="1:9" x14ac:dyDescent="0.25">
      <c r="A11470" t="str">
        <f t="shared" si="278"/>
        <v>89301000</v>
      </c>
      <c r="B11470" t="str">
        <f>"7262115355"</f>
        <v>7262115355</v>
      </c>
      <c r="C11470" s="1">
        <v>44935</v>
      </c>
      <c r="D11470" s="1">
        <v>44938</v>
      </c>
      <c r="E11470">
        <v>1</v>
      </c>
      <c r="F11470" t="str">
        <f>"05-K14-02"</f>
        <v>05-K14-02</v>
      </c>
      <c r="G11470">
        <v>0.97360000000000002</v>
      </c>
      <c r="H11470" t="s">
        <v>11</v>
      </c>
      <c r="I11470" t="s">
        <v>10</v>
      </c>
    </row>
    <row r="11471" spans="1:9" x14ac:dyDescent="0.25">
      <c r="A11471" t="str">
        <f t="shared" si="278"/>
        <v>89301000</v>
      </c>
      <c r="B11471" t="str">
        <f>"7262125321"</f>
        <v>7262125321</v>
      </c>
      <c r="C11471" s="1">
        <v>45252</v>
      </c>
      <c r="D11471" s="1">
        <v>45254</v>
      </c>
      <c r="E11471">
        <v>5</v>
      </c>
      <c r="F11471" t="str">
        <f>"21-K05-03"</f>
        <v>21-K05-03</v>
      </c>
      <c r="G11471">
        <v>0.45729999999999998</v>
      </c>
      <c r="H11471" t="s">
        <v>11</v>
      </c>
      <c r="I11471" t="s">
        <v>10</v>
      </c>
    </row>
    <row r="11472" spans="1:9" x14ac:dyDescent="0.25">
      <c r="A11472" t="str">
        <f t="shared" si="278"/>
        <v>89301000</v>
      </c>
      <c r="B11472" t="str">
        <f>"7262155758"</f>
        <v>7262155758</v>
      </c>
      <c r="C11472" s="1">
        <v>45238</v>
      </c>
      <c r="D11472" s="1">
        <v>45240</v>
      </c>
      <c r="E11472">
        <v>1</v>
      </c>
      <c r="F11472" t="str">
        <f>"08-I25-02"</f>
        <v>08-I25-02</v>
      </c>
      <c r="G11472">
        <v>0.55279999999999996</v>
      </c>
      <c r="H11472" t="s">
        <v>11</v>
      </c>
      <c r="I11472" t="s">
        <v>10</v>
      </c>
    </row>
    <row r="11473" spans="1:9" x14ac:dyDescent="0.25">
      <c r="A11473" t="str">
        <f t="shared" si="278"/>
        <v>89301000</v>
      </c>
      <c r="B11473" t="str">
        <f>"7262155758"</f>
        <v>7262155758</v>
      </c>
      <c r="C11473" s="1">
        <v>45015</v>
      </c>
      <c r="D11473" s="1">
        <v>45015</v>
      </c>
      <c r="E11473">
        <v>1</v>
      </c>
      <c r="F11473" t="str">
        <f>"08-K13-02"</f>
        <v>08-K13-02</v>
      </c>
      <c r="G11473">
        <v>0.21909999999999999</v>
      </c>
      <c r="H11473" t="s">
        <v>11</v>
      </c>
      <c r="I11473" t="s">
        <v>10</v>
      </c>
    </row>
    <row r="11474" spans="1:9" x14ac:dyDescent="0.25">
      <c r="A11474" t="str">
        <f t="shared" si="278"/>
        <v>89301000</v>
      </c>
      <c r="B11474" t="str">
        <f>"7262195710"</f>
        <v>7262195710</v>
      </c>
      <c r="C11474" s="1">
        <v>45005</v>
      </c>
      <c r="D11474" s="1">
        <v>45008</v>
      </c>
      <c r="E11474">
        <v>1</v>
      </c>
      <c r="F11474" t="str">
        <f>"08-I04-01"</f>
        <v>08-I04-01</v>
      </c>
      <c r="G11474">
        <v>2.7970000000000002</v>
      </c>
      <c r="H11474" t="s">
        <v>14</v>
      </c>
      <c r="I11474" t="s">
        <v>10</v>
      </c>
    </row>
    <row r="11475" spans="1:9" x14ac:dyDescent="0.25">
      <c r="A11475" t="str">
        <f t="shared" si="278"/>
        <v>89301000</v>
      </c>
      <c r="B11475" t="str">
        <f>"7262254472"</f>
        <v>7262254472</v>
      </c>
      <c r="C11475" s="1">
        <v>44963</v>
      </c>
      <c r="D11475" s="1">
        <v>44965</v>
      </c>
      <c r="E11475">
        <v>1</v>
      </c>
      <c r="F11475" t="str">
        <f>"08-I03-08"</f>
        <v>08-I03-08</v>
      </c>
      <c r="G11475">
        <v>1.9455</v>
      </c>
      <c r="H11475" t="s">
        <v>9</v>
      </c>
      <c r="I11475" t="s">
        <v>10</v>
      </c>
    </row>
    <row r="11476" spans="1:9" x14ac:dyDescent="0.25">
      <c r="A11476" t="str">
        <f t="shared" si="278"/>
        <v>89301000</v>
      </c>
      <c r="B11476" t="str">
        <f>"7301015315"</f>
        <v>7301015315</v>
      </c>
      <c r="C11476" s="1">
        <v>45009</v>
      </c>
      <c r="D11476" s="1">
        <v>45013</v>
      </c>
      <c r="E11476">
        <v>1</v>
      </c>
      <c r="F11476" t="str">
        <f>"01-M02-00"</f>
        <v>01-M02-00</v>
      </c>
      <c r="G11476">
        <v>5.3973000000000004</v>
      </c>
      <c r="H11476" t="s">
        <v>12</v>
      </c>
      <c r="I11476" t="s">
        <v>10</v>
      </c>
    </row>
    <row r="11477" spans="1:9" x14ac:dyDescent="0.25">
      <c r="A11477" t="str">
        <f t="shared" si="278"/>
        <v>89301000</v>
      </c>
      <c r="B11477" t="str">
        <f>"7301034477"</f>
        <v>7301034477</v>
      </c>
      <c r="C11477" s="1">
        <v>45267</v>
      </c>
      <c r="D11477" s="1">
        <v>45268</v>
      </c>
      <c r="E11477">
        <v>1</v>
      </c>
      <c r="F11477" t="str">
        <f>"01-D01-03"</f>
        <v>01-D01-03</v>
      </c>
      <c r="G11477">
        <v>0.16200000000000001</v>
      </c>
      <c r="H11477" t="s">
        <v>11</v>
      </c>
      <c r="I11477" t="s">
        <v>10</v>
      </c>
    </row>
    <row r="11478" spans="1:9" x14ac:dyDescent="0.25">
      <c r="A11478" t="str">
        <f t="shared" si="278"/>
        <v>89301000</v>
      </c>
      <c r="B11478" t="str">
        <f>"7301055333"</f>
        <v>7301055333</v>
      </c>
      <c r="C11478" s="1">
        <v>45028</v>
      </c>
      <c r="D11478" s="1">
        <v>45033</v>
      </c>
      <c r="E11478">
        <v>1</v>
      </c>
      <c r="F11478" t="str">
        <f>"03-K04-01"</f>
        <v>03-K04-01</v>
      </c>
      <c r="G11478">
        <v>0.46479999999999999</v>
      </c>
      <c r="H11478" t="s">
        <v>11</v>
      </c>
      <c r="I11478" t="s">
        <v>10</v>
      </c>
    </row>
    <row r="11479" spans="1:9" x14ac:dyDescent="0.25">
      <c r="A11479" t="str">
        <f t="shared" si="278"/>
        <v>89301000</v>
      </c>
      <c r="B11479" t="str">
        <f>"7301195385"</f>
        <v>7301195385</v>
      </c>
      <c r="C11479" s="1">
        <v>45044</v>
      </c>
      <c r="D11479" s="1">
        <v>45045</v>
      </c>
      <c r="E11479">
        <v>1</v>
      </c>
      <c r="F11479" t="str">
        <f>"05-D01-06"</f>
        <v>05-D01-06</v>
      </c>
      <c r="G11479">
        <v>0.7571</v>
      </c>
      <c r="H11479" t="s">
        <v>11</v>
      </c>
      <c r="I11479" t="s">
        <v>10</v>
      </c>
    </row>
    <row r="11480" spans="1:9" x14ac:dyDescent="0.25">
      <c r="A11480" t="str">
        <f t="shared" si="278"/>
        <v>89301000</v>
      </c>
      <c r="B11480" t="str">
        <f>"7301195385"</f>
        <v>7301195385</v>
      </c>
      <c r="C11480" s="1">
        <v>45086</v>
      </c>
      <c r="D11480" s="1">
        <v>45100</v>
      </c>
      <c r="E11480">
        <v>1</v>
      </c>
      <c r="F11480" t="str">
        <f>"05-I12-03"</f>
        <v>05-I12-03</v>
      </c>
      <c r="G11480">
        <v>6.7502000000000004</v>
      </c>
      <c r="H11480" t="s">
        <v>14</v>
      </c>
      <c r="I11480" t="s">
        <v>10</v>
      </c>
    </row>
    <row r="11481" spans="1:9" x14ac:dyDescent="0.25">
      <c r="A11481" t="str">
        <f t="shared" si="278"/>
        <v>89301000</v>
      </c>
      <c r="B11481" t="str">
        <f>"7301305264"</f>
        <v>7301305264</v>
      </c>
      <c r="C11481" s="1">
        <v>45240</v>
      </c>
      <c r="D11481" s="1">
        <v>45240</v>
      </c>
      <c r="E11481">
        <v>1</v>
      </c>
      <c r="F11481" t="str">
        <f>"05-D01-06"</f>
        <v>05-D01-06</v>
      </c>
      <c r="G11481">
        <v>0.4037</v>
      </c>
      <c r="H11481" t="s">
        <v>11</v>
      </c>
      <c r="I11481" t="s">
        <v>10</v>
      </c>
    </row>
    <row r="11482" spans="1:9" x14ac:dyDescent="0.25">
      <c r="A11482" t="str">
        <f t="shared" si="278"/>
        <v>89301000</v>
      </c>
      <c r="B11482" t="str">
        <f>"7301315351"</f>
        <v>7301315351</v>
      </c>
      <c r="C11482" s="1">
        <v>44935</v>
      </c>
      <c r="D11482" s="1">
        <v>44937</v>
      </c>
      <c r="E11482">
        <v>1</v>
      </c>
      <c r="F11482" t="str">
        <f>"08-M03-04"</f>
        <v>08-M03-04</v>
      </c>
      <c r="G11482">
        <v>0.87760000000000005</v>
      </c>
      <c r="H11482" t="s">
        <v>11</v>
      </c>
      <c r="I11482" t="s">
        <v>10</v>
      </c>
    </row>
    <row r="11483" spans="1:9" x14ac:dyDescent="0.25">
      <c r="A11483" t="str">
        <f t="shared" si="278"/>
        <v>89301000</v>
      </c>
      <c r="B11483" t="str">
        <f>"7301510535"</f>
        <v>7301510535</v>
      </c>
      <c r="C11483" s="1">
        <v>45040</v>
      </c>
      <c r="D11483" s="1">
        <v>45043</v>
      </c>
      <c r="E11483">
        <v>1</v>
      </c>
      <c r="F11483" t="str">
        <f>"06-I16-03"</f>
        <v>06-I16-03</v>
      </c>
      <c r="G11483">
        <v>0.83740000000000003</v>
      </c>
      <c r="H11483" t="s">
        <v>9</v>
      </c>
      <c r="I11483" t="s">
        <v>10</v>
      </c>
    </row>
    <row r="11484" spans="1:9" x14ac:dyDescent="0.25">
      <c r="A11484" t="str">
        <f t="shared" si="278"/>
        <v>89301000</v>
      </c>
      <c r="B11484" t="str">
        <f>"7302045322"</f>
        <v>7302045322</v>
      </c>
      <c r="C11484" s="1">
        <v>44964</v>
      </c>
      <c r="D11484" s="1">
        <v>44966</v>
      </c>
      <c r="E11484">
        <v>1</v>
      </c>
      <c r="F11484" t="str">
        <f>"08-I23-02"</f>
        <v>08-I23-02</v>
      </c>
      <c r="G11484">
        <v>0.91059999999999997</v>
      </c>
      <c r="H11484" t="s">
        <v>12</v>
      </c>
      <c r="I11484" t="s">
        <v>10</v>
      </c>
    </row>
    <row r="11485" spans="1:9" x14ac:dyDescent="0.25">
      <c r="A11485" t="str">
        <f t="shared" si="278"/>
        <v>89301000</v>
      </c>
      <c r="B11485" t="str">
        <f>"7302045773"</f>
        <v>7302045773</v>
      </c>
      <c r="C11485" s="1">
        <v>45182</v>
      </c>
      <c r="D11485" s="1">
        <v>45184</v>
      </c>
      <c r="E11485">
        <v>1</v>
      </c>
      <c r="F11485" t="str">
        <f>"06-M01-03"</f>
        <v>06-M01-03</v>
      </c>
      <c r="G11485">
        <v>0.82350000000000001</v>
      </c>
      <c r="H11485" t="s">
        <v>11</v>
      </c>
      <c r="I11485" t="s">
        <v>10</v>
      </c>
    </row>
    <row r="11486" spans="1:9" x14ac:dyDescent="0.25">
      <c r="A11486" t="str">
        <f t="shared" si="278"/>
        <v>89301000</v>
      </c>
      <c r="B11486" t="str">
        <f>"7302085318"</f>
        <v>7302085318</v>
      </c>
      <c r="C11486" s="1">
        <v>44930</v>
      </c>
      <c r="D11486" s="1">
        <v>44939</v>
      </c>
      <c r="E11486">
        <v>1</v>
      </c>
      <c r="F11486" t="str">
        <f>"04-I08-03"</f>
        <v>04-I08-03</v>
      </c>
      <c r="G11486">
        <v>1.6777</v>
      </c>
      <c r="H11486" t="s">
        <v>11</v>
      </c>
      <c r="I11486" t="s">
        <v>10</v>
      </c>
    </row>
    <row r="11487" spans="1:9" x14ac:dyDescent="0.25">
      <c r="A11487" t="str">
        <f t="shared" si="278"/>
        <v>89301000</v>
      </c>
      <c r="B11487" t="str">
        <f>"7302094987"</f>
        <v>7302094987</v>
      </c>
      <c r="C11487" s="1">
        <v>45074</v>
      </c>
      <c r="D11487" s="1">
        <v>45076</v>
      </c>
      <c r="E11487">
        <v>1</v>
      </c>
      <c r="F11487" t="str">
        <f>"08-M03-02"</f>
        <v>08-M03-02</v>
      </c>
      <c r="G11487">
        <v>0.91359999999999997</v>
      </c>
      <c r="H11487" t="s">
        <v>11</v>
      </c>
      <c r="I11487" t="s">
        <v>10</v>
      </c>
    </row>
    <row r="11488" spans="1:9" x14ac:dyDescent="0.25">
      <c r="A11488" t="str">
        <f t="shared" si="278"/>
        <v>89301000</v>
      </c>
      <c r="B11488" t="str">
        <f>"7302225799"</f>
        <v>7302225799</v>
      </c>
      <c r="C11488" s="1">
        <v>45018</v>
      </c>
      <c r="D11488" s="1">
        <v>45020</v>
      </c>
      <c r="E11488">
        <v>1</v>
      </c>
      <c r="F11488" t="str">
        <f>"08-M03-05"</f>
        <v>08-M03-05</v>
      </c>
      <c r="G11488">
        <v>0.46910000000000002</v>
      </c>
      <c r="H11488" t="s">
        <v>11</v>
      </c>
      <c r="I11488" t="s">
        <v>10</v>
      </c>
    </row>
    <row r="11489" spans="1:9" x14ac:dyDescent="0.25">
      <c r="A11489" t="str">
        <f t="shared" si="278"/>
        <v>89301000</v>
      </c>
      <c r="B11489" t="str">
        <f>"7302235325"</f>
        <v>7302235325</v>
      </c>
      <c r="C11489" s="1">
        <v>45267</v>
      </c>
      <c r="D11489" s="1">
        <v>45272</v>
      </c>
      <c r="E11489">
        <v>6</v>
      </c>
      <c r="F11489" t="str">
        <f>"01-M02-00"</f>
        <v>01-M02-00</v>
      </c>
      <c r="G11489">
        <v>5.3973000000000004</v>
      </c>
      <c r="H11489" t="s">
        <v>12</v>
      </c>
      <c r="I11489" t="s">
        <v>10</v>
      </c>
    </row>
    <row r="11490" spans="1:9" x14ac:dyDescent="0.25">
      <c r="A11490" t="str">
        <f t="shared" ref="A11490:A11553" si="279">"89301000"</f>
        <v>89301000</v>
      </c>
      <c r="B11490" t="str">
        <f>"7302265817"</f>
        <v>7302265817</v>
      </c>
      <c r="C11490" s="1">
        <v>45223</v>
      </c>
      <c r="D11490" s="1">
        <v>45224</v>
      </c>
      <c r="E11490">
        <v>1</v>
      </c>
      <c r="F11490" t="str">
        <f>"01-D01-03"</f>
        <v>01-D01-03</v>
      </c>
      <c r="G11490">
        <v>0.16200000000000001</v>
      </c>
      <c r="H11490" t="s">
        <v>11</v>
      </c>
      <c r="I11490" t="s">
        <v>10</v>
      </c>
    </row>
    <row r="11491" spans="1:9" x14ac:dyDescent="0.25">
      <c r="A11491" t="str">
        <f t="shared" si="279"/>
        <v>89301000</v>
      </c>
      <c r="B11491" t="str">
        <f>"7303035344"</f>
        <v>7303035344</v>
      </c>
      <c r="C11491" s="1">
        <v>45197</v>
      </c>
      <c r="D11491" s="1">
        <v>45200</v>
      </c>
      <c r="E11491">
        <v>1</v>
      </c>
      <c r="F11491" t="str">
        <f>"08-K04-03"</f>
        <v>08-K04-03</v>
      </c>
      <c r="G11491">
        <v>0.70860000000000001</v>
      </c>
      <c r="H11491" t="s">
        <v>11</v>
      </c>
      <c r="I11491" t="s">
        <v>10</v>
      </c>
    </row>
    <row r="11492" spans="1:9" x14ac:dyDescent="0.25">
      <c r="A11492" t="str">
        <f t="shared" si="279"/>
        <v>89301000</v>
      </c>
      <c r="B11492" t="str">
        <f>"7303045706"</f>
        <v>7303045706</v>
      </c>
      <c r="C11492" s="1">
        <v>45131</v>
      </c>
      <c r="D11492" s="1">
        <v>45132</v>
      </c>
      <c r="E11492">
        <v>1</v>
      </c>
      <c r="F11492" t="str">
        <f>"05-D01-08"</f>
        <v>05-D01-08</v>
      </c>
      <c r="G11492">
        <v>0.43159999999999998</v>
      </c>
      <c r="H11492" t="s">
        <v>11</v>
      </c>
      <c r="I11492" t="s">
        <v>10</v>
      </c>
    </row>
    <row r="11493" spans="1:9" x14ac:dyDescent="0.25">
      <c r="A11493" t="str">
        <f t="shared" si="279"/>
        <v>89301000</v>
      </c>
      <c r="B11493" t="str">
        <f>"7303055815"</f>
        <v>7303055815</v>
      </c>
      <c r="C11493" s="1">
        <v>45231</v>
      </c>
      <c r="D11493" s="1">
        <v>45234</v>
      </c>
      <c r="E11493">
        <v>1</v>
      </c>
      <c r="F11493" t="str">
        <f>"08-I22-02"</f>
        <v>08-I22-02</v>
      </c>
      <c r="G11493">
        <v>1.131</v>
      </c>
      <c r="H11493" t="s">
        <v>12</v>
      </c>
      <c r="I11493" t="s">
        <v>10</v>
      </c>
    </row>
    <row r="11494" spans="1:9" x14ac:dyDescent="0.25">
      <c r="A11494" t="str">
        <f t="shared" si="279"/>
        <v>89301000</v>
      </c>
      <c r="B11494" t="str">
        <f>"7303075318"</f>
        <v>7303075318</v>
      </c>
      <c r="C11494" s="1">
        <v>45187</v>
      </c>
      <c r="D11494" s="1">
        <v>45191</v>
      </c>
      <c r="E11494">
        <v>1</v>
      </c>
      <c r="F11494" t="str">
        <f>"09-K01-02"</f>
        <v>09-K01-02</v>
      </c>
      <c r="G11494">
        <v>1.0014000000000001</v>
      </c>
      <c r="H11494" t="s">
        <v>11</v>
      </c>
      <c r="I11494" t="s">
        <v>10</v>
      </c>
    </row>
    <row r="11495" spans="1:9" x14ac:dyDescent="0.25">
      <c r="A11495" t="str">
        <f t="shared" si="279"/>
        <v>89301000</v>
      </c>
      <c r="B11495" t="str">
        <f>"7303085328"</f>
        <v>7303085328</v>
      </c>
      <c r="C11495" s="1">
        <v>44979</v>
      </c>
      <c r="D11495" s="1">
        <v>44983</v>
      </c>
      <c r="E11495">
        <v>1</v>
      </c>
      <c r="F11495" t="str">
        <f>"10-K04-04"</f>
        <v>10-K04-04</v>
      </c>
      <c r="G11495">
        <v>0.53949999999999998</v>
      </c>
      <c r="H11495" t="s">
        <v>11</v>
      </c>
      <c r="I11495" t="s">
        <v>10</v>
      </c>
    </row>
    <row r="11496" spans="1:9" x14ac:dyDescent="0.25">
      <c r="A11496" t="str">
        <f t="shared" si="279"/>
        <v>89301000</v>
      </c>
      <c r="B11496" t="str">
        <f>"7303085328"</f>
        <v>7303085328</v>
      </c>
      <c r="C11496" s="1">
        <v>45169</v>
      </c>
      <c r="D11496" s="1">
        <v>45173</v>
      </c>
      <c r="E11496">
        <v>1</v>
      </c>
      <c r="F11496" t="str">
        <f>"09-K03-02"</f>
        <v>09-K03-02</v>
      </c>
      <c r="G11496">
        <v>0.95399999999999996</v>
      </c>
      <c r="H11496" t="s">
        <v>11</v>
      </c>
      <c r="I11496" t="s">
        <v>10</v>
      </c>
    </row>
    <row r="11497" spans="1:9" x14ac:dyDescent="0.25">
      <c r="A11497" t="str">
        <f t="shared" si="279"/>
        <v>89301000</v>
      </c>
      <c r="B11497" t="str">
        <f>"7303085339"</f>
        <v>7303085339</v>
      </c>
      <c r="C11497" s="1">
        <v>45120</v>
      </c>
      <c r="D11497" s="1">
        <v>45121</v>
      </c>
      <c r="E11497">
        <v>1</v>
      </c>
      <c r="F11497" t="str">
        <f>"08-I17-02"</f>
        <v>08-I17-02</v>
      </c>
      <c r="G11497">
        <v>0.89680000000000004</v>
      </c>
      <c r="H11497" t="s">
        <v>11</v>
      </c>
      <c r="I11497" t="s">
        <v>10</v>
      </c>
    </row>
    <row r="11498" spans="1:9" x14ac:dyDescent="0.25">
      <c r="A11498" t="str">
        <f t="shared" si="279"/>
        <v>89301000</v>
      </c>
      <c r="B11498" t="str">
        <f>"7303145366"</f>
        <v>7303145366</v>
      </c>
      <c r="C11498" s="1">
        <v>44980</v>
      </c>
      <c r="D11498" s="1">
        <v>44984</v>
      </c>
      <c r="E11498">
        <v>1</v>
      </c>
      <c r="F11498" t="str">
        <f>"08-I04-03"</f>
        <v>08-I04-03</v>
      </c>
      <c r="G11498">
        <v>1.3045</v>
      </c>
      <c r="H11498" t="s">
        <v>14</v>
      </c>
      <c r="I11498" t="s">
        <v>10</v>
      </c>
    </row>
    <row r="11499" spans="1:9" x14ac:dyDescent="0.25">
      <c r="A11499" t="str">
        <f t="shared" si="279"/>
        <v>89301000</v>
      </c>
      <c r="B11499" t="str">
        <f>"7303163516"</f>
        <v>7303163516</v>
      </c>
      <c r="C11499" s="1">
        <v>44942</v>
      </c>
      <c r="D11499" s="1">
        <v>44952</v>
      </c>
      <c r="E11499">
        <v>4</v>
      </c>
      <c r="F11499" t="str">
        <f>"07-K07-02"</f>
        <v>07-K07-02</v>
      </c>
      <c r="G11499">
        <v>0.53069999999999995</v>
      </c>
      <c r="H11499" t="s">
        <v>11</v>
      </c>
      <c r="I11499" t="s">
        <v>10</v>
      </c>
    </row>
    <row r="11500" spans="1:9" x14ac:dyDescent="0.25">
      <c r="A11500" t="str">
        <f t="shared" si="279"/>
        <v>89301000</v>
      </c>
      <c r="B11500" t="str">
        <f>"7303254497"</f>
        <v>7303254497</v>
      </c>
      <c r="C11500" s="1">
        <v>45033</v>
      </c>
      <c r="D11500" s="1">
        <v>45035</v>
      </c>
      <c r="E11500">
        <v>1</v>
      </c>
      <c r="F11500" t="str">
        <f>"06-K11-00"</f>
        <v>06-K11-00</v>
      </c>
      <c r="G11500">
        <v>0.34639999999999999</v>
      </c>
      <c r="H11500" t="s">
        <v>11</v>
      </c>
      <c r="I11500" t="s">
        <v>10</v>
      </c>
    </row>
    <row r="11501" spans="1:9" x14ac:dyDescent="0.25">
      <c r="A11501" t="str">
        <f t="shared" si="279"/>
        <v>89301000</v>
      </c>
      <c r="B11501" t="str">
        <f>"7303305713"</f>
        <v>7303305713</v>
      </c>
      <c r="C11501" s="1">
        <v>45190</v>
      </c>
      <c r="D11501" s="1">
        <v>45196</v>
      </c>
      <c r="E11501">
        <v>1</v>
      </c>
      <c r="F11501" t="str">
        <f>"11-K07-01"</f>
        <v>11-K07-01</v>
      </c>
      <c r="G11501">
        <v>1.1374</v>
      </c>
      <c r="H11501" t="s">
        <v>11</v>
      </c>
      <c r="I11501" t="s">
        <v>10</v>
      </c>
    </row>
    <row r="11502" spans="1:9" x14ac:dyDescent="0.25">
      <c r="A11502" t="str">
        <f t="shared" si="279"/>
        <v>89301000</v>
      </c>
      <c r="B11502" t="str">
        <f>"7304014696"</f>
        <v>7304014696</v>
      </c>
      <c r="C11502" s="1">
        <v>45044</v>
      </c>
      <c r="D11502" s="1">
        <v>45045</v>
      </c>
      <c r="E11502">
        <v>5</v>
      </c>
      <c r="F11502" t="str">
        <f>"25-I02-02"</f>
        <v>25-I02-02</v>
      </c>
      <c r="G11502">
        <v>2.9182999999999999</v>
      </c>
      <c r="H11502" t="s">
        <v>14</v>
      </c>
      <c r="I11502" t="s">
        <v>10</v>
      </c>
    </row>
    <row r="11503" spans="1:9" x14ac:dyDescent="0.25">
      <c r="A11503" t="str">
        <f t="shared" si="279"/>
        <v>89301000</v>
      </c>
      <c r="B11503" t="str">
        <f>"7304015818"</f>
        <v>7304015818</v>
      </c>
      <c r="C11503" s="1">
        <v>45091</v>
      </c>
      <c r="D11503" s="1">
        <v>45092</v>
      </c>
      <c r="E11503">
        <v>1</v>
      </c>
      <c r="F11503" t="str">
        <f>"05-D01-06"</f>
        <v>05-D01-06</v>
      </c>
      <c r="G11503">
        <v>0.7571</v>
      </c>
      <c r="H11503" t="s">
        <v>11</v>
      </c>
      <c r="I11503" t="s">
        <v>10</v>
      </c>
    </row>
    <row r="11504" spans="1:9" x14ac:dyDescent="0.25">
      <c r="A11504" t="str">
        <f t="shared" si="279"/>
        <v>89301000</v>
      </c>
      <c r="B11504" t="str">
        <f>"7304024475"</f>
        <v>7304024475</v>
      </c>
      <c r="C11504" s="1">
        <v>45089</v>
      </c>
      <c r="D11504" s="1">
        <v>45095</v>
      </c>
      <c r="E11504">
        <v>1</v>
      </c>
      <c r="F11504" t="str">
        <f>"07-I10-06"</f>
        <v>07-I10-06</v>
      </c>
      <c r="G11504">
        <v>0.98419999999999996</v>
      </c>
      <c r="H11504" t="s">
        <v>12</v>
      </c>
      <c r="I11504" t="s">
        <v>10</v>
      </c>
    </row>
    <row r="11505" spans="1:9" x14ac:dyDescent="0.25">
      <c r="A11505" t="str">
        <f t="shared" si="279"/>
        <v>89301000</v>
      </c>
      <c r="B11505" t="str">
        <f>"7304025333"</f>
        <v>7304025333</v>
      </c>
      <c r="C11505" s="1">
        <v>45181</v>
      </c>
      <c r="D11505" s="1">
        <v>45185</v>
      </c>
      <c r="E11505">
        <v>1</v>
      </c>
      <c r="F11505" t="str">
        <f>"11-I08-03"</f>
        <v>11-I08-03</v>
      </c>
      <c r="G11505">
        <v>2.0529999999999999</v>
      </c>
      <c r="H11505" t="s">
        <v>9</v>
      </c>
      <c r="I11505" t="s">
        <v>10</v>
      </c>
    </row>
    <row r="11506" spans="1:9" x14ac:dyDescent="0.25">
      <c r="A11506" t="str">
        <f t="shared" si="279"/>
        <v>89301000</v>
      </c>
      <c r="B11506" t="str">
        <f>"7304155386"</f>
        <v>7304155386</v>
      </c>
      <c r="C11506" s="1">
        <v>45260</v>
      </c>
      <c r="D11506" s="1">
        <v>45262</v>
      </c>
      <c r="E11506">
        <v>1</v>
      </c>
      <c r="F11506" t="str">
        <f>"05-D01-08"</f>
        <v>05-D01-08</v>
      </c>
      <c r="G11506">
        <v>0.43159999999999998</v>
      </c>
      <c r="H11506" t="s">
        <v>11</v>
      </c>
      <c r="I11506" t="s">
        <v>10</v>
      </c>
    </row>
    <row r="11507" spans="1:9" x14ac:dyDescent="0.25">
      <c r="A11507" t="str">
        <f t="shared" si="279"/>
        <v>89301000</v>
      </c>
      <c r="B11507" t="str">
        <f>"7304164494"</f>
        <v>7304164494</v>
      </c>
      <c r="C11507" s="1">
        <v>45229</v>
      </c>
      <c r="D11507" s="1">
        <v>45231</v>
      </c>
      <c r="E11507">
        <v>1</v>
      </c>
      <c r="F11507" t="str">
        <f>"03-I19-03"</f>
        <v>03-I19-03</v>
      </c>
      <c r="G11507">
        <v>0.53420000000000001</v>
      </c>
      <c r="H11507" t="s">
        <v>11</v>
      </c>
      <c r="I11507" t="s">
        <v>10</v>
      </c>
    </row>
    <row r="11508" spans="1:9" x14ac:dyDescent="0.25">
      <c r="A11508" t="str">
        <f t="shared" si="279"/>
        <v>89301000</v>
      </c>
      <c r="B11508" t="str">
        <f>"7304165319"</f>
        <v>7304165319</v>
      </c>
      <c r="C11508" s="1">
        <v>45201</v>
      </c>
      <c r="D11508" s="1">
        <v>45206</v>
      </c>
      <c r="E11508">
        <v>1</v>
      </c>
      <c r="F11508" t="str">
        <f>"07-I04-02"</f>
        <v>07-I04-02</v>
      </c>
      <c r="G11508">
        <v>2.2502</v>
      </c>
      <c r="H11508" t="s">
        <v>14</v>
      </c>
      <c r="I11508" t="s">
        <v>10</v>
      </c>
    </row>
    <row r="11509" spans="1:9" x14ac:dyDescent="0.25">
      <c r="A11509" t="str">
        <f t="shared" si="279"/>
        <v>89301000</v>
      </c>
      <c r="B11509" t="str">
        <f>"7304165319"</f>
        <v>7304165319</v>
      </c>
      <c r="C11509" s="1">
        <v>45167</v>
      </c>
      <c r="D11509" s="1">
        <v>45168</v>
      </c>
      <c r="E11509">
        <v>1</v>
      </c>
      <c r="F11509" t="str">
        <f>"07-K06-02"</f>
        <v>07-K06-02</v>
      </c>
      <c r="G11509">
        <v>0.47520000000000001</v>
      </c>
      <c r="H11509" t="s">
        <v>11</v>
      </c>
      <c r="I11509" t="s">
        <v>10</v>
      </c>
    </row>
    <row r="11510" spans="1:9" x14ac:dyDescent="0.25">
      <c r="A11510" t="str">
        <f t="shared" si="279"/>
        <v>89301000</v>
      </c>
      <c r="B11510" t="str">
        <f>"7304165330"</f>
        <v>7304165330</v>
      </c>
      <c r="C11510" s="1">
        <v>45173</v>
      </c>
      <c r="D11510" s="1">
        <v>45179</v>
      </c>
      <c r="E11510">
        <v>1</v>
      </c>
      <c r="F11510" t="str">
        <f>"11-M05-01"</f>
        <v>11-M05-01</v>
      </c>
      <c r="G11510">
        <v>0.94120000000000004</v>
      </c>
      <c r="H11510" t="s">
        <v>12</v>
      </c>
      <c r="I11510" t="s">
        <v>10</v>
      </c>
    </row>
    <row r="11511" spans="1:9" x14ac:dyDescent="0.25">
      <c r="A11511" t="str">
        <f t="shared" si="279"/>
        <v>89301000</v>
      </c>
      <c r="B11511" t="str">
        <f>"7304165330"</f>
        <v>7304165330</v>
      </c>
      <c r="C11511" s="1">
        <v>45067</v>
      </c>
      <c r="D11511" s="1">
        <v>45069</v>
      </c>
      <c r="E11511">
        <v>1</v>
      </c>
      <c r="F11511" t="str">
        <f>"05-I14-03"</f>
        <v>05-I14-03</v>
      </c>
      <c r="G11511">
        <v>6.0362</v>
      </c>
      <c r="H11511" t="s">
        <v>12</v>
      </c>
      <c r="I11511" t="s">
        <v>10</v>
      </c>
    </row>
    <row r="11512" spans="1:9" x14ac:dyDescent="0.25">
      <c r="A11512" t="str">
        <f t="shared" si="279"/>
        <v>89301000</v>
      </c>
      <c r="B11512" t="str">
        <f>"7304195316"</f>
        <v>7304195316</v>
      </c>
      <c r="C11512" s="1">
        <v>45070</v>
      </c>
      <c r="D11512" s="1">
        <v>45084</v>
      </c>
      <c r="E11512">
        <v>4</v>
      </c>
      <c r="F11512" t="str">
        <f>"08-I14-01"</f>
        <v>08-I14-01</v>
      </c>
      <c r="G11512">
        <v>3.5514999999999999</v>
      </c>
      <c r="H11512" t="s">
        <v>12</v>
      </c>
      <c r="I11512" t="s">
        <v>10</v>
      </c>
    </row>
    <row r="11513" spans="1:9" x14ac:dyDescent="0.25">
      <c r="A11513" t="str">
        <f t="shared" si="279"/>
        <v>89301000</v>
      </c>
      <c r="B11513" t="str">
        <f>"7304204402"</f>
        <v>7304204402</v>
      </c>
      <c r="C11513" s="1">
        <v>45188</v>
      </c>
      <c r="D11513" s="1">
        <v>45190</v>
      </c>
      <c r="E11513">
        <v>1</v>
      </c>
      <c r="F11513" t="str">
        <f>"09-K13-01"</f>
        <v>09-K13-01</v>
      </c>
      <c r="G11513">
        <v>0.54759999999999998</v>
      </c>
      <c r="H11513" t="s">
        <v>11</v>
      </c>
      <c r="I11513" t="s">
        <v>10</v>
      </c>
    </row>
    <row r="11514" spans="1:9" x14ac:dyDescent="0.25">
      <c r="A11514" t="str">
        <f t="shared" si="279"/>
        <v>89301000</v>
      </c>
      <c r="B11514" t="str">
        <f>"7304214962"</f>
        <v>7304214962</v>
      </c>
      <c r="C11514" s="1">
        <v>45188</v>
      </c>
      <c r="D11514" s="1">
        <v>45190</v>
      </c>
      <c r="E11514">
        <v>1</v>
      </c>
      <c r="F11514" t="str">
        <f>"08-M03-05"</f>
        <v>08-M03-05</v>
      </c>
      <c r="G11514">
        <v>0.46810000000000002</v>
      </c>
      <c r="H11514" t="s">
        <v>11</v>
      </c>
      <c r="I11514" t="s">
        <v>10</v>
      </c>
    </row>
    <row r="11515" spans="1:9" x14ac:dyDescent="0.25">
      <c r="A11515" t="str">
        <f t="shared" si="279"/>
        <v>89301000</v>
      </c>
      <c r="B11515" t="str">
        <f>"7304245377"</f>
        <v>7304245377</v>
      </c>
      <c r="C11515" s="1">
        <v>44958</v>
      </c>
      <c r="D11515" s="1">
        <v>44960</v>
      </c>
      <c r="E11515">
        <v>1</v>
      </c>
      <c r="F11515" t="str">
        <f>"08-M03-05"</f>
        <v>08-M03-05</v>
      </c>
      <c r="G11515">
        <v>0.46810000000000002</v>
      </c>
      <c r="H11515" t="s">
        <v>11</v>
      </c>
      <c r="I11515" t="s">
        <v>10</v>
      </c>
    </row>
    <row r="11516" spans="1:9" x14ac:dyDescent="0.25">
      <c r="A11516" t="str">
        <f t="shared" si="279"/>
        <v>89301000</v>
      </c>
      <c r="B11516" t="str">
        <f>"7305015762"</f>
        <v>7305015762</v>
      </c>
      <c r="C11516" s="1">
        <v>45061</v>
      </c>
      <c r="D11516" s="1">
        <v>45064</v>
      </c>
      <c r="E11516">
        <v>1</v>
      </c>
      <c r="F11516" t="str">
        <f>"05-I30-01"</f>
        <v>05-I30-01</v>
      </c>
      <c r="G11516">
        <v>0.60309999999999997</v>
      </c>
      <c r="H11516" t="s">
        <v>12</v>
      </c>
      <c r="I11516" t="s">
        <v>10</v>
      </c>
    </row>
    <row r="11517" spans="1:9" x14ac:dyDescent="0.25">
      <c r="A11517" t="str">
        <f t="shared" si="279"/>
        <v>89301000</v>
      </c>
      <c r="B11517" t="str">
        <f>"7305045759"</f>
        <v>7305045759</v>
      </c>
      <c r="C11517" s="1">
        <v>45133</v>
      </c>
      <c r="D11517" s="1">
        <v>45139</v>
      </c>
      <c r="E11517">
        <v>1</v>
      </c>
      <c r="F11517" t="str">
        <f>"06-K11-00"</f>
        <v>06-K11-00</v>
      </c>
      <c r="G11517">
        <v>0.34639999999999999</v>
      </c>
      <c r="H11517" t="s">
        <v>11</v>
      </c>
      <c r="I11517" t="s">
        <v>10</v>
      </c>
    </row>
    <row r="11518" spans="1:9" x14ac:dyDescent="0.25">
      <c r="A11518" t="str">
        <f t="shared" si="279"/>
        <v>89301000</v>
      </c>
      <c r="B11518" t="str">
        <f>"7305065240"</f>
        <v>7305065240</v>
      </c>
      <c r="C11518" s="1">
        <v>45149</v>
      </c>
      <c r="D11518" s="1">
        <v>45150</v>
      </c>
      <c r="E11518">
        <v>1</v>
      </c>
      <c r="F11518" t="str">
        <f>"08-I32-00"</f>
        <v>08-I32-00</v>
      </c>
      <c r="G11518">
        <v>0.4093</v>
      </c>
      <c r="H11518" t="s">
        <v>11</v>
      </c>
      <c r="I11518" t="s">
        <v>10</v>
      </c>
    </row>
    <row r="11519" spans="1:9" x14ac:dyDescent="0.25">
      <c r="A11519" t="str">
        <f t="shared" si="279"/>
        <v>89301000</v>
      </c>
      <c r="B11519" t="str">
        <f>"7305065306"</f>
        <v>7305065306</v>
      </c>
      <c r="C11519" s="1">
        <v>45147</v>
      </c>
      <c r="D11519" s="1">
        <v>45149</v>
      </c>
      <c r="E11519">
        <v>1</v>
      </c>
      <c r="F11519" t="str">
        <f>"08-I15-03"</f>
        <v>08-I15-03</v>
      </c>
      <c r="G11519">
        <v>0.94059999999999999</v>
      </c>
      <c r="H11519" t="s">
        <v>12</v>
      </c>
      <c r="I11519" t="s">
        <v>10</v>
      </c>
    </row>
    <row r="11520" spans="1:9" x14ac:dyDescent="0.25">
      <c r="A11520" t="str">
        <f t="shared" si="279"/>
        <v>89301000</v>
      </c>
      <c r="B11520" t="str">
        <f>"7305115312"</f>
        <v>7305115312</v>
      </c>
      <c r="C11520" s="1">
        <v>45251</v>
      </c>
      <c r="D11520" s="1">
        <v>45253</v>
      </c>
      <c r="E11520">
        <v>1</v>
      </c>
      <c r="F11520" t="str">
        <f>"08-M03-05"</f>
        <v>08-M03-05</v>
      </c>
      <c r="G11520">
        <v>0.46910000000000002</v>
      </c>
      <c r="H11520" t="s">
        <v>11</v>
      </c>
      <c r="I11520" t="s">
        <v>10</v>
      </c>
    </row>
    <row r="11521" spans="1:9" x14ac:dyDescent="0.25">
      <c r="A11521" t="str">
        <f t="shared" si="279"/>
        <v>89301000</v>
      </c>
      <c r="B11521" t="str">
        <f>"7305125355"</f>
        <v>7305125355</v>
      </c>
      <c r="C11521" s="1">
        <v>45256</v>
      </c>
      <c r="D11521" s="1">
        <v>45258</v>
      </c>
      <c r="E11521">
        <v>1</v>
      </c>
      <c r="F11521" t="str">
        <f>"06-K15-02"</f>
        <v>06-K15-02</v>
      </c>
      <c r="G11521">
        <v>0.26600000000000001</v>
      </c>
      <c r="H11521" t="s">
        <v>11</v>
      </c>
      <c r="I11521" t="s">
        <v>10</v>
      </c>
    </row>
    <row r="11522" spans="1:9" x14ac:dyDescent="0.25">
      <c r="A11522" t="str">
        <f t="shared" si="279"/>
        <v>89301000</v>
      </c>
      <c r="B11522" t="str">
        <f>"7305204676"</f>
        <v>7305204676</v>
      </c>
      <c r="C11522" s="1">
        <v>45183</v>
      </c>
      <c r="D11522" s="1">
        <v>45186</v>
      </c>
      <c r="E11522">
        <v>1</v>
      </c>
      <c r="F11522" t="str">
        <f>"05-M07-04"</f>
        <v>05-M07-04</v>
      </c>
      <c r="G11522">
        <v>1.7763</v>
      </c>
      <c r="H11522" t="s">
        <v>12</v>
      </c>
      <c r="I11522" t="s">
        <v>10</v>
      </c>
    </row>
    <row r="11523" spans="1:9" x14ac:dyDescent="0.25">
      <c r="A11523" t="str">
        <f t="shared" si="279"/>
        <v>89301000</v>
      </c>
      <c r="B11523" t="str">
        <f>"7305245706"</f>
        <v>7305245706</v>
      </c>
      <c r="C11523" s="1">
        <v>45040</v>
      </c>
      <c r="D11523" s="1">
        <v>45048</v>
      </c>
      <c r="E11523">
        <v>1</v>
      </c>
      <c r="F11523" t="str">
        <f>"07-K04-04"</f>
        <v>07-K04-04</v>
      </c>
      <c r="G11523">
        <v>0.61050000000000004</v>
      </c>
      <c r="H11523" t="s">
        <v>11</v>
      </c>
      <c r="I11523" t="s">
        <v>10</v>
      </c>
    </row>
    <row r="11524" spans="1:9" x14ac:dyDescent="0.25">
      <c r="A11524" t="str">
        <f t="shared" si="279"/>
        <v>89301000</v>
      </c>
      <c r="B11524" t="str">
        <f>"7305285372"</f>
        <v>7305285372</v>
      </c>
      <c r="C11524" s="1">
        <v>45075</v>
      </c>
      <c r="D11524" s="1">
        <v>45076</v>
      </c>
      <c r="E11524">
        <v>1</v>
      </c>
      <c r="F11524" t="str">
        <f>"03-K13-02"</f>
        <v>03-K13-02</v>
      </c>
      <c r="G11524">
        <v>0.24440000000000001</v>
      </c>
      <c r="H11524" t="s">
        <v>11</v>
      </c>
      <c r="I11524" t="s">
        <v>10</v>
      </c>
    </row>
    <row r="11525" spans="1:9" x14ac:dyDescent="0.25">
      <c r="A11525" t="str">
        <f t="shared" si="279"/>
        <v>89301000</v>
      </c>
      <c r="B11525" t="str">
        <f>"7306075755"</f>
        <v>7306075755</v>
      </c>
      <c r="C11525" s="1">
        <v>45116</v>
      </c>
      <c r="D11525" s="1">
        <v>45121</v>
      </c>
      <c r="E11525">
        <v>1</v>
      </c>
      <c r="F11525" t="str">
        <f>"12-I03-01"</f>
        <v>12-I03-01</v>
      </c>
      <c r="G11525">
        <v>2.6934999999999998</v>
      </c>
      <c r="H11525" t="s">
        <v>9</v>
      </c>
      <c r="I11525" t="s">
        <v>10</v>
      </c>
    </row>
    <row r="11526" spans="1:9" x14ac:dyDescent="0.25">
      <c r="A11526" t="str">
        <f t="shared" si="279"/>
        <v>89301000</v>
      </c>
      <c r="B11526" t="str">
        <f>"7306085402"</f>
        <v>7306085402</v>
      </c>
      <c r="C11526" s="1">
        <v>44951</v>
      </c>
      <c r="D11526" s="1">
        <v>44953</v>
      </c>
      <c r="E11526">
        <v>1</v>
      </c>
      <c r="F11526" t="str">
        <f>"05-I25-04"</f>
        <v>05-I25-04</v>
      </c>
      <c r="G11526">
        <v>8.0672999999999995</v>
      </c>
      <c r="H11526" t="s">
        <v>12</v>
      </c>
      <c r="I11526" t="s">
        <v>10</v>
      </c>
    </row>
    <row r="11527" spans="1:9" x14ac:dyDescent="0.25">
      <c r="A11527" t="str">
        <f t="shared" si="279"/>
        <v>89301000</v>
      </c>
      <c r="B11527" t="str">
        <f>"7306135309"</f>
        <v>7306135309</v>
      </c>
      <c r="C11527" s="1">
        <v>44956</v>
      </c>
      <c r="D11527" s="1">
        <v>44957</v>
      </c>
      <c r="E11527">
        <v>1</v>
      </c>
      <c r="F11527" t="str">
        <f>"05-D01-08"</f>
        <v>05-D01-08</v>
      </c>
      <c r="G11527">
        <v>0.45219999999999999</v>
      </c>
      <c r="H11527" t="s">
        <v>11</v>
      </c>
      <c r="I11527" t="s">
        <v>10</v>
      </c>
    </row>
    <row r="11528" spans="1:9" x14ac:dyDescent="0.25">
      <c r="A11528" t="str">
        <f t="shared" si="279"/>
        <v>89301000</v>
      </c>
      <c r="B11528" t="str">
        <f>"7306184853"</f>
        <v>7306184853</v>
      </c>
      <c r="C11528" s="1">
        <v>45148</v>
      </c>
      <c r="D11528" s="1">
        <v>45149</v>
      </c>
      <c r="E11528">
        <v>1</v>
      </c>
      <c r="F11528" t="str">
        <f>"05-M06-06"</f>
        <v>05-M06-06</v>
      </c>
      <c r="G11528">
        <v>1.8264</v>
      </c>
      <c r="H11528" t="s">
        <v>12</v>
      </c>
      <c r="I11528" t="s">
        <v>10</v>
      </c>
    </row>
    <row r="11529" spans="1:9" x14ac:dyDescent="0.25">
      <c r="A11529" t="str">
        <f t="shared" si="279"/>
        <v>89301000</v>
      </c>
      <c r="B11529" t="str">
        <f>"7306185755"</f>
        <v>7306185755</v>
      </c>
      <c r="C11529" s="1">
        <v>44971</v>
      </c>
      <c r="D11529" s="1">
        <v>44974</v>
      </c>
      <c r="E11529">
        <v>1</v>
      </c>
      <c r="F11529" t="str">
        <f>"06-I17-04"</f>
        <v>06-I17-04</v>
      </c>
      <c r="G11529">
        <v>0.49869999999999998</v>
      </c>
      <c r="H11529" t="s">
        <v>12</v>
      </c>
      <c r="I11529" t="s">
        <v>10</v>
      </c>
    </row>
    <row r="11530" spans="1:9" x14ac:dyDescent="0.25">
      <c r="A11530" t="str">
        <f t="shared" si="279"/>
        <v>89301000</v>
      </c>
      <c r="B11530" t="str">
        <f>"7306205775"</f>
        <v>7306205775</v>
      </c>
      <c r="C11530" s="1">
        <v>45197</v>
      </c>
      <c r="D11530" s="1">
        <v>45203</v>
      </c>
      <c r="E11530">
        <v>1</v>
      </c>
      <c r="F11530" t="str">
        <f>"11-I07-01"</f>
        <v>11-I07-01</v>
      </c>
      <c r="G11530">
        <v>2.7482000000000002</v>
      </c>
      <c r="H11530" t="s">
        <v>9</v>
      </c>
      <c r="I11530" t="s">
        <v>10</v>
      </c>
    </row>
    <row r="11531" spans="1:9" x14ac:dyDescent="0.25">
      <c r="A11531" t="str">
        <f t="shared" si="279"/>
        <v>89301000</v>
      </c>
      <c r="B11531" t="str">
        <f>"7306255319"</f>
        <v>7306255319</v>
      </c>
      <c r="C11531" s="1">
        <v>45179</v>
      </c>
      <c r="D11531" s="1">
        <v>45184</v>
      </c>
      <c r="E11531">
        <v>1</v>
      </c>
      <c r="F11531" t="str">
        <f>"10-I11-00"</f>
        <v>10-I11-00</v>
      </c>
      <c r="G11531">
        <v>2.3330000000000002</v>
      </c>
      <c r="H11531" t="s">
        <v>9</v>
      </c>
      <c r="I11531" t="s">
        <v>10</v>
      </c>
    </row>
    <row r="11532" spans="1:9" x14ac:dyDescent="0.25">
      <c r="A11532" t="str">
        <f t="shared" si="279"/>
        <v>89301000</v>
      </c>
      <c r="B11532" t="str">
        <f>"7306285338"</f>
        <v>7306285338</v>
      </c>
      <c r="C11532" s="1">
        <v>45015</v>
      </c>
      <c r="D11532" s="1">
        <v>45017</v>
      </c>
      <c r="E11532">
        <v>1</v>
      </c>
      <c r="F11532" t="str">
        <f>"08-M03-05"</f>
        <v>08-M03-05</v>
      </c>
      <c r="G11532">
        <v>0.46810000000000002</v>
      </c>
      <c r="H11532" t="s">
        <v>11</v>
      </c>
      <c r="I11532" t="s">
        <v>10</v>
      </c>
    </row>
    <row r="11533" spans="1:9" x14ac:dyDescent="0.25">
      <c r="A11533" t="str">
        <f t="shared" si="279"/>
        <v>89301000</v>
      </c>
      <c r="B11533" t="str">
        <f>"7306285338"</f>
        <v>7306285338</v>
      </c>
      <c r="C11533" s="1">
        <v>45221</v>
      </c>
      <c r="D11533" s="1">
        <v>45224</v>
      </c>
      <c r="E11533">
        <v>1</v>
      </c>
      <c r="F11533" t="str">
        <f>"08-M03-05"</f>
        <v>08-M03-05</v>
      </c>
      <c r="G11533">
        <v>0.46810000000000002</v>
      </c>
      <c r="H11533" t="s">
        <v>11</v>
      </c>
      <c r="I11533" t="s">
        <v>10</v>
      </c>
    </row>
    <row r="11534" spans="1:9" x14ac:dyDescent="0.25">
      <c r="A11534" t="str">
        <f t="shared" si="279"/>
        <v>89301000</v>
      </c>
      <c r="B11534" t="str">
        <f>"7307025341"</f>
        <v>7307025341</v>
      </c>
      <c r="C11534" s="1">
        <v>45183</v>
      </c>
      <c r="D11534" s="1">
        <v>45185</v>
      </c>
      <c r="E11534">
        <v>1</v>
      </c>
      <c r="F11534" t="str">
        <f>"06-I16-04"</f>
        <v>06-I16-04</v>
      </c>
      <c r="G11534">
        <v>0.68920000000000003</v>
      </c>
      <c r="H11534" t="s">
        <v>9</v>
      </c>
      <c r="I11534" t="s">
        <v>10</v>
      </c>
    </row>
    <row r="11535" spans="1:9" x14ac:dyDescent="0.25">
      <c r="A11535" t="str">
        <f t="shared" si="279"/>
        <v>89301000</v>
      </c>
      <c r="B11535" t="str">
        <f>"7307025352"</f>
        <v>7307025352</v>
      </c>
      <c r="C11535" s="1">
        <v>44929</v>
      </c>
      <c r="D11535" s="1">
        <v>44935</v>
      </c>
      <c r="E11535">
        <v>3</v>
      </c>
      <c r="F11535" t="str">
        <f>"08-I05-04"</f>
        <v>08-I05-04</v>
      </c>
      <c r="G11535">
        <v>2.4445000000000001</v>
      </c>
      <c r="H11535" t="s">
        <v>12</v>
      </c>
      <c r="I11535" t="s">
        <v>10</v>
      </c>
    </row>
    <row r="11536" spans="1:9" x14ac:dyDescent="0.25">
      <c r="A11536" t="str">
        <f t="shared" si="279"/>
        <v>89301000</v>
      </c>
      <c r="B11536" t="str">
        <f>"7307025352"</f>
        <v>7307025352</v>
      </c>
      <c r="C11536" s="1">
        <v>44935</v>
      </c>
      <c r="D11536" s="1">
        <v>44946</v>
      </c>
      <c r="E11536">
        <v>1</v>
      </c>
      <c r="F11536" t="str">
        <f>"24-M06-02"</f>
        <v>24-M06-02</v>
      </c>
      <c r="G11536">
        <v>1.0699000000000001</v>
      </c>
      <c r="H11536" t="s">
        <v>11</v>
      </c>
      <c r="I11536" t="s">
        <v>10</v>
      </c>
    </row>
    <row r="11537" spans="1:9" x14ac:dyDescent="0.25">
      <c r="A11537" t="str">
        <f t="shared" si="279"/>
        <v>89301000</v>
      </c>
      <c r="B11537" t="str">
        <f>"7307115706"</f>
        <v>7307115706</v>
      </c>
      <c r="C11537" s="1">
        <v>45082</v>
      </c>
      <c r="D11537" s="1">
        <v>45085</v>
      </c>
      <c r="E11537">
        <v>1</v>
      </c>
      <c r="F11537" t="str">
        <f>"08-I03-08"</f>
        <v>08-I03-08</v>
      </c>
      <c r="G11537">
        <v>1.9455</v>
      </c>
      <c r="H11537" t="s">
        <v>9</v>
      </c>
      <c r="I11537" t="s">
        <v>10</v>
      </c>
    </row>
    <row r="11538" spans="1:9" x14ac:dyDescent="0.25">
      <c r="A11538" t="str">
        <f t="shared" si="279"/>
        <v>89301000</v>
      </c>
      <c r="B11538" t="str">
        <f>"7307194488"</f>
        <v>7307194488</v>
      </c>
      <c r="C11538" s="1">
        <v>45005</v>
      </c>
      <c r="D11538" s="1">
        <v>45007</v>
      </c>
      <c r="E11538">
        <v>1</v>
      </c>
      <c r="F11538" t="str">
        <f>"05-I30-01"</f>
        <v>05-I30-01</v>
      </c>
      <c r="G11538">
        <v>0.60350000000000004</v>
      </c>
      <c r="H11538" t="s">
        <v>12</v>
      </c>
      <c r="I11538" t="s">
        <v>10</v>
      </c>
    </row>
    <row r="11539" spans="1:9" x14ac:dyDescent="0.25">
      <c r="A11539" t="str">
        <f t="shared" si="279"/>
        <v>89301000</v>
      </c>
      <c r="B11539" t="str">
        <f>"7308025824"</f>
        <v>7308025824</v>
      </c>
      <c r="C11539" s="1">
        <v>44928</v>
      </c>
      <c r="D11539" s="1">
        <v>44930</v>
      </c>
      <c r="E11539">
        <v>1</v>
      </c>
      <c r="F11539" t="str">
        <f>"01-D01-03"</f>
        <v>01-D01-03</v>
      </c>
      <c r="G11539">
        <v>0.16200000000000001</v>
      </c>
      <c r="H11539" t="s">
        <v>11</v>
      </c>
      <c r="I11539" t="s">
        <v>10</v>
      </c>
    </row>
    <row r="11540" spans="1:9" x14ac:dyDescent="0.25">
      <c r="A11540" t="str">
        <f t="shared" si="279"/>
        <v>89301000</v>
      </c>
      <c r="B11540" t="str">
        <f>"7308045305"</f>
        <v>7308045305</v>
      </c>
      <c r="C11540" s="1">
        <v>45018</v>
      </c>
      <c r="D11540" s="1">
        <v>45020</v>
      </c>
      <c r="E11540">
        <v>1</v>
      </c>
      <c r="F11540" t="str">
        <f>"07-K04-04"</f>
        <v>07-K04-04</v>
      </c>
      <c r="G11540">
        <v>0.59309999999999996</v>
      </c>
      <c r="H11540" t="s">
        <v>11</v>
      </c>
      <c r="I11540" t="s">
        <v>10</v>
      </c>
    </row>
    <row r="11541" spans="1:9" x14ac:dyDescent="0.25">
      <c r="A11541" t="str">
        <f t="shared" si="279"/>
        <v>89301000</v>
      </c>
      <c r="B11541" t="str">
        <f>"7308045305"</f>
        <v>7308045305</v>
      </c>
      <c r="C11541" s="1">
        <v>45002</v>
      </c>
      <c r="D11541" s="1">
        <v>45006</v>
      </c>
      <c r="E11541">
        <v>1</v>
      </c>
      <c r="F11541" t="str">
        <f>"06-M01-01"</f>
        <v>06-M01-01</v>
      </c>
      <c r="G11541">
        <v>2.1520999999999999</v>
      </c>
      <c r="H11541" t="s">
        <v>11</v>
      </c>
      <c r="I11541" t="s">
        <v>10</v>
      </c>
    </row>
    <row r="11542" spans="1:9" x14ac:dyDescent="0.25">
      <c r="A11542" t="str">
        <f t="shared" si="279"/>
        <v>89301000</v>
      </c>
      <c r="B11542" t="str">
        <f>"7308045305"</f>
        <v>7308045305</v>
      </c>
      <c r="C11542" s="1">
        <v>45082</v>
      </c>
      <c r="D11542" s="1">
        <v>45083</v>
      </c>
      <c r="E11542">
        <v>1</v>
      </c>
      <c r="F11542" t="str">
        <f>"06-M01-05"</f>
        <v>06-M01-05</v>
      </c>
      <c r="G11542">
        <v>0.4481</v>
      </c>
      <c r="H11542" t="s">
        <v>11</v>
      </c>
      <c r="I11542" t="s">
        <v>10</v>
      </c>
    </row>
    <row r="11543" spans="1:9" x14ac:dyDescent="0.25">
      <c r="A11543" t="str">
        <f t="shared" si="279"/>
        <v>89301000</v>
      </c>
      <c r="B11543" t="str">
        <f>"7308075346"</f>
        <v>7308075346</v>
      </c>
      <c r="C11543" s="1">
        <v>45271</v>
      </c>
      <c r="D11543" s="1">
        <v>45287</v>
      </c>
      <c r="E11543">
        <v>1</v>
      </c>
      <c r="F11543" t="str">
        <f>"06-I12-01"</f>
        <v>06-I12-01</v>
      </c>
      <c r="G11543">
        <v>4.9291</v>
      </c>
      <c r="H11543" t="s">
        <v>11</v>
      </c>
      <c r="I11543" t="s">
        <v>10</v>
      </c>
    </row>
    <row r="11544" spans="1:9" x14ac:dyDescent="0.25">
      <c r="A11544" t="str">
        <f t="shared" si="279"/>
        <v>89301000</v>
      </c>
      <c r="B11544" t="str">
        <f>"7308135120"</f>
        <v>7308135120</v>
      </c>
      <c r="C11544" s="1">
        <v>45224</v>
      </c>
      <c r="D11544" s="1">
        <v>45230</v>
      </c>
      <c r="E11544">
        <v>1</v>
      </c>
      <c r="F11544" t="str">
        <f>"04-I08-03"</f>
        <v>04-I08-03</v>
      </c>
      <c r="G11544">
        <v>1.6777</v>
      </c>
      <c r="H11544" t="s">
        <v>11</v>
      </c>
      <c r="I11544" t="s">
        <v>10</v>
      </c>
    </row>
    <row r="11545" spans="1:9" x14ac:dyDescent="0.25">
      <c r="A11545" t="str">
        <f t="shared" si="279"/>
        <v>89301000</v>
      </c>
      <c r="B11545" t="str">
        <f>"7308135120"</f>
        <v>7308135120</v>
      </c>
      <c r="C11545" s="1">
        <v>45207</v>
      </c>
      <c r="D11545" s="1">
        <v>45210</v>
      </c>
      <c r="E11545">
        <v>1</v>
      </c>
      <c r="F11545" t="str">
        <f>"04-K14-03"</f>
        <v>04-K14-03</v>
      </c>
      <c r="G11545">
        <v>0.76649999999999996</v>
      </c>
      <c r="H11545" t="s">
        <v>11</v>
      </c>
      <c r="I11545" t="s">
        <v>10</v>
      </c>
    </row>
    <row r="11546" spans="1:9" x14ac:dyDescent="0.25">
      <c r="A11546" t="str">
        <f t="shared" si="279"/>
        <v>89301000</v>
      </c>
      <c r="B11546" t="str">
        <f>"7308174863"</f>
        <v>7308174863</v>
      </c>
      <c r="C11546" s="1">
        <v>45107</v>
      </c>
      <c r="D11546" s="1">
        <v>45107</v>
      </c>
      <c r="E11546">
        <v>1</v>
      </c>
      <c r="F11546" t="str">
        <f>"05-D01-08"</f>
        <v>05-D01-08</v>
      </c>
      <c r="G11546">
        <v>0.2303</v>
      </c>
      <c r="H11546" t="s">
        <v>11</v>
      </c>
      <c r="I11546" t="s">
        <v>10</v>
      </c>
    </row>
    <row r="11547" spans="1:9" x14ac:dyDescent="0.25">
      <c r="A11547" t="str">
        <f t="shared" si="279"/>
        <v>89301000</v>
      </c>
      <c r="B11547" t="str">
        <f>"7308185313"</f>
        <v>7308185313</v>
      </c>
      <c r="C11547" s="1">
        <v>45190</v>
      </c>
      <c r="D11547" s="1">
        <v>45202</v>
      </c>
      <c r="E11547">
        <v>1</v>
      </c>
      <c r="F11547" t="str">
        <f>"12-K05-01"</f>
        <v>12-K05-01</v>
      </c>
      <c r="G11547">
        <v>1.5271999999999999</v>
      </c>
      <c r="H11547" t="s">
        <v>11</v>
      </c>
      <c r="I11547" t="s">
        <v>10</v>
      </c>
    </row>
    <row r="11548" spans="1:9" x14ac:dyDescent="0.25">
      <c r="A11548" t="str">
        <f t="shared" si="279"/>
        <v>89301000</v>
      </c>
      <c r="B11548" t="str">
        <f>"7308185313"</f>
        <v>7308185313</v>
      </c>
      <c r="C11548" s="1">
        <v>45166</v>
      </c>
      <c r="D11548" s="1">
        <v>45187</v>
      </c>
      <c r="E11548">
        <v>1</v>
      </c>
      <c r="F11548" t="str">
        <f>"11-I11-02"</f>
        <v>11-I11-02</v>
      </c>
      <c r="G11548">
        <v>2.2050000000000001</v>
      </c>
      <c r="H11548" t="s">
        <v>11</v>
      </c>
      <c r="I11548" t="s">
        <v>10</v>
      </c>
    </row>
    <row r="11549" spans="1:9" x14ac:dyDescent="0.25">
      <c r="A11549" t="str">
        <f t="shared" si="279"/>
        <v>89301000</v>
      </c>
      <c r="B11549" t="str">
        <f>"7308195312"</f>
        <v>7308195312</v>
      </c>
      <c r="C11549" s="1">
        <v>45042</v>
      </c>
      <c r="D11549" s="1">
        <v>45043</v>
      </c>
      <c r="E11549">
        <v>1</v>
      </c>
      <c r="F11549" t="str">
        <f>"03-K13-02"</f>
        <v>03-K13-02</v>
      </c>
      <c r="G11549">
        <v>0.24440000000000001</v>
      </c>
      <c r="H11549" t="s">
        <v>11</v>
      </c>
      <c r="I11549" t="s">
        <v>10</v>
      </c>
    </row>
    <row r="11550" spans="1:9" x14ac:dyDescent="0.25">
      <c r="A11550" t="str">
        <f t="shared" si="279"/>
        <v>89301000</v>
      </c>
      <c r="B11550" t="str">
        <f>"7308205322"</f>
        <v>7308205322</v>
      </c>
      <c r="C11550" s="1">
        <v>45057</v>
      </c>
      <c r="D11550" s="1">
        <v>45061</v>
      </c>
      <c r="E11550">
        <v>1</v>
      </c>
      <c r="F11550" t="str">
        <f>"02-I06-03"</f>
        <v>02-I06-03</v>
      </c>
      <c r="G11550">
        <v>0.99260000000000004</v>
      </c>
      <c r="H11550" t="s">
        <v>12</v>
      </c>
      <c r="I11550" t="s">
        <v>10</v>
      </c>
    </row>
    <row r="11551" spans="1:9" x14ac:dyDescent="0.25">
      <c r="A11551" t="str">
        <f t="shared" si="279"/>
        <v>89301000</v>
      </c>
      <c r="B11551" t="str">
        <f>"7308225342"</f>
        <v>7308225342</v>
      </c>
      <c r="C11551" s="1">
        <v>45179</v>
      </c>
      <c r="D11551" s="1">
        <v>45184</v>
      </c>
      <c r="E11551">
        <v>1</v>
      </c>
      <c r="F11551" t="str">
        <f>"01-C02-02"</f>
        <v>01-C02-02</v>
      </c>
      <c r="G11551">
        <v>1.6685000000000001</v>
      </c>
      <c r="H11551" t="s">
        <v>11</v>
      </c>
      <c r="I11551" t="s">
        <v>10</v>
      </c>
    </row>
    <row r="11552" spans="1:9" x14ac:dyDescent="0.25">
      <c r="A11552" t="str">
        <f t="shared" si="279"/>
        <v>89301000</v>
      </c>
      <c r="B11552" t="str">
        <f>"7308245758"</f>
        <v>7308245758</v>
      </c>
      <c r="C11552" s="1">
        <v>44948</v>
      </c>
      <c r="D11552" s="1">
        <v>44963</v>
      </c>
      <c r="E11552">
        <v>1</v>
      </c>
      <c r="F11552" t="str">
        <f>"07-K01-02"</f>
        <v>07-K01-02</v>
      </c>
      <c r="G11552">
        <v>1.0002</v>
      </c>
      <c r="H11552" t="s">
        <v>11</v>
      </c>
      <c r="I11552" t="s">
        <v>10</v>
      </c>
    </row>
    <row r="11553" spans="1:9" x14ac:dyDescent="0.25">
      <c r="A11553" t="str">
        <f t="shared" si="279"/>
        <v>89301000</v>
      </c>
      <c r="B11553" t="str">
        <f>"7308264953"</f>
        <v>7308264953</v>
      </c>
      <c r="C11553" s="1">
        <v>45218</v>
      </c>
      <c r="D11553" s="1">
        <v>45238</v>
      </c>
      <c r="E11553">
        <v>1</v>
      </c>
      <c r="F11553" t="str">
        <f>"00-I05-01"</f>
        <v>00-I05-01</v>
      </c>
      <c r="G11553">
        <v>8.9193999999999996</v>
      </c>
      <c r="H11553" t="s">
        <v>14</v>
      </c>
      <c r="I11553" t="s">
        <v>10</v>
      </c>
    </row>
    <row r="11554" spans="1:9" x14ac:dyDescent="0.25">
      <c r="A11554" t="str">
        <f t="shared" ref="A11554:A11617" si="280">"89301000"</f>
        <v>89301000</v>
      </c>
      <c r="B11554" t="str">
        <f>"7308264953"</f>
        <v>7308264953</v>
      </c>
      <c r="C11554" s="1">
        <v>44959</v>
      </c>
      <c r="D11554" s="1">
        <v>44965</v>
      </c>
      <c r="E11554">
        <v>1</v>
      </c>
      <c r="F11554" t="str">
        <f>"11-I08-03"</f>
        <v>11-I08-03</v>
      </c>
      <c r="G11554">
        <v>2.0529999999999999</v>
      </c>
      <c r="H11554" t="s">
        <v>9</v>
      </c>
      <c r="I11554" t="s">
        <v>10</v>
      </c>
    </row>
    <row r="11555" spans="1:9" x14ac:dyDescent="0.25">
      <c r="A11555" t="str">
        <f t="shared" si="280"/>
        <v>89301000</v>
      </c>
      <c r="B11555" t="str">
        <f>"7308264953"</f>
        <v>7308264953</v>
      </c>
      <c r="C11555" s="1">
        <v>45264</v>
      </c>
      <c r="D11555" s="1">
        <v>45268</v>
      </c>
      <c r="E11555">
        <v>1</v>
      </c>
      <c r="F11555" t="str">
        <f>"11-K03-02"</f>
        <v>11-K03-02</v>
      </c>
      <c r="G11555">
        <v>0.63990000000000002</v>
      </c>
      <c r="H11555" t="s">
        <v>11</v>
      </c>
      <c r="I11555" t="s">
        <v>10</v>
      </c>
    </row>
    <row r="11556" spans="1:9" x14ac:dyDescent="0.25">
      <c r="A11556" t="str">
        <f t="shared" si="280"/>
        <v>89301000</v>
      </c>
      <c r="B11556" t="str">
        <f>"7308285369"</f>
        <v>7308285369</v>
      </c>
      <c r="C11556" s="1">
        <v>45186</v>
      </c>
      <c r="D11556" s="1">
        <v>45194</v>
      </c>
      <c r="E11556">
        <v>1</v>
      </c>
      <c r="F11556" t="str">
        <f>"07-K02-01"</f>
        <v>07-K02-01</v>
      </c>
      <c r="G11556">
        <v>2.5807000000000002</v>
      </c>
      <c r="H11556" t="s">
        <v>11</v>
      </c>
      <c r="I11556" t="s">
        <v>10</v>
      </c>
    </row>
    <row r="11557" spans="1:9" x14ac:dyDescent="0.25">
      <c r="A11557" t="str">
        <f t="shared" si="280"/>
        <v>89301000</v>
      </c>
      <c r="B11557" t="str">
        <f>"7309025328"</f>
        <v>7309025328</v>
      </c>
      <c r="C11557" s="1">
        <v>44948</v>
      </c>
      <c r="D11557" s="1">
        <v>44950</v>
      </c>
      <c r="E11557">
        <v>1</v>
      </c>
      <c r="F11557" t="str">
        <f>"08-M03-05"</f>
        <v>08-M03-05</v>
      </c>
      <c r="G11557">
        <v>0.46810000000000002</v>
      </c>
      <c r="H11557" t="s">
        <v>11</v>
      </c>
      <c r="I11557" t="s">
        <v>10</v>
      </c>
    </row>
    <row r="11558" spans="1:9" x14ac:dyDescent="0.25">
      <c r="A11558" t="str">
        <f t="shared" si="280"/>
        <v>89301000</v>
      </c>
      <c r="B11558" t="str">
        <f>"7309054489"</f>
        <v>7309054489</v>
      </c>
      <c r="C11558" s="1">
        <v>45174</v>
      </c>
      <c r="D11558" s="1">
        <v>45175</v>
      </c>
      <c r="E11558">
        <v>1</v>
      </c>
      <c r="F11558" t="str">
        <f>"01-D01-03"</f>
        <v>01-D01-03</v>
      </c>
      <c r="G11558">
        <v>0.16200000000000001</v>
      </c>
      <c r="H11558" t="s">
        <v>11</v>
      </c>
      <c r="I11558" t="s">
        <v>10</v>
      </c>
    </row>
    <row r="11559" spans="1:9" x14ac:dyDescent="0.25">
      <c r="A11559" t="str">
        <f t="shared" si="280"/>
        <v>89301000</v>
      </c>
      <c r="B11559" t="str">
        <f>"7309054489"</f>
        <v>7309054489</v>
      </c>
      <c r="C11559" s="1">
        <v>45254</v>
      </c>
      <c r="D11559" s="1">
        <v>45257</v>
      </c>
      <c r="E11559">
        <v>1</v>
      </c>
      <c r="F11559" t="str">
        <f>"01-D01-03"</f>
        <v>01-D01-03</v>
      </c>
      <c r="G11559">
        <v>0.21060000000000001</v>
      </c>
      <c r="H11559" t="s">
        <v>11</v>
      </c>
      <c r="I11559" t="s">
        <v>10</v>
      </c>
    </row>
    <row r="11560" spans="1:9" x14ac:dyDescent="0.25">
      <c r="A11560" t="str">
        <f t="shared" si="280"/>
        <v>89301000</v>
      </c>
      <c r="B11560" t="str">
        <f>"7309105309"</f>
        <v>7309105309</v>
      </c>
      <c r="C11560" s="1">
        <v>45106</v>
      </c>
      <c r="D11560" s="1">
        <v>45107</v>
      </c>
      <c r="E11560">
        <v>1</v>
      </c>
      <c r="F11560" t="str">
        <f>"03-K04-01"</f>
        <v>03-K04-01</v>
      </c>
      <c r="G11560">
        <v>0.46479999999999999</v>
      </c>
      <c r="H11560" t="s">
        <v>11</v>
      </c>
      <c r="I11560" t="s">
        <v>10</v>
      </c>
    </row>
    <row r="11561" spans="1:9" x14ac:dyDescent="0.25">
      <c r="A11561" t="str">
        <f t="shared" si="280"/>
        <v>89301000</v>
      </c>
      <c r="B11561" t="str">
        <f>"7309105309"</f>
        <v>7309105309</v>
      </c>
      <c r="C11561" s="1">
        <v>45124</v>
      </c>
      <c r="D11561" s="1">
        <v>45128</v>
      </c>
      <c r="E11561">
        <v>1</v>
      </c>
      <c r="F11561" t="str">
        <f>"06-I22-01"</f>
        <v>06-I22-01</v>
      </c>
      <c r="G11561">
        <v>0.68120000000000003</v>
      </c>
      <c r="H11561" t="s">
        <v>12</v>
      </c>
      <c r="I11561" t="s">
        <v>10</v>
      </c>
    </row>
    <row r="11562" spans="1:9" x14ac:dyDescent="0.25">
      <c r="A11562" t="str">
        <f t="shared" si="280"/>
        <v>89301000</v>
      </c>
      <c r="B11562" t="str">
        <f>"7309115792"</f>
        <v>7309115792</v>
      </c>
      <c r="C11562" s="1">
        <v>45236</v>
      </c>
      <c r="D11562" s="1">
        <v>45239</v>
      </c>
      <c r="E11562">
        <v>1</v>
      </c>
      <c r="F11562" t="str">
        <f>"05-M06-04"</f>
        <v>05-M06-04</v>
      </c>
      <c r="G11562">
        <v>2.4176000000000002</v>
      </c>
      <c r="H11562" t="s">
        <v>12</v>
      </c>
      <c r="I11562" t="s">
        <v>10</v>
      </c>
    </row>
    <row r="11563" spans="1:9" x14ac:dyDescent="0.25">
      <c r="A11563" t="str">
        <f t="shared" si="280"/>
        <v>89301000</v>
      </c>
      <c r="B11563" t="str">
        <f>"7309125329"</f>
        <v>7309125329</v>
      </c>
      <c r="C11563" s="1">
        <v>44994</v>
      </c>
      <c r="D11563" s="1">
        <v>44995</v>
      </c>
      <c r="E11563">
        <v>1</v>
      </c>
      <c r="F11563" t="str">
        <f>"05-K14-03"</f>
        <v>05-K14-03</v>
      </c>
      <c r="G11563">
        <v>0.3997</v>
      </c>
      <c r="H11563" t="s">
        <v>11</v>
      </c>
      <c r="I11563" t="s">
        <v>10</v>
      </c>
    </row>
    <row r="11564" spans="1:9" x14ac:dyDescent="0.25">
      <c r="A11564" t="str">
        <f t="shared" si="280"/>
        <v>89301000</v>
      </c>
      <c r="B11564" t="str">
        <f>"7309185323"</f>
        <v>7309185323</v>
      </c>
      <c r="C11564" s="1">
        <v>44958</v>
      </c>
      <c r="D11564" s="1">
        <v>44963</v>
      </c>
      <c r="E11564">
        <v>1</v>
      </c>
      <c r="F11564" t="str">
        <f>"08-I04-03"</f>
        <v>08-I04-03</v>
      </c>
      <c r="G11564">
        <v>1.3045</v>
      </c>
      <c r="H11564" t="s">
        <v>14</v>
      </c>
      <c r="I11564" t="s">
        <v>10</v>
      </c>
    </row>
    <row r="11565" spans="1:9" x14ac:dyDescent="0.25">
      <c r="A11565" t="str">
        <f t="shared" si="280"/>
        <v>89301000</v>
      </c>
      <c r="B11565" t="str">
        <f>"7309215364"</f>
        <v>7309215364</v>
      </c>
      <c r="C11565" s="1">
        <v>44943</v>
      </c>
      <c r="D11565" s="1">
        <v>44944</v>
      </c>
      <c r="E11565">
        <v>1</v>
      </c>
      <c r="F11565" t="str">
        <f>"08-I32-00"</f>
        <v>08-I32-00</v>
      </c>
      <c r="G11565">
        <v>0.4093</v>
      </c>
      <c r="H11565" t="s">
        <v>11</v>
      </c>
      <c r="I11565" t="s">
        <v>10</v>
      </c>
    </row>
    <row r="11566" spans="1:9" x14ac:dyDescent="0.25">
      <c r="A11566" t="str">
        <f t="shared" si="280"/>
        <v>89301000</v>
      </c>
      <c r="B11566" t="str">
        <f>"7310175334"</f>
        <v>7310175334</v>
      </c>
      <c r="C11566" s="1">
        <v>45187</v>
      </c>
      <c r="D11566" s="1">
        <v>45190</v>
      </c>
      <c r="E11566">
        <v>1</v>
      </c>
      <c r="F11566" t="str">
        <f>"05-M05-02"</f>
        <v>05-M05-02</v>
      </c>
      <c r="G11566">
        <v>3.4817999999999998</v>
      </c>
      <c r="H11566" t="s">
        <v>14</v>
      </c>
      <c r="I11566" t="s">
        <v>10</v>
      </c>
    </row>
    <row r="11567" spans="1:9" x14ac:dyDescent="0.25">
      <c r="A11567" t="str">
        <f t="shared" si="280"/>
        <v>89301000</v>
      </c>
      <c r="B11567" t="str">
        <f>"7310264841"</f>
        <v>7310264841</v>
      </c>
      <c r="C11567" s="1">
        <v>44999</v>
      </c>
      <c r="D11567" s="1">
        <v>45014</v>
      </c>
      <c r="E11567">
        <v>1</v>
      </c>
      <c r="F11567" t="str">
        <f>"06-I12-02"</f>
        <v>06-I12-02</v>
      </c>
      <c r="G11567">
        <v>2.3982999999999999</v>
      </c>
      <c r="H11567" t="s">
        <v>11</v>
      </c>
      <c r="I11567" t="s">
        <v>10</v>
      </c>
    </row>
    <row r="11568" spans="1:9" x14ac:dyDescent="0.25">
      <c r="A11568" t="str">
        <f t="shared" si="280"/>
        <v>89301000</v>
      </c>
      <c r="B11568" t="str">
        <f>"7310313912"</f>
        <v>7310313912</v>
      </c>
      <c r="C11568" s="1">
        <v>44958</v>
      </c>
      <c r="D11568" s="1">
        <v>44963</v>
      </c>
      <c r="E11568">
        <v>1</v>
      </c>
      <c r="F11568" t="str">
        <f>"00-K01-02"</f>
        <v>00-K01-02</v>
      </c>
      <c r="G11568">
        <v>1.2081</v>
      </c>
      <c r="H11568" t="s">
        <v>12</v>
      </c>
      <c r="I11568" t="s">
        <v>10</v>
      </c>
    </row>
    <row r="11569" spans="1:9" x14ac:dyDescent="0.25">
      <c r="A11569" t="str">
        <f t="shared" si="280"/>
        <v>89301000</v>
      </c>
      <c r="B11569" t="str">
        <f>"7311035754"</f>
        <v>7311035754</v>
      </c>
      <c r="C11569" s="1">
        <v>45068</v>
      </c>
      <c r="D11569" s="1">
        <v>45071</v>
      </c>
      <c r="E11569">
        <v>1</v>
      </c>
      <c r="F11569" t="str">
        <f>"01-D01-03"</f>
        <v>01-D01-03</v>
      </c>
      <c r="G11569">
        <v>0.21060000000000001</v>
      </c>
      <c r="H11569" t="s">
        <v>11</v>
      </c>
      <c r="I11569" t="s">
        <v>10</v>
      </c>
    </row>
    <row r="11570" spans="1:9" x14ac:dyDescent="0.25">
      <c r="A11570" t="str">
        <f t="shared" si="280"/>
        <v>89301000</v>
      </c>
      <c r="B11570" t="str">
        <f>"7311144863"</f>
        <v>7311144863</v>
      </c>
      <c r="C11570" s="1">
        <v>45141</v>
      </c>
      <c r="D11570" s="1">
        <v>45146</v>
      </c>
      <c r="E11570">
        <v>1</v>
      </c>
      <c r="F11570" t="str">
        <f>"11-I12-00"</f>
        <v>11-I12-00</v>
      </c>
      <c r="G11570">
        <v>1.302</v>
      </c>
      <c r="H11570" t="s">
        <v>12</v>
      </c>
      <c r="I11570" t="s">
        <v>10</v>
      </c>
    </row>
    <row r="11571" spans="1:9" x14ac:dyDescent="0.25">
      <c r="A11571" t="str">
        <f t="shared" si="280"/>
        <v>89301000</v>
      </c>
      <c r="B11571" t="str">
        <f>"7311195320"</f>
        <v>7311195320</v>
      </c>
      <c r="C11571" s="1">
        <v>44938</v>
      </c>
      <c r="D11571" s="1">
        <v>44943</v>
      </c>
      <c r="E11571">
        <v>1</v>
      </c>
      <c r="F11571" t="str">
        <f>"06-I17-03"</f>
        <v>06-I17-03</v>
      </c>
      <c r="G11571">
        <v>0.879</v>
      </c>
      <c r="H11571" t="s">
        <v>12</v>
      </c>
      <c r="I11571" t="s">
        <v>10</v>
      </c>
    </row>
    <row r="11572" spans="1:9" x14ac:dyDescent="0.25">
      <c r="A11572" t="str">
        <f t="shared" si="280"/>
        <v>89301000</v>
      </c>
      <c r="B11572" t="str">
        <f>"7311265357"</f>
        <v>7311265357</v>
      </c>
      <c r="C11572" s="1">
        <v>45095</v>
      </c>
      <c r="D11572" s="1">
        <v>45097</v>
      </c>
      <c r="E11572">
        <v>1</v>
      </c>
      <c r="F11572" t="str">
        <f>"03-K04-01"</f>
        <v>03-K04-01</v>
      </c>
      <c r="G11572">
        <v>0.46650000000000003</v>
      </c>
      <c r="H11572" t="s">
        <v>11</v>
      </c>
      <c r="I11572" t="s">
        <v>10</v>
      </c>
    </row>
    <row r="11573" spans="1:9" x14ac:dyDescent="0.25">
      <c r="A11573" t="str">
        <f t="shared" si="280"/>
        <v>89301000</v>
      </c>
      <c r="B11573" t="str">
        <f>"7312014468"</f>
        <v>7312014468</v>
      </c>
      <c r="C11573" s="1">
        <v>45217</v>
      </c>
      <c r="D11573" s="1">
        <v>45219</v>
      </c>
      <c r="E11573">
        <v>1</v>
      </c>
      <c r="F11573" t="str">
        <f>"03-I22-02"</f>
        <v>03-I22-02</v>
      </c>
      <c r="G11573">
        <v>0.49809999999999999</v>
      </c>
      <c r="H11573" t="s">
        <v>11</v>
      </c>
      <c r="I11573" t="s">
        <v>10</v>
      </c>
    </row>
    <row r="11574" spans="1:9" x14ac:dyDescent="0.25">
      <c r="A11574" t="str">
        <f t="shared" si="280"/>
        <v>89301000</v>
      </c>
      <c r="B11574" t="str">
        <f>"7312075771"</f>
        <v>7312075771</v>
      </c>
      <c r="C11574" s="1">
        <v>44950</v>
      </c>
      <c r="D11574" s="1">
        <v>44980</v>
      </c>
      <c r="E11574">
        <v>1</v>
      </c>
      <c r="F11574" t="str">
        <f>"03-I03-02"</f>
        <v>03-I03-02</v>
      </c>
      <c r="G11574">
        <v>5.4272999999999998</v>
      </c>
      <c r="H11574" t="s">
        <v>14</v>
      </c>
      <c r="I11574" t="s">
        <v>10</v>
      </c>
    </row>
    <row r="11575" spans="1:9" x14ac:dyDescent="0.25">
      <c r="A11575" t="str">
        <f t="shared" si="280"/>
        <v>89301000</v>
      </c>
      <c r="B11575" t="str">
        <f t="shared" ref="B11575:B11580" si="281">"7312185320"</f>
        <v>7312185320</v>
      </c>
      <c r="C11575" s="1">
        <v>45250</v>
      </c>
      <c r="D11575" s="1">
        <v>45260</v>
      </c>
      <c r="E11575">
        <v>1</v>
      </c>
      <c r="F11575" t="str">
        <f>"03-R01-06"</f>
        <v>03-R01-06</v>
      </c>
      <c r="G11575">
        <v>1.8582000000000001</v>
      </c>
      <c r="H11575" t="s">
        <v>11</v>
      </c>
      <c r="I11575" t="s">
        <v>10</v>
      </c>
    </row>
    <row r="11576" spans="1:9" x14ac:dyDescent="0.25">
      <c r="A11576" t="str">
        <f t="shared" si="280"/>
        <v>89301000</v>
      </c>
      <c r="B11576" t="str">
        <f t="shared" si="281"/>
        <v>7312185320</v>
      </c>
      <c r="C11576" s="1">
        <v>45215</v>
      </c>
      <c r="D11576" s="1">
        <v>45246</v>
      </c>
      <c r="E11576">
        <v>1</v>
      </c>
      <c r="F11576" t="str">
        <f>"03-R01-01"</f>
        <v>03-R01-01</v>
      </c>
      <c r="G11576">
        <v>6.5094000000000003</v>
      </c>
      <c r="H11576" t="s">
        <v>11</v>
      </c>
      <c r="I11576" t="s">
        <v>10</v>
      </c>
    </row>
    <row r="11577" spans="1:9" x14ac:dyDescent="0.25">
      <c r="A11577" t="str">
        <f t="shared" si="280"/>
        <v>89301000</v>
      </c>
      <c r="B11577" t="str">
        <f t="shared" si="281"/>
        <v>7312185320</v>
      </c>
      <c r="C11577" s="1">
        <v>45191</v>
      </c>
      <c r="D11577" s="1">
        <v>45193</v>
      </c>
      <c r="E11577">
        <v>1</v>
      </c>
      <c r="F11577" t="str">
        <f>"03-I24-00"</f>
        <v>03-I24-00</v>
      </c>
      <c r="G11577">
        <v>0.40670000000000001</v>
      </c>
      <c r="H11577" t="s">
        <v>11</v>
      </c>
      <c r="I11577" t="s">
        <v>10</v>
      </c>
    </row>
    <row r="11578" spans="1:9" x14ac:dyDescent="0.25">
      <c r="A11578" t="str">
        <f t="shared" si="280"/>
        <v>89301000</v>
      </c>
      <c r="B11578" t="str">
        <f t="shared" si="281"/>
        <v>7312185320</v>
      </c>
      <c r="C11578" s="1">
        <v>45153</v>
      </c>
      <c r="D11578" s="1">
        <v>45164</v>
      </c>
      <c r="E11578">
        <v>1</v>
      </c>
      <c r="F11578" t="str">
        <f>"03-I05-01"</f>
        <v>03-I05-01</v>
      </c>
      <c r="G11578">
        <v>5.7450999999999999</v>
      </c>
      <c r="H11578" t="s">
        <v>9</v>
      </c>
      <c r="I11578" t="s">
        <v>10</v>
      </c>
    </row>
    <row r="11579" spans="1:9" x14ac:dyDescent="0.25">
      <c r="A11579" t="str">
        <f t="shared" si="280"/>
        <v>89301000</v>
      </c>
      <c r="B11579" t="str">
        <f t="shared" si="281"/>
        <v>7312185320</v>
      </c>
      <c r="C11579" s="1">
        <v>45130</v>
      </c>
      <c r="D11579" s="1">
        <v>45139</v>
      </c>
      <c r="E11579">
        <v>1</v>
      </c>
      <c r="F11579" t="str">
        <f>"03-I22-01"</f>
        <v>03-I22-01</v>
      </c>
      <c r="G11579">
        <v>0.74839999999999995</v>
      </c>
      <c r="H11579" t="s">
        <v>11</v>
      </c>
      <c r="I11579" t="s">
        <v>10</v>
      </c>
    </row>
    <row r="11580" spans="1:9" x14ac:dyDescent="0.25">
      <c r="A11580" t="str">
        <f t="shared" si="280"/>
        <v>89301000</v>
      </c>
      <c r="B11580" t="str">
        <f t="shared" si="281"/>
        <v>7312185320</v>
      </c>
      <c r="C11580" s="1">
        <v>45147</v>
      </c>
      <c r="D11580" s="1">
        <v>45148</v>
      </c>
      <c r="E11580">
        <v>1</v>
      </c>
      <c r="F11580" t="str">
        <f>"03-K09-01"</f>
        <v>03-K09-01</v>
      </c>
      <c r="G11580">
        <v>0.58250000000000002</v>
      </c>
      <c r="H11580" t="s">
        <v>11</v>
      </c>
      <c r="I11580" t="s">
        <v>10</v>
      </c>
    </row>
    <row r="11581" spans="1:9" x14ac:dyDescent="0.25">
      <c r="A11581" t="str">
        <f t="shared" si="280"/>
        <v>89301000</v>
      </c>
      <c r="B11581" t="str">
        <f>"7312185353"</f>
        <v>7312185353</v>
      </c>
      <c r="C11581" s="1">
        <v>45124</v>
      </c>
      <c r="D11581" s="1">
        <v>45126</v>
      </c>
      <c r="E11581">
        <v>1</v>
      </c>
      <c r="F11581" t="str">
        <f>"08-I04-03"</f>
        <v>08-I04-03</v>
      </c>
      <c r="G11581">
        <v>1.3045</v>
      </c>
      <c r="H11581" t="s">
        <v>14</v>
      </c>
      <c r="I11581" t="s">
        <v>10</v>
      </c>
    </row>
    <row r="11582" spans="1:9" x14ac:dyDescent="0.25">
      <c r="A11582" t="str">
        <f t="shared" si="280"/>
        <v>89301000</v>
      </c>
      <c r="B11582" t="str">
        <f>"7312275388"</f>
        <v>7312275388</v>
      </c>
      <c r="C11582" s="1">
        <v>45105</v>
      </c>
      <c r="D11582" s="1">
        <v>45107</v>
      </c>
      <c r="E11582">
        <v>1</v>
      </c>
      <c r="F11582" t="str">
        <f>"06-I17-04"</f>
        <v>06-I17-04</v>
      </c>
      <c r="G11582">
        <v>0.49869999999999998</v>
      </c>
      <c r="H11582" t="s">
        <v>12</v>
      </c>
      <c r="I11582" t="s">
        <v>10</v>
      </c>
    </row>
    <row r="11583" spans="1:9" x14ac:dyDescent="0.25">
      <c r="A11583" t="str">
        <f t="shared" si="280"/>
        <v>89301000</v>
      </c>
      <c r="B11583" t="str">
        <f>"7312285728"</f>
        <v>7312285728</v>
      </c>
      <c r="C11583" s="1">
        <v>45012</v>
      </c>
      <c r="D11583" s="1">
        <v>45015</v>
      </c>
      <c r="E11583">
        <v>1</v>
      </c>
      <c r="F11583" t="str">
        <f>"08-I23-02"</f>
        <v>08-I23-02</v>
      </c>
      <c r="G11583">
        <v>0.91059999999999997</v>
      </c>
      <c r="H11583" t="s">
        <v>12</v>
      </c>
      <c r="I11583" t="s">
        <v>10</v>
      </c>
    </row>
    <row r="11584" spans="1:9" x14ac:dyDescent="0.25">
      <c r="A11584" t="str">
        <f t="shared" si="280"/>
        <v>89301000</v>
      </c>
      <c r="B11584" t="str">
        <f>"7351025814"</f>
        <v>7351025814</v>
      </c>
      <c r="C11584" s="1">
        <v>44936</v>
      </c>
      <c r="D11584" s="1">
        <v>44942</v>
      </c>
      <c r="E11584">
        <v>1</v>
      </c>
      <c r="F11584" t="str">
        <f>"10-R02-02"</f>
        <v>10-R02-02</v>
      </c>
      <c r="G11584">
        <v>0.66300000000000003</v>
      </c>
      <c r="H11584" t="s">
        <v>9</v>
      </c>
      <c r="I11584" t="s">
        <v>10</v>
      </c>
    </row>
    <row r="11585" spans="1:9" x14ac:dyDescent="0.25">
      <c r="A11585" t="str">
        <f t="shared" si="280"/>
        <v>89301000</v>
      </c>
      <c r="B11585" t="str">
        <f>"7351025814"</f>
        <v>7351025814</v>
      </c>
      <c r="C11585" s="1">
        <v>45050</v>
      </c>
      <c r="D11585" s="1">
        <v>45052</v>
      </c>
      <c r="E11585">
        <v>1</v>
      </c>
      <c r="F11585" t="str">
        <f>"05-M05-02"</f>
        <v>05-M05-02</v>
      </c>
      <c r="G11585">
        <v>3.4817999999999998</v>
      </c>
      <c r="H11585" t="s">
        <v>14</v>
      </c>
      <c r="I11585" t="s">
        <v>10</v>
      </c>
    </row>
    <row r="11586" spans="1:9" x14ac:dyDescent="0.25">
      <c r="A11586" t="str">
        <f t="shared" si="280"/>
        <v>89301000</v>
      </c>
      <c r="B11586" t="str">
        <f>"7351065326"</f>
        <v>7351065326</v>
      </c>
      <c r="C11586" s="1">
        <v>45150</v>
      </c>
      <c r="D11586" s="1">
        <v>45153</v>
      </c>
      <c r="E11586">
        <v>1</v>
      </c>
      <c r="F11586" t="str">
        <f>"06-K02-04"</f>
        <v>06-K02-04</v>
      </c>
      <c r="G11586">
        <v>0.37659999999999999</v>
      </c>
      <c r="H11586" t="s">
        <v>11</v>
      </c>
      <c r="I11586" t="s">
        <v>10</v>
      </c>
    </row>
    <row r="11587" spans="1:9" x14ac:dyDescent="0.25">
      <c r="A11587" t="str">
        <f t="shared" si="280"/>
        <v>89301000</v>
      </c>
      <c r="B11587" t="str">
        <f>"7351135319"</f>
        <v>7351135319</v>
      </c>
      <c r="C11587" s="1">
        <v>45277</v>
      </c>
      <c r="D11587" s="1">
        <v>45279</v>
      </c>
      <c r="E11587">
        <v>1</v>
      </c>
      <c r="F11587" t="str">
        <f>"04-K15-02"</f>
        <v>04-K15-02</v>
      </c>
      <c r="G11587">
        <v>1.1445000000000001</v>
      </c>
      <c r="H11587" t="s">
        <v>11</v>
      </c>
      <c r="I11587" t="s">
        <v>10</v>
      </c>
    </row>
    <row r="11588" spans="1:9" x14ac:dyDescent="0.25">
      <c r="A11588" t="str">
        <f t="shared" si="280"/>
        <v>89301000</v>
      </c>
      <c r="B11588" t="str">
        <f>"7351174457"</f>
        <v>7351174457</v>
      </c>
      <c r="C11588" s="1">
        <v>44993</v>
      </c>
      <c r="D11588" s="1">
        <v>44995</v>
      </c>
      <c r="E11588">
        <v>1</v>
      </c>
      <c r="F11588" t="str">
        <f>"03-K10-01"</f>
        <v>03-K10-01</v>
      </c>
      <c r="G11588">
        <v>0.46660000000000001</v>
      </c>
      <c r="H11588" t="s">
        <v>11</v>
      </c>
      <c r="I11588" t="s">
        <v>10</v>
      </c>
    </row>
    <row r="11589" spans="1:9" x14ac:dyDescent="0.25">
      <c r="A11589" t="str">
        <f t="shared" si="280"/>
        <v>89301000</v>
      </c>
      <c r="B11589" t="str">
        <f>"7351174952"</f>
        <v>7351174952</v>
      </c>
      <c r="C11589" s="1">
        <v>45253</v>
      </c>
      <c r="D11589" s="1">
        <v>45255</v>
      </c>
      <c r="E11589">
        <v>1</v>
      </c>
      <c r="F11589" t="str">
        <f>"05-M05-03"</f>
        <v>05-M05-03</v>
      </c>
      <c r="G11589">
        <v>2.0312999999999999</v>
      </c>
      <c r="H11589" t="s">
        <v>14</v>
      </c>
      <c r="I11589" t="s">
        <v>10</v>
      </c>
    </row>
    <row r="11590" spans="1:9" x14ac:dyDescent="0.25">
      <c r="A11590" t="str">
        <f t="shared" si="280"/>
        <v>89301000</v>
      </c>
      <c r="B11590" t="str">
        <f>"7351195302"</f>
        <v>7351195302</v>
      </c>
      <c r="C11590" s="1">
        <v>45189</v>
      </c>
      <c r="D11590" s="1">
        <v>45191</v>
      </c>
      <c r="E11590">
        <v>1</v>
      </c>
      <c r="F11590" t="str">
        <f>"05-M04-04"</f>
        <v>05-M04-04</v>
      </c>
      <c r="G11590">
        <v>2.4062000000000001</v>
      </c>
      <c r="H11590" t="s">
        <v>12</v>
      </c>
      <c r="I11590" t="s">
        <v>10</v>
      </c>
    </row>
    <row r="11591" spans="1:9" x14ac:dyDescent="0.25">
      <c r="A11591" t="str">
        <f t="shared" si="280"/>
        <v>89301000</v>
      </c>
      <c r="B11591" t="str">
        <f>"7351209470"</f>
        <v>7351209470</v>
      </c>
      <c r="C11591" s="1">
        <v>44929</v>
      </c>
      <c r="D11591" s="1">
        <v>44932</v>
      </c>
      <c r="E11591">
        <v>1</v>
      </c>
      <c r="F11591" t="str">
        <f>"06-I21-03"</f>
        <v>06-I21-03</v>
      </c>
      <c r="G11591">
        <v>0.4572</v>
      </c>
      <c r="H11591" t="s">
        <v>12</v>
      </c>
      <c r="I11591" t="s">
        <v>10</v>
      </c>
    </row>
    <row r="11592" spans="1:9" x14ac:dyDescent="0.25">
      <c r="A11592" t="str">
        <f t="shared" si="280"/>
        <v>89301000</v>
      </c>
      <c r="B11592" t="str">
        <f>"7351225343"</f>
        <v>7351225343</v>
      </c>
      <c r="C11592" s="1">
        <v>45032</v>
      </c>
      <c r="D11592" s="1">
        <v>45037</v>
      </c>
      <c r="E11592">
        <v>1</v>
      </c>
      <c r="F11592" t="str">
        <f>"11-I08-03"</f>
        <v>11-I08-03</v>
      </c>
      <c r="G11592">
        <v>2.0529999999999999</v>
      </c>
      <c r="H11592" t="s">
        <v>9</v>
      </c>
      <c r="I11592" t="s">
        <v>10</v>
      </c>
    </row>
    <row r="11593" spans="1:9" x14ac:dyDescent="0.25">
      <c r="A11593" t="str">
        <f t="shared" si="280"/>
        <v>89301000</v>
      </c>
      <c r="B11593" t="str">
        <f>"7351235804"</f>
        <v>7351235804</v>
      </c>
      <c r="C11593" s="1">
        <v>44944</v>
      </c>
      <c r="D11593" s="1">
        <v>44947</v>
      </c>
      <c r="E11593">
        <v>1</v>
      </c>
      <c r="F11593" t="str">
        <f>"08-M03-05"</f>
        <v>08-M03-05</v>
      </c>
      <c r="G11593">
        <v>0.46810000000000002</v>
      </c>
      <c r="H11593" t="s">
        <v>11</v>
      </c>
      <c r="I11593" t="s">
        <v>10</v>
      </c>
    </row>
    <row r="11594" spans="1:9" x14ac:dyDescent="0.25">
      <c r="A11594" t="str">
        <f t="shared" si="280"/>
        <v>89301000</v>
      </c>
      <c r="B11594" t="str">
        <f t="shared" ref="B11594:B11599" si="282">"7351294467"</f>
        <v>7351294467</v>
      </c>
      <c r="C11594" s="1">
        <v>45230</v>
      </c>
      <c r="D11594" s="1">
        <v>45231</v>
      </c>
      <c r="E11594">
        <v>1</v>
      </c>
      <c r="F11594" t="str">
        <f>"16-C02-00"</f>
        <v>16-C02-00</v>
      </c>
      <c r="G11594">
        <v>5.3061999999999996</v>
      </c>
      <c r="H11594" t="s">
        <v>11</v>
      </c>
      <c r="I11594" t="s">
        <v>10</v>
      </c>
    </row>
    <row r="11595" spans="1:9" x14ac:dyDescent="0.25">
      <c r="A11595" t="str">
        <f t="shared" si="280"/>
        <v>89301000</v>
      </c>
      <c r="B11595" t="str">
        <f t="shared" si="282"/>
        <v>7351294467</v>
      </c>
      <c r="C11595" s="1">
        <v>45253</v>
      </c>
      <c r="D11595" s="1">
        <v>45254</v>
      </c>
      <c r="E11595">
        <v>1</v>
      </c>
      <c r="F11595" t="str">
        <f>"16-C04-01"</f>
        <v>16-C04-01</v>
      </c>
      <c r="G11595">
        <v>5.3311999999999999</v>
      </c>
      <c r="H11595" t="s">
        <v>11</v>
      </c>
      <c r="I11595" t="s">
        <v>10</v>
      </c>
    </row>
    <row r="11596" spans="1:9" x14ac:dyDescent="0.25">
      <c r="A11596" t="str">
        <f t="shared" si="280"/>
        <v>89301000</v>
      </c>
      <c r="B11596" t="str">
        <f t="shared" si="282"/>
        <v>7351294467</v>
      </c>
      <c r="C11596" s="1">
        <v>45264</v>
      </c>
      <c r="D11596" s="1">
        <v>45266</v>
      </c>
      <c r="E11596">
        <v>1</v>
      </c>
      <c r="F11596" t="str">
        <f>"16-C04-01"</f>
        <v>16-C04-01</v>
      </c>
      <c r="G11596">
        <v>5.8670999999999998</v>
      </c>
      <c r="H11596" t="s">
        <v>11</v>
      </c>
      <c r="I11596" t="s">
        <v>10</v>
      </c>
    </row>
    <row r="11597" spans="1:9" x14ac:dyDescent="0.25">
      <c r="A11597" t="str">
        <f t="shared" si="280"/>
        <v>89301000</v>
      </c>
      <c r="B11597" t="str">
        <f t="shared" si="282"/>
        <v>7351294467</v>
      </c>
      <c r="C11597" s="1">
        <v>45012</v>
      </c>
      <c r="D11597" s="1">
        <v>45022</v>
      </c>
      <c r="E11597">
        <v>1</v>
      </c>
      <c r="F11597" t="str">
        <f>"16-C02-00"</f>
        <v>16-C02-00</v>
      </c>
      <c r="G11597">
        <v>2.1978</v>
      </c>
      <c r="H11597" t="s">
        <v>11</v>
      </c>
      <c r="I11597" t="s">
        <v>10</v>
      </c>
    </row>
    <row r="11598" spans="1:9" x14ac:dyDescent="0.25">
      <c r="A11598" t="str">
        <f t="shared" si="280"/>
        <v>89301000</v>
      </c>
      <c r="B11598" t="str">
        <f t="shared" si="282"/>
        <v>7351294467</v>
      </c>
      <c r="C11598" s="1">
        <v>45037</v>
      </c>
      <c r="D11598" s="1">
        <v>45056</v>
      </c>
      <c r="E11598">
        <v>1</v>
      </c>
      <c r="F11598" t="str">
        <f>"16-C02-00"</f>
        <v>16-C02-00</v>
      </c>
      <c r="G11598">
        <v>3.0741999999999998</v>
      </c>
      <c r="H11598" t="s">
        <v>11</v>
      </c>
      <c r="I11598" t="s">
        <v>10</v>
      </c>
    </row>
    <row r="11599" spans="1:9" x14ac:dyDescent="0.25">
      <c r="A11599" t="str">
        <f t="shared" si="280"/>
        <v>89301000</v>
      </c>
      <c r="B11599" t="str">
        <f t="shared" si="282"/>
        <v>7351294467</v>
      </c>
      <c r="C11599" s="1">
        <v>45076</v>
      </c>
      <c r="D11599" s="1">
        <v>45077</v>
      </c>
      <c r="E11599">
        <v>1</v>
      </c>
      <c r="F11599" t="str">
        <f>"16-K03-03"</f>
        <v>16-K03-03</v>
      </c>
      <c r="G11599">
        <v>0.71660000000000001</v>
      </c>
      <c r="H11599" t="s">
        <v>11</v>
      </c>
      <c r="I11599" t="s">
        <v>10</v>
      </c>
    </row>
    <row r="11600" spans="1:9" x14ac:dyDescent="0.25">
      <c r="A11600" t="str">
        <f t="shared" si="280"/>
        <v>89301000</v>
      </c>
      <c r="B11600" t="str">
        <f>"7351295347"</f>
        <v>7351295347</v>
      </c>
      <c r="C11600" s="1">
        <v>45100</v>
      </c>
      <c r="D11600" s="1">
        <v>45104</v>
      </c>
      <c r="E11600">
        <v>1</v>
      </c>
      <c r="F11600" t="str">
        <f>"04-K14-03"</f>
        <v>04-K14-03</v>
      </c>
      <c r="G11600">
        <v>0.76649999999999996</v>
      </c>
      <c r="H11600" t="s">
        <v>11</v>
      </c>
      <c r="I11600" t="s">
        <v>10</v>
      </c>
    </row>
    <row r="11601" spans="1:9" x14ac:dyDescent="0.25">
      <c r="A11601" t="str">
        <f t="shared" si="280"/>
        <v>89301000</v>
      </c>
      <c r="B11601" t="str">
        <f>"7351309999"</f>
        <v>7351309999</v>
      </c>
      <c r="C11601" s="1">
        <v>45082</v>
      </c>
      <c r="D11601" s="1">
        <v>45093</v>
      </c>
      <c r="E11601">
        <v>1</v>
      </c>
      <c r="F11601" t="str">
        <f>"20-K04-02"</f>
        <v>20-K04-02</v>
      </c>
      <c r="G11601">
        <v>1.3379000000000001</v>
      </c>
      <c r="H11601" t="s">
        <v>11</v>
      </c>
      <c r="I11601" t="s">
        <v>10</v>
      </c>
    </row>
    <row r="11602" spans="1:9" x14ac:dyDescent="0.25">
      <c r="A11602" t="str">
        <f t="shared" si="280"/>
        <v>89301000</v>
      </c>
      <c r="B11602" t="str">
        <f>"7351309999"</f>
        <v>7351309999</v>
      </c>
      <c r="C11602" s="1">
        <v>45280</v>
      </c>
      <c r="D11602" s="1">
        <v>45288</v>
      </c>
      <c r="E11602">
        <v>1</v>
      </c>
      <c r="F11602" t="str">
        <f>"07-K02-03"</f>
        <v>07-K02-03</v>
      </c>
      <c r="G11602">
        <v>0.78139999999999998</v>
      </c>
      <c r="H11602" t="s">
        <v>11</v>
      </c>
      <c r="I11602" t="s">
        <v>10</v>
      </c>
    </row>
    <row r="11603" spans="1:9" x14ac:dyDescent="0.25">
      <c r="A11603" t="str">
        <f t="shared" si="280"/>
        <v>89301000</v>
      </c>
      <c r="B11603" t="str">
        <f>"7352075324"</f>
        <v>7352075324</v>
      </c>
      <c r="C11603" s="1">
        <v>45117</v>
      </c>
      <c r="D11603" s="1">
        <v>45128</v>
      </c>
      <c r="E11603">
        <v>1</v>
      </c>
      <c r="F11603" t="str">
        <f>"24-M06-02"</f>
        <v>24-M06-02</v>
      </c>
      <c r="G11603">
        <v>1.0699000000000001</v>
      </c>
      <c r="H11603" t="s">
        <v>11</v>
      </c>
      <c r="I11603" t="s">
        <v>10</v>
      </c>
    </row>
    <row r="11604" spans="1:9" x14ac:dyDescent="0.25">
      <c r="A11604" t="str">
        <f t="shared" si="280"/>
        <v>89301000</v>
      </c>
      <c r="B11604" t="str">
        <f>"7352125759"</f>
        <v>7352125759</v>
      </c>
      <c r="C11604" s="1">
        <v>45260</v>
      </c>
      <c r="D11604" s="1">
        <v>45261</v>
      </c>
      <c r="E11604">
        <v>1</v>
      </c>
      <c r="F11604" t="str">
        <f>"01-D01-03"</f>
        <v>01-D01-03</v>
      </c>
      <c r="G11604">
        <v>0.16200000000000001</v>
      </c>
      <c r="H11604" t="s">
        <v>11</v>
      </c>
      <c r="I11604" t="s">
        <v>10</v>
      </c>
    </row>
    <row r="11605" spans="1:9" x14ac:dyDescent="0.25">
      <c r="A11605" t="str">
        <f t="shared" si="280"/>
        <v>89301000</v>
      </c>
      <c r="B11605" t="str">
        <f>"7352164457"</f>
        <v>7352164457</v>
      </c>
      <c r="C11605" s="1">
        <v>44971</v>
      </c>
      <c r="D11605" s="1">
        <v>44990</v>
      </c>
      <c r="E11605">
        <v>1</v>
      </c>
      <c r="F11605" t="str">
        <f>"19-K05-02"</f>
        <v>19-K05-02</v>
      </c>
      <c r="G11605">
        <v>1.7688999999999999</v>
      </c>
      <c r="H11605" t="s">
        <v>15</v>
      </c>
      <c r="I11605" t="s">
        <v>10</v>
      </c>
    </row>
    <row r="11606" spans="1:9" x14ac:dyDescent="0.25">
      <c r="A11606" t="str">
        <f t="shared" si="280"/>
        <v>89301000</v>
      </c>
      <c r="B11606" t="str">
        <f>"7352165623"</f>
        <v>7352165623</v>
      </c>
      <c r="C11606" s="1">
        <v>44979</v>
      </c>
      <c r="D11606" s="1">
        <v>45014</v>
      </c>
      <c r="E11606">
        <v>8</v>
      </c>
      <c r="F11606" t="str">
        <f>"00-M01-04"</f>
        <v>00-M01-04</v>
      </c>
      <c r="G11606">
        <v>12.4244</v>
      </c>
      <c r="H11606" t="s">
        <v>11</v>
      </c>
      <c r="I11606" t="s">
        <v>10</v>
      </c>
    </row>
    <row r="11607" spans="1:9" x14ac:dyDescent="0.25">
      <c r="A11607" t="str">
        <f t="shared" si="280"/>
        <v>89301000</v>
      </c>
      <c r="B11607" t="str">
        <f>"7352254877"</f>
        <v>7352254877</v>
      </c>
      <c r="C11607" s="1">
        <v>45231</v>
      </c>
      <c r="D11607" s="1">
        <v>45233</v>
      </c>
      <c r="E11607">
        <v>1</v>
      </c>
      <c r="F11607" t="str">
        <f>"03-I19-03"</f>
        <v>03-I19-03</v>
      </c>
      <c r="G11607">
        <v>0.53249999999999997</v>
      </c>
      <c r="H11607" t="s">
        <v>11</v>
      </c>
      <c r="I11607" t="s">
        <v>10</v>
      </c>
    </row>
    <row r="11608" spans="1:9" x14ac:dyDescent="0.25">
      <c r="A11608" t="str">
        <f t="shared" si="280"/>
        <v>89301000</v>
      </c>
      <c r="B11608" t="str">
        <f>"7353055457"</f>
        <v>7353055457</v>
      </c>
      <c r="C11608" s="1">
        <v>45139</v>
      </c>
      <c r="D11608" s="1">
        <v>45156</v>
      </c>
      <c r="E11608">
        <v>1</v>
      </c>
      <c r="F11608" t="str">
        <f>"04-R02-07"</f>
        <v>04-R02-07</v>
      </c>
      <c r="G11608">
        <v>1.4739</v>
      </c>
      <c r="H11608" t="s">
        <v>11</v>
      </c>
      <c r="I11608" t="s">
        <v>10</v>
      </c>
    </row>
    <row r="11609" spans="1:9" x14ac:dyDescent="0.25">
      <c r="A11609" t="str">
        <f t="shared" si="280"/>
        <v>89301000</v>
      </c>
      <c r="B11609" t="str">
        <f>"7353055457"</f>
        <v>7353055457</v>
      </c>
      <c r="C11609" s="1">
        <v>45012</v>
      </c>
      <c r="D11609" s="1">
        <v>45014</v>
      </c>
      <c r="E11609">
        <v>1</v>
      </c>
      <c r="F11609" t="str">
        <f>"04-K09-02"</f>
        <v>04-K09-02</v>
      </c>
      <c r="G11609">
        <v>1.155</v>
      </c>
      <c r="H11609" t="s">
        <v>11</v>
      </c>
      <c r="I11609" t="s">
        <v>10</v>
      </c>
    </row>
    <row r="11610" spans="1:9" x14ac:dyDescent="0.25">
      <c r="A11610" t="str">
        <f t="shared" si="280"/>
        <v>89301000</v>
      </c>
      <c r="B11610" t="str">
        <f>"7353104484"</f>
        <v>7353104484</v>
      </c>
      <c r="C11610" s="1">
        <v>45056</v>
      </c>
      <c r="D11610" s="1">
        <v>45059</v>
      </c>
      <c r="E11610">
        <v>1</v>
      </c>
      <c r="F11610" t="str">
        <f>"09-I08-02"</f>
        <v>09-I08-02</v>
      </c>
      <c r="G11610">
        <v>1.1143000000000001</v>
      </c>
      <c r="H11610" t="s">
        <v>14</v>
      </c>
      <c r="I11610" t="s">
        <v>10</v>
      </c>
    </row>
    <row r="11611" spans="1:9" x14ac:dyDescent="0.25">
      <c r="A11611" t="str">
        <f t="shared" si="280"/>
        <v>89301000</v>
      </c>
      <c r="B11611" t="str">
        <f>"7353125318"</f>
        <v>7353125318</v>
      </c>
      <c r="C11611" s="1">
        <v>45005</v>
      </c>
      <c r="D11611" s="1">
        <v>45009</v>
      </c>
      <c r="E11611">
        <v>1</v>
      </c>
      <c r="F11611" t="str">
        <f>"08-K04-03"</f>
        <v>08-K04-03</v>
      </c>
      <c r="G11611">
        <v>0.41799999999999998</v>
      </c>
      <c r="H11611" t="s">
        <v>11</v>
      </c>
      <c r="I11611" t="s">
        <v>10</v>
      </c>
    </row>
    <row r="11612" spans="1:9" x14ac:dyDescent="0.25">
      <c r="A11612" t="str">
        <f t="shared" si="280"/>
        <v>89301000</v>
      </c>
      <c r="B11612" t="str">
        <f>"7353233668"</f>
        <v>7353233668</v>
      </c>
      <c r="C11612" s="1">
        <v>45259</v>
      </c>
      <c r="D11612" s="1">
        <v>45261</v>
      </c>
      <c r="E11612">
        <v>1</v>
      </c>
      <c r="F11612" t="str">
        <f>"08-M03-05"</f>
        <v>08-M03-05</v>
      </c>
      <c r="G11612">
        <v>0.46810000000000002</v>
      </c>
      <c r="H11612" t="s">
        <v>11</v>
      </c>
      <c r="I11612" t="s">
        <v>10</v>
      </c>
    </row>
    <row r="11613" spans="1:9" x14ac:dyDescent="0.25">
      <c r="A11613" t="str">
        <f t="shared" si="280"/>
        <v>89301000</v>
      </c>
      <c r="B11613" t="str">
        <f>"7353235318"</f>
        <v>7353235318</v>
      </c>
      <c r="C11613" s="1">
        <v>45238</v>
      </c>
      <c r="D11613" s="1">
        <v>45240</v>
      </c>
      <c r="E11613">
        <v>1</v>
      </c>
      <c r="F11613" t="str">
        <f>"05-I30-01"</f>
        <v>05-I30-01</v>
      </c>
      <c r="G11613">
        <v>0.60350000000000004</v>
      </c>
      <c r="H11613" t="s">
        <v>12</v>
      </c>
      <c r="I11613" t="s">
        <v>10</v>
      </c>
    </row>
    <row r="11614" spans="1:9" x14ac:dyDescent="0.25">
      <c r="A11614" t="str">
        <f t="shared" si="280"/>
        <v>89301000</v>
      </c>
      <c r="B11614" t="str">
        <f>"7353235340"</f>
        <v>7353235340</v>
      </c>
      <c r="C11614" s="1">
        <v>45267</v>
      </c>
      <c r="D11614" s="1">
        <v>45268</v>
      </c>
      <c r="E11614">
        <v>1</v>
      </c>
      <c r="F11614" t="str">
        <f>"13-I19-00"</f>
        <v>13-I19-00</v>
      </c>
      <c r="G11614">
        <v>0.28270000000000001</v>
      </c>
      <c r="H11614" t="s">
        <v>11</v>
      </c>
      <c r="I11614" t="s">
        <v>10</v>
      </c>
    </row>
    <row r="11615" spans="1:9" x14ac:dyDescent="0.25">
      <c r="A11615" t="str">
        <f t="shared" si="280"/>
        <v>89301000</v>
      </c>
      <c r="B11615" t="str">
        <f>"7353284477"</f>
        <v>7353284477</v>
      </c>
      <c r="C11615" s="1">
        <v>45253</v>
      </c>
      <c r="D11615" s="1">
        <v>45255</v>
      </c>
      <c r="E11615">
        <v>1</v>
      </c>
      <c r="F11615" t="str">
        <f>"11-I17-03"</f>
        <v>11-I17-03</v>
      </c>
      <c r="G11615">
        <v>0.45600000000000002</v>
      </c>
      <c r="H11615" t="s">
        <v>11</v>
      </c>
      <c r="I11615" t="s">
        <v>10</v>
      </c>
    </row>
    <row r="11616" spans="1:9" x14ac:dyDescent="0.25">
      <c r="A11616" t="str">
        <f t="shared" si="280"/>
        <v>89301000</v>
      </c>
      <c r="B11616" t="str">
        <f>"7353284873"</f>
        <v>7353284873</v>
      </c>
      <c r="C11616" s="1">
        <v>44984</v>
      </c>
      <c r="D11616" s="1">
        <v>44986</v>
      </c>
      <c r="E11616">
        <v>1</v>
      </c>
      <c r="F11616" t="str">
        <f>"09-I04-02"</f>
        <v>09-I04-02</v>
      </c>
      <c r="G11616">
        <v>1.0899000000000001</v>
      </c>
      <c r="H11616" t="s">
        <v>12</v>
      </c>
      <c r="I11616" t="s">
        <v>10</v>
      </c>
    </row>
    <row r="11617" spans="1:9" x14ac:dyDescent="0.25">
      <c r="A11617" t="str">
        <f t="shared" si="280"/>
        <v>89301000</v>
      </c>
      <c r="B11617" t="str">
        <f>"7353305256"</f>
        <v>7353305256</v>
      </c>
      <c r="C11617" s="1">
        <v>45203</v>
      </c>
      <c r="D11617" s="1">
        <v>45205</v>
      </c>
      <c r="E11617">
        <v>1</v>
      </c>
      <c r="F11617" t="str">
        <f>"05-M05-03"</f>
        <v>05-M05-03</v>
      </c>
      <c r="G11617">
        <v>2.0312999999999999</v>
      </c>
      <c r="H11617" t="s">
        <v>14</v>
      </c>
      <c r="I11617" t="s">
        <v>10</v>
      </c>
    </row>
    <row r="11618" spans="1:9" x14ac:dyDescent="0.25">
      <c r="A11618" t="str">
        <f t="shared" ref="A11618:A11680" si="283">"89301000"</f>
        <v>89301000</v>
      </c>
      <c r="B11618" t="str">
        <f>"7354044489"</f>
        <v>7354044489</v>
      </c>
      <c r="C11618" s="1">
        <v>45144</v>
      </c>
      <c r="D11618" s="1">
        <v>45154</v>
      </c>
      <c r="E11618">
        <v>1</v>
      </c>
      <c r="F11618" t="str">
        <f>"06-I13-02"</f>
        <v>06-I13-02</v>
      </c>
      <c r="G11618">
        <v>2.1128999999999998</v>
      </c>
      <c r="H11618" t="s">
        <v>11</v>
      </c>
      <c r="I11618" t="s">
        <v>10</v>
      </c>
    </row>
    <row r="11619" spans="1:9" x14ac:dyDescent="0.25">
      <c r="A11619" t="str">
        <f t="shared" si="283"/>
        <v>89301000</v>
      </c>
      <c r="B11619" t="str">
        <f>"7354104494"</f>
        <v>7354104494</v>
      </c>
      <c r="C11619" s="1">
        <v>44963</v>
      </c>
      <c r="D11619" s="1">
        <v>44965</v>
      </c>
      <c r="E11619">
        <v>1</v>
      </c>
      <c r="F11619" t="str">
        <f>"08-I17-02"</f>
        <v>08-I17-02</v>
      </c>
      <c r="G11619">
        <v>0.89680000000000004</v>
      </c>
      <c r="H11619" t="s">
        <v>11</v>
      </c>
      <c r="I11619" t="s">
        <v>10</v>
      </c>
    </row>
    <row r="11620" spans="1:9" x14ac:dyDescent="0.25">
      <c r="A11620" t="str">
        <f t="shared" si="283"/>
        <v>89301000</v>
      </c>
      <c r="B11620" t="str">
        <f>"7354204495"</f>
        <v>7354204495</v>
      </c>
      <c r="C11620" s="1">
        <v>44978</v>
      </c>
      <c r="D11620" s="1">
        <v>44980</v>
      </c>
      <c r="E11620">
        <v>1</v>
      </c>
      <c r="F11620" t="str">
        <f>"05-M05-02"</f>
        <v>05-M05-02</v>
      </c>
      <c r="G11620">
        <v>3.4817999999999998</v>
      </c>
      <c r="H11620" t="s">
        <v>14</v>
      </c>
      <c r="I11620" t="s">
        <v>10</v>
      </c>
    </row>
    <row r="11621" spans="1:9" x14ac:dyDescent="0.25">
      <c r="A11621" t="str">
        <f t="shared" si="283"/>
        <v>89301000</v>
      </c>
      <c r="B11621" t="str">
        <f>"7354204594"</f>
        <v>7354204594</v>
      </c>
      <c r="C11621" s="1">
        <v>45194</v>
      </c>
      <c r="D11621" s="1">
        <v>45201</v>
      </c>
      <c r="E11621">
        <v>1</v>
      </c>
      <c r="F11621" t="str">
        <f>"09-K02-00"</f>
        <v>09-K02-00</v>
      </c>
      <c r="G11621">
        <v>0.99539999999999995</v>
      </c>
      <c r="H11621" t="s">
        <v>11</v>
      </c>
      <c r="I11621" t="s">
        <v>10</v>
      </c>
    </row>
    <row r="11622" spans="1:9" x14ac:dyDescent="0.25">
      <c r="A11622" t="str">
        <f t="shared" si="283"/>
        <v>89301000</v>
      </c>
      <c r="B11622" t="str">
        <f>"7354205309"</f>
        <v>7354205309</v>
      </c>
      <c r="C11622" s="1">
        <v>45139</v>
      </c>
      <c r="D11622" s="1">
        <v>45142</v>
      </c>
      <c r="E11622">
        <v>1</v>
      </c>
      <c r="F11622" t="str">
        <f>"07-K02-03"</f>
        <v>07-K02-03</v>
      </c>
      <c r="G11622">
        <v>0.78139999999999998</v>
      </c>
      <c r="H11622" t="s">
        <v>11</v>
      </c>
      <c r="I11622" t="s">
        <v>10</v>
      </c>
    </row>
    <row r="11623" spans="1:9" x14ac:dyDescent="0.25">
      <c r="A11623" t="str">
        <f t="shared" si="283"/>
        <v>89301000</v>
      </c>
      <c r="B11623" t="str">
        <f>"7354215319"</f>
        <v>7354215319</v>
      </c>
      <c r="C11623" s="1">
        <v>45082</v>
      </c>
      <c r="D11623" s="1">
        <v>45087</v>
      </c>
      <c r="E11623">
        <v>1</v>
      </c>
      <c r="F11623" t="str">
        <f>"06-I12-03"</f>
        <v>06-I12-03</v>
      </c>
      <c r="G11623">
        <v>1.9540999999999999</v>
      </c>
      <c r="H11623" t="s">
        <v>11</v>
      </c>
      <c r="I11623" t="s">
        <v>10</v>
      </c>
    </row>
    <row r="11624" spans="1:9" x14ac:dyDescent="0.25">
      <c r="A11624" t="str">
        <f t="shared" si="283"/>
        <v>89301000</v>
      </c>
      <c r="B11624" t="str">
        <f>"7354215319"</f>
        <v>7354215319</v>
      </c>
      <c r="C11624" s="1">
        <v>44993</v>
      </c>
      <c r="D11624" s="1">
        <v>45000</v>
      </c>
      <c r="E11624">
        <v>1</v>
      </c>
      <c r="F11624" t="str">
        <f>"06-I05-04"</f>
        <v>06-I05-04</v>
      </c>
      <c r="G11624">
        <v>3.2768999999999999</v>
      </c>
      <c r="H11624" t="s">
        <v>12</v>
      </c>
      <c r="I11624" t="s">
        <v>10</v>
      </c>
    </row>
    <row r="11625" spans="1:9" x14ac:dyDescent="0.25">
      <c r="A11625" t="str">
        <f t="shared" si="283"/>
        <v>89301000</v>
      </c>
      <c r="B11625" t="str">
        <f>"7355025788"</f>
        <v>7355025788</v>
      </c>
      <c r="C11625" s="1">
        <v>44966</v>
      </c>
      <c r="D11625" s="1">
        <v>44967</v>
      </c>
      <c r="E11625">
        <v>1</v>
      </c>
      <c r="F11625" t="str">
        <f>"09-I13-04"</f>
        <v>09-I13-04</v>
      </c>
      <c r="G11625">
        <v>0.54139999999999999</v>
      </c>
      <c r="H11625" t="s">
        <v>11</v>
      </c>
      <c r="I11625" t="s">
        <v>10</v>
      </c>
    </row>
    <row r="11626" spans="1:9" x14ac:dyDescent="0.25">
      <c r="A11626" t="str">
        <f t="shared" si="283"/>
        <v>89301000</v>
      </c>
      <c r="B11626" t="str">
        <f>"7355066114"</f>
        <v>7355066114</v>
      </c>
      <c r="C11626" s="1">
        <v>45243</v>
      </c>
      <c r="D11626" s="1">
        <v>45246</v>
      </c>
      <c r="E11626">
        <v>1</v>
      </c>
      <c r="F11626" t="str">
        <f>"13-I13-02"</f>
        <v>13-I13-02</v>
      </c>
      <c r="G11626">
        <v>0.94840000000000002</v>
      </c>
      <c r="H11626" t="s">
        <v>12</v>
      </c>
      <c r="I11626" t="s">
        <v>10</v>
      </c>
    </row>
    <row r="11627" spans="1:9" x14ac:dyDescent="0.25">
      <c r="A11627" t="str">
        <f t="shared" si="283"/>
        <v>89301000</v>
      </c>
      <c r="B11627" t="str">
        <f>"7355075794"</f>
        <v>7355075794</v>
      </c>
      <c r="C11627" s="1">
        <v>44945</v>
      </c>
      <c r="D11627" s="1">
        <v>44953</v>
      </c>
      <c r="E11627">
        <v>1</v>
      </c>
      <c r="F11627" t="str">
        <f>"04-C01-01"</f>
        <v>04-C01-01</v>
      </c>
      <c r="G11627">
        <v>1.9531000000000001</v>
      </c>
      <c r="H11627" t="s">
        <v>11</v>
      </c>
      <c r="I11627" t="s">
        <v>10</v>
      </c>
    </row>
    <row r="11628" spans="1:9" x14ac:dyDescent="0.25">
      <c r="A11628" t="str">
        <f t="shared" si="283"/>
        <v>89301000</v>
      </c>
      <c r="B11628" t="str">
        <f>"7355165774"</f>
        <v>7355165774</v>
      </c>
      <c r="C11628" s="1">
        <v>45104</v>
      </c>
      <c r="D11628" s="1">
        <v>45105</v>
      </c>
      <c r="E11628">
        <v>1</v>
      </c>
      <c r="F11628" t="str">
        <f>"03-K13-02"</f>
        <v>03-K13-02</v>
      </c>
      <c r="G11628">
        <v>0.24440000000000001</v>
      </c>
      <c r="H11628" t="s">
        <v>11</v>
      </c>
      <c r="I11628" t="s">
        <v>10</v>
      </c>
    </row>
    <row r="11629" spans="1:9" x14ac:dyDescent="0.25">
      <c r="A11629" t="str">
        <f t="shared" si="283"/>
        <v>89301000</v>
      </c>
      <c r="B11629" t="str">
        <f>"7355225350"</f>
        <v>7355225350</v>
      </c>
      <c r="C11629" s="1">
        <v>44927</v>
      </c>
      <c r="D11629" s="1">
        <v>44935</v>
      </c>
      <c r="E11629">
        <v>1</v>
      </c>
      <c r="F11629" t="str">
        <f>"01-K11-03"</f>
        <v>01-K11-03</v>
      </c>
      <c r="G11629">
        <v>1.6458999999999999</v>
      </c>
      <c r="H11629" t="s">
        <v>11</v>
      </c>
      <c r="I11629" t="s">
        <v>10</v>
      </c>
    </row>
    <row r="11630" spans="1:9" x14ac:dyDescent="0.25">
      <c r="A11630" t="str">
        <f t="shared" si="283"/>
        <v>89301000</v>
      </c>
      <c r="B11630" t="str">
        <f>"7355255776"</f>
        <v>7355255776</v>
      </c>
      <c r="C11630" s="1">
        <v>44969</v>
      </c>
      <c r="D11630" s="1">
        <v>44977</v>
      </c>
      <c r="E11630">
        <v>6</v>
      </c>
      <c r="F11630" t="str">
        <f>"06-I07-05"</f>
        <v>06-I07-05</v>
      </c>
      <c r="G11630">
        <v>2.7919999999999998</v>
      </c>
      <c r="H11630" t="s">
        <v>12</v>
      </c>
      <c r="I11630" t="s">
        <v>10</v>
      </c>
    </row>
    <row r="11631" spans="1:9" x14ac:dyDescent="0.25">
      <c r="A11631" t="str">
        <f t="shared" si="283"/>
        <v>89301000</v>
      </c>
      <c r="B11631" t="str">
        <f>"7356025380"</f>
        <v>7356025380</v>
      </c>
      <c r="C11631" s="1">
        <v>45019</v>
      </c>
      <c r="D11631" s="1">
        <v>45021</v>
      </c>
      <c r="E11631">
        <v>1</v>
      </c>
      <c r="F11631" t="str">
        <f>"01-K18-04"</f>
        <v>01-K18-04</v>
      </c>
      <c r="G11631">
        <v>0.54610000000000003</v>
      </c>
      <c r="H11631" t="s">
        <v>11</v>
      </c>
      <c r="I11631" t="s">
        <v>10</v>
      </c>
    </row>
    <row r="11632" spans="1:9" x14ac:dyDescent="0.25">
      <c r="A11632" t="str">
        <f t="shared" si="283"/>
        <v>89301000</v>
      </c>
      <c r="B11632" t="str">
        <f>"7356025380"</f>
        <v>7356025380</v>
      </c>
      <c r="C11632" s="1">
        <v>45287</v>
      </c>
      <c r="D11632" s="1">
        <v>45289</v>
      </c>
      <c r="E11632">
        <v>1</v>
      </c>
      <c r="F11632" t="str">
        <f>"01-K01-02"</f>
        <v>01-K01-02</v>
      </c>
      <c r="G11632">
        <v>0.442</v>
      </c>
      <c r="H11632" t="s">
        <v>11</v>
      </c>
      <c r="I11632" t="s">
        <v>10</v>
      </c>
    </row>
    <row r="11633" spans="1:9" x14ac:dyDescent="0.25">
      <c r="A11633" t="str">
        <f t="shared" si="283"/>
        <v>89301000</v>
      </c>
      <c r="B11633" t="str">
        <f>"7356065321"</f>
        <v>7356065321</v>
      </c>
      <c r="C11633" s="1">
        <v>45050</v>
      </c>
      <c r="D11633" s="1">
        <v>45056</v>
      </c>
      <c r="E11633">
        <v>1</v>
      </c>
      <c r="F11633" t="str">
        <f>"13-I04-04"</f>
        <v>13-I04-04</v>
      </c>
      <c r="G11633">
        <v>2.0345</v>
      </c>
      <c r="H11633" t="s">
        <v>14</v>
      </c>
      <c r="I11633" t="s">
        <v>10</v>
      </c>
    </row>
    <row r="11634" spans="1:9" x14ac:dyDescent="0.25">
      <c r="A11634" t="str">
        <f t="shared" si="283"/>
        <v>89301000</v>
      </c>
      <c r="B11634" t="str">
        <f>"7356124886"</f>
        <v>7356124886</v>
      </c>
      <c r="C11634" s="1">
        <v>45014</v>
      </c>
      <c r="D11634" s="1">
        <v>45016</v>
      </c>
      <c r="E11634">
        <v>1</v>
      </c>
      <c r="F11634" t="str">
        <f>"03-I23-02"</f>
        <v>03-I23-02</v>
      </c>
      <c r="G11634">
        <v>0.58609999999999995</v>
      </c>
      <c r="H11634" t="s">
        <v>11</v>
      </c>
      <c r="I11634" t="s">
        <v>10</v>
      </c>
    </row>
    <row r="11635" spans="1:9" x14ac:dyDescent="0.25">
      <c r="A11635" t="str">
        <f t="shared" si="283"/>
        <v>89301000</v>
      </c>
      <c r="B11635" t="str">
        <f>"7356255324"</f>
        <v>7356255324</v>
      </c>
      <c r="C11635" s="1">
        <v>44973</v>
      </c>
      <c r="D11635" s="1">
        <v>44975</v>
      </c>
      <c r="E11635">
        <v>1</v>
      </c>
      <c r="F11635" t="str">
        <f>"13-I19-00"</f>
        <v>13-I19-00</v>
      </c>
      <c r="G11635">
        <v>0.28249999999999997</v>
      </c>
      <c r="H11635" t="s">
        <v>11</v>
      </c>
      <c r="I11635" t="s">
        <v>10</v>
      </c>
    </row>
    <row r="11636" spans="1:9" x14ac:dyDescent="0.25">
      <c r="A11636" t="str">
        <f t="shared" si="283"/>
        <v>89301000</v>
      </c>
      <c r="B11636" t="str">
        <f>"7356275344"</f>
        <v>7356275344</v>
      </c>
      <c r="C11636" s="1">
        <v>45267</v>
      </c>
      <c r="D11636" s="1">
        <v>45272</v>
      </c>
      <c r="E11636">
        <v>1</v>
      </c>
      <c r="F11636" t="str">
        <f>"09-I09-02"</f>
        <v>09-I09-02</v>
      </c>
      <c r="G11636">
        <v>0.76900000000000002</v>
      </c>
      <c r="H11636" t="s">
        <v>12</v>
      </c>
      <c r="I11636" t="s">
        <v>10</v>
      </c>
    </row>
    <row r="11637" spans="1:9" x14ac:dyDescent="0.25">
      <c r="A11637" t="str">
        <f t="shared" si="283"/>
        <v>89301000</v>
      </c>
      <c r="B11637" t="str">
        <f>"7356304472"</f>
        <v>7356304472</v>
      </c>
      <c r="C11637" s="1">
        <v>45277</v>
      </c>
      <c r="D11637" s="1">
        <v>45285</v>
      </c>
      <c r="E11637">
        <v>1</v>
      </c>
      <c r="F11637" t="str">
        <f>"08-I04-03"</f>
        <v>08-I04-03</v>
      </c>
      <c r="G11637">
        <v>1.3045</v>
      </c>
      <c r="H11637" t="s">
        <v>14</v>
      </c>
      <c r="I11637" t="s">
        <v>10</v>
      </c>
    </row>
    <row r="11638" spans="1:9" x14ac:dyDescent="0.25">
      <c r="A11638" t="str">
        <f t="shared" si="283"/>
        <v>89301000</v>
      </c>
      <c r="B11638" t="str">
        <f>"7357035158"</f>
        <v>7357035158</v>
      </c>
      <c r="C11638" s="1">
        <v>44956</v>
      </c>
      <c r="D11638" s="1">
        <v>44960</v>
      </c>
      <c r="E11638">
        <v>1</v>
      </c>
      <c r="F11638" t="str">
        <f>"08-K01-03"</f>
        <v>08-K01-03</v>
      </c>
      <c r="G11638">
        <v>0.59189999999999998</v>
      </c>
      <c r="H11638" t="s">
        <v>11</v>
      </c>
      <c r="I11638" t="s">
        <v>10</v>
      </c>
    </row>
    <row r="11639" spans="1:9" x14ac:dyDescent="0.25">
      <c r="A11639" t="str">
        <f t="shared" si="283"/>
        <v>89301000</v>
      </c>
      <c r="B11639" t="str">
        <f>"7357035763"</f>
        <v>7357035763</v>
      </c>
      <c r="C11639" s="1">
        <v>44944</v>
      </c>
      <c r="D11639" s="1">
        <v>44948</v>
      </c>
      <c r="E11639">
        <v>1</v>
      </c>
      <c r="F11639" t="str">
        <f>"09-I07-02"</f>
        <v>09-I07-02</v>
      </c>
      <c r="G11639">
        <v>1.3452999999999999</v>
      </c>
      <c r="H11639" t="s">
        <v>14</v>
      </c>
      <c r="I11639" t="s">
        <v>10</v>
      </c>
    </row>
    <row r="11640" spans="1:9" x14ac:dyDescent="0.25">
      <c r="A11640" t="str">
        <f t="shared" si="283"/>
        <v>89301000</v>
      </c>
      <c r="B11640" t="str">
        <f>"7357045366"</f>
        <v>7357045366</v>
      </c>
      <c r="C11640" s="1">
        <v>44939</v>
      </c>
      <c r="D11640" s="1">
        <v>44945</v>
      </c>
      <c r="E11640">
        <v>1</v>
      </c>
      <c r="F11640" t="str">
        <f>"06-K14-01"</f>
        <v>06-K14-01</v>
      </c>
      <c r="G11640">
        <v>1.2667999999999999</v>
      </c>
      <c r="H11640" t="s">
        <v>11</v>
      </c>
      <c r="I11640" t="s">
        <v>10</v>
      </c>
    </row>
    <row r="11641" spans="1:9" x14ac:dyDescent="0.25">
      <c r="A11641" t="str">
        <f t="shared" si="283"/>
        <v>89301000</v>
      </c>
      <c r="B11641" t="str">
        <f>"7357045366"</f>
        <v>7357045366</v>
      </c>
      <c r="C11641" s="1">
        <v>44998</v>
      </c>
      <c r="D11641" s="1">
        <v>45001</v>
      </c>
      <c r="E11641">
        <v>1</v>
      </c>
      <c r="F11641" t="str">
        <f>"06-K14-02"</f>
        <v>06-K14-02</v>
      </c>
      <c r="G11641">
        <v>0.5766</v>
      </c>
      <c r="H11641" t="s">
        <v>11</v>
      </c>
      <c r="I11641" t="s">
        <v>10</v>
      </c>
    </row>
    <row r="11642" spans="1:9" x14ac:dyDescent="0.25">
      <c r="A11642" t="str">
        <f t="shared" si="283"/>
        <v>89301000</v>
      </c>
      <c r="B11642" t="str">
        <f>"7357094459"</f>
        <v>7357094459</v>
      </c>
      <c r="C11642" s="1">
        <v>45161</v>
      </c>
      <c r="D11642" s="1">
        <v>45162</v>
      </c>
      <c r="E11642">
        <v>1</v>
      </c>
      <c r="F11642" t="str">
        <f>"13-I19-00"</f>
        <v>13-I19-00</v>
      </c>
      <c r="G11642">
        <v>0.28249999999999997</v>
      </c>
      <c r="H11642" t="s">
        <v>11</v>
      </c>
      <c r="I11642" t="s">
        <v>10</v>
      </c>
    </row>
    <row r="11643" spans="1:9" x14ac:dyDescent="0.25">
      <c r="A11643" t="str">
        <f t="shared" si="283"/>
        <v>89301000</v>
      </c>
      <c r="B11643" t="str">
        <f>"7357105360"</f>
        <v>7357105360</v>
      </c>
      <c r="C11643" s="1">
        <v>45018</v>
      </c>
      <c r="D11643" s="1">
        <v>45020</v>
      </c>
      <c r="E11643">
        <v>1</v>
      </c>
      <c r="F11643" t="str">
        <f>"05-K14-03"</f>
        <v>05-K14-03</v>
      </c>
      <c r="G11643">
        <v>0.3962</v>
      </c>
      <c r="H11643" t="s">
        <v>11</v>
      </c>
      <c r="I11643" t="s">
        <v>10</v>
      </c>
    </row>
    <row r="11644" spans="1:9" x14ac:dyDescent="0.25">
      <c r="A11644" t="str">
        <f t="shared" si="283"/>
        <v>89301000</v>
      </c>
      <c r="B11644" t="str">
        <f>"7357154860"</f>
        <v>7357154860</v>
      </c>
      <c r="C11644" s="1">
        <v>45073</v>
      </c>
      <c r="D11644" s="1">
        <v>45075</v>
      </c>
      <c r="E11644">
        <v>1</v>
      </c>
      <c r="F11644" t="str">
        <f>"05-D01-08"</f>
        <v>05-D01-08</v>
      </c>
      <c r="G11644">
        <v>0.43159999999999998</v>
      </c>
      <c r="H11644" t="s">
        <v>11</v>
      </c>
      <c r="I11644" t="s">
        <v>10</v>
      </c>
    </row>
    <row r="11645" spans="1:9" x14ac:dyDescent="0.25">
      <c r="A11645" t="str">
        <f t="shared" si="283"/>
        <v>89301000</v>
      </c>
      <c r="B11645" t="str">
        <f>"7357165794"</f>
        <v>7357165794</v>
      </c>
      <c r="C11645" s="1">
        <v>45034</v>
      </c>
      <c r="D11645" s="1">
        <v>45036</v>
      </c>
      <c r="E11645">
        <v>1</v>
      </c>
      <c r="F11645" t="str">
        <f>"08-M03-05"</f>
        <v>08-M03-05</v>
      </c>
      <c r="G11645">
        <v>0.46810000000000002</v>
      </c>
      <c r="H11645" t="s">
        <v>11</v>
      </c>
      <c r="I11645" t="s">
        <v>10</v>
      </c>
    </row>
    <row r="11646" spans="1:9" x14ac:dyDescent="0.25">
      <c r="A11646" t="str">
        <f t="shared" si="283"/>
        <v>89301000</v>
      </c>
      <c r="B11646" t="str">
        <f>"7357175331"</f>
        <v>7357175331</v>
      </c>
      <c r="C11646" s="1">
        <v>45275</v>
      </c>
      <c r="D11646" s="1">
        <v>45277</v>
      </c>
      <c r="E11646">
        <v>1</v>
      </c>
      <c r="F11646" t="str">
        <f>"20-K01-05"</f>
        <v>20-K01-05</v>
      </c>
      <c r="G11646">
        <v>0.3952</v>
      </c>
      <c r="H11646" t="s">
        <v>11</v>
      </c>
      <c r="I11646" t="s">
        <v>10</v>
      </c>
    </row>
    <row r="11647" spans="1:9" x14ac:dyDescent="0.25">
      <c r="A11647" t="str">
        <f t="shared" si="283"/>
        <v>89301000</v>
      </c>
      <c r="B11647" t="str">
        <f>"7357204459"</f>
        <v>7357204459</v>
      </c>
      <c r="C11647" s="1">
        <v>44998</v>
      </c>
      <c r="D11647" s="1">
        <v>45000</v>
      </c>
      <c r="E11647">
        <v>1</v>
      </c>
      <c r="F11647" t="str">
        <f>"05-I30-02"</f>
        <v>05-I30-02</v>
      </c>
      <c r="G11647">
        <v>0.41699999999999998</v>
      </c>
      <c r="H11647" t="s">
        <v>12</v>
      </c>
      <c r="I11647" t="s">
        <v>10</v>
      </c>
    </row>
    <row r="11648" spans="1:9" x14ac:dyDescent="0.25">
      <c r="A11648" t="str">
        <f t="shared" si="283"/>
        <v>89301000</v>
      </c>
      <c r="B11648" t="str">
        <f>"7357269139"</f>
        <v>7357269139</v>
      </c>
      <c r="C11648" s="1">
        <v>45084</v>
      </c>
      <c r="D11648" s="1">
        <v>45090</v>
      </c>
      <c r="E11648">
        <v>1</v>
      </c>
      <c r="F11648" t="str">
        <f>"13-I11-03"</f>
        <v>13-I11-03</v>
      </c>
      <c r="G11648">
        <v>1.4332</v>
      </c>
      <c r="H11648" t="s">
        <v>9</v>
      </c>
      <c r="I11648" t="s">
        <v>10</v>
      </c>
    </row>
    <row r="11649" spans="1:9" x14ac:dyDescent="0.25">
      <c r="A11649" t="str">
        <f t="shared" si="283"/>
        <v>89301000</v>
      </c>
      <c r="B11649" t="str">
        <f>"7357274485"</f>
        <v>7357274485</v>
      </c>
      <c r="C11649" s="1">
        <v>45002</v>
      </c>
      <c r="D11649" s="1">
        <v>45004</v>
      </c>
      <c r="E11649">
        <v>1</v>
      </c>
      <c r="F11649" t="str">
        <f>"07-I10-06"</f>
        <v>07-I10-06</v>
      </c>
      <c r="G11649">
        <v>0.98419999999999996</v>
      </c>
      <c r="H11649" t="s">
        <v>12</v>
      </c>
      <c r="I11649" t="s">
        <v>10</v>
      </c>
    </row>
    <row r="11650" spans="1:9" x14ac:dyDescent="0.25">
      <c r="A11650" t="str">
        <f t="shared" si="283"/>
        <v>89301000</v>
      </c>
      <c r="B11650" t="str">
        <f>"7357285694"</f>
        <v>7357285694</v>
      </c>
      <c r="C11650" s="1">
        <v>45090</v>
      </c>
      <c r="D11650" s="1">
        <v>45093</v>
      </c>
      <c r="E11650">
        <v>1</v>
      </c>
      <c r="F11650" t="str">
        <f>"08-M03-02"</f>
        <v>08-M03-02</v>
      </c>
      <c r="G11650">
        <v>0.91359999999999997</v>
      </c>
      <c r="H11650" t="s">
        <v>11</v>
      </c>
      <c r="I11650" t="s">
        <v>10</v>
      </c>
    </row>
    <row r="11651" spans="1:9" x14ac:dyDescent="0.25">
      <c r="A11651" t="str">
        <f t="shared" si="283"/>
        <v>89301000</v>
      </c>
      <c r="B11651" t="str">
        <f>"7358065374"</f>
        <v>7358065374</v>
      </c>
      <c r="C11651" s="1">
        <v>45239</v>
      </c>
      <c r="D11651" s="1">
        <v>45252</v>
      </c>
      <c r="E11651">
        <v>1</v>
      </c>
      <c r="F11651" t="str">
        <f>"08-M03-05"</f>
        <v>08-M03-05</v>
      </c>
      <c r="G11651">
        <v>1.3107</v>
      </c>
      <c r="H11651" t="s">
        <v>11</v>
      </c>
      <c r="I11651" t="s">
        <v>10</v>
      </c>
    </row>
    <row r="11652" spans="1:9" x14ac:dyDescent="0.25">
      <c r="A11652" t="str">
        <f t="shared" si="283"/>
        <v>89301000</v>
      </c>
      <c r="B11652" t="str">
        <f>"7358065374"</f>
        <v>7358065374</v>
      </c>
      <c r="C11652" s="1">
        <v>45128</v>
      </c>
      <c r="D11652" s="1">
        <v>45138</v>
      </c>
      <c r="E11652">
        <v>1</v>
      </c>
      <c r="F11652" t="str">
        <f>"04-K04-01"</f>
        <v>04-K04-01</v>
      </c>
      <c r="G11652">
        <v>1.022</v>
      </c>
      <c r="H11652" t="s">
        <v>11</v>
      </c>
      <c r="I11652" t="s">
        <v>10</v>
      </c>
    </row>
    <row r="11653" spans="1:9" x14ac:dyDescent="0.25">
      <c r="A11653" t="str">
        <f t="shared" si="283"/>
        <v>89301000</v>
      </c>
      <c r="B11653" t="str">
        <f>"7358105304"</f>
        <v>7358105304</v>
      </c>
      <c r="C11653" s="1">
        <v>44941</v>
      </c>
      <c r="D11653" s="1">
        <v>44944</v>
      </c>
      <c r="E11653">
        <v>4</v>
      </c>
      <c r="F11653" t="str">
        <f>"08-I13-06"</f>
        <v>08-I13-06</v>
      </c>
      <c r="G11653">
        <v>1.9452</v>
      </c>
      <c r="H11653" t="s">
        <v>12</v>
      </c>
      <c r="I11653" t="s">
        <v>10</v>
      </c>
    </row>
    <row r="11654" spans="1:9" x14ac:dyDescent="0.25">
      <c r="A11654" t="str">
        <f t="shared" si="283"/>
        <v>89301000</v>
      </c>
      <c r="B11654" t="str">
        <f>"7358235346"</f>
        <v>7358235346</v>
      </c>
      <c r="C11654" s="1">
        <v>45076</v>
      </c>
      <c r="D11654" s="1">
        <v>45080</v>
      </c>
      <c r="E11654">
        <v>1</v>
      </c>
      <c r="F11654" t="str">
        <f>"07-M02-02"</f>
        <v>07-M02-02</v>
      </c>
      <c r="G11654">
        <v>2.0733000000000001</v>
      </c>
      <c r="H11654" t="s">
        <v>12</v>
      </c>
      <c r="I11654" t="s">
        <v>10</v>
      </c>
    </row>
    <row r="11655" spans="1:9" x14ac:dyDescent="0.25">
      <c r="A11655" t="str">
        <f t="shared" si="283"/>
        <v>89301000</v>
      </c>
      <c r="B11655" t="str">
        <f>"7358235346"</f>
        <v>7358235346</v>
      </c>
      <c r="C11655" s="1">
        <v>45047</v>
      </c>
      <c r="D11655" s="1">
        <v>45056</v>
      </c>
      <c r="E11655">
        <v>1</v>
      </c>
      <c r="F11655" t="str">
        <f>"07-K02-02"</f>
        <v>07-K02-02</v>
      </c>
      <c r="G11655">
        <v>1.4499</v>
      </c>
      <c r="H11655" t="s">
        <v>11</v>
      </c>
      <c r="I11655" t="s">
        <v>10</v>
      </c>
    </row>
    <row r="11656" spans="1:9" x14ac:dyDescent="0.25">
      <c r="A11656" t="str">
        <f t="shared" si="283"/>
        <v>89301000</v>
      </c>
      <c r="B11656" t="str">
        <f>"7358235346"</f>
        <v>7358235346</v>
      </c>
      <c r="C11656" s="1">
        <v>45175</v>
      </c>
      <c r="D11656" s="1">
        <v>45177</v>
      </c>
      <c r="E11656">
        <v>1</v>
      </c>
      <c r="F11656" t="str">
        <f>"07-M02-02"</f>
        <v>07-M02-02</v>
      </c>
      <c r="G11656">
        <v>1.627</v>
      </c>
      <c r="H11656" t="s">
        <v>12</v>
      </c>
      <c r="I11656" t="s">
        <v>10</v>
      </c>
    </row>
    <row r="11657" spans="1:9" x14ac:dyDescent="0.25">
      <c r="A11657" t="str">
        <f t="shared" si="283"/>
        <v>89301000</v>
      </c>
      <c r="B11657" t="str">
        <f>"7358245411"</f>
        <v>7358245411</v>
      </c>
      <c r="C11657" s="1">
        <v>45223</v>
      </c>
      <c r="D11657" s="1">
        <v>45227</v>
      </c>
      <c r="E11657">
        <v>1</v>
      </c>
      <c r="F11657" t="str">
        <f>"09-I07-01"</f>
        <v>09-I07-01</v>
      </c>
      <c r="G11657">
        <v>1.6956</v>
      </c>
      <c r="H11657" t="s">
        <v>14</v>
      </c>
      <c r="I11657" t="s">
        <v>10</v>
      </c>
    </row>
    <row r="11658" spans="1:9" x14ac:dyDescent="0.25">
      <c r="A11658" t="str">
        <f t="shared" si="283"/>
        <v>89301000</v>
      </c>
      <c r="B11658" t="str">
        <f>"7358305306"</f>
        <v>7358305306</v>
      </c>
      <c r="C11658" s="1">
        <v>45026</v>
      </c>
      <c r="D11658" s="1">
        <v>45030</v>
      </c>
      <c r="E11658">
        <v>1</v>
      </c>
      <c r="F11658" t="str">
        <f>"08-I13-05"</f>
        <v>08-I13-05</v>
      </c>
      <c r="G11658">
        <v>2.343</v>
      </c>
      <c r="H11658" t="s">
        <v>12</v>
      </c>
      <c r="I11658" t="s">
        <v>10</v>
      </c>
    </row>
    <row r="11659" spans="1:9" x14ac:dyDescent="0.25">
      <c r="A11659" t="str">
        <f t="shared" si="283"/>
        <v>89301000</v>
      </c>
      <c r="B11659" t="str">
        <f>"7359015334"</f>
        <v>7359015334</v>
      </c>
      <c r="C11659" s="1">
        <v>44940</v>
      </c>
      <c r="D11659" s="1">
        <v>44941</v>
      </c>
      <c r="E11659">
        <v>1</v>
      </c>
      <c r="F11659" t="str">
        <f>"23-K04-02"</f>
        <v>23-K04-02</v>
      </c>
      <c r="G11659">
        <v>0.38150000000000001</v>
      </c>
      <c r="H11659" t="s">
        <v>11</v>
      </c>
      <c r="I11659" t="s">
        <v>10</v>
      </c>
    </row>
    <row r="11660" spans="1:9" x14ac:dyDescent="0.25">
      <c r="A11660" t="str">
        <f t="shared" si="283"/>
        <v>89301000</v>
      </c>
      <c r="B11660" t="str">
        <f>"7359085338"</f>
        <v>7359085338</v>
      </c>
      <c r="C11660" s="1">
        <v>44938</v>
      </c>
      <c r="D11660" s="1">
        <v>44942</v>
      </c>
      <c r="E11660">
        <v>1</v>
      </c>
      <c r="F11660" t="str">
        <f>"23-I07-00"</f>
        <v>23-I07-00</v>
      </c>
      <c r="G11660">
        <v>1.4204000000000001</v>
      </c>
      <c r="H11660" t="s">
        <v>9</v>
      </c>
      <c r="I11660" t="s">
        <v>10</v>
      </c>
    </row>
    <row r="11661" spans="1:9" x14ac:dyDescent="0.25">
      <c r="A11661" t="str">
        <f t="shared" si="283"/>
        <v>89301000</v>
      </c>
      <c r="B11661" t="str">
        <f>"7359135388"</f>
        <v>7359135388</v>
      </c>
      <c r="C11661" s="1">
        <v>45237</v>
      </c>
      <c r="D11661" s="1">
        <v>45245</v>
      </c>
      <c r="E11661">
        <v>1</v>
      </c>
      <c r="F11661" t="str">
        <f>"13-I01-00"</f>
        <v>13-I01-00</v>
      </c>
      <c r="G11661">
        <v>6.2039</v>
      </c>
      <c r="H11661" t="s">
        <v>14</v>
      </c>
      <c r="I11661" t="s">
        <v>10</v>
      </c>
    </row>
    <row r="11662" spans="1:9" x14ac:dyDescent="0.25">
      <c r="A11662" t="str">
        <f t="shared" si="283"/>
        <v>89301000</v>
      </c>
      <c r="B11662" t="str">
        <f>"7359135388"</f>
        <v>7359135388</v>
      </c>
      <c r="C11662" s="1">
        <v>45107</v>
      </c>
      <c r="D11662" s="1">
        <v>45110</v>
      </c>
      <c r="E11662">
        <v>1</v>
      </c>
      <c r="F11662" t="str">
        <f>"06-I17-04"</f>
        <v>06-I17-04</v>
      </c>
      <c r="G11662">
        <v>0.49869999999999998</v>
      </c>
      <c r="H11662" t="s">
        <v>12</v>
      </c>
      <c r="I11662" t="s">
        <v>10</v>
      </c>
    </row>
    <row r="11663" spans="1:9" x14ac:dyDescent="0.25">
      <c r="A11663" t="str">
        <f t="shared" si="283"/>
        <v>89301000</v>
      </c>
      <c r="B11663" t="str">
        <f>"7359139953"</f>
        <v>7359139953</v>
      </c>
      <c r="C11663" s="1">
        <v>45270</v>
      </c>
      <c r="D11663" s="1">
        <v>45273</v>
      </c>
      <c r="E11663">
        <v>1</v>
      </c>
      <c r="F11663" t="str">
        <f>"02-I07-01"</f>
        <v>02-I07-01</v>
      </c>
      <c r="G11663">
        <v>2.2244999999999999</v>
      </c>
      <c r="H11663" t="s">
        <v>12</v>
      </c>
      <c r="I11663" t="s">
        <v>10</v>
      </c>
    </row>
    <row r="11664" spans="1:9" x14ac:dyDescent="0.25">
      <c r="A11664" t="str">
        <f t="shared" si="283"/>
        <v>89301000</v>
      </c>
      <c r="B11664" t="str">
        <f>"7359175351"</f>
        <v>7359175351</v>
      </c>
      <c r="C11664" s="1">
        <v>45091</v>
      </c>
      <c r="D11664" s="1">
        <v>45096</v>
      </c>
      <c r="E11664">
        <v>3</v>
      </c>
      <c r="F11664" t="str">
        <f>"08-I05-04"</f>
        <v>08-I05-04</v>
      </c>
      <c r="G11664">
        <v>2.4445000000000001</v>
      </c>
      <c r="H11664" t="s">
        <v>12</v>
      </c>
      <c r="I11664" t="s">
        <v>10</v>
      </c>
    </row>
    <row r="11665" spans="1:9" x14ac:dyDescent="0.25">
      <c r="A11665" t="str">
        <f t="shared" si="283"/>
        <v>89301000</v>
      </c>
      <c r="B11665" t="str">
        <f>"7359175351"</f>
        <v>7359175351</v>
      </c>
      <c r="C11665" s="1">
        <v>45096</v>
      </c>
      <c r="D11665" s="1">
        <v>45107</v>
      </c>
      <c r="E11665">
        <v>1</v>
      </c>
      <c r="F11665" t="str">
        <f>"24-M06-02"</f>
        <v>24-M06-02</v>
      </c>
      <c r="G11665">
        <v>1.0699000000000001</v>
      </c>
      <c r="H11665" t="s">
        <v>11</v>
      </c>
      <c r="I11665" t="s">
        <v>10</v>
      </c>
    </row>
    <row r="11666" spans="1:9" x14ac:dyDescent="0.25">
      <c r="A11666" t="str">
        <f t="shared" si="283"/>
        <v>89301000</v>
      </c>
      <c r="B11666" t="str">
        <f>"7359184514"</f>
        <v>7359184514</v>
      </c>
      <c r="C11666" s="1">
        <v>45159</v>
      </c>
      <c r="D11666" s="1">
        <v>45163</v>
      </c>
      <c r="E11666">
        <v>1</v>
      </c>
      <c r="F11666" t="str">
        <f>"06-R01-08"</f>
        <v>06-R01-08</v>
      </c>
      <c r="G11666">
        <v>1.1831</v>
      </c>
      <c r="H11666" t="s">
        <v>11</v>
      </c>
      <c r="I11666" t="s">
        <v>10</v>
      </c>
    </row>
    <row r="11667" spans="1:9" x14ac:dyDescent="0.25">
      <c r="A11667" t="str">
        <f t="shared" si="283"/>
        <v>89301000</v>
      </c>
      <c r="B11667" t="str">
        <f>"7359184514"</f>
        <v>7359184514</v>
      </c>
      <c r="C11667" s="1">
        <v>45187</v>
      </c>
      <c r="D11667" s="1">
        <v>45191</v>
      </c>
      <c r="E11667">
        <v>1</v>
      </c>
      <c r="F11667" t="str">
        <f>"06-R01-08"</f>
        <v>06-R01-08</v>
      </c>
      <c r="G11667">
        <v>1.1831</v>
      </c>
      <c r="H11667" t="s">
        <v>11</v>
      </c>
      <c r="I11667" t="s">
        <v>10</v>
      </c>
    </row>
    <row r="11668" spans="1:9" x14ac:dyDescent="0.25">
      <c r="A11668" t="str">
        <f t="shared" si="283"/>
        <v>89301000</v>
      </c>
      <c r="B11668" t="str">
        <f>"7359185394"</f>
        <v>7359185394</v>
      </c>
      <c r="C11668" s="1">
        <v>45225</v>
      </c>
      <c r="D11668" s="1">
        <v>45228</v>
      </c>
      <c r="E11668">
        <v>1</v>
      </c>
      <c r="F11668" t="str">
        <f>"08-I22-02"</f>
        <v>08-I22-02</v>
      </c>
      <c r="G11668">
        <v>1.131</v>
      </c>
      <c r="H11668" t="s">
        <v>12</v>
      </c>
      <c r="I11668" t="s">
        <v>10</v>
      </c>
    </row>
    <row r="11669" spans="1:9" x14ac:dyDescent="0.25">
      <c r="A11669" t="str">
        <f t="shared" si="283"/>
        <v>89301000</v>
      </c>
      <c r="B11669" t="str">
        <f>"7359244464"</f>
        <v>7359244464</v>
      </c>
      <c r="C11669" s="1">
        <v>45137</v>
      </c>
      <c r="D11669" s="1">
        <v>45141</v>
      </c>
      <c r="E11669">
        <v>1</v>
      </c>
      <c r="F11669" t="str">
        <f>"10-I13-02"</f>
        <v>10-I13-02</v>
      </c>
      <c r="G11669">
        <v>1.1124000000000001</v>
      </c>
      <c r="H11669" t="s">
        <v>9</v>
      </c>
      <c r="I11669" t="s">
        <v>10</v>
      </c>
    </row>
    <row r="11670" spans="1:9" x14ac:dyDescent="0.25">
      <c r="A11670" t="str">
        <f t="shared" si="283"/>
        <v>89301000</v>
      </c>
      <c r="B11670" t="str">
        <f>"7359255310"</f>
        <v>7359255310</v>
      </c>
      <c r="C11670" s="1">
        <v>45224</v>
      </c>
      <c r="D11670" s="1">
        <v>45226</v>
      </c>
      <c r="E11670">
        <v>1</v>
      </c>
      <c r="F11670" t="str">
        <f>"08-M03-05"</f>
        <v>08-M03-05</v>
      </c>
      <c r="G11670">
        <v>0.46810000000000002</v>
      </c>
      <c r="H11670" t="s">
        <v>11</v>
      </c>
      <c r="I11670" t="s">
        <v>10</v>
      </c>
    </row>
    <row r="11671" spans="1:9" x14ac:dyDescent="0.25">
      <c r="A11671" t="str">
        <f t="shared" si="283"/>
        <v>89301000</v>
      </c>
      <c r="B11671" t="str">
        <f>"7359265342"</f>
        <v>7359265342</v>
      </c>
      <c r="C11671" s="1">
        <v>45154</v>
      </c>
      <c r="D11671" s="1">
        <v>45159</v>
      </c>
      <c r="E11671">
        <v>1</v>
      </c>
      <c r="F11671" t="str">
        <f>"01-I06-04"</f>
        <v>01-I06-04</v>
      </c>
      <c r="G11671">
        <v>3.6478999999999999</v>
      </c>
      <c r="H11671" t="s">
        <v>12</v>
      </c>
      <c r="I11671" t="s">
        <v>10</v>
      </c>
    </row>
    <row r="11672" spans="1:9" x14ac:dyDescent="0.25">
      <c r="A11672" t="str">
        <f t="shared" si="283"/>
        <v>89301000</v>
      </c>
      <c r="B11672" t="str">
        <f>"7359285329"</f>
        <v>7359285329</v>
      </c>
      <c r="C11672" s="1">
        <v>45251</v>
      </c>
      <c r="D11672" s="1">
        <v>45252</v>
      </c>
      <c r="E11672">
        <v>1</v>
      </c>
      <c r="F11672" t="str">
        <f>"09-K04-02"</f>
        <v>09-K04-02</v>
      </c>
      <c r="G11672">
        <v>0.64849999999999997</v>
      </c>
      <c r="H11672" t="s">
        <v>11</v>
      </c>
      <c r="I11672" t="s">
        <v>10</v>
      </c>
    </row>
    <row r="11673" spans="1:9" x14ac:dyDescent="0.25">
      <c r="A11673" t="str">
        <f t="shared" si="283"/>
        <v>89301000</v>
      </c>
      <c r="B11673" t="str">
        <f>"7360045693"</f>
        <v>7360045693</v>
      </c>
      <c r="C11673" s="1">
        <v>45252</v>
      </c>
      <c r="D11673" s="1">
        <v>45260</v>
      </c>
      <c r="E11673">
        <v>1</v>
      </c>
      <c r="F11673" t="str">
        <f>"04-K05-02"</f>
        <v>04-K05-02</v>
      </c>
      <c r="G11673">
        <v>1.4463999999999999</v>
      </c>
      <c r="H11673" t="s">
        <v>11</v>
      </c>
      <c r="I11673" t="s">
        <v>10</v>
      </c>
    </row>
    <row r="11674" spans="1:9" x14ac:dyDescent="0.25">
      <c r="A11674" t="str">
        <f t="shared" si="283"/>
        <v>89301000</v>
      </c>
      <c r="B11674" t="str">
        <f>"7360085326"</f>
        <v>7360085326</v>
      </c>
      <c r="C11674" s="1">
        <v>44958</v>
      </c>
      <c r="D11674" s="1">
        <v>44959</v>
      </c>
      <c r="E11674">
        <v>1</v>
      </c>
      <c r="F11674" t="str">
        <f>"02-I13-02"</f>
        <v>02-I13-02</v>
      </c>
      <c r="G11674">
        <v>0.4259</v>
      </c>
      <c r="H11674" t="s">
        <v>11</v>
      </c>
      <c r="I11674" t="s">
        <v>10</v>
      </c>
    </row>
    <row r="11675" spans="1:9" x14ac:dyDescent="0.25">
      <c r="A11675" t="str">
        <f t="shared" si="283"/>
        <v>89301000</v>
      </c>
      <c r="B11675" t="str">
        <f>"7360100231"</f>
        <v>7360100231</v>
      </c>
      <c r="C11675" s="1">
        <v>44929</v>
      </c>
      <c r="D11675" s="1">
        <v>44930</v>
      </c>
      <c r="E11675">
        <v>1</v>
      </c>
      <c r="F11675" t="str">
        <f>"13-I19-00"</f>
        <v>13-I19-00</v>
      </c>
      <c r="G11675">
        <v>0.28249999999999997</v>
      </c>
      <c r="H11675" t="s">
        <v>11</v>
      </c>
      <c r="I11675" t="s">
        <v>10</v>
      </c>
    </row>
    <row r="11676" spans="1:9" x14ac:dyDescent="0.25">
      <c r="A11676" t="str">
        <f t="shared" si="283"/>
        <v>89301000</v>
      </c>
      <c r="B11676" t="str">
        <f>"7360100231"</f>
        <v>7360100231</v>
      </c>
      <c r="C11676" s="1">
        <v>44993</v>
      </c>
      <c r="D11676" s="1">
        <v>44994</v>
      </c>
      <c r="E11676">
        <v>1</v>
      </c>
      <c r="F11676" t="str">
        <f>"13-I19-00"</f>
        <v>13-I19-00</v>
      </c>
      <c r="G11676">
        <v>0.28249999999999997</v>
      </c>
      <c r="H11676" t="s">
        <v>11</v>
      </c>
      <c r="I11676" t="s">
        <v>10</v>
      </c>
    </row>
    <row r="11677" spans="1:9" x14ac:dyDescent="0.25">
      <c r="A11677" t="str">
        <f t="shared" si="283"/>
        <v>89301000</v>
      </c>
      <c r="B11677" t="str">
        <f>"7360100231"</f>
        <v>7360100231</v>
      </c>
      <c r="C11677" s="1">
        <v>45057</v>
      </c>
      <c r="D11677" s="1">
        <v>45061</v>
      </c>
      <c r="E11677">
        <v>1</v>
      </c>
      <c r="F11677" t="str">
        <f>"13-I11-03"</f>
        <v>13-I11-03</v>
      </c>
      <c r="G11677">
        <v>1.4332</v>
      </c>
      <c r="H11677" t="s">
        <v>9</v>
      </c>
      <c r="I11677" t="s">
        <v>10</v>
      </c>
    </row>
    <row r="11678" spans="1:9" x14ac:dyDescent="0.25">
      <c r="A11678" t="str">
        <f t="shared" si="283"/>
        <v>89301000</v>
      </c>
      <c r="B11678" t="str">
        <f>"7360105357"</f>
        <v>7360105357</v>
      </c>
      <c r="C11678" s="1">
        <v>45194</v>
      </c>
      <c r="D11678" s="1">
        <v>45196</v>
      </c>
      <c r="E11678">
        <v>1</v>
      </c>
      <c r="F11678" t="str">
        <f>"08-I10-01"</f>
        <v>08-I10-01</v>
      </c>
      <c r="G11678">
        <v>1.9841</v>
      </c>
      <c r="H11678" t="s">
        <v>12</v>
      </c>
      <c r="I11678" t="s">
        <v>10</v>
      </c>
    </row>
    <row r="11679" spans="1:9" x14ac:dyDescent="0.25">
      <c r="A11679" t="str">
        <f t="shared" si="283"/>
        <v>89301000</v>
      </c>
      <c r="B11679" t="str">
        <f>"7360145331"</f>
        <v>7360145331</v>
      </c>
      <c r="C11679" s="1">
        <v>45067</v>
      </c>
      <c r="D11679" s="1">
        <v>45070</v>
      </c>
      <c r="E11679">
        <v>1</v>
      </c>
      <c r="F11679" t="str">
        <f>"06-I21-03"</f>
        <v>06-I21-03</v>
      </c>
      <c r="G11679">
        <v>0.4572</v>
      </c>
      <c r="H11679" t="s">
        <v>12</v>
      </c>
      <c r="I11679" t="s">
        <v>10</v>
      </c>
    </row>
    <row r="11680" spans="1:9" x14ac:dyDescent="0.25">
      <c r="A11680" t="str">
        <f t="shared" si="283"/>
        <v>89301000</v>
      </c>
      <c r="B11680" t="str">
        <f>"7360204467"</f>
        <v>7360204467</v>
      </c>
      <c r="C11680" s="1">
        <v>45006</v>
      </c>
      <c r="D11680" s="1">
        <v>45010</v>
      </c>
      <c r="E11680">
        <v>1</v>
      </c>
      <c r="F11680" t="str">
        <f>"13-I11-03"</f>
        <v>13-I11-03</v>
      </c>
      <c r="G11680">
        <v>1.4332</v>
      </c>
      <c r="H11680" t="s">
        <v>9</v>
      </c>
      <c r="I11680" t="s">
        <v>10</v>
      </c>
    </row>
    <row r="11681" spans="1:9" x14ac:dyDescent="0.25">
      <c r="A11681" t="str">
        <f t="shared" ref="A11681:A11744" si="284">"89301000"</f>
        <v>89301000</v>
      </c>
      <c r="B11681" t="str">
        <f>"7360215302"</f>
        <v>7360215302</v>
      </c>
      <c r="C11681" s="1">
        <v>44929</v>
      </c>
      <c r="D11681" s="1">
        <v>44931</v>
      </c>
      <c r="E11681">
        <v>1</v>
      </c>
      <c r="F11681" t="str">
        <f>"08-I19-03"</f>
        <v>08-I19-03</v>
      </c>
      <c r="G11681">
        <v>0.59130000000000005</v>
      </c>
      <c r="H11681" t="s">
        <v>12</v>
      </c>
      <c r="I11681" t="s">
        <v>10</v>
      </c>
    </row>
    <row r="11682" spans="1:9" x14ac:dyDescent="0.25">
      <c r="A11682" t="str">
        <f t="shared" si="284"/>
        <v>89301000</v>
      </c>
      <c r="B11682" t="str">
        <f>"7360235773"</f>
        <v>7360235773</v>
      </c>
      <c r="C11682" s="1">
        <v>45208</v>
      </c>
      <c r="D11682" s="1">
        <v>45211</v>
      </c>
      <c r="E11682">
        <v>1</v>
      </c>
      <c r="F11682" t="str">
        <f>"23-I08-00"</f>
        <v>23-I08-00</v>
      </c>
      <c r="G11682">
        <v>0.81740000000000002</v>
      </c>
      <c r="H11682" t="s">
        <v>9</v>
      </c>
      <c r="I11682" t="s">
        <v>10</v>
      </c>
    </row>
    <row r="11683" spans="1:9" x14ac:dyDescent="0.25">
      <c r="A11683" t="str">
        <f t="shared" si="284"/>
        <v>89301000</v>
      </c>
      <c r="B11683" t="str">
        <f>"7360265242"</f>
        <v>7360265242</v>
      </c>
      <c r="C11683" s="1">
        <v>45013</v>
      </c>
      <c r="D11683" s="1">
        <v>45014</v>
      </c>
      <c r="E11683">
        <v>1</v>
      </c>
      <c r="F11683" t="str">
        <f>"09-I04-02"</f>
        <v>09-I04-02</v>
      </c>
      <c r="G11683">
        <v>1.0899000000000001</v>
      </c>
      <c r="H11683" t="s">
        <v>12</v>
      </c>
      <c r="I11683" t="s">
        <v>10</v>
      </c>
    </row>
    <row r="11684" spans="1:9" x14ac:dyDescent="0.25">
      <c r="A11684" t="str">
        <f t="shared" si="284"/>
        <v>89301000</v>
      </c>
      <c r="B11684" t="str">
        <f>"7360265242"</f>
        <v>7360265242</v>
      </c>
      <c r="C11684" s="1">
        <v>45188</v>
      </c>
      <c r="D11684" s="1">
        <v>45189</v>
      </c>
      <c r="E11684">
        <v>1</v>
      </c>
      <c r="F11684" t="str">
        <f>"09-I04-02"</f>
        <v>09-I04-02</v>
      </c>
      <c r="G11684">
        <v>1.0899000000000001</v>
      </c>
      <c r="H11684" t="s">
        <v>12</v>
      </c>
      <c r="I11684" t="s">
        <v>10</v>
      </c>
    </row>
    <row r="11685" spans="1:9" x14ac:dyDescent="0.25">
      <c r="A11685" t="str">
        <f t="shared" si="284"/>
        <v>89301000</v>
      </c>
      <c r="B11685" t="str">
        <f>"7360297890"</f>
        <v>7360297890</v>
      </c>
      <c r="C11685" s="1">
        <v>45096</v>
      </c>
      <c r="D11685" s="1">
        <v>45134</v>
      </c>
      <c r="E11685">
        <v>1</v>
      </c>
      <c r="F11685" t="str">
        <f>"19-K08-02"</f>
        <v>19-K08-02</v>
      </c>
      <c r="G11685">
        <v>4.4416000000000002</v>
      </c>
      <c r="H11685" t="s">
        <v>15</v>
      </c>
      <c r="I11685" t="s">
        <v>10</v>
      </c>
    </row>
    <row r="11686" spans="1:9" x14ac:dyDescent="0.25">
      <c r="A11686" t="str">
        <f t="shared" si="284"/>
        <v>89301000</v>
      </c>
      <c r="B11686" t="str">
        <f>"7361195787"</f>
        <v>7361195787</v>
      </c>
      <c r="C11686" s="1">
        <v>45097</v>
      </c>
      <c r="D11686" s="1">
        <v>45107</v>
      </c>
      <c r="E11686">
        <v>1</v>
      </c>
      <c r="F11686" t="str">
        <f>"13-I11-01"</f>
        <v>13-I11-01</v>
      </c>
      <c r="G11686">
        <v>2.9693000000000001</v>
      </c>
      <c r="H11686" t="s">
        <v>9</v>
      </c>
      <c r="I11686" t="s">
        <v>10</v>
      </c>
    </row>
    <row r="11687" spans="1:9" x14ac:dyDescent="0.25">
      <c r="A11687" t="str">
        <f t="shared" si="284"/>
        <v>89301000</v>
      </c>
      <c r="B11687" t="str">
        <f>"7361195787"</f>
        <v>7361195787</v>
      </c>
      <c r="C11687" s="1">
        <v>44928</v>
      </c>
      <c r="D11687" s="1">
        <v>44932</v>
      </c>
      <c r="E11687">
        <v>1</v>
      </c>
      <c r="F11687" t="str">
        <f>"01-K07-03"</f>
        <v>01-K07-03</v>
      </c>
      <c r="G11687">
        <v>0.48680000000000001</v>
      </c>
      <c r="H11687" t="s">
        <v>11</v>
      </c>
      <c r="I11687" t="s">
        <v>10</v>
      </c>
    </row>
    <row r="11688" spans="1:9" x14ac:dyDescent="0.25">
      <c r="A11688" t="str">
        <f t="shared" si="284"/>
        <v>89301000</v>
      </c>
      <c r="B11688" t="str">
        <f>"7361219965"</f>
        <v>7361219965</v>
      </c>
      <c r="C11688" s="1">
        <v>44990</v>
      </c>
      <c r="D11688" s="1">
        <v>45001</v>
      </c>
      <c r="E11688">
        <v>5</v>
      </c>
      <c r="F11688" t="str">
        <f>"01-I06-04"</f>
        <v>01-I06-04</v>
      </c>
      <c r="G11688">
        <v>3.6478999999999999</v>
      </c>
      <c r="H11688" t="s">
        <v>12</v>
      </c>
      <c r="I11688" t="s">
        <v>10</v>
      </c>
    </row>
    <row r="11689" spans="1:9" x14ac:dyDescent="0.25">
      <c r="A11689" t="str">
        <f t="shared" si="284"/>
        <v>89301000</v>
      </c>
      <c r="B11689" t="str">
        <f>"7362025781"</f>
        <v>7362025781</v>
      </c>
      <c r="C11689" s="1">
        <v>44930</v>
      </c>
      <c r="D11689" s="1">
        <v>44932</v>
      </c>
      <c r="E11689">
        <v>1</v>
      </c>
      <c r="F11689" t="str">
        <f>"05-M06-06"</f>
        <v>05-M06-06</v>
      </c>
      <c r="G11689">
        <v>1.8264</v>
      </c>
      <c r="H11689" t="s">
        <v>12</v>
      </c>
      <c r="I11689" t="s">
        <v>10</v>
      </c>
    </row>
    <row r="11690" spans="1:9" x14ac:dyDescent="0.25">
      <c r="A11690" t="str">
        <f t="shared" si="284"/>
        <v>89301000</v>
      </c>
      <c r="B11690" t="str">
        <f>"7362025781"</f>
        <v>7362025781</v>
      </c>
      <c r="C11690" s="1">
        <v>45190</v>
      </c>
      <c r="D11690" s="1">
        <v>45191</v>
      </c>
      <c r="E11690">
        <v>1</v>
      </c>
      <c r="F11690" t="str">
        <f>"01-D01-03"</f>
        <v>01-D01-03</v>
      </c>
      <c r="G11690">
        <v>0.16200000000000001</v>
      </c>
      <c r="H11690" t="s">
        <v>11</v>
      </c>
      <c r="I11690" t="s">
        <v>10</v>
      </c>
    </row>
    <row r="11691" spans="1:9" x14ac:dyDescent="0.25">
      <c r="A11691" t="str">
        <f t="shared" si="284"/>
        <v>89301000</v>
      </c>
      <c r="B11691" t="str">
        <f>"7362025781"</f>
        <v>7362025781</v>
      </c>
      <c r="C11691" s="1">
        <v>45268</v>
      </c>
      <c r="D11691" s="1">
        <v>45271</v>
      </c>
      <c r="E11691">
        <v>1</v>
      </c>
      <c r="F11691" t="str">
        <f>"01-D01-03"</f>
        <v>01-D01-03</v>
      </c>
      <c r="G11691">
        <v>0.21060000000000001</v>
      </c>
      <c r="H11691" t="s">
        <v>11</v>
      </c>
      <c r="I11691" t="s">
        <v>10</v>
      </c>
    </row>
    <row r="11692" spans="1:9" x14ac:dyDescent="0.25">
      <c r="A11692" t="str">
        <f t="shared" si="284"/>
        <v>89301000</v>
      </c>
      <c r="B11692" t="str">
        <f>"7362034460"</f>
        <v>7362034460</v>
      </c>
      <c r="C11692" s="1">
        <v>45092</v>
      </c>
      <c r="D11692" s="1">
        <v>45093</v>
      </c>
      <c r="E11692">
        <v>1</v>
      </c>
      <c r="F11692" t="str">
        <f>"05-D01-06"</f>
        <v>05-D01-06</v>
      </c>
      <c r="G11692">
        <v>0.7571</v>
      </c>
      <c r="H11692" t="s">
        <v>11</v>
      </c>
      <c r="I11692" t="s">
        <v>10</v>
      </c>
    </row>
    <row r="11693" spans="1:9" x14ac:dyDescent="0.25">
      <c r="A11693" t="str">
        <f t="shared" si="284"/>
        <v>89301000</v>
      </c>
      <c r="B11693" t="str">
        <f>"7362129951"</f>
        <v>7362129951</v>
      </c>
      <c r="C11693" s="1">
        <v>45053</v>
      </c>
      <c r="D11693" s="1">
        <v>45056</v>
      </c>
      <c r="E11693">
        <v>1</v>
      </c>
      <c r="F11693" t="str">
        <f>"07-M02-04"</f>
        <v>07-M02-04</v>
      </c>
      <c r="G11693">
        <v>0.77339999999999998</v>
      </c>
      <c r="H11693" t="s">
        <v>12</v>
      </c>
      <c r="I11693" t="s">
        <v>10</v>
      </c>
    </row>
    <row r="11694" spans="1:9" x14ac:dyDescent="0.25">
      <c r="A11694" t="str">
        <f t="shared" si="284"/>
        <v>89301000</v>
      </c>
      <c r="B11694" t="str">
        <f>"7362129951"</f>
        <v>7362129951</v>
      </c>
      <c r="C11694" s="1">
        <v>45076</v>
      </c>
      <c r="D11694" s="1">
        <v>45078</v>
      </c>
      <c r="E11694">
        <v>1</v>
      </c>
      <c r="F11694" t="str">
        <f>"07-I10-06"</f>
        <v>07-I10-06</v>
      </c>
      <c r="G11694">
        <v>0.98419999999999996</v>
      </c>
      <c r="H11694" t="s">
        <v>12</v>
      </c>
      <c r="I11694" t="s">
        <v>10</v>
      </c>
    </row>
    <row r="11695" spans="1:9" x14ac:dyDescent="0.25">
      <c r="A11695" t="str">
        <f t="shared" si="284"/>
        <v>89301000</v>
      </c>
      <c r="B11695" t="str">
        <f>"7362215311"</f>
        <v>7362215311</v>
      </c>
      <c r="C11695" s="1">
        <v>45131</v>
      </c>
      <c r="D11695" s="1">
        <v>45134</v>
      </c>
      <c r="E11695">
        <v>1</v>
      </c>
      <c r="F11695" t="str">
        <f>"08-I04-03"</f>
        <v>08-I04-03</v>
      </c>
      <c r="G11695">
        <v>1.3045</v>
      </c>
      <c r="H11695" t="s">
        <v>14</v>
      </c>
      <c r="I11695" t="s">
        <v>10</v>
      </c>
    </row>
    <row r="11696" spans="1:9" x14ac:dyDescent="0.25">
      <c r="A11696" t="str">
        <f t="shared" si="284"/>
        <v>89301000</v>
      </c>
      <c r="B11696" t="str">
        <f>"7362215311"</f>
        <v>7362215311</v>
      </c>
      <c r="C11696" s="1">
        <v>44983</v>
      </c>
      <c r="D11696" s="1">
        <v>44993</v>
      </c>
      <c r="E11696">
        <v>1</v>
      </c>
      <c r="F11696" t="str">
        <f>"08-K08-00"</f>
        <v>08-K08-00</v>
      </c>
      <c r="G11696">
        <v>0.5272</v>
      </c>
      <c r="H11696" t="s">
        <v>11</v>
      </c>
      <c r="I11696" t="s">
        <v>10</v>
      </c>
    </row>
    <row r="11697" spans="1:9" x14ac:dyDescent="0.25">
      <c r="A11697" t="str">
        <f t="shared" si="284"/>
        <v>89301000</v>
      </c>
      <c r="B11697" t="str">
        <f>"7362215575"</f>
        <v>7362215575</v>
      </c>
      <c r="C11697" s="1">
        <v>45090</v>
      </c>
      <c r="D11697" s="1">
        <v>45092</v>
      </c>
      <c r="E11697">
        <v>1</v>
      </c>
      <c r="F11697" t="str">
        <f>"02-I06-04"</f>
        <v>02-I06-04</v>
      </c>
      <c r="G11697">
        <v>0.79630000000000001</v>
      </c>
      <c r="H11697" t="s">
        <v>12</v>
      </c>
      <c r="I11697" t="s">
        <v>10</v>
      </c>
    </row>
    <row r="11698" spans="1:9" x14ac:dyDescent="0.25">
      <c r="A11698" t="str">
        <f t="shared" si="284"/>
        <v>89301000</v>
      </c>
      <c r="B11698" t="str">
        <f>"7362265350"</f>
        <v>7362265350</v>
      </c>
      <c r="C11698" s="1">
        <v>45011</v>
      </c>
      <c r="D11698" s="1">
        <v>45019</v>
      </c>
      <c r="E11698">
        <v>1</v>
      </c>
      <c r="F11698" t="str">
        <f>"17-K09-02"</f>
        <v>17-K09-02</v>
      </c>
      <c r="G11698">
        <v>0.77080000000000004</v>
      </c>
      <c r="H11698" t="s">
        <v>11</v>
      </c>
      <c r="I11698" t="s">
        <v>10</v>
      </c>
    </row>
    <row r="11699" spans="1:9" x14ac:dyDescent="0.25">
      <c r="A11699" t="str">
        <f t="shared" si="284"/>
        <v>89301000</v>
      </c>
      <c r="B11699" t="str">
        <f>"7362265350"</f>
        <v>7362265350</v>
      </c>
      <c r="C11699" s="1">
        <v>45068</v>
      </c>
      <c r="D11699" s="1">
        <v>45069</v>
      </c>
      <c r="E11699">
        <v>8</v>
      </c>
      <c r="F11699" t="str">
        <f>"13-K08-01"</f>
        <v>13-K08-01</v>
      </c>
      <c r="G11699">
        <v>0.59219999999999995</v>
      </c>
      <c r="H11699" t="s">
        <v>11</v>
      </c>
      <c r="I11699" t="s">
        <v>10</v>
      </c>
    </row>
    <row r="11700" spans="1:9" x14ac:dyDescent="0.25">
      <c r="A11700" t="str">
        <f t="shared" si="284"/>
        <v>89301000</v>
      </c>
      <c r="B11700" t="str">
        <f>"7362274458"</f>
        <v>7362274458</v>
      </c>
      <c r="C11700" s="1">
        <v>45217</v>
      </c>
      <c r="D11700" s="1">
        <v>45223</v>
      </c>
      <c r="E11700">
        <v>1</v>
      </c>
      <c r="F11700" t="str">
        <f>"10-R02-01"</f>
        <v>10-R02-01</v>
      </c>
      <c r="G11700">
        <v>0.92279999999999995</v>
      </c>
      <c r="H11700" t="s">
        <v>9</v>
      </c>
      <c r="I11700" t="s">
        <v>10</v>
      </c>
    </row>
    <row r="11701" spans="1:9" x14ac:dyDescent="0.25">
      <c r="A11701" t="str">
        <f t="shared" si="284"/>
        <v>89301000</v>
      </c>
      <c r="B11701" t="str">
        <f>"7362274458"</f>
        <v>7362274458</v>
      </c>
      <c r="C11701" s="1">
        <v>45210</v>
      </c>
      <c r="D11701" s="1">
        <v>45213</v>
      </c>
      <c r="E11701">
        <v>1</v>
      </c>
      <c r="F11701" t="str">
        <f>"10-K06-00"</f>
        <v>10-K06-00</v>
      </c>
      <c r="G11701">
        <v>0.50290000000000001</v>
      </c>
      <c r="H11701" t="s">
        <v>11</v>
      </c>
      <c r="I11701" t="s">
        <v>10</v>
      </c>
    </row>
    <row r="11702" spans="1:9" x14ac:dyDescent="0.25">
      <c r="A11702" t="str">
        <f t="shared" si="284"/>
        <v>89301000</v>
      </c>
      <c r="B11702" t="str">
        <f>"7362274458"</f>
        <v>7362274458</v>
      </c>
      <c r="C11702" s="1">
        <v>44956</v>
      </c>
      <c r="D11702" s="1">
        <v>44965</v>
      </c>
      <c r="E11702">
        <v>1</v>
      </c>
      <c r="F11702" t="str">
        <f>"10-R02-01"</f>
        <v>10-R02-01</v>
      </c>
      <c r="G11702">
        <v>0.92279999999999995</v>
      </c>
      <c r="H11702" t="s">
        <v>9</v>
      </c>
      <c r="I11702" t="s">
        <v>10</v>
      </c>
    </row>
    <row r="11703" spans="1:9" x14ac:dyDescent="0.25">
      <c r="A11703" t="str">
        <f t="shared" si="284"/>
        <v>89301000</v>
      </c>
      <c r="B11703" t="str">
        <f>"7362284171"</f>
        <v>7362284171</v>
      </c>
      <c r="C11703" s="1">
        <v>45096</v>
      </c>
      <c r="D11703" s="1">
        <v>45107</v>
      </c>
      <c r="E11703">
        <v>1</v>
      </c>
      <c r="F11703" t="str">
        <f>"24-M06-02"</f>
        <v>24-M06-02</v>
      </c>
      <c r="G11703">
        <v>1.0699000000000001</v>
      </c>
      <c r="H11703" t="s">
        <v>11</v>
      </c>
      <c r="I11703" t="s">
        <v>10</v>
      </c>
    </row>
    <row r="11704" spans="1:9" x14ac:dyDescent="0.25">
      <c r="A11704" t="str">
        <f t="shared" si="284"/>
        <v>89301000</v>
      </c>
      <c r="B11704" t="str">
        <f>"7362540515"</f>
        <v>7362540515</v>
      </c>
      <c r="C11704" s="1">
        <v>45056</v>
      </c>
      <c r="D11704" s="1">
        <v>45060</v>
      </c>
      <c r="E11704">
        <v>1</v>
      </c>
      <c r="F11704" t="str">
        <f>"10-I13-02"</f>
        <v>10-I13-02</v>
      </c>
      <c r="G11704">
        <v>1.1124000000000001</v>
      </c>
      <c r="H11704" t="s">
        <v>9</v>
      </c>
      <c r="I11704" t="s">
        <v>10</v>
      </c>
    </row>
    <row r="11705" spans="1:9" x14ac:dyDescent="0.25">
      <c r="A11705" t="str">
        <f t="shared" si="284"/>
        <v>89301000</v>
      </c>
      <c r="B11705" t="str">
        <f>"7401034509"</f>
        <v>7401034509</v>
      </c>
      <c r="C11705" s="1">
        <v>45092</v>
      </c>
      <c r="D11705" s="1">
        <v>45096</v>
      </c>
      <c r="E11705">
        <v>1</v>
      </c>
      <c r="F11705" t="str">
        <f>"09-I10-02"</f>
        <v>09-I10-02</v>
      </c>
      <c r="G11705">
        <v>0.87580000000000002</v>
      </c>
      <c r="H11705" t="s">
        <v>12</v>
      </c>
      <c r="I11705" t="s">
        <v>10</v>
      </c>
    </row>
    <row r="11706" spans="1:9" x14ac:dyDescent="0.25">
      <c r="A11706" t="str">
        <f t="shared" si="284"/>
        <v>89301000</v>
      </c>
      <c r="B11706" t="str">
        <f>"7401035785"</f>
        <v>7401035785</v>
      </c>
      <c r="C11706" s="1">
        <v>45161</v>
      </c>
      <c r="D11706" s="1">
        <v>45163</v>
      </c>
      <c r="E11706">
        <v>1</v>
      </c>
      <c r="F11706" t="str">
        <f>"08-I16-04"</f>
        <v>08-I16-04</v>
      </c>
      <c r="G11706">
        <v>0.83040000000000003</v>
      </c>
      <c r="H11706" t="s">
        <v>12</v>
      </c>
      <c r="I11706" t="s">
        <v>10</v>
      </c>
    </row>
    <row r="11707" spans="1:9" x14ac:dyDescent="0.25">
      <c r="A11707" t="str">
        <f t="shared" si="284"/>
        <v>89301000</v>
      </c>
      <c r="B11707" t="str">
        <f>"7401065122"</f>
        <v>7401065122</v>
      </c>
      <c r="C11707" s="1">
        <v>44956</v>
      </c>
      <c r="D11707" s="1">
        <v>44967</v>
      </c>
      <c r="E11707">
        <v>1</v>
      </c>
      <c r="F11707" t="str">
        <f>"04-K07-02"</f>
        <v>04-K07-02</v>
      </c>
      <c r="G11707">
        <v>1.1116999999999999</v>
      </c>
      <c r="H11707" t="s">
        <v>11</v>
      </c>
      <c r="I11707" t="s">
        <v>10</v>
      </c>
    </row>
    <row r="11708" spans="1:9" x14ac:dyDescent="0.25">
      <c r="A11708" t="str">
        <f t="shared" si="284"/>
        <v>89301000</v>
      </c>
      <c r="B11708" t="str">
        <f>"7401094470"</f>
        <v>7401094470</v>
      </c>
      <c r="C11708" s="1">
        <v>45068</v>
      </c>
      <c r="D11708" s="1">
        <v>45070</v>
      </c>
      <c r="E11708">
        <v>1</v>
      </c>
      <c r="F11708" t="str">
        <f>"05-M05-02"</f>
        <v>05-M05-02</v>
      </c>
      <c r="G11708">
        <v>3.4817999999999998</v>
      </c>
      <c r="H11708" t="s">
        <v>14</v>
      </c>
      <c r="I11708" t="s">
        <v>10</v>
      </c>
    </row>
    <row r="11709" spans="1:9" x14ac:dyDescent="0.25">
      <c r="A11709" t="str">
        <f t="shared" si="284"/>
        <v>89301000</v>
      </c>
      <c r="B11709" t="str">
        <f>"7401095768"</f>
        <v>7401095768</v>
      </c>
      <c r="C11709" s="1">
        <v>45014</v>
      </c>
      <c r="D11709" s="1">
        <v>45022</v>
      </c>
      <c r="E11709">
        <v>1</v>
      </c>
      <c r="F11709" t="str">
        <f>"03-I19-02"</f>
        <v>03-I19-02</v>
      </c>
      <c r="G11709">
        <v>0.71340000000000003</v>
      </c>
      <c r="H11709" t="s">
        <v>11</v>
      </c>
      <c r="I11709" t="s">
        <v>10</v>
      </c>
    </row>
    <row r="11710" spans="1:9" x14ac:dyDescent="0.25">
      <c r="A11710" t="str">
        <f t="shared" si="284"/>
        <v>89301000</v>
      </c>
      <c r="B11710" t="str">
        <f>"7401145587"</f>
        <v>7401145587</v>
      </c>
      <c r="C11710" s="1">
        <v>45166</v>
      </c>
      <c r="D11710" s="1">
        <v>45181</v>
      </c>
      <c r="E11710">
        <v>1</v>
      </c>
      <c r="F11710" t="str">
        <f>"04-M01-07"</f>
        <v>04-M01-07</v>
      </c>
      <c r="G11710">
        <v>3.2717000000000001</v>
      </c>
      <c r="H11710" t="s">
        <v>11</v>
      </c>
      <c r="I11710" t="s">
        <v>10</v>
      </c>
    </row>
    <row r="11711" spans="1:9" x14ac:dyDescent="0.25">
      <c r="A11711" t="str">
        <f t="shared" si="284"/>
        <v>89301000</v>
      </c>
      <c r="B11711" t="str">
        <f>"7401195329"</f>
        <v>7401195329</v>
      </c>
      <c r="C11711" s="1">
        <v>45092</v>
      </c>
      <c r="D11711" s="1">
        <v>45096</v>
      </c>
      <c r="E11711">
        <v>1</v>
      </c>
      <c r="F11711" t="str">
        <f>"08-I19-01"</f>
        <v>08-I19-01</v>
      </c>
      <c r="G11711">
        <v>0.91039999999999999</v>
      </c>
      <c r="H11711" t="s">
        <v>12</v>
      </c>
      <c r="I11711" t="s">
        <v>10</v>
      </c>
    </row>
    <row r="11712" spans="1:9" x14ac:dyDescent="0.25">
      <c r="A11712" t="str">
        <f t="shared" si="284"/>
        <v>89301000</v>
      </c>
      <c r="B11712" t="str">
        <f>"7401215459"</f>
        <v>7401215459</v>
      </c>
      <c r="C11712" s="1">
        <v>45205</v>
      </c>
      <c r="D11712" s="1">
        <v>45208</v>
      </c>
      <c r="E11712">
        <v>1</v>
      </c>
      <c r="F11712" t="str">
        <f>"07-K05-03"</f>
        <v>07-K05-03</v>
      </c>
      <c r="G11712">
        <v>0.501</v>
      </c>
      <c r="H11712" t="s">
        <v>11</v>
      </c>
      <c r="I11712" t="s">
        <v>10</v>
      </c>
    </row>
    <row r="11713" spans="1:9" x14ac:dyDescent="0.25">
      <c r="A11713" t="str">
        <f t="shared" si="284"/>
        <v>89301000</v>
      </c>
      <c r="B11713" t="str">
        <f>"7401225359"</f>
        <v>7401225359</v>
      </c>
      <c r="C11713" s="1">
        <v>45082</v>
      </c>
      <c r="D11713" s="1">
        <v>45083</v>
      </c>
      <c r="E11713">
        <v>1</v>
      </c>
      <c r="F11713" t="str">
        <f>"08-I15-03"</f>
        <v>08-I15-03</v>
      </c>
      <c r="G11713">
        <v>0.94059999999999999</v>
      </c>
      <c r="H11713" t="s">
        <v>12</v>
      </c>
      <c r="I11713" t="s">
        <v>10</v>
      </c>
    </row>
    <row r="11714" spans="1:9" x14ac:dyDescent="0.25">
      <c r="A11714" t="str">
        <f t="shared" si="284"/>
        <v>89301000</v>
      </c>
      <c r="B11714" t="str">
        <f>"7401245390"</f>
        <v>7401245390</v>
      </c>
      <c r="C11714" s="1">
        <v>45015</v>
      </c>
      <c r="D11714" s="1">
        <v>45020</v>
      </c>
      <c r="E11714">
        <v>1</v>
      </c>
      <c r="F11714" t="str">
        <f>"08-I04-03"</f>
        <v>08-I04-03</v>
      </c>
      <c r="G11714">
        <v>1.3045</v>
      </c>
      <c r="H11714" t="s">
        <v>14</v>
      </c>
      <c r="I11714" t="s">
        <v>10</v>
      </c>
    </row>
    <row r="11715" spans="1:9" x14ac:dyDescent="0.25">
      <c r="A11715" t="str">
        <f t="shared" si="284"/>
        <v>89301000</v>
      </c>
      <c r="B11715" t="str">
        <f>"7401255730"</f>
        <v>7401255730</v>
      </c>
      <c r="C11715" s="1">
        <v>45270</v>
      </c>
      <c r="D11715" s="1">
        <v>45275</v>
      </c>
      <c r="E11715">
        <v>1</v>
      </c>
      <c r="F11715" t="str">
        <f>"11-I07-01"</f>
        <v>11-I07-01</v>
      </c>
      <c r="G11715">
        <v>2.7482000000000002</v>
      </c>
      <c r="H11715" t="s">
        <v>9</v>
      </c>
      <c r="I11715" t="s">
        <v>10</v>
      </c>
    </row>
    <row r="11716" spans="1:9" x14ac:dyDescent="0.25">
      <c r="A11716" t="str">
        <f t="shared" si="284"/>
        <v>89301000</v>
      </c>
      <c r="B11716" t="str">
        <f>"7401255763"</f>
        <v>7401255763</v>
      </c>
      <c r="C11716" s="1">
        <v>44928</v>
      </c>
      <c r="D11716" s="1">
        <v>44941</v>
      </c>
      <c r="E11716">
        <v>8</v>
      </c>
      <c r="F11716" t="str">
        <f>"04-K09-02"</f>
        <v>04-K09-02</v>
      </c>
      <c r="G11716">
        <v>1.155</v>
      </c>
      <c r="H11716" t="s">
        <v>11</v>
      </c>
      <c r="I11716" t="s">
        <v>10</v>
      </c>
    </row>
    <row r="11717" spans="1:9" x14ac:dyDescent="0.25">
      <c r="A11717" t="str">
        <f t="shared" si="284"/>
        <v>89301000</v>
      </c>
      <c r="B11717" t="str">
        <f>"7401275310"</f>
        <v>7401275310</v>
      </c>
      <c r="C11717" s="1">
        <v>44992</v>
      </c>
      <c r="D11717" s="1">
        <v>45000</v>
      </c>
      <c r="E11717">
        <v>1</v>
      </c>
      <c r="F11717" t="str">
        <f>"07-K02-03"</f>
        <v>07-K02-03</v>
      </c>
      <c r="G11717">
        <v>0.78139999999999998</v>
      </c>
      <c r="H11717" t="s">
        <v>11</v>
      </c>
      <c r="I11717" t="s">
        <v>10</v>
      </c>
    </row>
    <row r="11718" spans="1:9" x14ac:dyDescent="0.25">
      <c r="A11718" t="str">
        <f t="shared" si="284"/>
        <v>89301000</v>
      </c>
      <c r="B11718" t="str">
        <f>"7402015302"</f>
        <v>7402015302</v>
      </c>
      <c r="C11718" s="1">
        <v>45154</v>
      </c>
      <c r="D11718" s="1">
        <v>45155</v>
      </c>
      <c r="E11718">
        <v>1</v>
      </c>
      <c r="F11718" t="str">
        <f>"01-D01-03"</f>
        <v>01-D01-03</v>
      </c>
      <c r="G11718">
        <v>0.16200000000000001</v>
      </c>
      <c r="H11718" t="s">
        <v>11</v>
      </c>
      <c r="I11718" t="s">
        <v>10</v>
      </c>
    </row>
    <row r="11719" spans="1:9" x14ac:dyDescent="0.25">
      <c r="A11719" t="str">
        <f t="shared" si="284"/>
        <v>89301000</v>
      </c>
      <c r="B11719" t="str">
        <f>"7402075318"</f>
        <v>7402075318</v>
      </c>
      <c r="C11719" s="1">
        <v>45211</v>
      </c>
      <c r="D11719" s="1">
        <v>45214</v>
      </c>
      <c r="E11719">
        <v>1</v>
      </c>
      <c r="F11719" t="str">
        <f>"05-M07-04"</f>
        <v>05-M07-04</v>
      </c>
      <c r="G11719">
        <v>1.7628999999999999</v>
      </c>
      <c r="H11719" t="s">
        <v>12</v>
      </c>
      <c r="I11719" t="s">
        <v>10</v>
      </c>
    </row>
    <row r="11720" spans="1:9" x14ac:dyDescent="0.25">
      <c r="A11720" t="str">
        <f t="shared" si="284"/>
        <v>89301000</v>
      </c>
      <c r="B11720" t="str">
        <f>"7402105689"</f>
        <v>7402105689</v>
      </c>
      <c r="C11720" s="1">
        <v>45027</v>
      </c>
      <c r="D11720" s="1">
        <v>45028</v>
      </c>
      <c r="E11720">
        <v>1</v>
      </c>
      <c r="F11720" t="str">
        <f>"03-K13-02"</f>
        <v>03-K13-02</v>
      </c>
      <c r="G11720">
        <v>0.24440000000000001</v>
      </c>
      <c r="H11720" t="s">
        <v>11</v>
      </c>
      <c r="I11720" t="s">
        <v>10</v>
      </c>
    </row>
    <row r="11721" spans="1:9" x14ac:dyDescent="0.25">
      <c r="A11721" t="str">
        <f t="shared" si="284"/>
        <v>89301000</v>
      </c>
      <c r="B11721" t="str">
        <f>"7402125302"</f>
        <v>7402125302</v>
      </c>
      <c r="C11721" s="1">
        <v>45028</v>
      </c>
      <c r="D11721" s="1">
        <v>45030</v>
      </c>
      <c r="E11721">
        <v>1</v>
      </c>
      <c r="F11721" t="str">
        <f>"05-I14-04"</f>
        <v>05-I14-04</v>
      </c>
      <c r="G11721">
        <v>5.2220000000000004</v>
      </c>
      <c r="H11721" t="s">
        <v>12</v>
      </c>
      <c r="I11721" t="s">
        <v>10</v>
      </c>
    </row>
    <row r="11722" spans="1:9" x14ac:dyDescent="0.25">
      <c r="A11722" t="str">
        <f t="shared" si="284"/>
        <v>89301000</v>
      </c>
      <c r="B11722" t="str">
        <f>"7402125302"</f>
        <v>7402125302</v>
      </c>
      <c r="C11722" s="1">
        <v>45003</v>
      </c>
      <c r="D11722" s="1">
        <v>45003</v>
      </c>
      <c r="E11722">
        <v>1</v>
      </c>
      <c r="F11722" t="str">
        <f>"05-D01-06"</f>
        <v>05-D01-06</v>
      </c>
      <c r="G11722">
        <v>0.4037</v>
      </c>
      <c r="H11722" t="s">
        <v>11</v>
      </c>
      <c r="I11722" t="s">
        <v>10</v>
      </c>
    </row>
    <row r="11723" spans="1:9" x14ac:dyDescent="0.25">
      <c r="A11723" t="str">
        <f t="shared" si="284"/>
        <v>89301000</v>
      </c>
      <c r="B11723" t="str">
        <f>"7402155343"</f>
        <v>7402155343</v>
      </c>
      <c r="C11723" s="1">
        <v>44972</v>
      </c>
      <c r="D11723" s="1">
        <v>44973</v>
      </c>
      <c r="E11723">
        <v>1</v>
      </c>
      <c r="F11723" t="str">
        <f>"12-K05-02"</f>
        <v>12-K05-02</v>
      </c>
      <c r="G11723">
        <v>0.48549999999999999</v>
      </c>
      <c r="H11723" t="s">
        <v>11</v>
      </c>
      <c r="I11723" t="s">
        <v>10</v>
      </c>
    </row>
    <row r="11724" spans="1:9" x14ac:dyDescent="0.25">
      <c r="A11724" t="str">
        <f t="shared" si="284"/>
        <v>89301000</v>
      </c>
      <c r="B11724" t="str">
        <f>"7402214875"</f>
        <v>7402214875</v>
      </c>
      <c r="C11724" s="1">
        <v>45218</v>
      </c>
      <c r="D11724" s="1">
        <v>45224</v>
      </c>
      <c r="E11724">
        <v>1</v>
      </c>
      <c r="F11724" t="str">
        <f>"12-I02-01"</f>
        <v>12-I02-01</v>
      </c>
      <c r="G11724">
        <v>3.3855</v>
      </c>
      <c r="H11724" t="s">
        <v>9</v>
      </c>
      <c r="I11724" t="s">
        <v>10</v>
      </c>
    </row>
    <row r="11725" spans="1:9" x14ac:dyDescent="0.25">
      <c r="A11725" t="str">
        <f t="shared" si="284"/>
        <v>89301000</v>
      </c>
      <c r="B11725" t="str">
        <f>"7402215392"</f>
        <v>7402215392</v>
      </c>
      <c r="C11725" s="1">
        <v>45264</v>
      </c>
      <c r="D11725" s="1">
        <v>45266</v>
      </c>
      <c r="E11725">
        <v>1</v>
      </c>
      <c r="F11725" t="str">
        <f>"06-M01-05"</f>
        <v>06-M01-05</v>
      </c>
      <c r="G11725">
        <v>0.4178</v>
      </c>
      <c r="H11725" t="s">
        <v>11</v>
      </c>
      <c r="I11725" t="s">
        <v>10</v>
      </c>
    </row>
    <row r="11726" spans="1:9" x14ac:dyDescent="0.25">
      <c r="A11726" t="str">
        <f t="shared" si="284"/>
        <v>89301000</v>
      </c>
      <c r="B11726" t="str">
        <f>"7402224478"</f>
        <v>7402224478</v>
      </c>
      <c r="C11726" s="1">
        <v>45027</v>
      </c>
      <c r="D11726" s="1">
        <v>45028</v>
      </c>
      <c r="E11726">
        <v>1</v>
      </c>
      <c r="F11726" t="str">
        <f>"08-I32-00"</f>
        <v>08-I32-00</v>
      </c>
      <c r="G11726">
        <v>0.4093</v>
      </c>
      <c r="H11726" t="s">
        <v>11</v>
      </c>
      <c r="I11726" t="s">
        <v>10</v>
      </c>
    </row>
    <row r="11727" spans="1:9" x14ac:dyDescent="0.25">
      <c r="A11727" t="str">
        <f t="shared" si="284"/>
        <v>89301000</v>
      </c>
      <c r="B11727" t="str">
        <f>"7402285781"</f>
        <v>7402285781</v>
      </c>
      <c r="C11727" s="1">
        <v>44977</v>
      </c>
      <c r="D11727" s="1">
        <v>44984</v>
      </c>
      <c r="E11727">
        <v>1</v>
      </c>
      <c r="F11727" t="str">
        <f>"06-I15-00"</f>
        <v>06-I15-00</v>
      </c>
      <c r="G11727">
        <v>1.8702000000000001</v>
      </c>
      <c r="H11727" t="s">
        <v>9</v>
      </c>
      <c r="I11727" t="s">
        <v>10</v>
      </c>
    </row>
    <row r="11728" spans="1:9" x14ac:dyDescent="0.25">
      <c r="A11728" t="str">
        <f t="shared" si="284"/>
        <v>89301000</v>
      </c>
      <c r="B11728" t="str">
        <f>"7403034122"</f>
        <v>7403034122</v>
      </c>
      <c r="C11728" s="1">
        <v>44935</v>
      </c>
      <c r="D11728" s="1">
        <v>44939</v>
      </c>
      <c r="E11728">
        <v>1</v>
      </c>
      <c r="F11728" t="str">
        <f>"08-K01-02"</f>
        <v>08-K01-02</v>
      </c>
      <c r="G11728">
        <v>0.90180000000000005</v>
      </c>
      <c r="H11728" t="s">
        <v>11</v>
      </c>
      <c r="I11728" t="s">
        <v>10</v>
      </c>
    </row>
    <row r="11729" spans="1:9" x14ac:dyDescent="0.25">
      <c r="A11729" t="str">
        <f t="shared" si="284"/>
        <v>89301000</v>
      </c>
      <c r="B11729" t="str">
        <f>"7403075702"</f>
        <v>7403075702</v>
      </c>
      <c r="C11729" s="1">
        <v>44928</v>
      </c>
      <c r="D11729" s="1">
        <v>44932</v>
      </c>
      <c r="E11729">
        <v>1</v>
      </c>
      <c r="F11729" t="str">
        <f>"03-I19-02"</f>
        <v>03-I19-02</v>
      </c>
      <c r="G11729">
        <v>0.71340000000000003</v>
      </c>
      <c r="H11729" t="s">
        <v>11</v>
      </c>
      <c r="I11729" t="s">
        <v>10</v>
      </c>
    </row>
    <row r="11730" spans="1:9" x14ac:dyDescent="0.25">
      <c r="A11730" t="str">
        <f t="shared" si="284"/>
        <v>89301000</v>
      </c>
      <c r="B11730" t="str">
        <f>"7403125807"</f>
        <v>7403125807</v>
      </c>
      <c r="C11730" s="1">
        <v>44931</v>
      </c>
      <c r="D11730" s="1">
        <v>44935</v>
      </c>
      <c r="E11730">
        <v>1</v>
      </c>
      <c r="F11730" t="str">
        <f>"07-K06-02"</f>
        <v>07-K06-02</v>
      </c>
      <c r="G11730">
        <v>0.44590000000000002</v>
      </c>
      <c r="H11730" t="s">
        <v>11</v>
      </c>
      <c r="I11730" t="s">
        <v>10</v>
      </c>
    </row>
    <row r="11731" spans="1:9" x14ac:dyDescent="0.25">
      <c r="A11731" t="str">
        <f t="shared" si="284"/>
        <v>89301000</v>
      </c>
      <c r="B11731" t="str">
        <f>"7403182072"</f>
        <v>7403182072</v>
      </c>
      <c r="C11731" s="1">
        <v>44963</v>
      </c>
      <c r="D11731" s="1">
        <v>44966</v>
      </c>
      <c r="E11731">
        <v>1</v>
      </c>
      <c r="F11731" t="str">
        <f>"10-K04-04"</f>
        <v>10-K04-04</v>
      </c>
      <c r="G11731">
        <v>0.53949999999999998</v>
      </c>
      <c r="H11731" t="s">
        <v>11</v>
      </c>
      <c r="I11731" t="s">
        <v>10</v>
      </c>
    </row>
    <row r="11732" spans="1:9" x14ac:dyDescent="0.25">
      <c r="A11732" t="str">
        <f t="shared" si="284"/>
        <v>89301000</v>
      </c>
      <c r="B11732" t="str">
        <f>"7403182072"</f>
        <v>7403182072</v>
      </c>
      <c r="C11732" s="1">
        <v>45058</v>
      </c>
      <c r="D11732" s="1">
        <v>45063</v>
      </c>
      <c r="E11732">
        <v>1</v>
      </c>
      <c r="F11732" t="str">
        <f>"05-K13-02"</f>
        <v>05-K13-02</v>
      </c>
      <c r="G11732">
        <v>0.57220000000000004</v>
      </c>
      <c r="H11732" t="s">
        <v>11</v>
      </c>
      <c r="I11732" t="s">
        <v>10</v>
      </c>
    </row>
    <row r="11733" spans="1:9" x14ac:dyDescent="0.25">
      <c r="A11733" t="str">
        <f t="shared" si="284"/>
        <v>89301000</v>
      </c>
      <c r="B11733" t="str">
        <f>"7403195305"</f>
        <v>7403195305</v>
      </c>
      <c r="C11733" s="1">
        <v>45067</v>
      </c>
      <c r="D11733" s="1">
        <v>45070</v>
      </c>
      <c r="E11733">
        <v>1</v>
      </c>
      <c r="F11733" t="str">
        <f>"06-I16-04"</f>
        <v>06-I16-04</v>
      </c>
      <c r="G11733">
        <v>0.68920000000000003</v>
      </c>
      <c r="H11733" t="s">
        <v>9</v>
      </c>
      <c r="I11733" t="s">
        <v>10</v>
      </c>
    </row>
    <row r="11734" spans="1:9" x14ac:dyDescent="0.25">
      <c r="A11734" t="str">
        <f t="shared" si="284"/>
        <v>89301000</v>
      </c>
      <c r="B11734" t="str">
        <f>"7403204468"</f>
        <v>7403204468</v>
      </c>
      <c r="C11734" s="1">
        <v>45072</v>
      </c>
      <c r="D11734" s="1">
        <v>45076</v>
      </c>
      <c r="E11734">
        <v>1</v>
      </c>
      <c r="F11734" t="str">
        <f>"01-K01-02"</f>
        <v>01-K01-02</v>
      </c>
      <c r="G11734">
        <v>0.442</v>
      </c>
      <c r="H11734" t="s">
        <v>11</v>
      </c>
      <c r="I11734" t="s">
        <v>16</v>
      </c>
    </row>
    <row r="11735" spans="1:9" x14ac:dyDescent="0.25">
      <c r="A11735" t="str">
        <f t="shared" si="284"/>
        <v>89301000</v>
      </c>
      <c r="B11735" t="str">
        <f>"7403204468"</f>
        <v>7403204468</v>
      </c>
      <c r="C11735" s="1">
        <v>45272</v>
      </c>
      <c r="D11735" s="1">
        <v>45275</v>
      </c>
      <c r="E11735">
        <v>1</v>
      </c>
      <c r="F11735" t="str">
        <f>"01-K01-02"</f>
        <v>01-K01-02</v>
      </c>
      <c r="G11735">
        <v>0.4501</v>
      </c>
      <c r="H11735" t="s">
        <v>11</v>
      </c>
      <c r="I11735" t="s">
        <v>16</v>
      </c>
    </row>
    <row r="11736" spans="1:9" x14ac:dyDescent="0.25">
      <c r="A11736" t="str">
        <f t="shared" si="284"/>
        <v>89301000</v>
      </c>
      <c r="B11736" t="str">
        <f>"7403225324"</f>
        <v>7403225324</v>
      </c>
      <c r="C11736" s="1">
        <v>45033</v>
      </c>
      <c r="D11736" s="1">
        <v>45035</v>
      </c>
      <c r="E11736">
        <v>1</v>
      </c>
      <c r="F11736" t="str">
        <f>"08-I24-01"</f>
        <v>08-I24-01</v>
      </c>
      <c r="G11736">
        <v>1.1051</v>
      </c>
      <c r="H11736" t="s">
        <v>11</v>
      </c>
      <c r="I11736" t="s">
        <v>10</v>
      </c>
    </row>
    <row r="11737" spans="1:9" x14ac:dyDescent="0.25">
      <c r="A11737" t="str">
        <f t="shared" si="284"/>
        <v>89301000</v>
      </c>
      <c r="B11737" t="str">
        <f>"7403225324"</f>
        <v>7403225324</v>
      </c>
      <c r="C11737" s="1">
        <v>45182</v>
      </c>
      <c r="D11737" s="1">
        <v>45183</v>
      </c>
      <c r="E11737">
        <v>1</v>
      </c>
      <c r="F11737" t="str">
        <f>"03-K13-02"</f>
        <v>03-K13-02</v>
      </c>
      <c r="G11737">
        <v>0.24440000000000001</v>
      </c>
      <c r="H11737" t="s">
        <v>11</v>
      </c>
      <c r="I11737" t="s">
        <v>10</v>
      </c>
    </row>
    <row r="11738" spans="1:9" x14ac:dyDescent="0.25">
      <c r="A11738" t="str">
        <f t="shared" si="284"/>
        <v>89301000</v>
      </c>
      <c r="B11738" t="str">
        <f>"7404015311"</f>
        <v>7404015311</v>
      </c>
      <c r="C11738" s="1">
        <v>45255</v>
      </c>
      <c r="D11738" s="1">
        <v>45259</v>
      </c>
      <c r="E11738">
        <v>1</v>
      </c>
      <c r="F11738" t="str">
        <f>"11-I10-02"</f>
        <v>11-I10-02</v>
      </c>
      <c r="G11738">
        <v>3.7168999999999999</v>
      </c>
      <c r="H11738" t="s">
        <v>12</v>
      </c>
      <c r="I11738" t="s">
        <v>10</v>
      </c>
    </row>
    <row r="11739" spans="1:9" x14ac:dyDescent="0.25">
      <c r="A11739" t="str">
        <f t="shared" si="284"/>
        <v>89301000</v>
      </c>
      <c r="B11739" t="str">
        <f>"7404015784"</f>
        <v>7404015784</v>
      </c>
      <c r="C11739" s="1">
        <v>44948</v>
      </c>
      <c r="D11739" s="1">
        <v>44950</v>
      </c>
      <c r="E11739">
        <v>1</v>
      </c>
      <c r="F11739" t="str">
        <f>"02-I08-02"</f>
        <v>02-I08-02</v>
      </c>
      <c r="G11739">
        <v>0.60729999999999995</v>
      </c>
      <c r="H11739" t="s">
        <v>12</v>
      </c>
      <c r="I11739" t="s">
        <v>10</v>
      </c>
    </row>
    <row r="11740" spans="1:9" x14ac:dyDescent="0.25">
      <c r="A11740" t="str">
        <f t="shared" si="284"/>
        <v>89301000</v>
      </c>
      <c r="B11740" t="str">
        <f>"7404085326"</f>
        <v>7404085326</v>
      </c>
      <c r="C11740" s="1">
        <v>45151</v>
      </c>
      <c r="D11740" s="1">
        <v>45158</v>
      </c>
      <c r="E11740">
        <v>1</v>
      </c>
      <c r="F11740" t="str">
        <f>"07-I10-04"</f>
        <v>07-I10-04</v>
      </c>
      <c r="G11740">
        <v>1.4211</v>
      </c>
      <c r="H11740" t="s">
        <v>12</v>
      </c>
      <c r="I11740" t="s">
        <v>10</v>
      </c>
    </row>
    <row r="11741" spans="1:9" x14ac:dyDescent="0.25">
      <c r="A11741" t="str">
        <f t="shared" si="284"/>
        <v>89301000</v>
      </c>
      <c r="B11741" t="str">
        <f>"7404095391"</f>
        <v>7404095391</v>
      </c>
      <c r="C11741" s="1">
        <v>45025</v>
      </c>
      <c r="D11741" s="1">
        <v>45027</v>
      </c>
      <c r="E11741">
        <v>1</v>
      </c>
      <c r="F11741" t="str">
        <f>"01-K16-02"</f>
        <v>01-K16-02</v>
      </c>
      <c r="G11741">
        <v>1.0113000000000001</v>
      </c>
      <c r="H11741" t="s">
        <v>11</v>
      </c>
      <c r="I11741" t="s">
        <v>10</v>
      </c>
    </row>
    <row r="11742" spans="1:9" x14ac:dyDescent="0.25">
      <c r="A11742" t="str">
        <f t="shared" si="284"/>
        <v>89301000</v>
      </c>
      <c r="B11742" t="str">
        <f>"7404135563"</f>
        <v>7404135563</v>
      </c>
      <c r="C11742" s="1">
        <v>45250</v>
      </c>
      <c r="D11742" s="1">
        <v>45254</v>
      </c>
      <c r="E11742">
        <v>5</v>
      </c>
      <c r="F11742" t="str">
        <f>"01-K11-03"</f>
        <v>01-K11-03</v>
      </c>
      <c r="G11742">
        <v>1.6678999999999999</v>
      </c>
      <c r="H11742" t="s">
        <v>11</v>
      </c>
      <c r="I11742" t="s">
        <v>10</v>
      </c>
    </row>
    <row r="11743" spans="1:9" x14ac:dyDescent="0.25">
      <c r="A11743" t="str">
        <f t="shared" si="284"/>
        <v>89301000</v>
      </c>
      <c r="B11743" t="str">
        <f>"7404145309"</f>
        <v>7404145309</v>
      </c>
      <c r="C11743" s="1">
        <v>44999</v>
      </c>
      <c r="D11743" s="1">
        <v>45002</v>
      </c>
      <c r="E11743">
        <v>1</v>
      </c>
      <c r="F11743" t="str">
        <f>"01-K02-04"</f>
        <v>01-K02-04</v>
      </c>
      <c r="G11743">
        <v>1.2504</v>
      </c>
      <c r="H11743" t="s">
        <v>11</v>
      </c>
      <c r="I11743" t="s">
        <v>10</v>
      </c>
    </row>
    <row r="11744" spans="1:9" x14ac:dyDescent="0.25">
      <c r="A11744" t="str">
        <f t="shared" si="284"/>
        <v>89301000</v>
      </c>
      <c r="B11744" t="str">
        <f>"7404155880"</f>
        <v>7404155880</v>
      </c>
      <c r="C11744" s="1">
        <v>45259</v>
      </c>
      <c r="D11744" s="1">
        <v>45267</v>
      </c>
      <c r="E11744">
        <v>5</v>
      </c>
      <c r="F11744" t="str">
        <f>"25-I02-02"</f>
        <v>25-I02-02</v>
      </c>
      <c r="G11744">
        <v>6.2914000000000003</v>
      </c>
      <c r="H11744" t="s">
        <v>14</v>
      </c>
      <c r="I11744" t="s">
        <v>10</v>
      </c>
    </row>
    <row r="11745" spans="1:9" x14ac:dyDescent="0.25">
      <c r="A11745" t="str">
        <f t="shared" ref="A11745:A11807" si="285">"89301000"</f>
        <v>89301000</v>
      </c>
      <c r="B11745" t="str">
        <f>"7404164856"</f>
        <v>7404164856</v>
      </c>
      <c r="C11745" s="1">
        <v>45215</v>
      </c>
      <c r="D11745" s="1">
        <v>45217</v>
      </c>
      <c r="E11745">
        <v>1</v>
      </c>
      <c r="F11745" t="str">
        <f>"04-K07-03"</f>
        <v>04-K07-03</v>
      </c>
      <c r="G11745">
        <v>0.61119999999999997</v>
      </c>
      <c r="H11745" t="s">
        <v>11</v>
      </c>
      <c r="I11745" t="s">
        <v>10</v>
      </c>
    </row>
    <row r="11746" spans="1:9" x14ac:dyDescent="0.25">
      <c r="A11746" t="str">
        <f t="shared" si="285"/>
        <v>89301000</v>
      </c>
      <c r="B11746" t="str">
        <f>"7404185360"</f>
        <v>7404185360</v>
      </c>
      <c r="C11746" s="1">
        <v>45089</v>
      </c>
      <c r="D11746" s="1">
        <v>45091</v>
      </c>
      <c r="E11746">
        <v>1</v>
      </c>
      <c r="F11746" t="str">
        <f>"12-I13-02"</f>
        <v>12-I13-02</v>
      </c>
      <c r="G11746">
        <v>0.53879999999999995</v>
      </c>
      <c r="H11746" t="s">
        <v>9</v>
      </c>
      <c r="I11746" t="s">
        <v>10</v>
      </c>
    </row>
    <row r="11747" spans="1:9" x14ac:dyDescent="0.25">
      <c r="A11747" t="str">
        <f t="shared" si="285"/>
        <v>89301000</v>
      </c>
      <c r="B11747" t="str">
        <f>"7404185360"</f>
        <v>7404185360</v>
      </c>
      <c r="C11747" s="1">
        <v>44976</v>
      </c>
      <c r="D11747" s="1">
        <v>44978</v>
      </c>
      <c r="E11747">
        <v>1</v>
      </c>
      <c r="F11747" t="str">
        <f>"12-I13-02"</f>
        <v>12-I13-02</v>
      </c>
      <c r="G11747">
        <v>0.53879999999999995</v>
      </c>
      <c r="H11747" t="s">
        <v>9</v>
      </c>
      <c r="I11747" t="s">
        <v>10</v>
      </c>
    </row>
    <row r="11748" spans="1:9" x14ac:dyDescent="0.25">
      <c r="A11748" t="str">
        <f t="shared" si="285"/>
        <v>89301000</v>
      </c>
      <c r="B11748" t="str">
        <f>"7404185756"</f>
        <v>7404185756</v>
      </c>
      <c r="C11748" s="1">
        <v>44958</v>
      </c>
      <c r="D11748" s="1">
        <v>44960</v>
      </c>
      <c r="E11748">
        <v>1</v>
      </c>
      <c r="F11748" t="str">
        <f>"08-I04-03"</f>
        <v>08-I04-03</v>
      </c>
      <c r="G11748">
        <v>1.3045</v>
      </c>
      <c r="H11748" t="s">
        <v>14</v>
      </c>
      <c r="I11748" t="s">
        <v>10</v>
      </c>
    </row>
    <row r="11749" spans="1:9" x14ac:dyDescent="0.25">
      <c r="A11749" t="str">
        <f t="shared" si="285"/>
        <v>89301000</v>
      </c>
      <c r="B11749" t="str">
        <f>"7404195788"</f>
        <v>7404195788</v>
      </c>
      <c r="C11749" s="1">
        <v>45274</v>
      </c>
      <c r="D11749" s="1">
        <v>45275</v>
      </c>
      <c r="E11749">
        <v>1</v>
      </c>
      <c r="F11749" t="str">
        <f>"08-I32-00"</f>
        <v>08-I32-00</v>
      </c>
      <c r="G11749">
        <v>0.40870000000000001</v>
      </c>
      <c r="H11749" t="s">
        <v>11</v>
      </c>
      <c r="I11749" t="s">
        <v>10</v>
      </c>
    </row>
    <row r="11750" spans="1:9" x14ac:dyDescent="0.25">
      <c r="A11750" t="str">
        <f t="shared" si="285"/>
        <v>89301000</v>
      </c>
      <c r="B11750" t="str">
        <f>"7404200056"</f>
        <v>7404200056</v>
      </c>
      <c r="C11750" s="1">
        <v>44959</v>
      </c>
      <c r="D11750" s="1">
        <v>44961</v>
      </c>
      <c r="E11750">
        <v>1</v>
      </c>
      <c r="F11750" t="str">
        <f>"05-I30-01"</f>
        <v>05-I30-01</v>
      </c>
      <c r="G11750">
        <v>0.60350000000000004</v>
      </c>
      <c r="H11750" t="s">
        <v>12</v>
      </c>
      <c r="I11750" t="s">
        <v>10</v>
      </c>
    </row>
    <row r="11751" spans="1:9" x14ac:dyDescent="0.25">
      <c r="A11751" t="str">
        <f t="shared" si="285"/>
        <v>89301000</v>
      </c>
      <c r="B11751" t="str">
        <f>"7405045307"</f>
        <v>7405045307</v>
      </c>
      <c r="C11751" s="1">
        <v>44955</v>
      </c>
      <c r="D11751" s="1">
        <v>44963</v>
      </c>
      <c r="E11751">
        <v>1</v>
      </c>
      <c r="F11751" t="str">
        <f>"04-M01-06"</f>
        <v>04-M01-06</v>
      </c>
      <c r="G11751">
        <v>3.8391000000000002</v>
      </c>
      <c r="H11751" t="s">
        <v>11</v>
      </c>
      <c r="I11751" t="s">
        <v>10</v>
      </c>
    </row>
    <row r="11752" spans="1:9" x14ac:dyDescent="0.25">
      <c r="A11752" t="str">
        <f t="shared" si="285"/>
        <v>89301000</v>
      </c>
      <c r="B11752" t="str">
        <f>"7405055383"</f>
        <v>7405055383</v>
      </c>
      <c r="C11752" s="1">
        <v>45163</v>
      </c>
      <c r="D11752" s="1">
        <v>45167</v>
      </c>
      <c r="E11752">
        <v>4</v>
      </c>
      <c r="F11752" t="str">
        <f>"09-K01-04"</f>
        <v>09-K01-04</v>
      </c>
      <c r="G11752">
        <v>0.59330000000000005</v>
      </c>
      <c r="H11752" t="s">
        <v>11</v>
      </c>
      <c r="I11752" t="s">
        <v>10</v>
      </c>
    </row>
    <row r="11753" spans="1:9" x14ac:dyDescent="0.25">
      <c r="A11753" t="str">
        <f t="shared" si="285"/>
        <v>89301000</v>
      </c>
      <c r="B11753" t="str">
        <f>"7405095379"</f>
        <v>7405095379</v>
      </c>
      <c r="C11753" s="1">
        <v>45278</v>
      </c>
      <c r="D11753" s="1">
        <v>45280</v>
      </c>
      <c r="E11753">
        <v>1</v>
      </c>
      <c r="F11753" t="str">
        <f>"08-K13-01"</f>
        <v>08-K13-01</v>
      </c>
      <c r="G11753">
        <v>1.0982000000000001</v>
      </c>
      <c r="H11753" t="s">
        <v>11</v>
      </c>
      <c r="I11753" t="s">
        <v>10</v>
      </c>
    </row>
    <row r="11754" spans="1:9" x14ac:dyDescent="0.25">
      <c r="A11754" t="str">
        <f t="shared" si="285"/>
        <v>89301000</v>
      </c>
      <c r="B11754" t="str">
        <f>"7405174260"</f>
        <v>7405174260</v>
      </c>
      <c r="C11754" s="1">
        <v>45147</v>
      </c>
      <c r="D11754" s="1">
        <v>45148</v>
      </c>
      <c r="E11754">
        <v>1</v>
      </c>
      <c r="F11754" t="str">
        <f>"07-M02-04"</f>
        <v>07-M02-04</v>
      </c>
      <c r="G11754">
        <v>0.77339999999999998</v>
      </c>
      <c r="H11754" t="s">
        <v>12</v>
      </c>
      <c r="I11754" t="s">
        <v>10</v>
      </c>
    </row>
    <row r="11755" spans="1:9" x14ac:dyDescent="0.25">
      <c r="A11755" t="str">
        <f t="shared" si="285"/>
        <v>89301000</v>
      </c>
      <c r="B11755" t="str">
        <f>"7405174491"</f>
        <v>7405174491</v>
      </c>
      <c r="C11755" s="1">
        <v>45029</v>
      </c>
      <c r="D11755" s="1">
        <v>45033</v>
      </c>
      <c r="E11755">
        <v>1</v>
      </c>
      <c r="F11755" t="str">
        <f>"01-D01-03"</f>
        <v>01-D01-03</v>
      </c>
      <c r="G11755">
        <v>0.25919999999999999</v>
      </c>
      <c r="H11755" t="s">
        <v>11</v>
      </c>
      <c r="I11755" t="s">
        <v>10</v>
      </c>
    </row>
    <row r="11756" spans="1:9" x14ac:dyDescent="0.25">
      <c r="A11756" t="str">
        <f t="shared" si="285"/>
        <v>89301000</v>
      </c>
      <c r="B11756" t="str">
        <f>"7405244484"</f>
        <v>7405244484</v>
      </c>
      <c r="C11756" s="1">
        <v>45028</v>
      </c>
      <c r="D11756" s="1">
        <v>45034</v>
      </c>
      <c r="E11756">
        <v>1</v>
      </c>
      <c r="F11756" t="str">
        <f>"06-I17-02"</f>
        <v>06-I17-02</v>
      </c>
      <c r="G11756">
        <v>1.0106999999999999</v>
      </c>
      <c r="H11756" t="s">
        <v>12</v>
      </c>
      <c r="I11756" t="s">
        <v>10</v>
      </c>
    </row>
    <row r="11757" spans="1:9" x14ac:dyDescent="0.25">
      <c r="A11757" t="str">
        <f t="shared" si="285"/>
        <v>89301000</v>
      </c>
      <c r="B11757" t="str">
        <f>"7405275361"</f>
        <v>7405275361</v>
      </c>
      <c r="C11757" s="1">
        <v>45062</v>
      </c>
      <c r="D11757" s="1">
        <v>45066</v>
      </c>
      <c r="E11757">
        <v>1</v>
      </c>
      <c r="F11757" t="str">
        <f>"05-I24-04"</f>
        <v>05-I24-04</v>
      </c>
      <c r="G11757">
        <v>2.2761999999999998</v>
      </c>
      <c r="H11757" t="s">
        <v>12</v>
      </c>
      <c r="I11757" t="s">
        <v>10</v>
      </c>
    </row>
    <row r="11758" spans="1:9" x14ac:dyDescent="0.25">
      <c r="A11758" t="str">
        <f t="shared" si="285"/>
        <v>89301000</v>
      </c>
      <c r="B11758" t="str">
        <f>"7405295315"</f>
        <v>7405295315</v>
      </c>
      <c r="C11758" s="1">
        <v>45081</v>
      </c>
      <c r="D11758" s="1">
        <v>45083</v>
      </c>
      <c r="E11758">
        <v>1</v>
      </c>
      <c r="F11758" t="str">
        <f>"05-M06-06"</f>
        <v>05-M06-06</v>
      </c>
      <c r="G11758">
        <v>1.8264</v>
      </c>
      <c r="H11758" t="s">
        <v>12</v>
      </c>
      <c r="I11758" t="s">
        <v>10</v>
      </c>
    </row>
    <row r="11759" spans="1:9" x14ac:dyDescent="0.25">
      <c r="A11759" t="str">
        <f t="shared" si="285"/>
        <v>89301000</v>
      </c>
      <c r="B11759" t="str">
        <f>"7405295326"</f>
        <v>7405295326</v>
      </c>
      <c r="C11759" s="1">
        <v>45098</v>
      </c>
      <c r="D11759" s="1">
        <v>45101</v>
      </c>
      <c r="E11759">
        <v>1</v>
      </c>
      <c r="F11759" t="str">
        <f>"08-M03-04"</f>
        <v>08-M03-04</v>
      </c>
      <c r="G11759">
        <v>0.87760000000000005</v>
      </c>
      <c r="H11759" t="s">
        <v>11</v>
      </c>
      <c r="I11759" t="s">
        <v>10</v>
      </c>
    </row>
    <row r="11760" spans="1:9" x14ac:dyDescent="0.25">
      <c r="A11760" t="str">
        <f t="shared" si="285"/>
        <v>89301000</v>
      </c>
      <c r="B11760" t="str">
        <f>"7405305314"</f>
        <v>7405305314</v>
      </c>
      <c r="C11760" s="1">
        <v>45148</v>
      </c>
      <c r="D11760" s="1">
        <v>45149</v>
      </c>
      <c r="E11760">
        <v>1</v>
      </c>
      <c r="F11760" t="str">
        <f>"01-D01-03"</f>
        <v>01-D01-03</v>
      </c>
      <c r="G11760">
        <v>0.16200000000000001</v>
      </c>
      <c r="H11760" t="s">
        <v>11</v>
      </c>
      <c r="I11760" t="s">
        <v>10</v>
      </c>
    </row>
    <row r="11761" spans="1:9" x14ac:dyDescent="0.25">
      <c r="A11761" t="str">
        <f t="shared" si="285"/>
        <v>89301000</v>
      </c>
      <c r="B11761" t="str">
        <f>"7405305314"</f>
        <v>7405305314</v>
      </c>
      <c r="C11761" s="1">
        <v>45226</v>
      </c>
      <c r="D11761" s="1">
        <v>45228</v>
      </c>
      <c r="E11761">
        <v>1</v>
      </c>
      <c r="F11761" t="str">
        <f>"01-D01-03"</f>
        <v>01-D01-03</v>
      </c>
      <c r="G11761">
        <v>0.16200000000000001</v>
      </c>
      <c r="H11761" t="s">
        <v>11</v>
      </c>
      <c r="I11761" t="s">
        <v>10</v>
      </c>
    </row>
    <row r="11762" spans="1:9" x14ac:dyDescent="0.25">
      <c r="A11762" t="str">
        <f t="shared" si="285"/>
        <v>89301000</v>
      </c>
      <c r="B11762" t="str">
        <f>"7406034471"</f>
        <v>7406034471</v>
      </c>
      <c r="C11762" s="1">
        <v>45083</v>
      </c>
      <c r="D11762" s="1">
        <v>45089</v>
      </c>
      <c r="E11762">
        <v>1</v>
      </c>
      <c r="F11762" t="str">
        <f>"01-K04-02"</f>
        <v>01-K04-02</v>
      </c>
      <c r="G11762">
        <v>0.79990000000000006</v>
      </c>
      <c r="H11762" t="s">
        <v>11</v>
      </c>
      <c r="I11762" t="s">
        <v>10</v>
      </c>
    </row>
    <row r="11763" spans="1:9" x14ac:dyDescent="0.25">
      <c r="A11763" t="str">
        <f t="shared" si="285"/>
        <v>89301000</v>
      </c>
      <c r="B11763" t="str">
        <f>"7406045075"</f>
        <v>7406045075</v>
      </c>
      <c r="C11763" s="1">
        <v>45204</v>
      </c>
      <c r="D11763" s="1">
        <v>45205</v>
      </c>
      <c r="E11763">
        <v>1</v>
      </c>
      <c r="F11763" t="str">
        <f>"08-M03-05"</f>
        <v>08-M03-05</v>
      </c>
      <c r="G11763">
        <v>0.46810000000000002</v>
      </c>
      <c r="H11763" t="s">
        <v>11</v>
      </c>
      <c r="I11763" t="s">
        <v>10</v>
      </c>
    </row>
    <row r="11764" spans="1:9" x14ac:dyDescent="0.25">
      <c r="A11764" t="str">
        <f t="shared" si="285"/>
        <v>89301000</v>
      </c>
      <c r="B11764" t="str">
        <f>"7406074885"</f>
        <v>7406074885</v>
      </c>
      <c r="C11764" s="1">
        <v>45258</v>
      </c>
      <c r="D11764" s="1">
        <v>45259</v>
      </c>
      <c r="E11764">
        <v>1</v>
      </c>
      <c r="F11764" t="str">
        <f>"01-D01-03"</f>
        <v>01-D01-03</v>
      </c>
      <c r="G11764">
        <v>0.16200000000000001</v>
      </c>
      <c r="H11764" t="s">
        <v>11</v>
      </c>
      <c r="I11764" t="s">
        <v>10</v>
      </c>
    </row>
    <row r="11765" spans="1:9" x14ac:dyDescent="0.25">
      <c r="A11765" t="str">
        <f t="shared" si="285"/>
        <v>89301000</v>
      </c>
      <c r="B11765" t="str">
        <f>"7406115354"</f>
        <v>7406115354</v>
      </c>
      <c r="C11765" s="1">
        <v>45274</v>
      </c>
      <c r="D11765" s="1">
        <v>45280</v>
      </c>
      <c r="E11765">
        <v>1</v>
      </c>
      <c r="F11765" t="str">
        <f>"03-I11-03"</f>
        <v>03-I11-03</v>
      </c>
      <c r="G11765">
        <v>1.1267</v>
      </c>
      <c r="H11765" t="s">
        <v>12</v>
      </c>
      <c r="I11765" t="s">
        <v>10</v>
      </c>
    </row>
    <row r="11766" spans="1:9" x14ac:dyDescent="0.25">
      <c r="A11766" t="str">
        <f t="shared" si="285"/>
        <v>89301000</v>
      </c>
      <c r="B11766" t="str">
        <f>"7406124198"</f>
        <v>7406124198</v>
      </c>
      <c r="C11766" s="1">
        <v>44956</v>
      </c>
      <c r="D11766" s="1">
        <v>44970</v>
      </c>
      <c r="E11766">
        <v>1</v>
      </c>
      <c r="F11766" t="str">
        <f>"24-M07-01"</f>
        <v>24-M07-01</v>
      </c>
      <c r="G11766">
        <v>1.7825</v>
      </c>
      <c r="H11766" t="s">
        <v>11</v>
      </c>
      <c r="I11766" t="s">
        <v>10</v>
      </c>
    </row>
    <row r="11767" spans="1:9" x14ac:dyDescent="0.25">
      <c r="A11767" t="str">
        <f t="shared" si="285"/>
        <v>89301000</v>
      </c>
      <c r="B11767" t="str">
        <f>"7406294456"</f>
        <v>7406294456</v>
      </c>
      <c r="C11767" s="1">
        <v>45175</v>
      </c>
      <c r="D11767" s="1">
        <v>45176</v>
      </c>
      <c r="E11767">
        <v>1</v>
      </c>
      <c r="F11767" t="str">
        <f>"04-K09-03"</f>
        <v>04-K09-03</v>
      </c>
      <c r="G11767">
        <v>0.65600000000000003</v>
      </c>
      <c r="H11767" t="s">
        <v>11</v>
      </c>
      <c r="I11767" t="s">
        <v>10</v>
      </c>
    </row>
    <row r="11768" spans="1:9" x14ac:dyDescent="0.25">
      <c r="A11768" t="str">
        <f t="shared" si="285"/>
        <v>89301000</v>
      </c>
      <c r="B11768" t="str">
        <f>"7407015352"</f>
        <v>7407015352</v>
      </c>
      <c r="C11768" s="1">
        <v>45094</v>
      </c>
      <c r="D11768" s="1">
        <v>45096</v>
      </c>
      <c r="E11768">
        <v>1</v>
      </c>
      <c r="F11768" t="str">
        <f>"08-I03-08"</f>
        <v>08-I03-08</v>
      </c>
      <c r="G11768">
        <v>1.9455</v>
      </c>
      <c r="H11768" t="s">
        <v>9</v>
      </c>
      <c r="I11768" t="s">
        <v>10</v>
      </c>
    </row>
    <row r="11769" spans="1:9" x14ac:dyDescent="0.25">
      <c r="A11769" t="str">
        <f t="shared" si="285"/>
        <v>89301000</v>
      </c>
      <c r="B11769" t="str">
        <f>"7407025318"</f>
        <v>7407025318</v>
      </c>
      <c r="C11769" s="1">
        <v>45254</v>
      </c>
      <c r="D11769" s="1">
        <v>45259</v>
      </c>
      <c r="E11769">
        <v>1</v>
      </c>
      <c r="F11769" t="str">
        <f>"08-K08-00"</f>
        <v>08-K08-00</v>
      </c>
      <c r="G11769">
        <v>0.5272</v>
      </c>
      <c r="H11769" t="s">
        <v>11</v>
      </c>
      <c r="I11769" t="s">
        <v>10</v>
      </c>
    </row>
    <row r="11770" spans="1:9" x14ac:dyDescent="0.25">
      <c r="A11770" t="str">
        <f t="shared" si="285"/>
        <v>89301000</v>
      </c>
      <c r="B11770" t="str">
        <f>"7407025318"</f>
        <v>7407025318</v>
      </c>
      <c r="C11770" s="1">
        <v>45273</v>
      </c>
      <c r="D11770" s="1">
        <v>45278</v>
      </c>
      <c r="E11770">
        <v>1</v>
      </c>
      <c r="F11770" t="str">
        <f>"08-K08-00"</f>
        <v>08-K08-00</v>
      </c>
      <c r="G11770">
        <v>0.5272</v>
      </c>
      <c r="H11770" t="s">
        <v>11</v>
      </c>
      <c r="I11770" t="s">
        <v>10</v>
      </c>
    </row>
    <row r="11771" spans="1:9" x14ac:dyDescent="0.25">
      <c r="A11771" t="str">
        <f t="shared" si="285"/>
        <v>89301000</v>
      </c>
      <c r="B11771" t="str">
        <f>"7407115716"</f>
        <v>7407115716</v>
      </c>
      <c r="C11771" s="1">
        <v>45242</v>
      </c>
      <c r="D11771" s="1">
        <v>45251</v>
      </c>
      <c r="E11771">
        <v>1</v>
      </c>
      <c r="F11771" t="str">
        <f>"01-K14-00"</f>
        <v>01-K14-00</v>
      </c>
      <c r="G11771">
        <v>1.3366</v>
      </c>
      <c r="H11771" t="s">
        <v>11</v>
      </c>
      <c r="I11771" t="s">
        <v>10</v>
      </c>
    </row>
    <row r="11772" spans="1:9" x14ac:dyDescent="0.25">
      <c r="A11772" t="str">
        <f t="shared" si="285"/>
        <v>89301000</v>
      </c>
      <c r="B11772" t="str">
        <f>"7407135318"</f>
        <v>7407135318</v>
      </c>
      <c r="C11772" s="1">
        <v>44943</v>
      </c>
      <c r="D11772" s="1">
        <v>44951</v>
      </c>
      <c r="E11772">
        <v>1</v>
      </c>
      <c r="F11772" t="str">
        <f>"02-K11-01"</f>
        <v>02-K11-01</v>
      </c>
      <c r="G11772">
        <v>0.87490000000000001</v>
      </c>
      <c r="H11772" t="s">
        <v>11</v>
      </c>
      <c r="I11772" t="s">
        <v>10</v>
      </c>
    </row>
    <row r="11773" spans="1:9" x14ac:dyDescent="0.25">
      <c r="A11773" t="str">
        <f t="shared" si="285"/>
        <v>89301000</v>
      </c>
      <c r="B11773" t="str">
        <f>"7407155371"</f>
        <v>7407155371</v>
      </c>
      <c r="C11773" s="1">
        <v>45061</v>
      </c>
      <c r="D11773" s="1">
        <v>45063</v>
      </c>
      <c r="E11773">
        <v>1</v>
      </c>
      <c r="F11773" t="str">
        <f>"01-D01-03"</f>
        <v>01-D01-03</v>
      </c>
      <c r="G11773">
        <v>0.16200000000000001</v>
      </c>
      <c r="H11773" t="s">
        <v>11</v>
      </c>
      <c r="I11773" t="s">
        <v>10</v>
      </c>
    </row>
    <row r="11774" spans="1:9" x14ac:dyDescent="0.25">
      <c r="A11774" t="str">
        <f t="shared" si="285"/>
        <v>89301000</v>
      </c>
      <c r="B11774" t="str">
        <f>"7407185797"</f>
        <v>7407185797</v>
      </c>
      <c r="C11774" s="1">
        <v>45196</v>
      </c>
      <c r="D11774" s="1">
        <v>45197</v>
      </c>
      <c r="E11774">
        <v>1</v>
      </c>
      <c r="F11774" t="str">
        <f>"01-D01-03"</f>
        <v>01-D01-03</v>
      </c>
      <c r="G11774">
        <v>0.16200000000000001</v>
      </c>
      <c r="H11774" t="s">
        <v>11</v>
      </c>
      <c r="I11774" t="s">
        <v>10</v>
      </c>
    </row>
    <row r="11775" spans="1:9" x14ac:dyDescent="0.25">
      <c r="A11775" t="str">
        <f t="shared" si="285"/>
        <v>89301000</v>
      </c>
      <c r="B11775" t="str">
        <f>"7407204464"</f>
        <v>7407204464</v>
      </c>
      <c r="C11775" s="1">
        <v>44984</v>
      </c>
      <c r="D11775" s="1">
        <v>44987</v>
      </c>
      <c r="E11775">
        <v>1</v>
      </c>
      <c r="F11775" t="str">
        <f>"08-M03-05"</f>
        <v>08-M03-05</v>
      </c>
      <c r="G11775">
        <v>0.46810000000000002</v>
      </c>
      <c r="H11775" t="s">
        <v>11</v>
      </c>
      <c r="I11775" t="s">
        <v>10</v>
      </c>
    </row>
    <row r="11776" spans="1:9" x14ac:dyDescent="0.25">
      <c r="A11776" t="str">
        <f t="shared" si="285"/>
        <v>89301000</v>
      </c>
      <c r="B11776" t="str">
        <f>"7407204475"</f>
        <v>7407204475</v>
      </c>
      <c r="C11776" s="1">
        <v>44944</v>
      </c>
      <c r="D11776" s="1">
        <v>44949</v>
      </c>
      <c r="E11776">
        <v>1</v>
      </c>
      <c r="F11776" t="str">
        <f>"05-I24-04"</f>
        <v>05-I24-04</v>
      </c>
      <c r="G11776">
        <v>2.1032000000000002</v>
      </c>
      <c r="H11776" t="s">
        <v>12</v>
      </c>
      <c r="I11776" t="s">
        <v>10</v>
      </c>
    </row>
    <row r="11777" spans="1:9" x14ac:dyDescent="0.25">
      <c r="A11777" t="str">
        <f t="shared" si="285"/>
        <v>89301000</v>
      </c>
      <c r="B11777" t="str">
        <f>"7407215343"</f>
        <v>7407215343</v>
      </c>
      <c r="C11777" s="1">
        <v>45096</v>
      </c>
      <c r="D11777" s="1">
        <v>45097</v>
      </c>
      <c r="E11777">
        <v>1</v>
      </c>
      <c r="F11777" t="str">
        <f>"08-I32-00"</f>
        <v>08-I32-00</v>
      </c>
      <c r="G11777">
        <v>0.40870000000000001</v>
      </c>
      <c r="H11777" t="s">
        <v>11</v>
      </c>
      <c r="I11777" t="s">
        <v>10</v>
      </c>
    </row>
    <row r="11778" spans="1:9" x14ac:dyDescent="0.25">
      <c r="A11778" t="str">
        <f t="shared" si="285"/>
        <v>89301000</v>
      </c>
      <c r="B11778" t="str">
        <f>"7408035778"</f>
        <v>7408035778</v>
      </c>
      <c r="C11778" s="1">
        <v>45214</v>
      </c>
      <c r="D11778" s="1">
        <v>45219</v>
      </c>
      <c r="E11778">
        <v>1</v>
      </c>
      <c r="F11778" t="str">
        <f>"06-I17-02"</f>
        <v>06-I17-02</v>
      </c>
      <c r="G11778">
        <v>1.0106999999999999</v>
      </c>
      <c r="H11778" t="s">
        <v>12</v>
      </c>
      <c r="I11778" t="s">
        <v>10</v>
      </c>
    </row>
    <row r="11779" spans="1:9" x14ac:dyDescent="0.25">
      <c r="A11779" t="str">
        <f t="shared" si="285"/>
        <v>89301000</v>
      </c>
      <c r="B11779" t="str">
        <f>"7408134459"</f>
        <v>7408134459</v>
      </c>
      <c r="C11779" s="1">
        <v>45003</v>
      </c>
      <c r="D11779" s="1">
        <v>45006</v>
      </c>
      <c r="E11779">
        <v>5</v>
      </c>
      <c r="F11779" t="str">
        <f>"08-I13-04"</f>
        <v>08-I13-04</v>
      </c>
      <c r="G11779">
        <v>2.9297</v>
      </c>
      <c r="H11779" t="s">
        <v>12</v>
      </c>
      <c r="I11779" t="s">
        <v>10</v>
      </c>
    </row>
    <row r="11780" spans="1:9" x14ac:dyDescent="0.25">
      <c r="A11780" t="str">
        <f t="shared" si="285"/>
        <v>89301000</v>
      </c>
      <c r="B11780" t="str">
        <f>"7408135757"</f>
        <v>7408135757</v>
      </c>
      <c r="C11780" s="1">
        <v>45088</v>
      </c>
      <c r="D11780" s="1">
        <v>45092</v>
      </c>
      <c r="E11780">
        <v>1</v>
      </c>
      <c r="F11780" t="str">
        <f>"05-D01-06"</f>
        <v>05-D01-06</v>
      </c>
      <c r="G11780">
        <v>0.7571</v>
      </c>
      <c r="H11780" t="s">
        <v>11</v>
      </c>
      <c r="I11780" t="s">
        <v>10</v>
      </c>
    </row>
    <row r="11781" spans="1:9" x14ac:dyDescent="0.25">
      <c r="A11781" t="str">
        <f t="shared" si="285"/>
        <v>89301000</v>
      </c>
      <c r="B11781" t="str">
        <f>"7409093978"</f>
        <v>7409093978</v>
      </c>
      <c r="C11781" s="1">
        <v>45091</v>
      </c>
      <c r="D11781" s="1">
        <v>45092</v>
      </c>
      <c r="E11781">
        <v>1</v>
      </c>
      <c r="F11781" t="str">
        <f>"01-D01-03"</f>
        <v>01-D01-03</v>
      </c>
      <c r="G11781">
        <v>0.16200000000000001</v>
      </c>
      <c r="H11781" t="s">
        <v>11</v>
      </c>
      <c r="I11781" t="s">
        <v>10</v>
      </c>
    </row>
    <row r="11782" spans="1:9" x14ac:dyDescent="0.25">
      <c r="A11782" t="str">
        <f t="shared" si="285"/>
        <v>89301000</v>
      </c>
      <c r="B11782" t="str">
        <f>"7409093978"</f>
        <v>7409093978</v>
      </c>
      <c r="C11782" s="1">
        <v>45177</v>
      </c>
      <c r="D11782" s="1">
        <v>45180</v>
      </c>
      <c r="E11782">
        <v>1</v>
      </c>
      <c r="F11782" t="str">
        <f>"01-D01-03"</f>
        <v>01-D01-03</v>
      </c>
      <c r="G11782">
        <v>0.21060000000000001</v>
      </c>
      <c r="H11782" t="s">
        <v>11</v>
      </c>
      <c r="I11782" t="s">
        <v>10</v>
      </c>
    </row>
    <row r="11783" spans="1:9" x14ac:dyDescent="0.25">
      <c r="A11783" t="str">
        <f t="shared" si="285"/>
        <v>89301000</v>
      </c>
      <c r="B11783" t="str">
        <f>"7409225758"</f>
        <v>7409225758</v>
      </c>
      <c r="C11783" s="1">
        <v>45230</v>
      </c>
      <c r="D11783" s="1">
        <v>45232</v>
      </c>
      <c r="E11783">
        <v>1</v>
      </c>
      <c r="F11783" t="str">
        <f>"01-D01-03"</f>
        <v>01-D01-03</v>
      </c>
      <c r="G11783">
        <v>0.16200000000000001</v>
      </c>
      <c r="H11783" t="s">
        <v>11</v>
      </c>
      <c r="I11783" t="s">
        <v>10</v>
      </c>
    </row>
    <row r="11784" spans="1:9" x14ac:dyDescent="0.25">
      <c r="A11784" t="str">
        <f t="shared" si="285"/>
        <v>89301000</v>
      </c>
      <c r="B11784" t="str">
        <f>"7409295344"</f>
        <v>7409295344</v>
      </c>
      <c r="C11784" s="1">
        <v>44990</v>
      </c>
      <c r="D11784" s="1">
        <v>44994</v>
      </c>
      <c r="E11784">
        <v>1</v>
      </c>
      <c r="F11784" t="str">
        <f>"10-I13-02"</f>
        <v>10-I13-02</v>
      </c>
      <c r="G11784">
        <v>1.1124000000000001</v>
      </c>
      <c r="H11784" t="s">
        <v>9</v>
      </c>
      <c r="I11784" t="s">
        <v>10</v>
      </c>
    </row>
    <row r="11785" spans="1:9" x14ac:dyDescent="0.25">
      <c r="A11785" t="str">
        <f t="shared" si="285"/>
        <v>89301000</v>
      </c>
      <c r="B11785" t="str">
        <f>"7409304133"</f>
        <v>7409304133</v>
      </c>
      <c r="C11785" s="1">
        <v>45042</v>
      </c>
      <c r="D11785" s="1">
        <v>45044</v>
      </c>
      <c r="E11785">
        <v>1</v>
      </c>
      <c r="F11785" t="str">
        <f>"06-I16-04"</f>
        <v>06-I16-04</v>
      </c>
      <c r="G11785">
        <v>0.68920000000000003</v>
      </c>
      <c r="H11785" t="s">
        <v>9</v>
      </c>
      <c r="I11785" t="s">
        <v>10</v>
      </c>
    </row>
    <row r="11786" spans="1:9" x14ac:dyDescent="0.25">
      <c r="A11786" t="str">
        <f t="shared" si="285"/>
        <v>89301000</v>
      </c>
      <c r="B11786" t="str">
        <f>"7410025370"</f>
        <v>7410025370</v>
      </c>
      <c r="C11786" s="1">
        <v>45238</v>
      </c>
      <c r="D11786" s="1">
        <v>45239</v>
      </c>
      <c r="E11786">
        <v>1</v>
      </c>
      <c r="F11786" t="str">
        <f>"04-K05-03"</f>
        <v>04-K05-03</v>
      </c>
      <c r="G11786">
        <v>0.74039999999999995</v>
      </c>
      <c r="H11786" t="s">
        <v>11</v>
      </c>
      <c r="I11786" t="s">
        <v>10</v>
      </c>
    </row>
    <row r="11787" spans="1:9" x14ac:dyDescent="0.25">
      <c r="A11787" t="str">
        <f t="shared" si="285"/>
        <v>89301000</v>
      </c>
      <c r="B11787" t="str">
        <f>"7410054630"</f>
        <v>7410054630</v>
      </c>
      <c r="C11787" s="1">
        <v>45166</v>
      </c>
      <c r="D11787" s="1">
        <v>45167</v>
      </c>
      <c r="E11787">
        <v>1</v>
      </c>
      <c r="F11787" t="str">
        <f>"05-I14-04"</f>
        <v>05-I14-04</v>
      </c>
      <c r="G11787">
        <v>5.2220000000000004</v>
      </c>
      <c r="H11787" t="s">
        <v>12</v>
      </c>
      <c r="I11787" t="s">
        <v>10</v>
      </c>
    </row>
    <row r="11788" spans="1:9" x14ac:dyDescent="0.25">
      <c r="A11788" t="str">
        <f t="shared" si="285"/>
        <v>89301000</v>
      </c>
      <c r="B11788" t="str">
        <f>"7410054630"</f>
        <v>7410054630</v>
      </c>
      <c r="C11788" s="1">
        <v>45104</v>
      </c>
      <c r="D11788" s="1">
        <v>45105</v>
      </c>
      <c r="E11788">
        <v>1</v>
      </c>
      <c r="F11788" t="str">
        <f>"05-D01-06"</f>
        <v>05-D01-06</v>
      </c>
      <c r="G11788">
        <v>0.7571</v>
      </c>
      <c r="H11788" t="s">
        <v>11</v>
      </c>
      <c r="I11788" t="s">
        <v>10</v>
      </c>
    </row>
    <row r="11789" spans="1:9" x14ac:dyDescent="0.25">
      <c r="A11789" t="str">
        <f t="shared" si="285"/>
        <v>89301000</v>
      </c>
      <c r="B11789" t="str">
        <f>"7410065366"</f>
        <v>7410065366</v>
      </c>
      <c r="C11789" s="1">
        <v>44944</v>
      </c>
      <c r="D11789" s="1">
        <v>44946</v>
      </c>
      <c r="E11789">
        <v>1</v>
      </c>
      <c r="F11789" t="str">
        <f>"09-I13-05"</f>
        <v>09-I13-05</v>
      </c>
      <c r="G11789">
        <v>0.42509999999999998</v>
      </c>
      <c r="H11789" t="s">
        <v>11</v>
      </c>
      <c r="I11789" t="s">
        <v>10</v>
      </c>
    </row>
    <row r="11790" spans="1:9" x14ac:dyDescent="0.25">
      <c r="A11790" t="str">
        <f t="shared" si="285"/>
        <v>89301000</v>
      </c>
      <c r="B11790" t="str">
        <f>"7410095759"</f>
        <v>7410095759</v>
      </c>
      <c r="C11790" s="1">
        <v>45201</v>
      </c>
      <c r="D11790" s="1">
        <v>45203</v>
      </c>
      <c r="E11790">
        <v>1</v>
      </c>
      <c r="F11790" t="str">
        <f>"05-M05-02"</f>
        <v>05-M05-02</v>
      </c>
      <c r="G11790">
        <v>3.4817999999999998</v>
      </c>
      <c r="H11790" t="s">
        <v>14</v>
      </c>
      <c r="I11790" t="s">
        <v>10</v>
      </c>
    </row>
    <row r="11791" spans="1:9" x14ac:dyDescent="0.25">
      <c r="A11791" t="str">
        <f t="shared" si="285"/>
        <v>89301000</v>
      </c>
      <c r="B11791" t="str">
        <f>"7410285520"</f>
        <v>7410285520</v>
      </c>
      <c r="C11791" s="1">
        <v>45138</v>
      </c>
      <c r="D11791" s="1">
        <v>45149</v>
      </c>
      <c r="E11791">
        <v>1</v>
      </c>
      <c r="F11791" t="str">
        <f>"07-M02-04"</f>
        <v>07-M02-04</v>
      </c>
      <c r="G11791">
        <v>0.77339999999999998</v>
      </c>
      <c r="H11791" t="s">
        <v>12</v>
      </c>
      <c r="I11791" t="s">
        <v>10</v>
      </c>
    </row>
    <row r="11792" spans="1:9" x14ac:dyDescent="0.25">
      <c r="A11792" t="str">
        <f t="shared" si="285"/>
        <v>89301000</v>
      </c>
      <c r="B11792" t="str">
        <f>"7410285520"</f>
        <v>7410285520</v>
      </c>
      <c r="C11792" s="1">
        <v>45252</v>
      </c>
      <c r="D11792" s="1">
        <v>45255</v>
      </c>
      <c r="E11792">
        <v>1</v>
      </c>
      <c r="F11792" t="str">
        <f>"07-M02-04"</f>
        <v>07-M02-04</v>
      </c>
      <c r="G11792">
        <v>0.77339999999999998</v>
      </c>
      <c r="H11792" t="s">
        <v>12</v>
      </c>
      <c r="I11792" t="s">
        <v>10</v>
      </c>
    </row>
    <row r="11793" spans="1:9" x14ac:dyDescent="0.25">
      <c r="A11793" t="str">
        <f t="shared" si="285"/>
        <v>89301000</v>
      </c>
      <c r="B11793" t="str">
        <f>"7411025303"</f>
        <v>7411025303</v>
      </c>
      <c r="C11793" s="1">
        <v>44928</v>
      </c>
      <c r="D11793" s="1">
        <v>44932</v>
      </c>
      <c r="E11793">
        <v>1</v>
      </c>
      <c r="F11793" t="str">
        <f>"24-M05-02"</f>
        <v>24-M05-02</v>
      </c>
      <c r="G11793">
        <v>0.58660000000000001</v>
      </c>
      <c r="H11793" t="s">
        <v>11</v>
      </c>
      <c r="I11793" t="s">
        <v>10</v>
      </c>
    </row>
    <row r="11794" spans="1:9" x14ac:dyDescent="0.25">
      <c r="A11794" t="str">
        <f t="shared" si="285"/>
        <v>89301000</v>
      </c>
      <c r="B11794" t="str">
        <f>"7411055322"</f>
        <v>7411055322</v>
      </c>
      <c r="C11794" s="1">
        <v>45223</v>
      </c>
      <c r="D11794" s="1">
        <v>45224</v>
      </c>
      <c r="E11794">
        <v>1</v>
      </c>
      <c r="F11794" t="str">
        <f>"02-I13-02"</f>
        <v>02-I13-02</v>
      </c>
      <c r="G11794">
        <v>0.4259</v>
      </c>
      <c r="H11794" t="s">
        <v>11</v>
      </c>
      <c r="I11794" t="s">
        <v>10</v>
      </c>
    </row>
    <row r="11795" spans="1:9" x14ac:dyDescent="0.25">
      <c r="A11795" t="str">
        <f t="shared" si="285"/>
        <v>89301000</v>
      </c>
      <c r="B11795" t="str">
        <f>"7411185320"</f>
        <v>7411185320</v>
      </c>
      <c r="C11795" s="1">
        <v>45272</v>
      </c>
      <c r="D11795" s="1">
        <v>45273</v>
      </c>
      <c r="E11795">
        <v>1</v>
      </c>
      <c r="F11795" t="str">
        <f>"10-K15-02"</f>
        <v>10-K15-02</v>
      </c>
      <c r="G11795">
        <v>0.66379999999999995</v>
      </c>
      <c r="H11795" t="s">
        <v>11</v>
      </c>
      <c r="I11795" t="s">
        <v>10</v>
      </c>
    </row>
    <row r="11796" spans="1:9" x14ac:dyDescent="0.25">
      <c r="A11796" t="str">
        <f t="shared" si="285"/>
        <v>89301000</v>
      </c>
      <c r="B11796" t="str">
        <f>"7411185320"</f>
        <v>7411185320</v>
      </c>
      <c r="C11796" s="1">
        <v>45182</v>
      </c>
      <c r="D11796" s="1">
        <v>45183</v>
      </c>
      <c r="E11796">
        <v>1</v>
      </c>
      <c r="F11796" t="str">
        <f>"10-K15-02"</f>
        <v>10-K15-02</v>
      </c>
      <c r="G11796">
        <v>0.66379999999999995</v>
      </c>
      <c r="H11796" t="s">
        <v>11</v>
      </c>
      <c r="I11796" t="s">
        <v>10</v>
      </c>
    </row>
    <row r="11797" spans="1:9" x14ac:dyDescent="0.25">
      <c r="A11797" t="str">
        <f t="shared" si="285"/>
        <v>89301000</v>
      </c>
      <c r="B11797" t="str">
        <f>"7411224403"</f>
        <v>7411224403</v>
      </c>
      <c r="C11797" s="1">
        <v>45117</v>
      </c>
      <c r="D11797" s="1">
        <v>45119</v>
      </c>
      <c r="E11797">
        <v>1</v>
      </c>
      <c r="F11797" t="str">
        <f>"11-M05-02"</f>
        <v>11-M05-02</v>
      </c>
      <c r="G11797">
        <v>0.6694</v>
      </c>
      <c r="H11797" t="s">
        <v>12</v>
      </c>
      <c r="I11797" t="s">
        <v>10</v>
      </c>
    </row>
    <row r="11798" spans="1:9" x14ac:dyDescent="0.25">
      <c r="A11798" t="str">
        <f t="shared" si="285"/>
        <v>89301000</v>
      </c>
      <c r="B11798" t="str">
        <f>"7411235326"</f>
        <v>7411235326</v>
      </c>
      <c r="C11798" s="1">
        <v>45169</v>
      </c>
      <c r="D11798" s="1">
        <v>45172</v>
      </c>
      <c r="E11798">
        <v>1</v>
      </c>
      <c r="F11798" t="str">
        <f>"08-I22-02"</f>
        <v>08-I22-02</v>
      </c>
      <c r="G11798">
        <v>1.131</v>
      </c>
      <c r="H11798" t="s">
        <v>12</v>
      </c>
      <c r="I11798" t="s">
        <v>10</v>
      </c>
    </row>
    <row r="11799" spans="1:9" x14ac:dyDescent="0.25">
      <c r="A11799" t="str">
        <f t="shared" si="285"/>
        <v>89301000</v>
      </c>
      <c r="B11799" t="str">
        <f>"7411235326"</f>
        <v>7411235326</v>
      </c>
      <c r="C11799" s="1">
        <v>45273</v>
      </c>
      <c r="D11799" s="1">
        <v>45274</v>
      </c>
      <c r="E11799">
        <v>1</v>
      </c>
      <c r="F11799" t="str">
        <f>"05-M03-00"</f>
        <v>05-M03-00</v>
      </c>
      <c r="G11799">
        <v>3.4253999999999998</v>
      </c>
      <c r="H11799" t="s">
        <v>14</v>
      </c>
      <c r="I11799" t="s">
        <v>10</v>
      </c>
    </row>
    <row r="11800" spans="1:9" x14ac:dyDescent="0.25">
      <c r="A11800" t="str">
        <f t="shared" si="285"/>
        <v>89301000</v>
      </c>
      <c r="B11800" t="str">
        <f>"7411235326"</f>
        <v>7411235326</v>
      </c>
      <c r="C11800" s="1">
        <v>44975</v>
      </c>
      <c r="D11800" s="1">
        <v>44979</v>
      </c>
      <c r="E11800">
        <v>1</v>
      </c>
      <c r="F11800" t="str">
        <f>"01-K10-03"</f>
        <v>01-K10-03</v>
      </c>
      <c r="G11800">
        <v>1.0348999999999999</v>
      </c>
      <c r="H11800" t="s">
        <v>11</v>
      </c>
      <c r="I11800" t="s">
        <v>10</v>
      </c>
    </row>
    <row r="11801" spans="1:9" x14ac:dyDescent="0.25">
      <c r="A11801" t="str">
        <f t="shared" si="285"/>
        <v>89301000</v>
      </c>
      <c r="B11801" t="str">
        <f>"7411295793"</f>
        <v>7411295793</v>
      </c>
      <c r="C11801" s="1">
        <v>44960</v>
      </c>
      <c r="D11801" s="1">
        <v>44966</v>
      </c>
      <c r="E11801">
        <v>1</v>
      </c>
      <c r="F11801" t="str">
        <f>"08-I04-01"</f>
        <v>08-I04-01</v>
      </c>
      <c r="G11801">
        <v>2.7970000000000002</v>
      </c>
      <c r="H11801" t="s">
        <v>14</v>
      </c>
      <c r="I11801" t="s">
        <v>10</v>
      </c>
    </row>
    <row r="11802" spans="1:9" x14ac:dyDescent="0.25">
      <c r="A11802" t="str">
        <f t="shared" si="285"/>
        <v>89301000</v>
      </c>
      <c r="B11802" t="str">
        <f>"7412015765"</f>
        <v>7412015765</v>
      </c>
      <c r="C11802" s="1">
        <v>44950</v>
      </c>
      <c r="D11802" s="1">
        <v>44951</v>
      </c>
      <c r="E11802">
        <v>1</v>
      </c>
      <c r="F11802" t="str">
        <f>"05-M05-02"</f>
        <v>05-M05-02</v>
      </c>
      <c r="G11802">
        <v>3.4817999999999998</v>
      </c>
      <c r="H11802" t="s">
        <v>14</v>
      </c>
      <c r="I11802" t="s">
        <v>10</v>
      </c>
    </row>
    <row r="11803" spans="1:9" x14ac:dyDescent="0.25">
      <c r="A11803" t="str">
        <f t="shared" si="285"/>
        <v>89301000</v>
      </c>
      <c r="B11803" t="str">
        <f>"7412105778"</f>
        <v>7412105778</v>
      </c>
      <c r="C11803" s="1">
        <v>44970</v>
      </c>
      <c r="D11803" s="1">
        <v>44971</v>
      </c>
      <c r="E11803">
        <v>1</v>
      </c>
      <c r="F11803" t="str">
        <f>"12-I14-00"</f>
        <v>12-I14-00</v>
      </c>
      <c r="G11803">
        <v>0.42920000000000003</v>
      </c>
      <c r="H11803" t="s">
        <v>11</v>
      </c>
      <c r="I11803" t="s">
        <v>10</v>
      </c>
    </row>
    <row r="11804" spans="1:9" x14ac:dyDescent="0.25">
      <c r="A11804" t="str">
        <f t="shared" si="285"/>
        <v>89301000</v>
      </c>
      <c r="B11804" t="str">
        <f>"7412265850"</f>
        <v>7412265850</v>
      </c>
      <c r="C11804" s="1">
        <v>45188</v>
      </c>
      <c r="D11804" s="1">
        <v>45189</v>
      </c>
      <c r="E11804">
        <v>1</v>
      </c>
      <c r="F11804" t="str">
        <f>"01-D01-03"</f>
        <v>01-D01-03</v>
      </c>
      <c r="G11804">
        <v>0.16200000000000001</v>
      </c>
      <c r="H11804" t="s">
        <v>11</v>
      </c>
      <c r="I11804" t="s">
        <v>10</v>
      </c>
    </row>
    <row r="11805" spans="1:9" x14ac:dyDescent="0.25">
      <c r="A11805" t="str">
        <f t="shared" si="285"/>
        <v>89301000</v>
      </c>
      <c r="B11805" t="str">
        <f>"7412305318"</f>
        <v>7412305318</v>
      </c>
      <c r="C11805" s="1">
        <v>45138</v>
      </c>
      <c r="D11805" s="1">
        <v>45138</v>
      </c>
      <c r="E11805">
        <v>1</v>
      </c>
      <c r="F11805" t="str">
        <f>"05-D01-02"</f>
        <v>05-D01-02</v>
      </c>
      <c r="G11805">
        <v>1.5137</v>
      </c>
      <c r="H11805" t="s">
        <v>11</v>
      </c>
      <c r="I11805" t="s">
        <v>10</v>
      </c>
    </row>
    <row r="11806" spans="1:9" x14ac:dyDescent="0.25">
      <c r="A11806" t="str">
        <f t="shared" si="285"/>
        <v>89301000</v>
      </c>
      <c r="B11806" t="str">
        <f>"7451105794"</f>
        <v>7451105794</v>
      </c>
      <c r="C11806" s="1">
        <v>45218</v>
      </c>
      <c r="D11806" s="1">
        <v>45220</v>
      </c>
      <c r="E11806">
        <v>1</v>
      </c>
      <c r="F11806" t="str">
        <f>"09-I13-04"</f>
        <v>09-I13-04</v>
      </c>
      <c r="G11806">
        <v>0.54139999999999999</v>
      </c>
      <c r="H11806" t="s">
        <v>11</v>
      </c>
      <c r="I11806" t="s">
        <v>10</v>
      </c>
    </row>
    <row r="11807" spans="1:9" x14ac:dyDescent="0.25">
      <c r="A11807" t="str">
        <f t="shared" si="285"/>
        <v>89301000</v>
      </c>
      <c r="B11807" t="str">
        <f>"7451165359"</f>
        <v>7451165359</v>
      </c>
      <c r="C11807" s="1">
        <v>44990</v>
      </c>
      <c r="D11807" s="1">
        <v>44994</v>
      </c>
      <c r="E11807">
        <v>1</v>
      </c>
      <c r="F11807" t="str">
        <f>"06-K07-02"</f>
        <v>06-K07-02</v>
      </c>
      <c r="G11807">
        <v>0.4385</v>
      </c>
      <c r="H11807" t="s">
        <v>11</v>
      </c>
      <c r="I11807" t="s">
        <v>10</v>
      </c>
    </row>
    <row r="11808" spans="1:9" x14ac:dyDescent="0.25">
      <c r="A11808" t="str">
        <f t="shared" ref="A11808:A11871" si="286">"89301000"</f>
        <v>89301000</v>
      </c>
      <c r="B11808" t="str">
        <f>"7451195312"</f>
        <v>7451195312</v>
      </c>
      <c r="C11808" s="1">
        <v>45099</v>
      </c>
      <c r="D11808" s="1">
        <v>45107</v>
      </c>
      <c r="E11808">
        <v>1</v>
      </c>
      <c r="F11808" t="str">
        <f>"07-K01-02"</f>
        <v>07-K01-02</v>
      </c>
      <c r="G11808">
        <v>1.0002</v>
      </c>
      <c r="H11808" t="s">
        <v>11</v>
      </c>
      <c r="I11808" t="s">
        <v>10</v>
      </c>
    </row>
    <row r="11809" spans="1:9" x14ac:dyDescent="0.25">
      <c r="A11809" t="str">
        <f t="shared" si="286"/>
        <v>89301000</v>
      </c>
      <c r="B11809" t="str">
        <f>"7451235396"</f>
        <v>7451235396</v>
      </c>
      <c r="C11809" s="1">
        <v>45258</v>
      </c>
      <c r="D11809" s="1">
        <v>45260</v>
      </c>
      <c r="E11809">
        <v>1</v>
      </c>
      <c r="F11809" t="str">
        <f>"03-I18-03"</f>
        <v>03-I18-03</v>
      </c>
      <c r="G11809">
        <v>0.83940000000000003</v>
      </c>
      <c r="H11809" t="s">
        <v>9</v>
      </c>
      <c r="I11809" t="s">
        <v>10</v>
      </c>
    </row>
    <row r="11810" spans="1:9" x14ac:dyDescent="0.25">
      <c r="A11810" t="str">
        <f t="shared" si="286"/>
        <v>89301000</v>
      </c>
      <c r="B11810" t="str">
        <f>"7451244482"</f>
        <v>7451244482</v>
      </c>
      <c r="C11810" s="1">
        <v>44998</v>
      </c>
      <c r="D11810" s="1">
        <v>45002</v>
      </c>
      <c r="E11810">
        <v>1</v>
      </c>
      <c r="F11810" t="str">
        <f>"09-K04-01"</f>
        <v>09-K04-01</v>
      </c>
      <c r="G11810">
        <v>0.80930000000000002</v>
      </c>
      <c r="H11810" t="s">
        <v>11</v>
      </c>
      <c r="I11810" t="s">
        <v>10</v>
      </c>
    </row>
    <row r="11811" spans="1:9" x14ac:dyDescent="0.25">
      <c r="A11811" t="str">
        <f t="shared" si="286"/>
        <v>89301000</v>
      </c>
      <c r="B11811" t="str">
        <f>"7451265360"</f>
        <v>7451265360</v>
      </c>
      <c r="C11811" s="1">
        <v>45214</v>
      </c>
      <c r="D11811" s="1">
        <v>45219</v>
      </c>
      <c r="E11811">
        <v>1</v>
      </c>
      <c r="F11811" t="str">
        <f>"03-I14-02"</f>
        <v>03-I14-02</v>
      </c>
      <c r="G11811">
        <v>1.0793999999999999</v>
      </c>
      <c r="H11811" t="s">
        <v>11</v>
      </c>
      <c r="I11811" t="s">
        <v>10</v>
      </c>
    </row>
    <row r="11812" spans="1:9" x14ac:dyDescent="0.25">
      <c r="A11812" t="str">
        <f t="shared" si="286"/>
        <v>89301000</v>
      </c>
      <c r="B11812" t="str">
        <f>"7451285325"</f>
        <v>7451285325</v>
      </c>
      <c r="C11812" s="1">
        <v>45043</v>
      </c>
      <c r="D11812" s="1">
        <v>45045</v>
      </c>
      <c r="E11812">
        <v>1</v>
      </c>
      <c r="F11812" t="str">
        <f>"03-I24-00"</f>
        <v>03-I24-00</v>
      </c>
      <c r="G11812">
        <v>0.40670000000000001</v>
      </c>
      <c r="H11812" t="s">
        <v>11</v>
      </c>
      <c r="I11812" t="s">
        <v>10</v>
      </c>
    </row>
    <row r="11813" spans="1:9" x14ac:dyDescent="0.25">
      <c r="A11813" t="str">
        <f t="shared" si="286"/>
        <v>89301000</v>
      </c>
      <c r="B11813" t="str">
        <f>"7452055391"</f>
        <v>7452055391</v>
      </c>
      <c r="C11813" s="1">
        <v>44978</v>
      </c>
      <c r="D11813" s="1">
        <v>44982</v>
      </c>
      <c r="E11813">
        <v>1</v>
      </c>
      <c r="F11813" t="str">
        <f>"06-I22-01"</f>
        <v>06-I22-01</v>
      </c>
      <c r="G11813">
        <v>0.68120000000000003</v>
      </c>
      <c r="H11813" t="s">
        <v>12</v>
      </c>
      <c r="I11813" t="s">
        <v>10</v>
      </c>
    </row>
    <row r="11814" spans="1:9" x14ac:dyDescent="0.25">
      <c r="A11814" t="str">
        <f t="shared" si="286"/>
        <v>89301000</v>
      </c>
      <c r="B11814" t="str">
        <f>"7452055787"</f>
        <v>7452055787</v>
      </c>
      <c r="C11814" s="1">
        <v>44928</v>
      </c>
      <c r="D11814" s="1">
        <v>44931</v>
      </c>
      <c r="E11814">
        <v>1</v>
      </c>
      <c r="F11814" t="str">
        <f>"03-K03-02"</f>
        <v>03-K03-02</v>
      </c>
      <c r="G11814">
        <v>0.51949999999999996</v>
      </c>
      <c r="H11814" t="s">
        <v>11</v>
      </c>
      <c r="I11814" t="s">
        <v>10</v>
      </c>
    </row>
    <row r="11815" spans="1:9" x14ac:dyDescent="0.25">
      <c r="A11815" t="str">
        <f t="shared" si="286"/>
        <v>89301000</v>
      </c>
      <c r="B11815" t="str">
        <f>"7452155326"</f>
        <v>7452155326</v>
      </c>
      <c r="C11815" s="1">
        <v>45243</v>
      </c>
      <c r="D11815" s="1">
        <v>45281</v>
      </c>
      <c r="E11815">
        <v>1</v>
      </c>
      <c r="F11815" t="str">
        <f>"19-K08-02"</f>
        <v>19-K08-02</v>
      </c>
      <c r="G11815">
        <v>4.4416000000000002</v>
      </c>
      <c r="H11815" t="s">
        <v>15</v>
      </c>
      <c r="I11815" t="s">
        <v>10</v>
      </c>
    </row>
    <row r="11816" spans="1:9" x14ac:dyDescent="0.25">
      <c r="A11816" t="str">
        <f t="shared" si="286"/>
        <v>89301000</v>
      </c>
      <c r="B11816" t="str">
        <f>"7452155326"</f>
        <v>7452155326</v>
      </c>
      <c r="C11816" s="1">
        <v>45163</v>
      </c>
      <c r="D11816" s="1">
        <v>45183</v>
      </c>
      <c r="E11816">
        <v>1</v>
      </c>
      <c r="F11816" t="str">
        <f>"19-K05-02"</f>
        <v>19-K05-02</v>
      </c>
      <c r="G11816">
        <v>1.7688999999999999</v>
      </c>
      <c r="H11816" t="s">
        <v>15</v>
      </c>
      <c r="I11816" t="s">
        <v>10</v>
      </c>
    </row>
    <row r="11817" spans="1:9" x14ac:dyDescent="0.25">
      <c r="A11817" t="str">
        <f t="shared" si="286"/>
        <v>89301000</v>
      </c>
      <c r="B11817" t="str">
        <f>"7452155337"</f>
        <v>7452155337</v>
      </c>
      <c r="C11817" s="1">
        <v>45224</v>
      </c>
      <c r="D11817" s="1">
        <v>45230</v>
      </c>
      <c r="E11817">
        <v>1</v>
      </c>
      <c r="F11817" t="str">
        <f>"24-M06-01"</f>
        <v>24-M06-01</v>
      </c>
      <c r="G11817">
        <v>1.1990000000000001</v>
      </c>
      <c r="H11817" t="s">
        <v>11</v>
      </c>
      <c r="I11817" t="s">
        <v>10</v>
      </c>
    </row>
    <row r="11818" spans="1:9" x14ac:dyDescent="0.25">
      <c r="A11818" t="str">
        <f t="shared" si="286"/>
        <v>89301000</v>
      </c>
      <c r="B11818" t="str">
        <f>"7452155337"</f>
        <v>7452155337</v>
      </c>
      <c r="C11818" s="1">
        <v>45185</v>
      </c>
      <c r="D11818" s="1">
        <v>45203</v>
      </c>
      <c r="E11818">
        <v>4</v>
      </c>
      <c r="F11818" t="str">
        <f>"00-M02-01"</f>
        <v>00-M02-01</v>
      </c>
      <c r="G11818">
        <v>22.622299999999999</v>
      </c>
      <c r="H11818" t="s">
        <v>11</v>
      </c>
      <c r="I11818" t="s">
        <v>10</v>
      </c>
    </row>
    <row r="11819" spans="1:9" x14ac:dyDescent="0.25">
      <c r="A11819" t="str">
        <f t="shared" si="286"/>
        <v>89301000</v>
      </c>
      <c r="B11819" t="str">
        <f>"7452205321"</f>
        <v>7452205321</v>
      </c>
      <c r="C11819" s="1">
        <v>44985</v>
      </c>
      <c r="D11819" s="1">
        <v>44989</v>
      </c>
      <c r="E11819">
        <v>1</v>
      </c>
      <c r="F11819" t="str">
        <f>"06-K14-02"</f>
        <v>06-K14-02</v>
      </c>
      <c r="G11819">
        <v>0.61380000000000001</v>
      </c>
      <c r="H11819" t="s">
        <v>11</v>
      </c>
      <c r="I11819" t="s">
        <v>10</v>
      </c>
    </row>
    <row r="11820" spans="1:9" x14ac:dyDescent="0.25">
      <c r="A11820" t="str">
        <f t="shared" si="286"/>
        <v>89301000</v>
      </c>
      <c r="B11820" t="str">
        <f>"7452205321"</f>
        <v>7452205321</v>
      </c>
      <c r="C11820" s="1">
        <v>44970</v>
      </c>
      <c r="D11820" s="1">
        <v>44974</v>
      </c>
      <c r="E11820">
        <v>1</v>
      </c>
      <c r="F11820" t="str">
        <f>"06-I18-05"</f>
        <v>06-I18-05</v>
      </c>
      <c r="G11820">
        <v>0.82420000000000004</v>
      </c>
      <c r="H11820" t="s">
        <v>9</v>
      </c>
      <c r="I11820" t="s">
        <v>10</v>
      </c>
    </row>
    <row r="11821" spans="1:9" x14ac:dyDescent="0.25">
      <c r="A11821" t="str">
        <f t="shared" si="286"/>
        <v>89301000</v>
      </c>
      <c r="B11821" t="str">
        <f>"7452205761"</f>
        <v>7452205761</v>
      </c>
      <c r="C11821" s="1">
        <v>44977</v>
      </c>
      <c r="D11821" s="1">
        <v>44981</v>
      </c>
      <c r="E11821">
        <v>1</v>
      </c>
      <c r="F11821" t="str">
        <f>"11-I14-02"</f>
        <v>11-I14-02</v>
      </c>
      <c r="G11821">
        <v>0.61839999999999995</v>
      </c>
      <c r="H11821" t="s">
        <v>9</v>
      </c>
      <c r="I11821" t="s">
        <v>10</v>
      </c>
    </row>
    <row r="11822" spans="1:9" x14ac:dyDescent="0.25">
      <c r="A11822" t="str">
        <f t="shared" si="286"/>
        <v>89301000</v>
      </c>
      <c r="B11822" t="str">
        <f>"7452244470"</f>
        <v>7452244470</v>
      </c>
      <c r="C11822" s="1">
        <v>44985</v>
      </c>
      <c r="D11822" s="1">
        <v>44991</v>
      </c>
      <c r="E11822">
        <v>3</v>
      </c>
      <c r="F11822" t="str">
        <f>"08-I06-04"</f>
        <v>08-I06-04</v>
      </c>
      <c r="G11822">
        <v>2.4180000000000001</v>
      </c>
      <c r="H11822" t="s">
        <v>9</v>
      </c>
      <c r="I11822" t="s">
        <v>10</v>
      </c>
    </row>
    <row r="11823" spans="1:9" x14ac:dyDescent="0.25">
      <c r="A11823" t="str">
        <f t="shared" si="286"/>
        <v>89301000</v>
      </c>
      <c r="B11823" t="str">
        <f>"7452244470"</f>
        <v>7452244470</v>
      </c>
      <c r="C11823" s="1">
        <v>44991</v>
      </c>
      <c r="D11823" s="1">
        <v>45002</v>
      </c>
      <c r="E11823">
        <v>1</v>
      </c>
      <c r="F11823" t="str">
        <f>"24-M06-02"</f>
        <v>24-M06-02</v>
      </c>
      <c r="G11823">
        <v>1.0699000000000001</v>
      </c>
      <c r="H11823" t="s">
        <v>11</v>
      </c>
      <c r="I11823" t="s">
        <v>10</v>
      </c>
    </row>
    <row r="11824" spans="1:9" x14ac:dyDescent="0.25">
      <c r="A11824" t="str">
        <f t="shared" si="286"/>
        <v>89301000</v>
      </c>
      <c r="B11824" t="str">
        <f>"7452264468"</f>
        <v>7452264468</v>
      </c>
      <c r="C11824" s="1">
        <v>44943</v>
      </c>
      <c r="D11824" s="1">
        <v>44944</v>
      </c>
      <c r="E11824">
        <v>1</v>
      </c>
      <c r="F11824" t="str">
        <f>"07-C01-02"</f>
        <v>07-C01-02</v>
      </c>
      <c r="G11824">
        <v>0.3483</v>
      </c>
      <c r="H11824" t="s">
        <v>11</v>
      </c>
      <c r="I11824" t="s">
        <v>10</v>
      </c>
    </row>
    <row r="11825" spans="1:9" x14ac:dyDescent="0.25">
      <c r="A11825" t="str">
        <f t="shared" si="286"/>
        <v>89301000</v>
      </c>
      <c r="B11825" t="str">
        <f>"7452274852"</f>
        <v>7452274852</v>
      </c>
      <c r="C11825" s="1">
        <v>44992</v>
      </c>
      <c r="D11825" s="1">
        <v>44993</v>
      </c>
      <c r="E11825">
        <v>1</v>
      </c>
      <c r="F11825" t="str">
        <f>"02-I07-02"</f>
        <v>02-I07-02</v>
      </c>
      <c r="G11825">
        <v>1.0773999999999999</v>
      </c>
      <c r="H11825" t="s">
        <v>12</v>
      </c>
      <c r="I11825" t="s">
        <v>10</v>
      </c>
    </row>
    <row r="11826" spans="1:9" x14ac:dyDescent="0.25">
      <c r="A11826" t="str">
        <f t="shared" si="286"/>
        <v>89301000</v>
      </c>
      <c r="B11826" t="str">
        <f>"7453025624"</f>
        <v>7453025624</v>
      </c>
      <c r="C11826" s="1">
        <v>45055</v>
      </c>
      <c r="D11826" s="1">
        <v>45061</v>
      </c>
      <c r="E11826">
        <v>1</v>
      </c>
      <c r="F11826" t="str">
        <f>"06-K07-02"</f>
        <v>06-K07-02</v>
      </c>
      <c r="G11826">
        <v>0.4385</v>
      </c>
      <c r="H11826" t="s">
        <v>11</v>
      </c>
      <c r="I11826" t="s">
        <v>10</v>
      </c>
    </row>
    <row r="11827" spans="1:9" x14ac:dyDescent="0.25">
      <c r="A11827" t="str">
        <f t="shared" si="286"/>
        <v>89301000</v>
      </c>
      <c r="B11827" t="str">
        <f>"7453035315"</f>
        <v>7453035315</v>
      </c>
      <c r="C11827" s="1">
        <v>45208</v>
      </c>
      <c r="D11827" s="1">
        <v>45211</v>
      </c>
      <c r="E11827">
        <v>1</v>
      </c>
      <c r="F11827" t="str">
        <f>"09-I08-02"</f>
        <v>09-I08-02</v>
      </c>
      <c r="G11827">
        <v>1.0949</v>
      </c>
      <c r="H11827" t="s">
        <v>14</v>
      </c>
      <c r="I11827" t="s">
        <v>10</v>
      </c>
    </row>
    <row r="11828" spans="1:9" x14ac:dyDescent="0.25">
      <c r="A11828" t="str">
        <f t="shared" si="286"/>
        <v>89301000</v>
      </c>
      <c r="B11828" t="str">
        <f>"7453095463"</f>
        <v>7453095463</v>
      </c>
      <c r="C11828" s="1">
        <v>45230</v>
      </c>
      <c r="D11828" s="1">
        <v>45231</v>
      </c>
      <c r="E11828">
        <v>1</v>
      </c>
      <c r="F11828" t="str">
        <f>"07-M02-04"</f>
        <v>07-M02-04</v>
      </c>
      <c r="G11828">
        <v>0.77339999999999998</v>
      </c>
      <c r="H11828" t="s">
        <v>12</v>
      </c>
      <c r="I11828" t="s">
        <v>10</v>
      </c>
    </row>
    <row r="11829" spans="1:9" x14ac:dyDescent="0.25">
      <c r="A11829" t="str">
        <f t="shared" si="286"/>
        <v>89301000</v>
      </c>
      <c r="B11829" t="str">
        <f>"7453124459"</f>
        <v>7453124459</v>
      </c>
      <c r="C11829" s="1">
        <v>45055</v>
      </c>
      <c r="D11829" s="1">
        <v>45058</v>
      </c>
      <c r="E11829">
        <v>1</v>
      </c>
      <c r="F11829" t="str">
        <f>"05-M07-04"</f>
        <v>05-M07-04</v>
      </c>
      <c r="G11829">
        <v>1.7763</v>
      </c>
      <c r="H11829" t="s">
        <v>12</v>
      </c>
      <c r="I11829" t="s">
        <v>10</v>
      </c>
    </row>
    <row r="11830" spans="1:9" x14ac:dyDescent="0.25">
      <c r="A11830" t="str">
        <f t="shared" si="286"/>
        <v>89301000</v>
      </c>
      <c r="B11830" t="str">
        <f>"7453195376"</f>
        <v>7453195376</v>
      </c>
      <c r="C11830" s="1">
        <v>44991</v>
      </c>
      <c r="D11830" s="1">
        <v>45001</v>
      </c>
      <c r="E11830">
        <v>4</v>
      </c>
      <c r="F11830" t="str">
        <f>"08-I05-04"</f>
        <v>08-I05-04</v>
      </c>
      <c r="G11830">
        <v>2.4445000000000001</v>
      </c>
      <c r="H11830" t="s">
        <v>12</v>
      </c>
      <c r="I11830" t="s">
        <v>10</v>
      </c>
    </row>
    <row r="11831" spans="1:9" x14ac:dyDescent="0.25">
      <c r="A11831" t="str">
        <f t="shared" si="286"/>
        <v>89301000</v>
      </c>
      <c r="B11831" t="str">
        <f>"7453265677"</f>
        <v>7453265677</v>
      </c>
      <c r="C11831" s="1">
        <v>45158</v>
      </c>
      <c r="D11831" s="1">
        <v>45160</v>
      </c>
      <c r="E11831">
        <v>1</v>
      </c>
      <c r="F11831" t="str">
        <f>"08-I17-02"</f>
        <v>08-I17-02</v>
      </c>
      <c r="G11831">
        <v>0.89680000000000004</v>
      </c>
      <c r="H11831" t="s">
        <v>11</v>
      </c>
      <c r="I11831" t="s">
        <v>10</v>
      </c>
    </row>
    <row r="11832" spans="1:9" x14ac:dyDescent="0.25">
      <c r="A11832" t="str">
        <f t="shared" si="286"/>
        <v>89301000</v>
      </c>
      <c r="B11832" t="str">
        <f>"7453294475"</f>
        <v>7453294475</v>
      </c>
      <c r="C11832" s="1">
        <v>45250</v>
      </c>
      <c r="D11832" s="1">
        <v>45251</v>
      </c>
      <c r="E11832">
        <v>1</v>
      </c>
      <c r="F11832" t="str">
        <f>"07-K08-02"</f>
        <v>07-K08-02</v>
      </c>
      <c r="G11832">
        <v>0.3165</v>
      </c>
      <c r="H11832" t="s">
        <v>11</v>
      </c>
      <c r="I11832" t="s">
        <v>10</v>
      </c>
    </row>
    <row r="11833" spans="1:9" x14ac:dyDescent="0.25">
      <c r="A11833" t="str">
        <f t="shared" si="286"/>
        <v>89301000</v>
      </c>
      <c r="B11833" t="str">
        <f>"7453304463"</f>
        <v>7453304463</v>
      </c>
      <c r="C11833" s="1">
        <v>45001</v>
      </c>
      <c r="D11833" s="1">
        <v>45004</v>
      </c>
      <c r="E11833">
        <v>1</v>
      </c>
      <c r="F11833" t="str">
        <f>"08-I32-00"</f>
        <v>08-I32-00</v>
      </c>
      <c r="G11833">
        <v>0.4093</v>
      </c>
      <c r="H11833" t="s">
        <v>11</v>
      </c>
      <c r="I11833" t="s">
        <v>10</v>
      </c>
    </row>
    <row r="11834" spans="1:9" x14ac:dyDescent="0.25">
      <c r="A11834" t="str">
        <f t="shared" si="286"/>
        <v>89301000</v>
      </c>
      <c r="B11834" t="str">
        <f>"7454015811"</f>
        <v>7454015811</v>
      </c>
      <c r="C11834" s="1">
        <v>45083</v>
      </c>
      <c r="D11834" s="1">
        <v>45087</v>
      </c>
      <c r="E11834">
        <v>1</v>
      </c>
      <c r="F11834" t="str">
        <f>"07-I10-06"</f>
        <v>07-I10-06</v>
      </c>
      <c r="G11834">
        <v>0.98419999999999996</v>
      </c>
      <c r="H11834" t="s">
        <v>12</v>
      </c>
      <c r="I11834" t="s">
        <v>10</v>
      </c>
    </row>
    <row r="11835" spans="1:9" x14ac:dyDescent="0.25">
      <c r="A11835" t="str">
        <f t="shared" si="286"/>
        <v>89301000</v>
      </c>
      <c r="B11835" t="str">
        <f>"7454025194"</f>
        <v>7454025194</v>
      </c>
      <c r="C11835" s="1">
        <v>45235</v>
      </c>
      <c r="D11835" s="1">
        <v>45239</v>
      </c>
      <c r="E11835">
        <v>1</v>
      </c>
      <c r="F11835" t="str">
        <f>"09-K04-02"</f>
        <v>09-K04-02</v>
      </c>
      <c r="G11835">
        <v>0.64849999999999997</v>
      </c>
      <c r="H11835" t="s">
        <v>11</v>
      </c>
      <c r="I11835" t="s">
        <v>10</v>
      </c>
    </row>
    <row r="11836" spans="1:9" x14ac:dyDescent="0.25">
      <c r="A11836" t="str">
        <f t="shared" si="286"/>
        <v>89301000</v>
      </c>
      <c r="B11836" t="str">
        <f>"7454035380"</f>
        <v>7454035380</v>
      </c>
      <c r="C11836" s="1">
        <v>45216</v>
      </c>
      <c r="D11836" s="1">
        <v>45219</v>
      </c>
      <c r="E11836">
        <v>1</v>
      </c>
      <c r="F11836" t="str">
        <f>"06-I22-01"</f>
        <v>06-I22-01</v>
      </c>
      <c r="G11836">
        <v>0.68120000000000003</v>
      </c>
      <c r="H11836" t="s">
        <v>12</v>
      </c>
      <c r="I11836" t="s">
        <v>10</v>
      </c>
    </row>
    <row r="11837" spans="1:9" x14ac:dyDescent="0.25">
      <c r="A11837" t="str">
        <f t="shared" si="286"/>
        <v>89301000</v>
      </c>
      <c r="B11837" t="str">
        <f>"7454074463"</f>
        <v>7454074463</v>
      </c>
      <c r="C11837" s="1">
        <v>45238</v>
      </c>
      <c r="D11837" s="1">
        <v>45241</v>
      </c>
      <c r="E11837">
        <v>1</v>
      </c>
      <c r="F11837" t="str">
        <f>"08-I25-02"</f>
        <v>08-I25-02</v>
      </c>
      <c r="G11837">
        <v>0.56399999999999995</v>
      </c>
      <c r="H11837" t="s">
        <v>11</v>
      </c>
      <c r="I11837" t="s">
        <v>10</v>
      </c>
    </row>
    <row r="11838" spans="1:9" x14ac:dyDescent="0.25">
      <c r="A11838" t="str">
        <f t="shared" si="286"/>
        <v>89301000</v>
      </c>
      <c r="B11838" t="str">
        <f>"7454125327"</f>
        <v>7454125327</v>
      </c>
      <c r="C11838" s="1">
        <v>44931</v>
      </c>
      <c r="D11838" s="1">
        <v>44933</v>
      </c>
      <c r="E11838">
        <v>1</v>
      </c>
      <c r="F11838" t="str">
        <f>"07-I10-06"</f>
        <v>07-I10-06</v>
      </c>
      <c r="G11838">
        <v>0.98419999999999996</v>
      </c>
      <c r="H11838" t="s">
        <v>12</v>
      </c>
      <c r="I11838" t="s">
        <v>10</v>
      </c>
    </row>
    <row r="11839" spans="1:9" x14ac:dyDescent="0.25">
      <c r="A11839" t="str">
        <f t="shared" si="286"/>
        <v>89301000</v>
      </c>
      <c r="B11839" t="str">
        <f>"7454144852"</f>
        <v>7454144852</v>
      </c>
      <c r="C11839" s="1">
        <v>45222</v>
      </c>
      <c r="D11839" s="1">
        <v>45223</v>
      </c>
      <c r="E11839">
        <v>1</v>
      </c>
      <c r="F11839" t="str">
        <f>"04-K07-03"</f>
        <v>04-K07-03</v>
      </c>
      <c r="G11839">
        <v>0.61119999999999997</v>
      </c>
      <c r="H11839" t="s">
        <v>11</v>
      </c>
      <c r="I11839" t="s">
        <v>10</v>
      </c>
    </row>
    <row r="11840" spans="1:9" x14ac:dyDescent="0.25">
      <c r="A11840" t="str">
        <f t="shared" si="286"/>
        <v>89301000</v>
      </c>
      <c r="B11840" t="str">
        <f>"7454185332"</f>
        <v>7454185332</v>
      </c>
      <c r="C11840" s="1">
        <v>45089</v>
      </c>
      <c r="D11840" s="1">
        <v>45095</v>
      </c>
      <c r="E11840">
        <v>1</v>
      </c>
      <c r="F11840" t="str">
        <f>"08-I03-06"</f>
        <v>08-I03-06</v>
      </c>
      <c r="G11840">
        <v>3.2523</v>
      </c>
      <c r="H11840" t="s">
        <v>9</v>
      </c>
      <c r="I11840" t="s">
        <v>10</v>
      </c>
    </row>
    <row r="11841" spans="1:9" x14ac:dyDescent="0.25">
      <c r="A11841" t="str">
        <f t="shared" si="286"/>
        <v>89301000</v>
      </c>
      <c r="B11841" t="str">
        <f>"7454245315"</f>
        <v>7454245315</v>
      </c>
      <c r="C11841" s="1">
        <v>45099</v>
      </c>
      <c r="D11841" s="1">
        <v>45100</v>
      </c>
      <c r="E11841">
        <v>1</v>
      </c>
      <c r="F11841" t="str">
        <f>"13-I19-00"</f>
        <v>13-I19-00</v>
      </c>
      <c r="G11841">
        <v>0.28249999999999997</v>
      </c>
      <c r="H11841" t="s">
        <v>11</v>
      </c>
      <c r="I11841" t="s">
        <v>10</v>
      </c>
    </row>
    <row r="11842" spans="1:9" x14ac:dyDescent="0.25">
      <c r="A11842" t="str">
        <f t="shared" si="286"/>
        <v>89301000</v>
      </c>
      <c r="B11842" t="str">
        <f>"7454245711"</f>
        <v>7454245711</v>
      </c>
      <c r="C11842" s="1">
        <v>45203</v>
      </c>
      <c r="D11842" s="1">
        <v>45205</v>
      </c>
      <c r="E11842">
        <v>1</v>
      </c>
      <c r="F11842" t="str">
        <f>"01-K18-04"</f>
        <v>01-K18-04</v>
      </c>
      <c r="G11842">
        <v>0.54879999999999995</v>
      </c>
      <c r="H11842" t="s">
        <v>11</v>
      </c>
      <c r="I11842" t="s">
        <v>10</v>
      </c>
    </row>
    <row r="11843" spans="1:9" x14ac:dyDescent="0.25">
      <c r="A11843" t="str">
        <f t="shared" si="286"/>
        <v>89301000</v>
      </c>
      <c r="B11843" t="str">
        <f>"7454253796"</f>
        <v>7454253796</v>
      </c>
      <c r="C11843" s="1">
        <v>45146</v>
      </c>
      <c r="D11843" s="1">
        <v>45148</v>
      </c>
      <c r="E11843">
        <v>8</v>
      </c>
      <c r="F11843" t="str">
        <f>"09-K08-01"</f>
        <v>09-K08-01</v>
      </c>
      <c r="G11843">
        <v>1.1941999999999999</v>
      </c>
      <c r="H11843" t="s">
        <v>11</v>
      </c>
      <c r="I11843" t="s">
        <v>10</v>
      </c>
    </row>
    <row r="11844" spans="1:9" x14ac:dyDescent="0.25">
      <c r="A11844" t="str">
        <f t="shared" si="286"/>
        <v>89301000</v>
      </c>
      <c r="B11844" t="str">
        <f>"7454253796"</f>
        <v>7454253796</v>
      </c>
      <c r="C11844" s="1">
        <v>45132</v>
      </c>
      <c r="D11844" s="1">
        <v>45142</v>
      </c>
      <c r="E11844">
        <v>1</v>
      </c>
      <c r="F11844" t="str">
        <f>"09-K08-01"</f>
        <v>09-K08-01</v>
      </c>
      <c r="G11844">
        <v>1.1941999999999999</v>
      </c>
      <c r="H11844" t="s">
        <v>11</v>
      </c>
      <c r="I11844" t="s">
        <v>10</v>
      </c>
    </row>
    <row r="11845" spans="1:9" x14ac:dyDescent="0.25">
      <c r="A11845" t="str">
        <f t="shared" si="286"/>
        <v>89301000</v>
      </c>
      <c r="B11845" t="str">
        <f>"7454275312"</f>
        <v>7454275312</v>
      </c>
      <c r="C11845" s="1">
        <v>45274</v>
      </c>
      <c r="D11845" s="1">
        <v>45277</v>
      </c>
      <c r="E11845">
        <v>1</v>
      </c>
      <c r="F11845" t="str">
        <f>"09-I06-04"</f>
        <v>09-I06-04</v>
      </c>
      <c r="G11845">
        <v>0.95069999999999999</v>
      </c>
      <c r="H11845" t="s">
        <v>12</v>
      </c>
      <c r="I11845" t="s">
        <v>10</v>
      </c>
    </row>
    <row r="11846" spans="1:9" x14ac:dyDescent="0.25">
      <c r="A11846" t="str">
        <f t="shared" si="286"/>
        <v>89301000</v>
      </c>
      <c r="B11846" t="str">
        <f>"7454275312"</f>
        <v>7454275312</v>
      </c>
      <c r="C11846" s="1">
        <v>45093</v>
      </c>
      <c r="D11846" s="1">
        <v>45100</v>
      </c>
      <c r="E11846">
        <v>1</v>
      </c>
      <c r="F11846" t="str">
        <f>"09-K08-01"</f>
        <v>09-K08-01</v>
      </c>
      <c r="G11846">
        <v>1.1941999999999999</v>
      </c>
      <c r="H11846" t="s">
        <v>11</v>
      </c>
      <c r="I11846" t="s">
        <v>10</v>
      </c>
    </row>
    <row r="11847" spans="1:9" x14ac:dyDescent="0.25">
      <c r="A11847" t="str">
        <f t="shared" si="286"/>
        <v>89301000</v>
      </c>
      <c r="B11847" t="str">
        <f>"7454295365"</f>
        <v>7454295365</v>
      </c>
      <c r="C11847" s="1">
        <v>44945</v>
      </c>
      <c r="D11847" s="1">
        <v>44946</v>
      </c>
      <c r="E11847">
        <v>1</v>
      </c>
      <c r="F11847" t="str">
        <f>"13-I19-00"</f>
        <v>13-I19-00</v>
      </c>
      <c r="G11847">
        <v>0.28249999999999997</v>
      </c>
      <c r="H11847" t="s">
        <v>11</v>
      </c>
      <c r="I11847" t="s">
        <v>10</v>
      </c>
    </row>
    <row r="11848" spans="1:9" x14ac:dyDescent="0.25">
      <c r="A11848" t="str">
        <f t="shared" si="286"/>
        <v>89301000</v>
      </c>
      <c r="B11848" t="str">
        <f>"7454305364"</f>
        <v>7454305364</v>
      </c>
      <c r="C11848" s="1">
        <v>45096</v>
      </c>
      <c r="D11848" s="1">
        <v>45106</v>
      </c>
      <c r="E11848">
        <v>1</v>
      </c>
      <c r="F11848" t="str">
        <f>"01-M04-00"</f>
        <v>01-M04-00</v>
      </c>
      <c r="G11848">
        <v>4.0045999999999999</v>
      </c>
      <c r="H11848" t="s">
        <v>11</v>
      </c>
      <c r="I11848" t="s">
        <v>10</v>
      </c>
    </row>
    <row r="11849" spans="1:9" x14ac:dyDescent="0.25">
      <c r="A11849" t="str">
        <f t="shared" si="286"/>
        <v>89301000</v>
      </c>
      <c r="B11849" t="str">
        <f>"7455015337"</f>
        <v>7455015337</v>
      </c>
      <c r="C11849" s="1">
        <v>44998</v>
      </c>
      <c r="D11849" s="1">
        <v>45030</v>
      </c>
      <c r="E11849">
        <v>1</v>
      </c>
      <c r="F11849" t="str">
        <f>"19-K07-02"</f>
        <v>19-K07-02</v>
      </c>
      <c r="G11849">
        <v>2.5350000000000001</v>
      </c>
      <c r="H11849" t="s">
        <v>15</v>
      </c>
      <c r="I11849" t="s">
        <v>10</v>
      </c>
    </row>
    <row r="11850" spans="1:9" x14ac:dyDescent="0.25">
      <c r="A11850" t="str">
        <f t="shared" si="286"/>
        <v>89301000</v>
      </c>
      <c r="B11850" t="str">
        <f>"7455015755"</f>
        <v>7455015755</v>
      </c>
      <c r="C11850" s="1">
        <v>45175</v>
      </c>
      <c r="D11850" s="1">
        <v>45179</v>
      </c>
      <c r="E11850">
        <v>1</v>
      </c>
      <c r="F11850" t="str">
        <f>"13-I04-01"</f>
        <v>13-I04-01</v>
      </c>
      <c r="G11850">
        <v>2.8856000000000002</v>
      </c>
      <c r="H11850" t="s">
        <v>14</v>
      </c>
      <c r="I11850" t="s">
        <v>10</v>
      </c>
    </row>
    <row r="11851" spans="1:9" x14ac:dyDescent="0.25">
      <c r="A11851" t="str">
        <f t="shared" si="286"/>
        <v>89301000</v>
      </c>
      <c r="B11851" t="str">
        <f>"7455024478"</f>
        <v>7455024478</v>
      </c>
      <c r="C11851" s="1">
        <v>45174</v>
      </c>
      <c r="D11851" s="1">
        <v>45191</v>
      </c>
      <c r="E11851">
        <v>1</v>
      </c>
      <c r="F11851" t="str">
        <f>"24-M07-02"</f>
        <v>24-M07-02</v>
      </c>
      <c r="G11851">
        <v>1.573</v>
      </c>
      <c r="H11851" t="s">
        <v>11</v>
      </c>
      <c r="I11851" t="s">
        <v>10</v>
      </c>
    </row>
    <row r="11852" spans="1:9" x14ac:dyDescent="0.25">
      <c r="A11852" t="str">
        <f t="shared" si="286"/>
        <v>89301000</v>
      </c>
      <c r="B11852" t="str">
        <f>"7455024478"</f>
        <v>7455024478</v>
      </c>
      <c r="C11852" s="1">
        <v>45123</v>
      </c>
      <c r="D11852" s="1">
        <v>45127</v>
      </c>
      <c r="E11852">
        <v>1</v>
      </c>
      <c r="F11852" t="str">
        <f>"08-M03-05"</f>
        <v>08-M03-05</v>
      </c>
      <c r="G11852">
        <v>0.46810000000000002</v>
      </c>
      <c r="H11852" t="s">
        <v>11</v>
      </c>
      <c r="I11852" t="s">
        <v>10</v>
      </c>
    </row>
    <row r="11853" spans="1:9" x14ac:dyDescent="0.25">
      <c r="A11853" t="str">
        <f t="shared" si="286"/>
        <v>89301000</v>
      </c>
      <c r="B11853" t="str">
        <f>"7455085319"</f>
        <v>7455085319</v>
      </c>
      <c r="C11853" s="1">
        <v>45042</v>
      </c>
      <c r="D11853" s="1">
        <v>45045</v>
      </c>
      <c r="E11853">
        <v>1</v>
      </c>
      <c r="F11853" t="str">
        <f>"08-M03-05"</f>
        <v>08-M03-05</v>
      </c>
      <c r="G11853">
        <v>0.46910000000000002</v>
      </c>
      <c r="H11853" t="s">
        <v>11</v>
      </c>
      <c r="I11853" t="s">
        <v>10</v>
      </c>
    </row>
    <row r="11854" spans="1:9" x14ac:dyDescent="0.25">
      <c r="A11854" t="str">
        <f t="shared" si="286"/>
        <v>89301000</v>
      </c>
      <c r="B11854" t="str">
        <f>"7455085330"</f>
        <v>7455085330</v>
      </c>
      <c r="C11854" s="1">
        <v>45231</v>
      </c>
      <c r="D11854" s="1">
        <v>45233</v>
      </c>
      <c r="E11854">
        <v>1</v>
      </c>
      <c r="F11854" t="str">
        <f>"16-I04-02"</f>
        <v>16-I04-02</v>
      </c>
      <c r="G11854">
        <v>0.64680000000000004</v>
      </c>
      <c r="H11854" t="s">
        <v>12</v>
      </c>
      <c r="I11854" t="s">
        <v>10</v>
      </c>
    </row>
    <row r="11855" spans="1:9" x14ac:dyDescent="0.25">
      <c r="A11855" t="str">
        <f t="shared" si="286"/>
        <v>89301000</v>
      </c>
      <c r="B11855" t="str">
        <f>"7455155312"</f>
        <v>7455155312</v>
      </c>
      <c r="C11855" s="1">
        <v>44984</v>
      </c>
      <c r="D11855" s="1">
        <v>44986</v>
      </c>
      <c r="E11855">
        <v>1</v>
      </c>
      <c r="F11855" t="str">
        <f>"09-I09-02"</f>
        <v>09-I09-02</v>
      </c>
      <c r="G11855">
        <v>0.76900000000000002</v>
      </c>
      <c r="H11855" t="s">
        <v>12</v>
      </c>
      <c r="I11855" t="s">
        <v>10</v>
      </c>
    </row>
    <row r="11856" spans="1:9" x14ac:dyDescent="0.25">
      <c r="A11856" t="str">
        <f t="shared" si="286"/>
        <v>89301000</v>
      </c>
      <c r="B11856" t="str">
        <f>"7455235370"</f>
        <v>7455235370</v>
      </c>
      <c r="C11856" s="1">
        <v>45077</v>
      </c>
      <c r="D11856" s="1">
        <v>45086</v>
      </c>
      <c r="E11856">
        <v>1</v>
      </c>
      <c r="F11856" t="str">
        <f>"24-M06-02"</f>
        <v>24-M06-02</v>
      </c>
      <c r="G11856">
        <v>1.07</v>
      </c>
      <c r="H11856" t="s">
        <v>11</v>
      </c>
      <c r="I11856" t="s">
        <v>10</v>
      </c>
    </row>
    <row r="11857" spans="1:9" x14ac:dyDescent="0.25">
      <c r="A11857" t="str">
        <f t="shared" si="286"/>
        <v>89301000</v>
      </c>
      <c r="B11857" t="str">
        <f>"7456015314"</f>
        <v>7456015314</v>
      </c>
      <c r="C11857" s="1">
        <v>45265</v>
      </c>
      <c r="D11857" s="1">
        <v>45268</v>
      </c>
      <c r="E11857">
        <v>1</v>
      </c>
      <c r="F11857" t="str">
        <f>"08-I04-03"</f>
        <v>08-I04-03</v>
      </c>
      <c r="G11857">
        <v>1.3045</v>
      </c>
      <c r="H11857" t="s">
        <v>14</v>
      </c>
      <c r="I11857" t="s">
        <v>10</v>
      </c>
    </row>
    <row r="11858" spans="1:9" x14ac:dyDescent="0.25">
      <c r="A11858" t="str">
        <f t="shared" si="286"/>
        <v>89301000</v>
      </c>
      <c r="B11858" t="str">
        <f>"7456025797"</f>
        <v>7456025797</v>
      </c>
      <c r="C11858" s="1">
        <v>44966</v>
      </c>
      <c r="D11858" s="1">
        <v>44968</v>
      </c>
      <c r="E11858">
        <v>1</v>
      </c>
      <c r="F11858" t="str">
        <f>"08-I28-02"</f>
        <v>08-I28-02</v>
      </c>
      <c r="G11858">
        <v>1.3586</v>
      </c>
      <c r="H11858" t="s">
        <v>12</v>
      </c>
      <c r="I11858" t="s">
        <v>10</v>
      </c>
    </row>
    <row r="11859" spans="1:9" x14ac:dyDescent="0.25">
      <c r="A11859" t="str">
        <f t="shared" si="286"/>
        <v>89301000</v>
      </c>
      <c r="B11859" t="str">
        <f>"7456155322"</f>
        <v>7456155322</v>
      </c>
      <c r="C11859" s="1">
        <v>45196</v>
      </c>
      <c r="D11859" s="1">
        <v>45203</v>
      </c>
      <c r="E11859">
        <v>1</v>
      </c>
      <c r="F11859" t="str">
        <f>"11-K01-04"</f>
        <v>11-K01-04</v>
      </c>
      <c r="G11859">
        <v>0.57130000000000003</v>
      </c>
      <c r="H11859" t="s">
        <v>11</v>
      </c>
      <c r="I11859" t="s">
        <v>10</v>
      </c>
    </row>
    <row r="11860" spans="1:9" x14ac:dyDescent="0.25">
      <c r="A11860" t="str">
        <f t="shared" si="286"/>
        <v>89301000</v>
      </c>
      <c r="B11860" t="str">
        <f>"7456195758"</f>
        <v>7456195758</v>
      </c>
      <c r="C11860" s="1">
        <v>45131</v>
      </c>
      <c r="D11860" s="1">
        <v>45145</v>
      </c>
      <c r="E11860">
        <v>1</v>
      </c>
      <c r="F11860" t="str">
        <f>"09-K08-01"</f>
        <v>09-K08-01</v>
      </c>
      <c r="G11860">
        <v>1.1941999999999999</v>
      </c>
      <c r="H11860" t="s">
        <v>11</v>
      </c>
      <c r="I11860" t="s">
        <v>10</v>
      </c>
    </row>
    <row r="11861" spans="1:9" x14ac:dyDescent="0.25">
      <c r="A11861" t="str">
        <f t="shared" si="286"/>
        <v>89301000</v>
      </c>
      <c r="B11861" t="str">
        <f>"7456195758"</f>
        <v>7456195758</v>
      </c>
      <c r="C11861" s="1">
        <v>45099</v>
      </c>
      <c r="D11861" s="1">
        <v>45103</v>
      </c>
      <c r="E11861">
        <v>1</v>
      </c>
      <c r="F11861" t="str">
        <f>"03-I19-02"</f>
        <v>03-I19-02</v>
      </c>
      <c r="G11861">
        <v>0.7016</v>
      </c>
      <c r="H11861" t="s">
        <v>11</v>
      </c>
      <c r="I11861" t="s">
        <v>10</v>
      </c>
    </row>
    <row r="11862" spans="1:9" x14ac:dyDescent="0.25">
      <c r="A11862" t="str">
        <f t="shared" si="286"/>
        <v>89301000</v>
      </c>
      <c r="B11862" t="str">
        <f>"7456195758"</f>
        <v>7456195758</v>
      </c>
      <c r="C11862" s="1">
        <v>45264</v>
      </c>
      <c r="D11862" s="1">
        <v>45269</v>
      </c>
      <c r="E11862">
        <v>1</v>
      </c>
      <c r="F11862" t="str">
        <f>"03-I19-02"</f>
        <v>03-I19-02</v>
      </c>
      <c r="G11862">
        <v>0.71340000000000003</v>
      </c>
      <c r="H11862" t="s">
        <v>11</v>
      </c>
      <c r="I11862" t="s">
        <v>10</v>
      </c>
    </row>
    <row r="11863" spans="1:9" x14ac:dyDescent="0.25">
      <c r="A11863" t="str">
        <f t="shared" si="286"/>
        <v>89301000</v>
      </c>
      <c r="B11863" t="str">
        <f>"7456234467"</f>
        <v>7456234467</v>
      </c>
      <c r="C11863" s="1">
        <v>45041</v>
      </c>
      <c r="D11863" s="1">
        <v>45042</v>
      </c>
      <c r="E11863">
        <v>1</v>
      </c>
      <c r="F11863" t="str">
        <f>"05-D01-06"</f>
        <v>05-D01-06</v>
      </c>
      <c r="G11863">
        <v>0.7571</v>
      </c>
      <c r="H11863" t="s">
        <v>11</v>
      </c>
      <c r="I11863" t="s">
        <v>10</v>
      </c>
    </row>
    <row r="11864" spans="1:9" x14ac:dyDescent="0.25">
      <c r="A11864" t="str">
        <f t="shared" si="286"/>
        <v>89301000</v>
      </c>
      <c r="B11864" t="str">
        <f>"7456265322"</f>
        <v>7456265322</v>
      </c>
      <c r="C11864" s="1">
        <v>44938</v>
      </c>
      <c r="D11864" s="1">
        <v>44943</v>
      </c>
      <c r="E11864">
        <v>1</v>
      </c>
      <c r="F11864" t="str">
        <f>"08-I32-00"</f>
        <v>08-I32-00</v>
      </c>
      <c r="G11864">
        <v>0.50339999999999996</v>
      </c>
      <c r="H11864" t="s">
        <v>11</v>
      </c>
      <c r="I11864" t="s">
        <v>10</v>
      </c>
    </row>
    <row r="11865" spans="1:9" x14ac:dyDescent="0.25">
      <c r="A11865" t="str">
        <f t="shared" si="286"/>
        <v>89301000</v>
      </c>
      <c r="B11865" t="str">
        <f>"7456284484"</f>
        <v>7456284484</v>
      </c>
      <c r="C11865" s="1">
        <v>44934</v>
      </c>
      <c r="D11865" s="1">
        <v>44938</v>
      </c>
      <c r="E11865">
        <v>1</v>
      </c>
      <c r="F11865" t="str">
        <f>"07-I10-06"</f>
        <v>07-I10-06</v>
      </c>
      <c r="G11865">
        <v>0.98419999999999996</v>
      </c>
      <c r="H11865" t="s">
        <v>12</v>
      </c>
      <c r="I11865" t="s">
        <v>10</v>
      </c>
    </row>
    <row r="11866" spans="1:9" x14ac:dyDescent="0.25">
      <c r="A11866" t="str">
        <f t="shared" si="286"/>
        <v>89301000</v>
      </c>
      <c r="B11866" t="str">
        <f>"7456304471"</f>
        <v>7456304471</v>
      </c>
      <c r="C11866" s="1">
        <v>44942</v>
      </c>
      <c r="D11866" s="1">
        <v>44944</v>
      </c>
      <c r="E11866">
        <v>1</v>
      </c>
      <c r="F11866" t="str">
        <f>"05-M05-02"</f>
        <v>05-M05-02</v>
      </c>
      <c r="G11866">
        <v>3.4817999999999998</v>
      </c>
      <c r="H11866" t="s">
        <v>14</v>
      </c>
      <c r="I11866" t="s">
        <v>10</v>
      </c>
    </row>
    <row r="11867" spans="1:9" x14ac:dyDescent="0.25">
      <c r="A11867" t="str">
        <f t="shared" si="286"/>
        <v>89301000</v>
      </c>
      <c r="B11867" t="str">
        <f>"7456304471"</f>
        <v>7456304471</v>
      </c>
      <c r="C11867" s="1">
        <v>44967</v>
      </c>
      <c r="D11867" s="1">
        <v>44967</v>
      </c>
      <c r="E11867">
        <v>1</v>
      </c>
      <c r="F11867" t="str">
        <f>"05-M10-00"</f>
        <v>05-M10-00</v>
      </c>
      <c r="G11867">
        <v>0.1018</v>
      </c>
      <c r="H11867" t="s">
        <v>11</v>
      </c>
      <c r="I11867" t="s">
        <v>10</v>
      </c>
    </row>
    <row r="11868" spans="1:9" x14ac:dyDescent="0.25">
      <c r="A11868" t="str">
        <f t="shared" si="286"/>
        <v>89301000</v>
      </c>
      <c r="B11868" t="str">
        <f>"7456304471"</f>
        <v>7456304471</v>
      </c>
      <c r="C11868" s="1">
        <v>45008</v>
      </c>
      <c r="D11868" s="1">
        <v>45010</v>
      </c>
      <c r="E11868">
        <v>1</v>
      </c>
      <c r="F11868" t="str">
        <f>"05-M05-02"</f>
        <v>05-M05-02</v>
      </c>
      <c r="G11868">
        <v>3.4817999999999998</v>
      </c>
      <c r="H11868" t="s">
        <v>14</v>
      </c>
      <c r="I11868" t="s">
        <v>10</v>
      </c>
    </row>
    <row r="11869" spans="1:9" x14ac:dyDescent="0.25">
      <c r="A11869" t="str">
        <f t="shared" si="286"/>
        <v>89301000</v>
      </c>
      <c r="B11869" t="str">
        <f>"7457045761"</f>
        <v>7457045761</v>
      </c>
      <c r="C11869" s="1">
        <v>45230</v>
      </c>
      <c r="D11869" s="1">
        <v>45236</v>
      </c>
      <c r="E11869">
        <v>1</v>
      </c>
      <c r="F11869" t="str">
        <f>"06-I07-05"</f>
        <v>06-I07-05</v>
      </c>
      <c r="G11869">
        <v>2.7919999999999998</v>
      </c>
      <c r="H11869" t="s">
        <v>12</v>
      </c>
      <c r="I11869" t="s">
        <v>10</v>
      </c>
    </row>
    <row r="11870" spans="1:9" x14ac:dyDescent="0.25">
      <c r="A11870" t="str">
        <f t="shared" si="286"/>
        <v>89301000</v>
      </c>
      <c r="B11870" t="str">
        <f>"7457125775"</f>
        <v>7457125775</v>
      </c>
      <c r="C11870" s="1">
        <v>44970</v>
      </c>
      <c r="D11870" s="1">
        <v>44973</v>
      </c>
      <c r="E11870">
        <v>1</v>
      </c>
      <c r="F11870" t="str">
        <f>"05-I30-01"</f>
        <v>05-I30-01</v>
      </c>
      <c r="G11870">
        <v>0.60309999999999997</v>
      </c>
      <c r="H11870" t="s">
        <v>12</v>
      </c>
      <c r="I11870" t="s">
        <v>10</v>
      </c>
    </row>
    <row r="11871" spans="1:9" x14ac:dyDescent="0.25">
      <c r="A11871" t="str">
        <f t="shared" si="286"/>
        <v>89301000</v>
      </c>
      <c r="B11871" t="str">
        <f>"7457174494"</f>
        <v>7457174494</v>
      </c>
      <c r="C11871" s="1">
        <v>44956</v>
      </c>
      <c r="D11871" s="1">
        <v>44960</v>
      </c>
      <c r="E11871">
        <v>1</v>
      </c>
      <c r="F11871" t="str">
        <f>"09-I09-02"</f>
        <v>09-I09-02</v>
      </c>
      <c r="G11871">
        <v>0.76900000000000002</v>
      </c>
      <c r="H11871" t="s">
        <v>12</v>
      </c>
      <c r="I11871" t="s">
        <v>10</v>
      </c>
    </row>
    <row r="11872" spans="1:9" x14ac:dyDescent="0.25">
      <c r="A11872" t="str">
        <f t="shared" ref="A11872:A11934" si="287">"89301000"</f>
        <v>89301000</v>
      </c>
      <c r="B11872" t="str">
        <f>"7457235302"</f>
        <v>7457235302</v>
      </c>
      <c r="C11872" s="1">
        <v>45175</v>
      </c>
      <c r="D11872" s="1">
        <v>45178</v>
      </c>
      <c r="E11872">
        <v>1</v>
      </c>
      <c r="F11872" t="str">
        <f>"08-M03-05"</f>
        <v>08-M03-05</v>
      </c>
      <c r="G11872">
        <v>0.46810000000000002</v>
      </c>
      <c r="H11872" t="s">
        <v>11</v>
      </c>
      <c r="I11872" t="s">
        <v>10</v>
      </c>
    </row>
    <row r="11873" spans="1:9" x14ac:dyDescent="0.25">
      <c r="A11873" t="str">
        <f t="shared" si="287"/>
        <v>89301000</v>
      </c>
      <c r="B11873" t="str">
        <f>"7457255718"</f>
        <v>7457255718</v>
      </c>
      <c r="C11873" s="1">
        <v>45263</v>
      </c>
      <c r="D11873" s="1">
        <v>45265</v>
      </c>
      <c r="E11873">
        <v>1</v>
      </c>
      <c r="F11873" t="str">
        <f>"05-I30-02"</f>
        <v>05-I30-02</v>
      </c>
      <c r="G11873">
        <v>0.41699999999999998</v>
      </c>
      <c r="H11873" t="s">
        <v>12</v>
      </c>
      <c r="I11873" t="s">
        <v>10</v>
      </c>
    </row>
    <row r="11874" spans="1:9" x14ac:dyDescent="0.25">
      <c r="A11874" t="str">
        <f t="shared" si="287"/>
        <v>89301000</v>
      </c>
      <c r="B11874" t="str">
        <f>"7457264595"</f>
        <v>7457264595</v>
      </c>
      <c r="C11874" s="1">
        <v>45203</v>
      </c>
      <c r="D11874" s="1">
        <v>45205</v>
      </c>
      <c r="E11874">
        <v>1</v>
      </c>
      <c r="F11874" t="str">
        <f>"08-I32-00"</f>
        <v>08-I32-00</v>
      </c>
      <c r="G11874">
        <v>0.4093</v>
      </c>
      <c r="H11874" t="s">
        <v>11</v>
      </c>
      <c r="I11874" t="s">
        <v>10</v>
      </c>
    </row>
    <row r="11875" spans="1:9" x14ac:dyDescent="0.25">
      <c r="A11875" t="str">
        <f t="shared" si="287"/>
        <v>89301000</v>
      </c>
      <c r="B11875" t="str">
        <f>"7457275331"</f>
        <v>7457275331</v>
      </c>
      <c r="C11875" s="1">
        <v>44994</v>
      </c>
      <c r="D11875" s="1">
        <v>44997</v>
      </c>
      <c r="E11875">
        <v>1</v>
      </c>
      <c r="F11875" t="str">
        <f>"05-I30-01"</f>
        <v>05-I30-01</v>
      </c>
      <c r="G11875">
        <v>0.60309999999999997</v>
      </c>
      <c r="H11875" t="s">
        <v>12</v>
      </c>
      <c r="I11875" t="s">
        <v>10</v>
      </c>
    </row>
    <row r="11876" spans="1:9" x14ac:dyDescent="0.25">
      <c r="A11876" t="str">
        <f t="shared" si="287"/>
        <v>89301000</v>
      </c>
      <c r="B11876" t="str">
        <f>"7458075834"</f>
        <v>7458075834</v>
      </c>
      <c r="C11876" s="1">
        <v>44980</v>
      </c>
      <c r="D11876" s="1">
        <v>44983</v>
      </c>
      <c r="E11876">
        <v>1</v>
      </c>
      <c r="F11876" t="str">
        <f>"11-I14-02"</f>
        <v>11-I14-02</v>
      </c>
      <c r="G11876">
        <v>0.61839999999999995</v>
      </c>
      <c r="H11876" t="s">
        <v>9</v>
      </c>
      <c r="I11876" t="s">
        <v>10</v>
      </c>
    </row>
    <row r="11877" spans="1:9" x14ac:dyDescent="0.25">
      <c r="A11877" t="str">
        <f t="shared" si="287"/>
        <v>89301000</v>
      </c>
      <c r="B11877" t="str">
        <f>"7458084854"</f>
        <v>7458084854</v>
      </c>
      <c r="C11877" s="1">
        <v>45017</v>
      </c>
      <c r="D11877" s="1">
        <v>45030</v>
      </c>
      <c r="E11877">
        <v>1</v>
      </c>
      <c r="F11877" t="str">
        <f>"07-K04-02"</f>
        <v>07-K04-02</v>
      </c>
      <c r="G11877">
        <v>1.5216000000000001</v>
      </c>
      <c r="H11877" t="s">
        <v>11</v>
      </c>
      <c r="I11877" t="s">
        <v>10</v>
      </c>
    </row>
    <row r="11878" spans="1:9" x14ac:dyDescent="0.25">
      <c r="A11878" t="str">
        <f t="shared" si="287"/>
        <v>89301000</v>
      </c>
      <c r="B11878" t="str">
        <f>"7458085360"</f>
        <v>7458085360</v>
      </c>
      <c r="C11878" s="1">
        <v>44972</v>
      </c>
      <c r="D11878" s="1">
        <v>44974</v>
      </c>
      <c r="E11878">
        <v>1</v>
      </c>
      <c r="F11878" t="str">
        <f>"03-I14-02"</f>
        <v>03-I14-02</v>
      </c>
      <c r="G11878">
        <v>1.0793999999999999</v>
      </c>
      <c r="H11878" t="s">
        <v>11</v>
      </c>
      <c r="I11878" t="s">
        <v>10</v>
      </c>
    </row>
    <row r="11879" spans="1:9" x14ac:dyDescent="0.25">
      <c r="A11879" t="str">
        <f t="shared" si="287"/>
        <v>89301000</v>
      </c>
      <c r="B11879" t="str">
        <f>"7458125620"</f>
        <v>7458125620</v>
      </c>
      <c r="C11879" s="1">
        <v>44951</v>
      </c>
      <c r="D11879" s="1">
        <v>44956</v>
      </c>
      <c r="E11879">
        <v>1</v>
      </c>
      <c r="F11879" t="str">
        <f>"23-K05-01"</f>
        <v>23-K05-01</v>
      </c>
      <c r="G11879">
        <v>0.56269999999999998</v>
      </c>
      <c r="H11879" t="s">
        <v>11</v>
      </c>
      <c r="I11879" t="s">
        <v>10</v>
      </c>
    </row>
    <row r="11880" spans="1:9" x14ac:dyDescent="0.25">
      <c r="A11880" t="str">
        <f t="shared" si="287"/>
        <v>89301000</v>
      </c>
      <c r="B11880" t="str">
        <f>"7458155760"</f>
        <v>7458155760</v>
      </c>
      <c r="C11880" s="1">
        <v>45090</v>
      </c>
      <c r="D11880" s="1">
        <v>45096</v>
      </c>
      <c r="E11880">
        <v>1</v>
      </c>
      <c r="F11880" t="str">
        <f>"08-I03-06"</f>
        <v>08-I03-06</v>
      </c>
      <c r="G11880">
        <v>3.2523</v>
      </c>
      <c r="H11880" t="s">
        <v>9</v>
      </c>
      <c r="I11880" t="s">
        <v>10</v>
      </c>
    </row>
    <row r="11881" spans="1:9" x14ac:dyDescent="0.25">
      <c r="A11881" t="str">
        <f t="shared" si="287"/>
        <v>89301000</v>
      </c>
      <c r="B11881" t="str">
        <f>"7458174889"</f>
        <v>7458174889</v>
      </c>
      <c r="C11881" s="1">
        <v>45040</v>
      </c>
      <c r="D11881" s="1">
        <v>45043</v>
      </c>
      <c r="E11881">
        <v>1</v>
      </c>
      <c r="F11881" t="str">
        <f>"09-I08-02"</f>
        <v>09-I08-02</v>
      </c>
      <c r="G11881">
        <v>1.0949</v>
      </c>
      <c r="H11881" t="s">
        <v>14</v>
      </c>
      <c r="I11881" t="s">
        <v>10</v>
      </c>
    </row>
    <row r="11882" spans="1:9" x14ac:dyDescent="0.25">
      <c r="A11882" t="str">
        <f t="shared" si="287"/>
        <v>89301000</v>
      </c>
      <c r="B11882" t="str">
        <f>"7458185328"</f>
        <v>7458185328</v>
      </c>
      <c r="C11882" s="1">
        <v>45232</v>
      </c>
      <c r="D11882" s="1">
        <v>45235</v>
      </c>
      <c r="E11882">
        <v>1</v>
      </c>
      <c r="F11882" t="str">
        <f>"05-I30-01"</f>
        <v>05-I30-01</v>
      </c>
      <c r="G11882">
        <v>0.60309999999999997</v>
      </c>
      <c r="H11882" t="s">
        <v>12</v>
      </c>
      <c r="I11882" t="s">
        <v>10</v>
      </c>
    </row>
    <row r="11883" spans="1:9" x14ac:dyDescent="0.25">
      <c r="A11883" t="str">
        <f t="shared" si="287"/>
        <v>89301000</v>
      </c>
      <c r="B11883" t="str">
        <f>"7458225302"</f>
        <v>7458225302</v>
      </c>
      <c r="C11883" s="1">
        <v>45099</v>
      </c>
      <c r="D11883" s="1">
        <v>45103</v>
      </c>
      <c r="E11883">
        <v>1</v>
      </c>
      <c r="F11883" t="str">
        <f>"13-I11-03"</f>
        <v>13-I11-03</v>
      </c>
      <c r="G11883">
        <v>1.4332</v>
      </c>
      <c r="H11883" t="s">
        <v>9</v>
      </c>
      <c r="I11883" t="s">
        <v>10</v>
      </c>
    </row>
    <row r="11884" spans="1:9" x14ac:dyDescent="0.25">
      <c r="A11884" t="str">
        <f t="shared" si="287"/>
        <v>89301000</v>
      </c>
      <c r="B11884" t="str">
        <f>"7459165098"</f>
        <v>7459165098</v>
      </c>
      <c r="C11884" s="1">
        <v>44992</v>
      </c>
      <c r="D11884" s="1">
        <v>44995</v>
      </c>
      <c r="E11884">
        <v>1</v>
      </c>
      <c r="F11884" t="str">
        <f>"05-D01-06"</f>
        <v>05-D01-06</v>
      </c>
      <c r="G11884">
        <v>0.7571</v>
      </c>
      <c r="H11884" t="s">
        <v>11</v>
      </c>
      <c r="I11884" t="s">
        <v>10</v>
      </c>
    </row>
    <row r="11885" spans="1:9" x14ac:dyDescent="0.25">
      <c r="A11885" t="str">
        <f t="shared" si="287"/>
        <v>89301000</v>
      </c>
      <c r="B11885" t="str">
        <f>"7459165681"</f>
        <v>7459165681</v>
      </c>
      <c r="C11885" s="1">
        <v>45121</v>
      </c>
      <c r="D11885" s="1">
        <v>45125</v>
      </c>
      <c r="E11885">
        <v>1</v>
      </c>
      <c r="F11885" t="str">
        <f>"05-M05-03"</f>
        <v>05-M05-03</v>
      </c>
      <c r="G11885">
        <v>2.1724999999999999</v>
      </c>
      <c r="H11885" t="s">
        <v>14</v>
      </c>
      <c r="I11885" t="s">
        <v>10</v>
      </c>
    </row>
    <row r="11886" spans="1:9" x14ac:dyDescent="0.25">
      <c r="A11886" t="str">
        <f t="shared" si="287"/>
        <v>89301000</v>
      </c>
      <c r="B11886" t="str">
        <f>"7459274515"</f>
        <v>7459274515</v>
      </c>
      <c r="C11886" s="1">
        <v>45072</v>
      </c>
      <c r="D11886" s="1">
        <v>45072</v>
      </c>
      <c r="E11886">
        <v>1</v>
      </c>
      <c r="F11886" t="str">
        <f>"05-K05-05"</f>
        <v>05-K05-05</v>
      </c>
      <c r="G11886">
        <v>0.17829999999999999</v>
      </c>
      <c r="H11886" t="s">
        <v>11</v>
      </c>
      <c r="I11886" t="s">
        <v>10</v>
      </c>
    </row>
    <row r="11887" spans="1:9" x14ac:dyDescent="0.25">
      <c r="A11887" t="str">
        <f t="shared" si="287"/>
        <v>89301000</v>
      </c>
      <c r="B11887" t="str">
        <f>"7460014848"</f>
        <v>7460014848</v>
      </c>
      <c r="C11887" s="1">
        <v>45018</v>
      </c>
      <c r="D11887" s="1">
        <v>45025</v>
      </c>
      <c r="E11887">
        <v>1</v>
      </c>
      <c r="F11887" t="str">
        <f>"05-I24-02"</f>
        <v>05-I24-02</v>
      </c>
      <c r="G11887">
        <v>3.9392</v>
      </c>
      <c r="H11887" t="s">
        <v>12</v>
      </c>
      <c r="I11887" t="s">
        <v>10</v>
      </c>
    </row>
    <row r="11888" spans="1:9" x14ac:dyDescent="0.25">
      <c r="A11888" t="str">
        <f t="shared" si="287"/>
        <v>89301000</v>
      </c>
      <c r="B11888" t="str">
        <f>"7460014848"</f>
        <v>7460014848</v>
      </c>
      <c r="C11888" s="1">
        <v>44991</v>
      </c>
      <c r="D11888" s="1">
        <v>44997</v>
      </c>
      <c r="E11888">
        <v>1</v>
      </c>
      <c r="F11888" t="str">
        <f>"05-K12-02"</f>
        <v>05-K12-02</v>
      </c>
      <c r="G11888">
        <v>0.50290000000000001</v>
      </c>
      <c r="H11888" t="s">
        <v>11</v>
      </c>
      <c r="I11888" t="s">
        <v>10</v>
      </c>
    </row>
    <row r="11889" spans="1:9" x14ac:dyDescent="0.25">
      <c r="A11889" t="str">
        <f t="shared" si="287"/>
        <v>89301000</v>
      </c>
      <c r="B11889" t="str">
        <f>"7460014848"</f>
        <v>7460014848</v>
      </c>
      <c r="C11889" s="1">
        <v>45258</v>
      </c>
      <c r="D11889" s="1">
        <v>45261</v>
      </c>
      <c r="E11889">
        <v>1</v>
      </c>
      <c r="F11889" t="str">
        <f>"05-M07-06"</f>
        <v>05-M07-06</v>
      </c>
      <c r="G11889">
        <v>1.2264999999999999</v>
      </c>
      <c r="H11889" t="s">
        <v>12</v>
      </c>
      <c r="I11889" t="s">
        <v>10</v>
      </c>
    </row>
    <row r="11890" spans="1:9" x14ac:dyDescent="0.25">
      <c r="A11890" t="str">
        <f t="shared" si="287"/>
        <v>89301000</v>
      </c>
      <c r="B11890" t="str">
        <f>"7460034483"</f>
        <v>7460034483</v>
      </c>
      <c r="C11890" s="1">
        <v>45055</v>
      </c>
      <c r="D11890" s="1">
        <v>45055</v>
      </c>
      <c r="E11890">
        <v>1</v>
      </c>
      <c r="F11890" t="str">
        <f>"05-D01-08"</f>
        <v>05-D01-08</v>
      </c>
      <c r="G11890">
        <v>0.2303</v>
      </c>
      <c r="H11890" t="s">
        <v>11</v>
      </c>
      <c r="I11890" t="s">
        <v>10</v>
      </c>
    </row>
    <row r="11891" spans="1:9" x14ac:dyDescent="0.25">
      <c r="A11891" t="str">
        <f t="shared" si="287"/>
        <v>89301000</v>
      </c>
      <c r="B11891" t="str">
        <f>"7460035330"</f>
        <v>7460035330</v>
      </c>
      <c r="C11891" s="1">
        <v>44984</v>
      </c>
      <c r="D11891" s="1">
        <v>44988</v>
      </c>
      <c r="E11891">
        <v>1</v>
      </c>
      <c r="F11891" t="str">
        <f>"07-K04-03"</f>
        <v>07-K04-03</v>
      </c>
      <c r="G11891">
        <v>0.93859999999999999</v>
      </c>
      <c r="H11891" t="s">
        <v>11</v>
      </c>
      <c r="I11891" t="s">
        <v>10</v>
      </c>
    </row>
    <row r="11892" spans="1:9" x14ac:dyDescent="0.25">
      <c r="A11892" t="str">
        <f t="shared" si="287"/>
        <v>89301000</v>
      </c>
      <c r="B11892" t="str">
        <f>"7460085325"</f>
        <v>7460085325</v>
      </c>
      <c r="C11892" s="1">
        <v>45230</v>
      </c>
      <c r="D11892" s="1">
        <v>45233</v>
      </c>
      <c r="E11892">
        <v>1</v>
      </c>
      <c r="F11892" t="str">
        <f>"13-I11-03"</f>
        <v>13-I11-03</v>
      </c>
      <c r="G11892">
        <v>1.4332</v>
      </c>
      <c r="H11892" t="s">
        <v>9</v>
      </c>
      <c r="I11892" t="s">
        <v>10</v>
      </c>
    </row>
    <row r="11893" spans="1:9" x14ac:dyDescent="0.25">
      <c r="A11893" t="str">
        <f t="shared" si="287"/>
        <v>89301000</v>
      </c>
      <c r="B11893" t="str">
        <f>"7460105323"</f>
        <v>7460105323</v>
      </c>
      <c r="C11893" s="1">
        <v>45273</v>
      </c>
      <c r="D11893" s="1">
        <v>45277</v>
      </c>
      <c r="E11893">
        <v>1</v>
      </c>
      <c r="F11893" t="str">
        <f>"07-I10-06"</f>
        <v>07-I10-06</v>
      </c>
      <c r="G11893">
        <v>0.98419999999999996</v>
      </c>
      <c r="H11893" t="s">
        <v>12</v>
      </c>
      <c r="I11893" t="s">
        <v>10</v>
      </c>
    </row>
    <row r="11894" spans="1:9" x14ac:dyDescent="0.25">
      <c r="A11894" t="str">
        <f t="shared" si="287"/>
        <v>89301000</v>
      </c>
      <c r="B11894" t="str">
        <f>"7460125816"</f>
        <v>7460125816</v>
      </c>
      <c r="C11894" s="1">
        <v>45099</v>
      </c>
      <c r="D11894" s="1">
        <v>45101</v>
      </c>
      <c r="E11894">
        <v>1</v>
      </c>
      <c r="F11894" t="str">
        <f>"01-C01-03"</f>
        <v>01-C01-03</v>
      </c>
      <c r="G11894">
        <v>1.66</v>
      </c>
      <c r="H11894" t="s">
        <v>11</v>
      </c>
      <c r="I11894" t="s">
        <v>10</v>
      </c>
    </row>
    <row r="11895" spans="1:9" x14ac:dyDescent="0.25">
      <c r="A11895" t="str">
        <f t="shared" si="287"/>
        <v>89301000</v>
      </c>
      <c r="B11895" t="str">
        <f>"7460129083"</f>
        <v>7460129083</v>
      </c>
      <c r="C11895" s="1">
        <v>45035</v>
      </c>
      <c r="D11895" s="1">
        <v>45037</v>
      </c>
      <c r="E11895">
        <v>1</v>
      </c>
      <c r="F11895" t="str">
        <f>"08-I03-08"</f>
        <v>08-I03-08</v>
      </c>
      <c r="G11895">
        <v>1.9455</v>
      </c>
      <c r="H11895" t="s">
        <v>9</v>
      </c>
      <c r="I11895" t="s">
        <v>10</v>
      </c>
    </row>
    <row r="11896" spans="1:9" x14ac:dyDescent="0.25">
      <c r="A11896" t="str">
        <f t="shared" si="287"/>
        <v>89301000</v>
      </c>
      <c r="B11896" t="str">
        <f>"7460192311"</f>
        <v>7460192311</v>
      </c>
      <c r="C11896" s="1">
        <v>45119</v>
      </c>
      <c r="D11896" s="1">
        <v>45122</v>
      </c>
      <c r="E11896">
        <v>1</v>
      </c>
      <c r="F11896" t="str">
        <f>"03-I12-04"</f>
        <v>03-I12-04</v>
      </c>
      <c r="G11896">
        <v>0.85740000000000005</v>
      </c>
      <c r="H11896" t="s">
        <v>12</v>
      </c>
      <c r="I11896" t="s">
        <v>10</v>
      </c>
    </row>
    <row r="11897" spans="1:9" x14ac:dyDescent="0.25">
      <c r="A11897" t="str">
        <f t="shared" si="287"/>
        <v>89301000</v>
      </c>
      <c r="B11897" t="str">
        <f>"7460192311"</f>
        <v>7460192311</v>
      </c>
      <c r="C11897" s="1">
        <v>45146</v>
      </c>
      <c r="D11897" s="1">
        <v>45152</v>
      </c>
      <c r="E11897">
        <v>1</v>
      </c>
      <c r="F11897" t="str">
        <f>"03-I12-04"</f>
        <v>03-I12-04</v>
      </c>
      <c r="G11897">
        <v>0.85740000000000005</v>
      </c>
      <c r="H11897" t="s">
        <v>12</v>
      </c>
      <c r="I11897" t="s">
        <v>10</v>
      </c>
    </row>
    <row r="11898" spans="1:9" x14ac:dyDescent="0.25">
      <c r="A11898" t="str">
        <f t="shared" si="287"/>
        <v>89301000</v>
      </c>
      <c r="B11898" t="str">
        <f>"7460224871"</f>
        <v>7460224871</v>
      </c>
      <c r="C11898" s="1">
        <v>44985</v>
      </c>
      <c r="D11898" s="1">
        <v>44991</v>
      </c>
      <c r="E11898">
        <v>1</v>
      </c>
      <c r="F11898" t="str">
        <f>"10-R02-02"</f>
        <v>10-R02-02</v>
      </c>
      <c r="G11898">
        <v>0.66300000000000003</v>
      </c>
      <c r="H11898" t="s">
        <v>9</v>
      </c>
      <c r="I11898" t="s">
        <v>10</v>
      </c>
    </row>
    <row r="11899" spans="1:9" x14ac:dyDescent="0.25">
      <c r="A11899" t="str">
        <f t="shared" si="287"/>
        <v>89301000</v>
      </c>
      <c r="B11899" t="str">
        <f>"7460273667"</f>
        <v>7460273667</v>
      </c>
      <c r="C11899" s="1">
        <v>45195</v>
      </c>
      <c r="D11899" s="1">
        <v>45198</v>
      </c>
      <c r="E11899">
        <v>1</v>
      </c>
      <c r="F11899" t="str">
        <f>"07-I10-06"</f>
        <v>07-I10-06</v>
      </c>
      <c r="G11899">
        <v>0.98419999999999996</v>
      </c>
      <c r="H11899" t="s">
        <v>12</v>
      </c>
      <c r="I11899" t="s">
        <v>10</v>
      </c>
    </row>
    <row r="11900" spans="1:9" x14ac:dyDescent="0.25">
      <c r="A11900" t="str">
        <f t="shared" si="287"/>
        <v>89301000</v>
      </c>
      <c r="B11900" t="str">
        <f>"7460305336"</f>
        <v>7460305336</v>
      </c>
      <c r="C11900" s="1">
        <v>45021</v>
      </c>
      <c r="D11900" s="1">
        <v>45022</v>
      </c>
      <c r="E11900">
        <v>1</v>
      </c>
      <c r="F11900" t="str">
        <f>"09-I13-05"</f>
        <v>09-I13-05</v>
      </c>
      <c r="G11900">
        <v>0.42570000000000002</v>
      </c>
      <c r="H11900" t="s">
        <v>11</v>
      </c>
      <c r="I11900" t="s">
        <v>10</v>
      </c>
    </row>
    <row r="11901" spans="1:9" x14ac:dyDescent="0.25">
      <c r="A11901" t="str">
        <f t="shared" si="287"/>
        <v>89301000</v>
      </c>
      <c r="B11901" t="str">
        <f>"7461025341"</f>
        <v>7461025341</v>
      </c>
      <c r="C11901" s="1">
        <v>44991</v>
      </c>
      <c r="D11901" s="1">
        <v>44998</v>
      </c>
      <c r="E11901">
        <v>1</v>
      </c>
      <c r="F11901" t="str">
        <f>"06-K01-03"</f>
        <v>06-K01-03</v>
      </c>
      <c r="G11901">
        <v>0.89710000000000001</v>
      </c>
      <c r="H11901" t="s">
        <v>11</v>
      </c>
      <c r="I11901" t="s">
        <v>10</v>
      </c>
    </row>
    <row r="11902" spans="1:9" x14ac:dyDescent="0.25">
      <c r="A11902" t="str">
        <f t="shared" si="287"/>
        <v>89301000</v>
      </c>
      <c r="B11902" t="str">
        <f>"7461085445"</f>
        <v>7461085445</v>
      </c>
      <c r="C11902" s="1">
        <v>44990</v>
      </c>
      <c r="D11902" s="1">
        <v>44996</v>
      </c>
      <c r="E11902">
        <v>1</v>
      </c>
      <c r="F11902" t="str">
        <f>"07-I02-02"</f>
        <v>07-I02-02</v>
      </c>
      <c r="G11902">
        <v>3.4964</v>
      </c>
      <c r="H11902" t="s">
        <v>14</v>
      </c>
      <c r="I11902" t="s">
        <v>10</v>
      </c>
    </row>
    <row r="11903" spans="1:9" x14ac:dyDescent="0.25">
      <c r="A11903" t="str">
        <f t="shared" si="287"/>
        <v>89301000</v>
      </c>
      <c r="B11903" t="str">
        <f>"7461095323"</f>
        <v>7461095323</v>
      </c>
      <c r="C11903" s="1">
        <v>45056</v>
      </c>
      <c r="D11903" s="1">
        <v>45059</v>
      </c>
      <c r="E11903">
        <v>1</v>
      </c>
      <c r="F11903" t="str">
        <f>"13-I11-03"</f>
        <v>13-I11-03</v>
      </c>
      <c r="G11903">
        <v>1.4332</v>
      </c>
      <c r="H11903" t="s">
        <v>9</v>
      </c>
      <c r="I11903" t="s">
        <v>10</v>
      </c>
    </row>
    <row r="11904" spans="1:9" x14ac:dyDescent="0.25">
      <c r="A11904" t="str">
        <f t="shared" si="287"/>
        <v>89301000</v>
      </c>
      <c r="B11904" t="str">
        <f>"7461115321"</f>
        <v>7461115321</v>
      </c>
      <c r="C11904" s="1">
        <v>45263</v>
      </c>
      <c r="D11904" s="1">
        <v>45267</v>
      </c>
      <c r="E11904">
        <v>1</v>
      </c>
      <c r="F11904" t="str">
        <f>"11-I10-01"</f>
        <v>11-I10-01</v>
      </c>
      <c r="G11904">
        <v>3.0842000000000001</v>
      </c>
      <c r="H11904" t="s">
        <v>12</v>
      </c>
      <c r="I11904" t="s">
        <v>10</v>
      </c>
    </row>
    <row r="11905" spans="1:9" x14ac:dyDescent="0.25">
      <c r="A11905" t="str">
        <f t="shared" si="287"/>
        <v>89301000</v>
      </c>
      <c r="B11905" t="str">
        <f>"7461115321"</f>
        <v>7461115321</v>
      </c>
      <c r="C11905" s="1">
        <v>45075</v>
      </c>
      <c r="D11905" s="1">
        <v>45077</v>
      </c>
      <c r="E11905">
        <v>1</v>
      </c>
      <c r="F11905" t="str">
        <f>"11-M05-02"</f>
        <v>11-M05-02</v>
      </c>
      <c r="G11905">
        <v>0.6694</v>
      </c>
      <c r="H11905" t="s">
        <v>12</v>
      </c>
      <c r="I11905" t="s">
        <v>10</v>
      </c>
    </row>
    <row r="11906" spans="1:9" x14ac:dyDescent="0.25">
      <c r="A11906" t="str">
        <f t="shared" si="287"/>
        <v>89301000</v>
      </c>
      <c r="B11906" t="str">
        <f>"7461124495"</f>
        <v>7461124495</v>
      </c>
      <c r="C11906" s="1">
        <v>45090</v>
      </c>
      <c r="D11906" s="1">
        <v>45096</v>
      </c>
      <c r="E11906">
        <v>1</v>
      </c>
      <c r="F11906" t="str">
        <f>"01-I06-04"</f>
        <v>01-I06-04</v>
      </c>
      <c r="G11906">
        <v>3.6478999999999999</v>
      </c>
      <c r="H11906" t="s">
        <v>12</v>
      </c>
      <c r="I11906" t="s">
        <v>10</v>
      </c>
    </row>
    <row r="11907" spans="1:9" x14ac:dyDescent="0.25">
      <c r="A11907" t="str">
        <f t="shared" si="287"/>
        <v>89301000</v>
      </c>
      <c r="B11907" t="str">
        <f>"7461135308"</f>
        <v>7461135308</v>
      </c>
      <c r="C11907" s="1">
        <v>45150</v>
      </c>
      <c r="D11907" s="1">
        <v>45151</v>
      </c>
      <c r="E11907">
        <v>1</v>
      </c>
      <c r="F11907" t="str">
        <f>"13-I19-00"</f>
        <v>13-I19-00</v>
      </c>
      <c r="G11907">
        <v>0.28249999999999997</v>
      </c>
      <c r="H11907" t="s">
        <v>11</v>
      </c>
      <c r="I11907" t="s">
        <v>10</v>
      </c>
    </row>
    <row r="11908" spans="1:9" x14ac:dyDescent="0.25">
      <c r="A11908" t="str">
        <f t="shared" si="287"/>
        <v>89301000</v>
      </c>
      <c r="B11908" t="str">
        <f>"7461184478"</f>
        <v>7461184478</v>
      </c>
      <c r="C11908" s="1">
        <v>44922</v>
      </c>
      <c r="D11908" s="1">
        <v>44928</v>
      </c>
      <c r="E11908">
        <v>1</v>
      </c>
      <c r="F11908" t="str">
        <f>"09-K02-00"</f>
        <v>09-K02-00</v>
      </c>
      <c r="G11908">
        <v>0.99539999999999995</v>
      </c>
      <c r="H11908" t="s">
        <v>11</v>
      </c>
      <c r="I11908" t="s">
        <v>10</v>
      </c>
    </row>
    <row r="11909" spans="1:9" x14ac:dyDescent="0.25">
      <c r="A11909" t="str">
        <f t="shared" si="287"/>
        <v>89301000</v>
      </c>
      <c r="B11909" t="str">
        <f>"7461225354"</f>
        <v>7461225354</v>
      </c>
      <c r="C11909" s="1">
        <v>44956</v>
      </c>
      <c r="D11909" s="1">
        <v>44959</v>
      </c>
      <c r="E11909">
        <v>1</v>
      </c>
      <c r="F11909" t="str">
        <f>"08-M03-05"</f>
        <v>08-M03-05</v>
      </c>
      <c r="G11909">
        <v>0.46910000000000002</v>
      </c>
      <c r="H11909" t="s">
        <v>11</v>
      </c>
      <c r="I11909" t="s">
        <v>10</v>
      </c>
    </row>
    <row r="11910" spans="1:9" x14ac:dyDescent="0.25">
      <c r="A11910" t="str">
        <f t="shared" si="287"/>
        <v>89301000</v>
      </c>
      <c r="B11910" t="str">
        <f>"7461225761"</f>
        <v>7461225761</v>
      </c>
      <c r="C11910" s="1">
        <v>45004</v>
      </c>
      <c r="D11910" s="1">
        <v>45014</v>
      </c>
      <c r="E11910">
        <v>1</v>
      </c>
      <c r="F11910" t="str">
        <f>"16-I04-01"</f>
        <v>16-I04-01</v>
      </c>
      <c r="G11910">
        <v>1.0411999999999999</v>
      </c>
      <c r="H11910" t="s">
        <v>12</v>
      </c>
      <c r="I11910" t="s">
        <v>10</v>
      </c>
    </row>
    <row r="11911" spans="1:9" x14ac:dyDescent="0.25">
      <c r="A11911" t="str">
        <f t="shared" si="287"/>
        <v>89301000</v>
      </c>
      <c r="B11911" t="str">
        <f>"7461241931"</f>
        <v>7461241931</v>
      </c>
      <c r="C11911" s="1">
        <v>45173</v>
      </c>
      <c r="D11911" s="1">
        <v>45176</v>
      </c>
      <c r="E11911">
        <v>1</v>
      </c>
      <c r="F11911" t="str">
        <f>"08-M03-04"</f>
        <v>08-M03-04</v>
      </c>
      <c r="G11911">
        <v>0.87760000000000005</v>
      </c>
      <c r="H11911" t="s">
        <v>11</v>
      </c>
      <c r="I11911" t="s">
        <v>10</v>
      </c>
    </row>
    <row r="11912" spans="1:9" x14ac:dyDescent="0.25">
      <c r="A11912" t="str">
        <f t="shared" si="287"/>
        <v>89301000</v>
      </c>
      <c r="B11912" t="str">
        <f>"7461275690"</f>
        <v>7461275690</v>
      </c>
      <c r="C11912" s="1">
        <v>45027</v>
      </c>
      <c r="D11912" s="1">
        <v>45040</v>
      </c>
      <c r="E11912">
        <v>1</v>
      </c>
      <c r="F11912" t="str">
        <f>"19-K04-02"</f>
        <v>19-K04-02</v>
      </c>
      <c r="G11912">
        <v>1.3379000000000001</v>
      </c>
      <c r="H11912" t="s">
        <v>15</v>
      </c>
      <c r="I11912" t="s">
        <v>10</v>
      </c>
    </row>
    <row r="11913" spans="1:9" x14ac:dyDescent="0.25">
      <c r="A11913" t="str">
        <f t="shared" si="287"/>
        <v>89301000</v>
      </c>
      <c r="B11913" t="str">
        <f>"7461275690"</f>
        <v>7461275690</v>
      </c>
      <c r="C11913" s="1">
        <v>45193</v>
      </c>
      <c r="D11913" s="1">
        <v>45202</v>
      </c>
      <c r="E11913">
        <v>1</v>
      </c>
      <c r="F11913" t="str">
        <f>"19-K03-03"</f>
        <v>19-K03-03</v>
      </c>
      <c r="G11913">
        <v>0.90410000000000001</v>
      </c>
      <c r="H11913" t="s">
        <v>15</v>
      </c>
      <c r="I11913" t="s">
        <v>10</v>
      </c>
    </row>
    <row r="11914" spans="1:9" x14ac:dyDescent="0.25">
      <c r="A11914" t="str">
        <f t="shared" si="287"/>
        <v>89301000</v>
      </c>
      <c r="B11914" t="str">
        <f>"7461295303"</f>
        <v>7461295303</v>
      </c>
      <c r="C11914" s="1">
        <v>45034</v>
      </c>
      <c r="D11914" s="1">
        <v>45037</v>
      </c>
      <c r="E11914">
        <v>1</v>
      </c>
      <c r="F11914" t="str">
        <f>"13-I14-03"</f>
        <v>13-I14-03</v>
      </c>
      <c r="G11914">
        <v>0.87760000000000005</v>
      </c>
      <c r="H11914" t="s">
        <v>9</v>
      </c>
      <c r="I11914" t="s">
        <v>10</v>
      </c>
    </row>
    <row r="11915" spans="1:9" x14ac:dyDescent="0.25">
      <c r="A11915" t="str">
        <f t="shared" si="287"/>
        <v>89301000</v>
      </c>
      <c r="B11915" t="str">
        <f>"7462035383"</f>
        <v>7462035383</v>
      </c>
      <c r="C11915" s="1">
        <v>45218</v>
      </c>
      <c r="D11915" s="1">
        <v>45222</v>
      </c>
      <c r="E11915">
        <v>1</v>
      </c>
      <c r="F11915" t="str">
        <f>"13-I11-03"</f>
        <v>13-I11-03</v>
      </c>
      <c r="G11915">
        <v>1.4332</v>
      </c>
      <c r="H11915" t="s">
        <v>9</v>
      </c>
      <c r="I11915" t="s">
        <v>10</v>
      </c>
    </row>
    <row r="11916" spans="1:9" x14ac:dyDescent="0.25">
      <c r="A11916" t="str">
        <f t="shared" si="287"/>
        <v>89301000</v>
      </c>
      <c r="B11916" t="str">
        <f>"7462045800"</f>
        <v>7462045800</v>
      </c>
      <c r="C11916" s="1">
        <v>45266</v>
      </c>
      <c r="D11916" s="1">
        <v>45267</v>
      </c>
      <c r="E11916">
        <v>1</v>
      </c>
      <c r="F11916" t="str">
        <f>"01-D01-03"</f>
        <v>01-D01-03</v>
      </c>
      <c r="G11916">
        <v>0.16200000000000001</v>
      </c>
      <c r="H11916" t="s">
        <v>11</v>
      </c>
      <c r="I11916" t="s">
        <v>10</v>
      </c>
    </row>
    <row r="11917" spans="1:9" x14ac:dyDescent="0.25">
      <c r="A11917" t="str">
        <f t="shared" si="287"/>
        <v>89301000</v>
      </c>
      <c r="B11917" t="str">
        <f>"7462055315"</f>
        <v>7462055315</v>
      </c>
      <c r="C11917" s="1">
        <v>44931</v>
      </c>
      <c r="D11917" s="1">
        <v>44932</v>
      </c>
      <c r="E11917">
        <v>1</v>
      </c>
      <c r="F11917" t="str">
        <f>"08-M03-05"</f>
        <v>08-M03-05</v>
      </c>
      <c r="G11917">
        <v>0.46810000000000002</v>
      </c>
      <c r="H11917" t="s">
        <v>11</v>
      </c>
      <c r="I11917" t="s">
        <v>10</v>
      </c>
    </row>
    <row r="11918" spans="1:9" x14ac:dyDescent="0.25">
      <c r="A11918" t="str">
        <f t="shared" si="287"/>
        <v>89301000</v>
      </c>
      <c r="B11918" t="str">
        <f>"7462064247"</f>
        <v>7462064247</v>
      </c>
      <c r="C11918" s="1">
        <v>45013</v>
      </c>
      <c r="D11918" s="1">
        <v>45051</v>
      </c>
      <c r="E11918">
        <v>1</v>
      </c>
      <c r="F11918" t="str">
        <f>"19-K08-02"</f>
        <v>19-K08-02</v>
      </c>
      <c r="G11918">
        <v>4.4416000000000002</v>
      </c>
      <c r="H11918" t="s">
        <v>15</v>
      </c>
      <c r="I11918" t="s">
        <v>10</v>
      </c>
    </row>
    <row r="11919" spans="1:9" x14ac:dyDescent="0.25">
      <c r="A11919" t="str">
        <f t="shared" si="287"/>
        <v>89301000</v>
      </c>
      <c r="B11919" t="str">
        <f>"7462105827"</f>
        <v>7462105827</v>
      </c>
      <c r="C11919" s="1">
        <v>44978</v>
      </c>
      <c r="D11919" s="1">
        <v>44985</v>
      </c>
      <c r="E11919">
        <v>1</v>
      </c>
      <c r="F11919" t="str">
        <f>"10-R02-01"</f>
        <v>10-R02-01</v>
      </c>
      <c r="G11919">
        <v>0.94379999999999997</v>
      </c>
      <c r="H11919" t="s">
        <v>9</v>
      </c>
      <c r="I11919" t="s">
        <v>10</v>
      </c>
    </row>
    <row r="11920" spans="1:9" x14ac:dyDescent="0.25">
      <c r="A11920" t="str">
        <f t="shared" si="287"/>
        <v>89301000</v>
      </c>
      <c r="B11920" t="str">
        <f>"7462105827"</f>
        <v>7462105827</v>
      </c>
      <c r="C11920" s="1">
        <v>44972</v>
      </c>
      <c r="D11920" s="1">
        <v>44975</v>
      </c>
      <c r="E11920">
        <v>1</v>
      </c>
      <c r="F11920" t="str">
        <f>"10-K06-00"</f>
        <v>10-K06-00</v>
      </c>
      <c r="G11920">
        <v>0.4965</v>
      </c>
      <c r="H11920" t="s">
        <v>11</v>
      </c>
      <c r="I11920" t="s">
        <v>10</v>
      </c>
    </row>
    <row r="11921" spans="1:9" x14ac:dyDescent="0.25">
      <c r="A11921" t="str">
        <f t="shared" si="287"/>
        <v>89301000</v>
      </c>
      <c r="B11921" t="str">
        <f>"7462105827"</f>
        <v>7462105827</v>
      </c>
      <c r="C11921" s="1">
        <v>45000</v>
      </c>
      <c r="D11921" s="1">
        <v>45003</v>
      </c>
      <c r="E11921">
        <v>1</v>
      </c>
      <c r="F11921" t="str">
        <f>"17-I09-02"</f>
        <v>17-I09-02</v>
      </c>
      <c r="G11921">
        <v>1.0861000000000001</v>
      </c>
      <c r="H11921" t="s">
        <v>11</v>
      </c>
      <c r="I11921" t="s">
        <v>10</v>
      </c>
    </row>
    <row r="11922" spans="1:9" x14ac:dyDescent="0.25">
      <c r="A11922" t="str">
        <f t="shared" si="287"/>
        <v>89301000</v>
      </c>
      <c r="B11922" t="str">
        <f>"7462125242"</f>
        <v>7462125242</v>
      </c>
      <c r="C11922" s="1">
        <v>45275</v>
      </c>
      <c r="D11922" s="1">
        <v>45278</v>
      </c>
      <c r="E11922">
        <v>1</v>
      </c>
      <c r="F11922" t="str">
        <f>"10-K15-02"</f>
        <v>10-K15-02</v>
      </c>
      <c r="G11922">
        <v>0.66379999999999995</v>
      </c>
      <c r="H11922" t="s">
        <v>11</v>
      </c>
      <c r="I11922" t="s">
        <v>10</v>
      </c>
    </row>
    <row r="11923" spans="1:9" x14ac:dyDescent="0.25">
      <c r="A11923" t="str">
        <f t="shared" si="287"/>
        <v>89301000</v>
      </c>
      <c r="B11923" t="str">
        <f>"7462125242"</f>
        <v>7462125242</v>
      </c>
      <c r="C11923" s="1">
        <v>45196</v>
      </c>
      <c r="D11923" s="1">
        <v>45197</v>
      </c>
      <c r="E11923">
        <v>1</v>
      </c>
      <c r="F11923" t="str">
        <f>"10-K15-02"</f>
        <v>10-K15-02</v>
      </c>
      <c r="G11923">
        <v>0.66379999999999995</v>
      </c>
      <c r="H11923" t="s">
        <v>11</v>
      </c>
      <c r="I11923" t="s">
        <v>10</v>
      </c>
    </row>
    <row r="11924" spans="1:9" x14ac:dyDescent="0.25">
      <c r="A11924" t="str">
        <f t="shared" si="287"/>
        <v>89301000</v>
      </c>
      <c r="B11924" t="str">
        <f>"7462175314"</f>
        <v>7462175314</v>
      </c>
      <c r="C11924" s="1">
        <v>44943</v>
      </c>
      <c r="D11924" s="1">
        <v>44967</v>
      </c>
      <c r="E11924">
        <v>1</v>
      </c>
      <c r="F11924" t="str">
        <f>"24-M09-01"</f>
        <v>24-M09-01</v>
      </c>
      <c r="G11924">
        <v>3.2307999999999999</v>
      </c>
      <c r="H11924" t="s">
        <v>11</v>
      </c>
      <c r="I11924" t="s">
        <v>10</v>
      </c>
    </row>
    <row r="11925" spans="1:9" x14ac:dyDescent="0.25">
      <c r="A11925" t="str">
        <f t="shared" si="287"/>
        <v>89301000</v>
      </c>
      <c r="B11925" t="str">
        <f>"7462194861"</f>
        <v>7462194861</v>
      </c>
      <c r="C11925" s="1">
        <v>45201</v>
      </c>
      <c r="D11925" s="1">
        <v>45203</v>
      </c>
      <c r="E11925">
        <v>1</v>
      </c>
      <c r="F11925" t="str">
        <f>"09-I06-04"</f>
        <v>09-I06-04</v>
      </c>
      <c r="G11925">
        <v>0.95069999999999999</v>
      </c>
      <c r="H11925" t="s">
        <v>12</v>
      </c>
      <c r="I11925" t="s">
        <v>10</v>
      </c>
    </row>
    <row r="11926" spans="1:9" x14ac:dyDescent="0.25">
      <c r="A11926" t="str">
        <f t="shared" si="287"/>
        <v>89301000</v>
      </c>
      <c r="B11926" t="str">
        <f>"7462205355"</f>
        <v>7462205355</v>
      </c>
      <c r="C11926" s="1">
        <v>45078</v>
      </c>
      <c r="D11926" s="1">
        <v>45083</v>
      </c>
      <c r="E11926">
        <v>1</v>
      </c>
      <c r="F11926" t="str">
        <f>"13-I11-03"</f>
        <v>13-I11-03</v>
      </c>
      <c r="G11926">
        <v>1.4332</v>
      </c>
      <c r="H11926" t="s">
        <v>9</v>
      </c>
      <c r="I11926" t="s">
        <v>10</v>
      </c>
    </row>
    <row r="11927" spans="1:9" x14ac:dyDescent="0.25">
      <c r="A11927" t="str">
        <f t="shared" si="287"/>
        <v>89301000</v>
      </c>
      <c r="B11927" t="str">
        <f>"7462234461"</f>
        <v>7462234461</v>
      </c>
      <c r="C11927" s="1">
        <v>45272</v>
      </c>
      <c r="D11927" s="1">
        <v>45274</v>
      </c>
      <c r="E11927">
        <v>1</v>
      </c>
      <c r="F11927" t="str">
        <f>"08-I24-02"</f>
        <v>08-I24-02</v>
      </c>
      <c r="G11927">
        <v>0.86709999999999998</v>
      </c>
      <c r="H11927" t="s">
        <v>11</v>
      </c>
      <c r="I11927" t="s">
        <v>10</v>
      </c>
    </row>
    <row r="11928" spans="1:9" x14ac:dyDescent="0.25">
      <c r="A11928" t="str">
        <f t="shared" si="287"/>
        <v>89301000</v>
      </c>
      <c r="B11928" t="str">
        <f>"7462234461"</f>
        <v>7462234461</v>
      </c>
      <c r="C11928" s="1">
        <v>45078</v>
      </c>
      <c r="D11928" s="1">
        <v>45080</v>
      </c>
      <c r="E11928">
        <v>1</v>
      </c>
      <c r="F11928" t="str">
        <f>"08-I24-02"</f>
        <v>08-I24-02</v>
      </c>
      <c r="G11928">
        <v>0.73599999999999999</v>
      </c>
      <c r="H11928" t="s">
        <v>11</v>
      </c>
      <c r="I11928" t="s">
        <v>10</v>
      </c>
    </row>
    <row r="11929" spans="1:9" x14ac:dyDescent="0.25">
      <c r="A11929" t="str">
        <f t="shared" si="287"/>
        <v>89301000</v>
      </c>
      <c r="B11929" t="str">
        <f>"7462279451"</f>
        <v>7462279451</v>
      </c>
      <c r="C11929" s="1">
        <v>44926</v>
      </c>
      <c r="D11929" s="1">
        <v>44927</v>
      </c>
      <c r="E11929">
        <v>1</v>
      </c>
      <c r="F11929" t="str">
        <f>"14-I08-03"</f>
        <v>14-I08-03</v>
      </c>
      <c r="G11929">
        <v>0.2414</v>
      </c>
      <c r="H11929" t="s">
        <v>11</v>
      </c>
      <c r="I11929" t="s">
        <v>10</v>
      </c>
    </row>
    <row r="11930" spans="1:9" x14ac:dyDescent="0.25">
      <c r="A11930" t="str">
        <f t="shared" si="287"/>
        <v>89301000</v>
      </c>
      <c r="B11930" t="str">
        <f>"7462279451"</f>
        <v>7462279451</v>
      </c>
      <c r="C11930" s="1">
        <v>45014</v>
      </c>
      <c r="D11930" s="1">
        <v>45019</v>
      </c>
      <c r="E11930">
        <v>1</v>
      </c>
      <c r="F11930" t="str">
        <f>"13-I11-03"</f>
        <v>13-I11-03</v>
      </c>
      <c r="G11930">
        <v>1.4332</v>
      </c>
      <c r="H11930" t="s">
        <v>9</v>
      </c>
      <c r="I11930" t="s">
        <v>10</v>
      </c>
    </row>
    <row r="11931" spans="1:9" x14ac:dyDescent="0.25">
      <c r="A11931" t="str">
        <f t="shared" si="287"/>
        <v>89301000</v>
      </c>
      <c r="B11931" t="str">
        <f>"7462295302"</f>
        <v>7462295302</v>
      </c>
      <c r="C11931" s="1">
        <v>45154</v>
      </c>
      <c r="D11931" s="1">
        <v>45156</v>
      </c>
      <c r="E11931">
        <v>1</v>
      </c>
      <c r="F11931" t="str">
        <f>"08-M03-05"</f>
        <v>08-M03-05</v>
      </c>
      <c r="G11931">
        <v>0.46910000000000002</v>
      </c>
      <c r="H11931" t="s">
        <v>11</v>
      </c>
      <c r="I11931" t="s">
        <v>10</v>
      </c>
    </row>
    <row r="11932" spans="1:9" x14ac:dyDescent="0.25">
      <c r="A11932" t="str">
        <f t="shared" si="287"/>
        <v>89301000</v>
      </c>
      <c r="B11932" t="str">
        <f>"7501034475"</f>
        <v>7501034475</v>
      </c>
      <c r="C11932" s="1">
        <v>45250</v>
      </c>
      <c r="D11932" s="1">
        <v>45264</v>
      </c>
      <c r="E11932">
        <v>1</v>
      </c>
      <c r="F11932" t="str">
        <f>"12-K01-02"</f>
        <v>12-K01-02</v>
      </c>
      <c r="G11932">
        <v>0.7429</v>
      </c>
      <c r="H11932" t="s">
        <v>11</v>
      </c>
      <c r="I11932" t="s">
        <v>10</v>
      </c>
    </row>
    <row r="11933" spans="1:9" x14ac:dyDescent="0.25">
      <c r="A11933" t="str">
        <f t="shared" si="287"/>
        <v>89301000</v>
      </c>
      <c r="B11933" t="str">
        <f>"7501065308"</f>
        <v>7501065308</v>
      </c>
      <c r="C11933" s="1">
        <v>45154</v>
      </c>
      <c r="D11933" s="1">
        <v>45180</v>
      </c>
      <c r="E11933">
        <v>4</v>
      </c>
      <c r="F11933" t="str">
        <f>"10-I08-01"</f>
        <v>10-I08-01</v>
      </c>
      <c r="G11933">
        <v>1.7462</v>
      </c>
      <c r="H11933" t="s">
        <v>11</v>
      </c>
      <c r="I11933" t="s">
        <v>10</v>
      </c>
    </row>
    <row r="11934" spans="1:9" x14ac:dyDescent="0.25">
      <c r="A11934" t="str">
        <f t="shared" si="287"/>
        <v>89301000</v>
      </c>
      <c r="B11934" t="str">
        <f>"7501125797"</f>
        <v>7501125797</v>
      </c>
      <c r="C11934" s="1">
        <v>45057</v>
      </c>
      <c r="D11934" s="1">
        <v>45060</v>
      </c>
      <c r="E11934">
        <v>1</v>
      </c>
      <c r="F11934" t="str">
        <f>"08-M03-05"</f>
        <v>08-M03-05</v>
      </c>
      <c r="G11934">
        <v>0.46810000000000002</v>
      </c>
      <c r="H11934" t="s">
        <v>11</v>
      </c>
      <c r="I11934" t="s">
        <v>10</v>
      </c>
    </row>
    <row r="11935" spans="1:9" x14ac:dyDescent="0.25">
      <c r="A11935" t="str">
        <f t="shared" ref="A11935:A11998" si="288">"89301000"</f>
        <v>89301000</v>
      </c>
      <c r="B11935" t="str">
        <f>"7501225424"</f>
        <v>7501225424</v>
      </c>
      <c r="C11935" s="1">
        <v>45195</v>
      </c>
      <c r="D11935" s="1">
        <v>45201</v>
      </c>
      <c r="E11935">
        <v>1</v>
      </c>
      <c r="F11935" t="str">
        <f>"07-I01-02"</f>
        <v>07-I01-02</v>
      </c>
      <c r="G11935">
        <v>5.6474000000000002</v>
      </c>
      <c r="H11935" t="s">
        <v>14</v>
      </c>
      <c r="I11935" t="s">
        <v>10</v>
      </c>
    </row>
    <row r="11936" spans="1:9" x14ac:dyDescent="0.25">
      <c r="A11936" t="str">
        <f t="shared" si="288"/>
        <v>89301000</v>
      </c>
      <c r="B11936" t="str">
        <f>"7501305361"</f>
        <v>7501305361</v>
      </c>
      <c r="C11936" s="1">
        <v>45051</v>
      </c>
      <c r="D11936" s="1">
        <v>45054</v>
      </c>
      <c r="E11936">
        <v>1</v>
      </c>
      <c r="F11936" t="str">
        <f>"01-D01-03"</f>
        <v>01-D01-03</v>
      </c>
      <c r="G11936">
        <v>0.21060000000000001</v>
      </c>
      <c r="H11936" t="s">
        <v>11</v>
      </c>
      <c r="I11936" t="s">
        <v>10</v>
      </c>
    </row>
    <row r="11937" spans="1:9" x14ac:dyDescent="0.25">
      <c r="A11937" t="str">
        <f t="shared" si="288"/>
        <v>89301000</v>
      </c>
      <c r="B11937" t="str">
        <f>"7501305361"</f>
        <v>7501305361</v>
      </c>
      <c r="C11937" s="1">
        <v>45074</v>
      </c>
      <c r="D11937" s="1">
        <v>45078</v>
      </c>
      <c r="E11937">
        <v>1</v>
      </c>
      <c r="F11937" t="str">
        <f>"11-I07-01"</f>
        <v>11-I07-01</v>
      </c>
      <c r="G11937">
        <v>2.7482000000000002</v>
      </c>
      <c r="H11937" t="s">
        <v>9</v>
      </c>
      <c r="I11937" t="s">
        <v>10</v>
      </c>
    </row>
    <row r="11938" spans="1:9" x14ac:dyDescent="0.25">
      <c r="A11938" t="str">
        <f t="shared" si="288"/>
        <v>89301000</v>
      </c>
      <c r="B11938" t="str">
        <f>"7501305361"</f>
        <v>7501305361</v>
      </c>
      <c r="C11938" s="1">
        <v>44999</v>
      </c>
      <c r="D11938" s="1">
        <v>45000</v>
      </c>
      <c r="E11938">
        <v>1</v>
      </c>
      <c r="F11938" t="str">
        <f>"01-D01-03"</f>
        <v>01-D01-03</v>
      </c>
      <c r="G11938">
        <v>0.16200000000000001</v>
      </c>
      <c r="H11938" t="s">
        <v>11</v>
      </c>
      <c r="I11938" t="s">
        <v>10</v>
      </c>
    </row>
    <row r="11939" spans="1:9" x14ac:dyDescent="0.25">
      <c r="A11939" t="str">
        <f t="shared" si="288"/>
        <v>89301000</v>
      </c>
      <c r="B11939" t="str">
        <f>"7502034485"</f>
        <v>7502034485</v>
      </c>
      <c r="C11939" s="1">
        <v>44963</v>
      </c>
      <c r="D11939" s="1">
        <v>44963</v>
      </c>
      <c r="E11939">
        <v>1</v>
      </c>
      <c r="F11939" t="str">
        <f>"05-M06-08"</f>
        <v>05-M06-08</v>
      </c>
      <c r="G11939">
        <v>1.1012</v>
      </c>
      <c r="H11939" t="s">
        <v>12</v>
      </c>
      <c r="I11939" t="s">
        <v>10</v>
      </c>
    </row>
    <row r="11940" spans="1:9" x14ac:dyDescent="0.25">
      <c r="A11940" t="str">
        <f t="shared" si="288"/>
        <v>89301000</v>
      </c>
      <c r="B11940" t="str">
        <f>"7502054846"</f>
        <v>7502054846</v>
      </c>
      <c r="C11940" s="1">
        <v>45188</v>
      </c>
      <c r="D11940" s="1">
        <v>45192</v>
      </c>
      <c r="E11940">
        <v>1</v>
      </c>
      <c r="F11940" t="str">
        <f>"01-K08-02"</f>
        <v>01-K08-02</v>
      </c>
      <c r="G11940">
        <v>0.60619999999999996</v>
      </c>
      <c r="H11940" t="s">
        <v>11</v>
      </c>
      <c r="I11940" t="s">
        <v>10</v>
      </c>
    </row>
    <row r="11941" spans="1:9" x14ac:dyDescent="0.25">
      <c r="A11941" t="str">
        <f t="shared" si="288"/>
        <v>89301000</v>
      </c>
      <c r="B11941" t="str">
        <f>"7502095755"</f>
        <v>7502095755</v>
      </c>
      <c r="C11941" s="1">
        <v>45015</v>
      </c>
      <c r="D11941" s="1">
        <v>45017</v>
      </c>
      <c r="E11941">
        <v>1</v>
      </c>
      <c r="F11941" t="str">
        <f>"08-I17-02"</f>
        <v>08-I17-02</v>
      </c>
      <c r="G11941">
        <v>0.89680000000000004</v>
      </c>
      <c r="H11941" t="s">
        <v>11</v>
      </c>
      <c r="I11941" t="s">
        <v>10</v>
      </c>
    </row>
    <row r="11942" spans="1:9" x14ac:dyDescent="0.25">
      <c r="A11942" t="str">
        <f t="shared" si="288"/>
        <v>89301000</v>
      </c>
      <c r="B11942" t="str">
        <f>"7502205337"</f>
        <v>7502205337</v>
      </c>
      <c r="C11942" s="1">
        <v>45271</v>
      </c>
      <c r="D11942" s="1">
        <v>45273</v>
      </c>
      <c r="E11942">
        <v>1</v>
      </c>
      <c r="F11942" t="str">
        <f>"11-M05-02"</f>
        <v>11-M05-02</v>
      </c>
      <c r="G11942">
        <v>0.6694</v>
      </c>
      <c r="H11942" t="s">
        <v>12</v>
      </c>
      <c r="I11942" t="s">
        <v>10</v>
      </c>
    </row>
    <row r="11943" spans="1:9" x14ac:dyDescent="0.25">
      <c r="A11943" t="str">
        <f t="shared" si="288"/>
        <v>89301000</v>
      </c>
      <c r="B11943" t="str">
        <f>"7502215776"</f>
        <v>7502215776</v>
      </c>
      <c r="C11943" s="1">
        <v>45092</v>
      </c>
      <c r="D11943" s="1">
        <v>45096</v>
      </c>
      <c r="E11943">
        <v>1</v>
      </c>
      <c r="F11943" t="str">
        <f>"08-I03-08"</f>
        <v>08-I03-08</v>
      </c>
      <c r="G11943">
        <v>1.9455</v>
      </c>
      <c r="H11943" t="s">
        <v>9</v>
      </c>
      <c r="I11943" t="s">
        <v>10</v>
      </c>
    </row>
    <row r="11944" spans="1:9" x14ac:dyDescent="0.25">
      <c r="A11944" t="str">
        <f t="shared" si="288"/>
        <v>89301000</v>
      </c>
      <c r="B11944" t="str">
        <f>"7502234476"</f>
        <v>7502234476</v>
      </c>
      <c r="C11944" s="1">
        <v>45274</v>
      </c>
      <c r="D11944" s="1">
        <v>45275</v>
      </c>
      <c r="E11944">
        <v>1</v>
      </c>
      <c r="F11944" t="str">
        <f>"05-K14-03"</f>
        <v>05-K14-03</v>
      </c>
      <c r="G11944">
        <v>0.3962</v>
      </c>
      <c r="H11944" t="s">
        <v>11</v>
      </c>
      <c r="I11944" t="s">
        <v>10</v>
      </c>
    </row>
    <row r="11945" spans="1:9" x14ac:dyDescent="0.25">
      <c r="A11945" t="str">
        <f t="shared" si="288"/>
        <v>89301000</v>
      </c>
      <c r="B11945" t="str">
        <f>"7502244497"</f>
        <v>7502244497</v>
      </c>
      <c r="C11945" s="1">
        <v>45076</v>
      </c>
      <c r="D11945" s="1">
        <v>45084</v>
      </c>
      <c r="E11945">
        <v>1</v>
      </c>
      <c r="F11945" t="str">
        <f>"01-K07-02"</f>
        <v>01-K07-02</v>
      </c>
      <c r="G11945">
        <v>0.6341</v>
      </c>
      <c r="H11945" t="s">
        <v>11</v>
      </c>
      <c r="I11945" t="s">
        <v>10</v>
      </c>
    </row>
    <row r="11946" spans="1:9" x14ac:dyDescent="0.25">
      <c r="A11946" t="str">
        <f t="shared" si="288"/>
        <v>89301000</v>
      </c>
      <c r="B11946" t="str">
        <f>"7502254859"</f>
        <v>7502254859</v>
      </c>
      <c r="C11946" s="1">
        <v>45075</v>
      </c>
      <c r="D11946" s="1">
        <v>45078</v>
      </c>
      <c r="E11946">
        <v>1</v>
      </c>
      <c r="F11946" t="str">
        <f>"05-M06-06"</f>
        <v>05-M06-06</v>
      </c>
      <c r="G11946">
        <v>1.8264</v>
      </c>
      <c r="H11946" t="s">
        <v>12</v>
      </c>
      <c r="I11946" t="s">
        <v>10</v>
      </c>
    </row>
    <row r="11947" spans="1:9" x14ac:dyDescent="0.25">
      <c r="A11947" t="str">
        <f t="shared" si="288"/>
        <v>89301000</v>
      </c>
      <c r="B11947" t="str">
        <f>"7502255464"</f>
        <v>7502255464</v>
      </c>
      <c r="C11947" s="1">
        <v>45228</v>
      </c>
      <c r="D11947" s="1">
        <v>45232</v>
      </c>
      <c r="E11947">
        <v>4</v>
      </c>
      <c r="F11947" t="str">
        <f>"08-I06-04"</f>
        <v>08-I06-04</v>
      </c>
      <c r="G11947">
        <v>2.4180000000000001</v>
      </c>
      <c r="H11947" t="s">
        <v>9</v>
      </c>
      <c r="I11947" t="s">
        <v>10</v>
      </c>
    </row>
    <row r="11948" spans="1:9" x14ac:dyDescent="0.25">
      <c r="A11948" t="str">
        <f t="shared" si="288"/>
        <v>89301000</v>
      </c>
      <c r="B11948" t="str">
        <f>"7503035364"</f>
        <v>7503035364</v>
      </c>
      <c r="C11948" s="1">
        <v>44976</v>
      </c>
      <c r="D11948" s="1">
        <v>44980</v>
      </c>
      <c r="E11948">
        <v>1</v>
      </c>
      <c r="F11948" t="str">
        <f>"06-I18-05"</f>
        <v>06-I18-05</v>
      </c>
      <c r="G11948">
        <v>0.82420000000000004</v>
      </c>
      <c r="H11948" t="s">
        <v>9</v>
      </c>
      <c r="I11948" t="s">
        <v>10</v>
      </c>
    </row>
    <row r="11949" spans="1:9" x14ac:dyDescent="0.25">
      <c r="A11949" t="str">
        <f t="shared" si="288"/>
        <v>89301000</v>
      </c>
      <c r="B11949" t="str">
        <f>"7503044461"</f>
        <v>7503044461</v>
      </c>
      <c r="C11949" s="1">
        <v>45131</v>
      </c>
      <c r="D11949" s="1">
        <v>45137</v>
      </c>
      <c r="E11949">
        <v>1</v>
      </c>
      <c r="F11949" t="str">
        <f>"12-I02-01"</f>
        <v>12-I02-01</v>
      </c>
      <c r="G11949">
        <v>3.3855</v>
      </c>
      <c r="H11949" t="s">
        <v>9</v>
      </c>
      <c r="I11949" t="s">
        <v>10</v>
      </c>
    </row>
    <row r="11950" spans="1:9" x14ac:dyDescent="0.25">
      <c r="A11950" t="str">
        <f t="shared" si="288"/>
        <v>89301000</v>
      </c>
      <c r="B11950" t="str">
        <f>"7503085337"</f>
        <v>7503085337</v>
      </c>
      <c r="C11950" s="1">
        <v>44981</v>
      </c>
      <c r="D11950" s="1">
        <v>44991</v>
      </c>
      <c r="E11950">
        <v>1</v>
      </c>
      <c r="F11950" t="str">
        <f>"05-K13-01"</f>
        <v>05-K13-01</v>
      </c>
      <c r="G11950">
        <v>1.1911</v>
      </c>
      <c r="H11950" t="s">
        <v>11</v>
      </c>
      <c r="I11950" t="s">
        <v>10</v>
      </c>
    </row>
    <row r="11951" spans="1:9" x14ac:dyDescent="0.25">
      <c r="A11951" t="str">
        <f t="shared" si="288"/>
        <v>89301000</v>
      </c>
      <c r="B11951" t="str">
        <f>"7503125322"</f>
        <v>7503125322</v>
      </c>
      <c r="C11951" s="1">
        <v>45180</v>
      </c>
      <c r="D11951" s="1">
        <v>45190</v>
      </c>
      <c r="E11951">
        <v>1</v>
      </c>
      <c r="F11951" t="str">
        <f>"20-K03-03"</f>
        <v>20-K03-03</v>
      </c>
      <c r="G11951">
        <v>0.94020000000000004</v>
      </c>
      <c r="H11951" t="s">
        <v>11</v>
      </c>
      <c r="I11951" t="s">
        <v>10</v>
      </c>
    </row>
    <row r="11952" spans="1:9" x14ac:dyDescent="0.25">
      <c r="A11952" t="str">
        <f t="shared" si="288"/>
        <v>89301000</v>
      </c>
      <c r="B11952" t="str">
        <f>"7503144396"</f>
        <v>7503144396</v>
      </c>
      <c r="C11952" s="1">
        <v>45276</v>
      </c>
      <c r="D11952" s="1">
        <v>45278</v>
      </c>
      <c r="E11952">
        <v>1</v>
      </c>
      <c r="F11952" t="str">
        <f>"02-K09-00"</f>
        <v>02-K09-00</v>
      </c>
      <c r="G11952">
        <v>0.49120000000000003</v>
      </c>
      <c r="H11952" t="s">
        <v>11</v>
      </c>
      <c r="I11952" t="s">
        <v>10</v>
      </c>
    </row>
    <row r="11953" spans="1:9" x14ac:dyDescent="0.25">
      <c r="A11953" t="str">
        <f t="shared" si="288"/>
        <v>89301000</v>
      </c>
      <c r="B11953" t="str">
        <f>"7503184249"</f>
        <v>7503184249</v>
      </c>
      <c r="C11953" s="1">
        <v>45239</v>
      </c>
      <c r="D11953" s="1">
        <v>45242</v>
      </c>
      <c r="E11953">
        <v>1</v>
      </c>
      <c r="F11953" t="str">
        <f>"06-I16-03"</f>
        <v>06-I16-03</v>
      </c>
      <c r="G11953">
        <v>0.83740000000000003</v>
      </c>
      <c r="H11953" t="s">
        <v>9</v>
      </c>
      <c r="I11953" t="s">
        <v>10</v>
      </c>
    </row>
    <row r="11954" spans="1:9" x14ac:dyDescent="0.25">
      <c r="A11954" t="str">
        <f t="shared" si="288"/>
        <v>89301000</v>
      </c>
      <c r="B11954" t="str">
        <f>"7503195524"</f>
        <v>7503195524</v>
      </c>
      <c r="C11954" s="1">
        <v>45279</v>
      </c>
      <c r="D11954" s="1">
        <v>45283</v>
      </c>
      <c r="E11954">
        <v>1</v>
      </c>
      <c r="F11954" t="str">
        <f>"01-I06-05"</f>
        <v>01-I06-05</v>
      </c>
      <c r="G11954">
        <v>2.6970999999999998</v>
      </c>
      <c r="H11954" t="s">
        <v>12</v>
      </c>
      <c r="I11954" t="s">
        <v>10</v>
      </c>
    </row>
    <row r="11955" spans="1:9" x14ac:dyDescent="0.25">
      <c r="A11955" t="str">
        <f t="shared" si="288"/>
        <v>89301000</v>
      </c>
      <c r="B11955" t="str">
        <f>"7503195766"</f>
        <v>7503195766</v>
      </c>
      <c r="C11955" s="1">
        <v>44966</v>
      </c>
      <c r="D11955" s="1">
        <v>44970</v>
      </c>
      <c r="E11955">
        <v>1</v>
      </c>
      <c r="F11955" t="str">
        <f>"10-K04-04"</f>
        <v>10-K04-04</v>
      </c>
      <c r="G11955">
        <v>0.53949999999999998</v>
      </c>
      <c r="H11955" t="s">
        <v>11</v>
      </c>
      <c r="I11955" t="s">
        <v>10</v>
      </c>
    </row>
    <row r="11956" spans="1:9" x14ac:dyDescent="0.25">
      <c r="A11956" t="str">
        <f t="shared" si="288"/>
        <v>89301000</v>
      </c>
      <c r="B11956" t="str">
        <f>"7503205765"</f>
        <v>7503205765</v>
      </c>
      <c r="C11956" s="1">
        <v>45279</v>
      </c>
      <c r="D11956" s="1">
        <v>45280</v>
      </c>
      <c r="E11956">
        <v>1</v>
      </c>
      <c r="F11956" t="str">
        <f>"01-D01-03"</f>
        <v>01-D01-03</v>
      </c>
      <c r="G11956">
        <v>0.16200000000000001</v>
      </c>
      <c r="H11956" t="s">
        <v>11</v>
      </c>
      <c r="I11956" t="s">
        <v>10</v>
      </c>
    </row>
    <row r="11957" spans="1:9" x14ac:dyDescent="0.25">
      <c r="A11957" t="str">
        <f t="shared" si="288"/>
        <v>89301000</v>
      </c>
      <c r="B11957" t="str">
        <f>"7503224124"</f>
        <v>7503224124</v>
      </c>
      <c r="C11957" s="1">
        <v>45166</v>
      </c>
      <c r="D11957" s="1">
        <v>45175</v>
      </c>
      <c r="E11957">
        <v>1</v>
      </c>
      <c r="F11957" t="str">
        <f>"18-K02-02"</f>
        <v>18-K02-02</v>
      </c>
      <c r="G11957">
        <v>1.3509</v>
      </c>
      <c r="H11957" t="s">
        <v>11</v>
      </c>
      <c r="I11957" t="s">
        <v>10</v>
      </c>
    </row>
    <row r="11958" spans="1:9" x14ac:dyDescent="0.25">
      <c r="A11958" t="str">
        <f t="shared" si="288"/>
        <v>89301000</v>
      </c>
      <c r="B11958" t="str">
        <f>"7503224124"</f>
        <v>7503224124</v>
      </c>
      <c r="C11958" s="1">
        <v>45107</v>
      </c>
      <c r="D11958" s="1">
        <v>45108</v>
      </c>
      <c r="E11958">
        <v>1</v>
      </c>
      <c r="F11958" t="str">
        <f>"03-K09-01"</f>
        <v>03-K09-01</v>
      </c>
      <c r="G11958">
        <v>0.58250000000000002</v>
      </c>
      <c r="H11958" t="s">
        <v>11</v>
      </c>
      <c r="I11958" t="s">
        <v>10</v>
      </c>
    </row>
    <row r="11959" spans="1:9" x14ac:dyDescent="0.25">
      <c r="A11959" t="str">
        <f t="shared" si="288"/>
        <v>89301000</v>
      </c>
      <c r="B11959" t="str">
        <f>"7503234475"</f>
        <v>7503234475</v>
      </c>
      <c r="C11959" s="1">
        <v>44965</v>
      </c>
      <c r="D11959" s="1">
        <v>44970</v>
      </c>
      <c r="E11959">
        <v>1</v>
      </c>
      <c r="F11959" t="str">
        <f>"01-K01-02"</f>
        <v>01-K01-02</v>
      </c>
      <c r="G11959">
        <v>0.442</v>
      </c>
      <c r="H11959" t="s">
        <v>11</v>
      </c>
      <c r="I11959" t="s">
        <v>10</v>
      </c>
    </row>
    <row r="11960" spans="1:9" x14ac:dyDescent="0.25">
      <c r="A11960" t="str">
        <f t="shared" si="288"/>
        <v>89301000</v>
      </c>
      <c r="B11960" t="str">
        <f>"7503234475"</f>
        <v>7503234475</v>
      </c>
      <c r="C11960" s="1">
        <v>44984</v>
      </c>
      <c r="D11960" s="1">
        <v>44987</v>
      </c>
      <c r="E11960">
        <v>1</v>
      </c>
      <c r="F11960" t="str">
        <f>"10-K12-03"</f>
        <v>10-K12-03</v>
      </c>
      <c r="G11960">
        <v>0.51359999999999995</v>
      </c>
      <c r="H11960" t="s">
        <v>11</v>
      </c>
      <c r="I11960" t="s">
        <v>10</v>
      </c>
    </row>
    <row r="11961" spans="1:9" x14ac:dyDescent="0.25">
      <c r="A11961" t="str">
        <f t="shared" si="288"/>
        <v>89301000</v>
      </c>
      <c r="B11961" t="str">
        <f>"7503234475"</f>
        <v>7503234475</v>
      </c>
      <c r="C11961" s="1">
        <v>45055</v>
      </c>
      <c r="D11961" s="1">
        <v>45059</v>
      </c>
      <c r="E11961">
        <v>1</v>
      </c>
      <c r="F11961" t="str">
        <f>"01-K01-02"</f>
        <v>01-K01-02</v>
      </c>
      <c r="G11961">
        <v>0.442</v>
      </c>
      <c r="H11961" t="s">
        <v>11</v>
      </c>
      <c r="I11961" t="s">
        <v>10</v>
      </c>
    </row>
    <row r="11962" spans="1:9" x14ac:dyDescent="0.25">
      <c r="A11962" t="str">
        <f t="shared" si="288"/>
        <v>89301000</v>
      </c>
      <c r="B11962" t="str">
        <f>"7503234475"</f>
        <v>7503234475</v>
      </c>
      <c r="C11962" s="1">
        <v>45152</v>
      </c>
      <c r="D11962" s="1">
        <v>45156</v>
      </c>
      <c r="E11962">
        <v>1</v>
      </c>
      <c r="F11962" t="str">
        <f>"01-K01-02"</f>
        <v>01-K01-02</v>
      </c>
      <c r="G11962">
        <v>0.442</v>
      </c>
      <c r="H11962" t="s">
        <v>11</v>
      </c>
      <c r="I11962" t="s">
        <v>10</v>
      </c>
    </row>
    <row r="11963" spans="1:9" x14ac:dyDescent="0.25">
      <c r="A11963" t="str">
        <f t="shared" si="288"/>
        <v>89301000</v>
      </c>
      <c r="B11963" t="str">
        <f>"7503234475"</f>
        <v>7503234475</v>
      </c>
      <c r="C11963" s="1">
        <v>45250</v>
      </c>
      <c r="D11963" s="1">
        <v>45254</v>
      </c>
      <c r="E11963">
        <v>1</v>
      </c>
      <c r="F11963" t="str">
        <f>"01-K01-02"</f>
        <v>01-K01-02</v>
      </c>
      <c r="G11963">
        <v>0.442</v>
      </c>
      <c r="H11963" t="s">
        <v>11</v>
      </c>
      <c r="I11963" t="s">
        <v>10</v>
      </c>
    </row>
    <row r="11964" spans="1:9" x14ac:dyDescent="0.25">
      <c r="A11964" t="str">
        <f t="shared" si="288"/>
        <v>89301000</v>
      </c>
      <c r="B11964" t="str">
        <f>"7503265374"</f>
        <v>7503265374</v>
      </c>
      <c r="C11964" s="1">
        <v>44965</v>
      </c>
      <c r="D11964" s="1">
        <v>44967</v>
      </c>
      <c r="E11964">
        <v>1</v>
      </c>
      <c r="F11964" t="str">
        <f>"01-D01-03"</f>
        <v>01-D01-03</v>
      </c>
      <c r="G11964">
        <v>0.16200000000000001</v>
      </c>
      <c r="H11964" t="s">
        <v>11</v>
      </c>
      <c r="I11964" t="s">
        <v>10</v>
      </c>
    </row>
    <row r="11965" spans="1:9" x14ac:dyDescent="0.25">
      <c r="A11965" t="str">
        <f t="shared" si="288"/>
        <v>89301000</v>
      </c>
      <c r="B11965" t="str">
        <f>"7503285317"</f>
        <v>7503285317</v>
      </c>
      <c r="C11965" s="1">
        <v>45200</v>
      </c>
      <c r="D11965" s="1">
        <v>45204</v>
      </c>
      <c r="E11965">
        <v>1</v>
      </c>
      <c r="F11965" t="str">
        <f>"01-K10-03"</f>
        <v>01-K10-03</v>
      </c>
      <c r="G11965">
        <v>1.0348999999999999</v>
      </c>
      <c r="H11965" t="s">
        <v>11</v>
      </c>
      <c r="I11965" t="s">
        <v>10</v>
      </c>
    </row>
    <row r="11966" spans="1:9" x14ac:dyDescent="0.25">
      <c r="A11966" t="str">
        <f t="shared" si="288"/>
        <v>89301000</v>
      </c>
      <c r="B11966" t="str">
        <f>"7503294458"</f>
        <v>7503294458</v>
      </c>
      <c r="C11966" s="1">
        <v>44937</v>
      </c>
      <c r="D11966" s="1">
        <v>44938</v>
      </c>
      <c r="E11966">
        <v>1</v>
      </c>
      <c r="F11966" t="str">
        <f>"11-M05-02"</f>
        <v>11-M05-02</v>
      </c>
      <c r="G11966">
        <v>0.6694</v>
      </c>
      <c r="H11966" t="s">
        <v>12</v>
      </c>
      <c r="I11966" t="s">
        <v>10</v>
      </c>
    </row>
    <row r="11967" spans="1:9" x14ac:dyDescent="0.25">
      <c r="A11967" t="str">
        <f t="shared" si="288"/>
        <v>89301000</v>
      </c>
      <c r="B11967" t="str">
        <f>"7504061422"</f>
        <v>7504061422</v>
      </c>
      <c r="C11967" s="1">
        <v>45118</v>
      </c>
      <c r="D11967" s="1">
        <v>45120</v>
      </c>
      <c r="E11967">
        <v>1</v>
      </c>
      <c r="F11967" t="str">
        <f>"06-I18-05"</f>
        <v>06-I18-05</v>
      </c>
      <c r="G11967">
        <v>0.82420000000000004</v>
      </c>
      <c r="H11967" t="s">
        <v>9</v>
      </c>
      <c r="I11967" t="s">
        <v>10</v>
      </c>
    </row>
    <row r="11968" spans="1:9" x14ac:dyDescent="0.25">
      <c r="A11968" t="str">
        <f t="shared" si="288"/>
        <v>89301000</v>
      </c>
      <c r="B11968" t="str">
        <f>"7504115685"</f>
        <v>7504115685</v>
      </c>
      <c r="C11968" s="1">
        <v>44928</v>
      </c>
      <c r="D11968" s="1">
        <v>44930</v>
      </c>
      <c r="E11968">
        <v>1</v>
      </c>
      <c r="F11968" t="str">
        <f>"07-M02-04"</f>
        <v>07-M02-04</v>
      </c>
      <c r="G11968">
        <v>0.91369999999999996</v>
      </c>
      <c r="H11968" t="s">
        <v>12</v>
      </c>
      <c r="I11968" t="s">
        <v>10</v>
      </c>
    </row>
    <row r="11969" spans="1:9" x14ac:dyDescent="0.25">
      <c r="A11969" t="str">
        <f t="shared" si="288"/>
        <v>89301000</v>
      </c>
      <c r="B11969" t="str">
        <f>"7504115685"</f>
        <v>7504115685</v>
      </c>
      <c r="C11969" s="1">
        <v>45117</v>
      </c>
      <c r="D11969" s="1">
        <v>45132</v>
      </c>
      <c r="E11969">
        <v>1</v>
      </c>
      <c r="F11969" t="str">
        <f>"07-M02-02"</f>
        <v>07-M02-02</v>
      </c>
      <c r="G11969">
        <v>2.0733000000000001</v>
      </c>
      <c r="H11969" t="s">
        <v>12</v>
      </c>
      <c r="I11969" t="s">
        <v>10</v>
      </c>
    </row>
    <row r="11970" spans="1:9" x14ac:dyDescent="0.25">
      <c r="A11970" t="str">
        <f t="shared" si="288"/>
        <v>89301000</v>
      </c>
      <c r="B11970" t="str">
        <f>"7504115685"</f>
        <v>7504115685</v>
      </c>
      <c r="C11970" s="1">
        <v>45186</v>
      </c>
      <c r="D11970" s="1">
        <v>45199</v>
      </c>
      <c r="E11970">
        <v>1</v>
      </c>
      <c r="F11970" t="str">
        <f>"07-I08-02"</f>
        <v>07-I08-02</v>
      </c>
      <c r="G11970">
        <v>3.4337</v>
      </c>
      <c r="H11970" t="s">
        <v>12</v>
      </c>
      <c r="I11970" t="s">
        <v>10</v>
      </c>
    </row>
    <row r="11971" spans="1:9" x14ac:dyDescent="0.25">
      <c r="A11971" t="str">
        <f t="shared" si="288"/>
        <v>89301000</v>
      </c>
      <c r="B11971" t="str">
        <f>"7504115685"</f>
        <v>7504115685</v>
      </c>
      <c r="C11971" s="1">
        <v>45037</v>
      </c>
      <c r="D11971" s="1">
        <v>45060</v>
      </c>
      <c r="E11971">
        <v>1</v>
      </c>
      <c r="F11971" t="str">
        <f>"07-M02-04"</f>
        <v>07-M02-04</v>
      </c>
      <c r="G11971">
        <v>1.7626999999999999</v>
      </c>
      <c r="H11971" t="s">
        <v>12</v>
      </c>
      <c r="I11971" t="s">
        <v>10</v>
      </c>
    </row>
    <row r="11972" spans="1:9" x14ac:dyDescent="0.25">
      <c r="A11972" t="str">
        <f t="shared" si="288"/>
        <v>89301000</v>
      </c>
      <c r="B11972" t="str">
        <f>"7504115685"</f>
        <v>7504115685</v>
      </c>
      <c r="C11972" s="1">
        <v>45083</v>
      </c>
      <c r="D11972" s="1">
        <v>45098</v>
      </c>
      <c r="E11972">
        <v>1</v>
      </c>
      <c r="F11972" t="str">
        <f>"18-I01-02"</f>
        <v>18-I01-02</v>
      </c>
      <c r="G11972">
        <v>3.9693000000000001</v>
      </c>
      <c r="H11972" t="s">
        <v>11</v>
      </c>
      <c r="I11972" t="s">
        <v>10</v>
      </c>
    </row>
    <row r="11973" spans="1:9" x14ac:dyDescent="0.25">
      <c r="A11973" t="str">
        <f t="shared" si="288"/>
        <v>89301000</v>
      </c>
      <c r="B11973" t="str">
        <f>"7504124474"</f>
        <v>7504124474</v>
      </c>
      <c r="C11973" s="1">
        <v>44980</v>
      </c>
      <c r="D11973" s="1">
        <v>44985</v>
      </c>
      <c r="E11973">
        <v>5</v>
      </c>
      <c r="F11973" t="str">
        <f>"08-K11-01"</f>
        <v>08-K11-01</v>
      </c>
      <c r="G11973">
        <v>1.2519</v>
      </c>
      <c r="H11973" t="s">
        <v>11</v>
      </c>
      <c r="I11973" t="s">
        <v>10</v>
      </c>
    </row>
    <row r="11974" spans="1:9" x14ac:dyDescent="0.25">
      <c r="A11974" t="str">
        <f t="shared" si="288"/>
        <v>89301000</v>
      </c>
      <c r="B11974" t="str">
        <f>"7504124474"</f>
        <v>7504124474</v>
      </c>
      <c r="C11974" s="1">
        <v>44993</v>
      </c>
      <c r="D11974" s="1">
        <v>44998</v>
      </c>
      <c r="E11974">
        <v>1</v>
      </c>
      <c r="F11974" t="str">
        <f>"25-I02-02"</f>
        <v>25-I02-02</v>
      </c>
      <c r="G11974">
        <v>6.5805999999999996</v>
      </c>
      <c r="H11974" t="s">
        <v>14</v>
      </c>
      <c r="I11974" t="s">
        <v>10</v>
      </c>
    </row>
    <row r="11975" spans="1:9" x14ac:dyDescent="0.25">
      <c r="A11975" t="str">
        <f t="shared" si="288"/>
        <v>89301000</v>
      </c>
      <c r="B11975" t="str">
        <f>"7505124187"</f>
        <v>7505124187</v>
      </c>
      <c r="C11975" s="1">
        <v>44993</v>
      </c>
      <c r="D11975" s="1">
        <v>44994</v>
      </c>
      <c r="E11975">
        <v>1</v>
      </c>
      <c r="F11975" t="str">
        <f>"01-D01-03"</f>
        <v>01-D01-03</v>
      </c>
      <c r="G11975">
        <v>0.16200000000000001</v>
      </c>
      <c r="H11975" t="s">
        <v>11</v>
      </c>
      <c r="I11975" t="s">
        <v>10</v>
      </c>
    </row>
    <row r="11976" spans="1:9" x14ac:dyDescent="0.25">
      <c r="A11976" t="str">
        <f t="shared" si="288"/>
        <v>89301000</v>
      </c>
      <c r="B11976" t="str">
        <f>"7505155350"</f>
        <v>7505155350</v>
      </c>
      <c r="C11976" s="1">
        <v>45243</v>
      </c>
      <c r="D11976" s="1">
        <v>45246</v>
      </c>
      <c r="E11976">
        <v>1</v>
      </c>
      <c r="F11976" t="str">
        <f>"05-D01-08"</f>
        <v>05-D01-08</v>
      </c>
      <c r="G11976">
        <v>0.43159999999999998</v>
      </c>
      <c r="H11976" t="s">
        <v>11</v>
      </c>
      <c r="I11976" t="s">
        <v>10</v>
      </c>
    </row>
    <row r="11977" spans="1:9" x14ac:dyDescent="0.25">
      <c r="A11977" t="str">
        <f t="shared" si="288"/>
        <v>89301000</v>
      </c>
      <c r="B11977" t="str">
        <f>"7505224276"</f>
        <v>7505224276</v>
      </c>
      <c r="C11977" s="1">
        <v>45199</v>
      </c>
      <c r="D11977" s="1">
        <v>45210</v>
      </c>
      <c r="E11977">
        <v>4</v>
      </c>
      <c r="F11977" t="str">
        <f>"11-K02-01"</f>
        <v>11-K02-01</v>
      </c>
      <c r="G11977">
        <v>3.2932999999999999</v>
      </c>
      <c r="H11977" t="s">
        <v>11</v>
      </c>
      <c r="I11977" t="s">
        <v>10</v>
      </c>
    </row>
    <row r="11978" spans="1:9" x14ac:dyDescent="0.25">
      <c r="A11978" t="str">
        <f t="shared" si="288"/>
        <v>89301000</v>
      </c>
      <c r="B11978" t="str">
        <f>"7505224276"</f>
        <v>7505224276</v>
      </c>
      <c r="C11978" s="1">
        <v>44987</v>
      </c>
      <c r="D11978" s="1">
        <v>44993</v>
      </c>
      <c r="E11978">
        <v>1</v>
      </c>
      <c r="F11978" t="str">
        <f>"07-K04-03"</f>
        <v>07-K04-03</v>
      </c>
      <c r="G11978">
        <v>0.98650000000000004</v>
      </c>
      <c r="H11978" t="s">
        <v>11</v>
      </c>
      <c r="I11978" t="s">
        <v>10</v>
      </c>
    </row>
    <row r="11979" spans="1:9" x14ac:dyDescent="0.25">
      <c r="A11979" t="str">
        <f t="shared" si="288"/>
        <v>89301000</v>
      </c>
      <c r="B11979" t="str">
        <f>"7505224276"</f>
        <v>7505224276</v>
      </c>
      <c r="C11979" s="1">
        <v>45180</v>
      </c>
      <c r="D11979" s="1">
        <v>45191</v>
      </c>
      <c r="E11979">
        <v>4</v>
      </c>
      <c r="F11979" t="str">
        <f>"07-M02-02"</f>
        <v>07-M02-02</v>
      </c>
      <c r="G11979">
        <v>2.0733000000000001</v>
      </c>
      <c r="H11979" t="s">
        <v>12</v>
      </c>
      <c r="I11979" t="s">
        <v>10</v>
      </c>
    </row>
    <row r="11980" spans="1:9" x14ac:dyDescent="0.25">
      <c r="A11980" t="str">
        <f t="shared" si="288"/>
        <v>89301000</v>
      </c>
      <c r="B11980" t="str">
        <f>"7505245682"</f>
        <v>7505245682</v>
      </c>
      <c r="C11980" s="1">
        <v>45202</v>
      </c>
      <c r="D11980" s="1">
        <v>45204</v>
      </c>
      <c r="E11980">
        <v>1</v>
      </c>
      <c r="F11980" t="str">
        <f>"06-K11-00"</f>
        <v>06-K11-00</v>
      </c>
      <c r="G11980">
        <v>0.34639999999999999</v>
      </c>
      <c r="H11980" t="s">
        <v>11</v>
      </c>
      <c r="I11980" t="s">
        <v>10</v>
      </c>
    </row>
    <row r="11981" spans="1:9" x14ac:dyDescent="0.25">
      <c r="A11981" t="str">
        <f t="shared" si="288"/>
        <v>89301000</v>
      </c>
      <c r="B11981" t="str">
        <f>"7505294467"</f>
        <v>7505294467</v>
      </c>
      <c r="C11981" s="1">
        <v>45001</v>
      </c>
      <c r="D11981" s="1">
        <v>45002</v>
      </c>
      <c r="E11981">
        <v>1</v>
      </c>
      <c r="F11981" t="str">
        <f>"03-K13-02"</f>
        <v>03-K13-02</v>
      </c>
      <c r="G11981">
        <v>0.24440000000000001</v>
      </c>
      <c r="H11981" t="s">
        <v>11</v>
      </c>
      <c r="I11981" t="s">
        <v>10</v>
      </c>
    </row>
    <row r="11982" spans="1:9" x14ac:dyDescent="0.25">
      <c r="A11982" t="str">
        <f t="shared" si="288"/>
        <v>89301000</v>
      </c>
      <c r="B11982" t="str">
        <f>"7506035350"</f>
        <v>7506035350</v>
      </c>
      <c r="C11982" s="1">
        <v>44932</v>
      </c>
      <c r="D11982" s="1">
        <v>44935</v>
      </c>
      <c r="E11982">
        <v>1</v>
      </c>
      <c r="F11982" t="str">
        <f>"03-K06-01"</f>
        <v>03-K06-01</v>
      </c>
      <c r="G11982">
        <v>0.4713</v>
      </c>
      <c r="H11982" t="s">
        <v>11</v>
      </c>
      <c r="I11982" t="s">
        <v>10</v>
      </c>
    </row>
    <row r="11983" spans="1:9" x14ac:dyDescent="0.25">
      <c r="A11983" t="str">
        <f t="shared" si="288"/>
        <v>89301000</v>
      </c>
      <c r="B11983" t="str">
        <f>"7506045745"</f>
        <v>7506045745</v>
      </c>
      <c r="C11983" s="1">
        <v>45044</v>
      </c>
      <c r="D11983" s="1">
        <v>45047</v>
      </c>
      <c r="E11983">
        <v>1</v>
      </c>
      <c r="F11983" t="str">
        <f>"10-K15-02"</f>
        <v>10-K15-02</v>
      </c>
      <c r="G11983">
        <v>0.66379999999999995</v>
      </c>
      <c r="H11983" t="s">
        <v>11</v>
      </c>
      <c r="I11983" t="s">
        <v>10</v>
      </c>
    </row>
    <row r="11984" spans="1:9" x14ac:dyDescent="0.25">
      <c r="A11984" t="str">
        <f t="shared" si="288"/>
        <v>89301000</v>
      </c>
      <c r="B11984" t="str">
        <f>"7506055766"</f>
        <v>7506055766</v>
      </c>
      <c r="C11984" s="1">
        <v>45142</v>
      </c>
      <c r="D11984" s="1">
        <v>45144</v>
      </c>
      <c r="E11984">
        <v>1</v>
      </c>
      <c r="F11984" t="str">
        <f>"01-K16-06"</f>
        <v>01-K16-06</v>
      </c>
      <c r="G11984">
        <v>0.2727</v>
      </c>
      <c r="H11984" t="s">
        <v>11</v>
      </c>
      <c r="I11984" t="s">
        <v>10</v>
      </c>
    </row>
    <row r="11985" spans="1:9" x14ac:dyDescent="0.25">
      <c r="A11985" t="str">
        <f t="shared" si="288"/>
        <v>89301000</v>
      </c>
      <c r="B11985" t="str">
        <f>"7506095201"</f>
        <v>7506095201</v>
      </c>
      <c r="C11985" s="1">
        <v>45239</v>
      </c>
      <c r="D11985" s="1">
        <v>45241</v>
      </c>
      <c r="E11985">
        <v>1</v>
      </c>
      <c r="F11985" t="str">
        <f>"08-I16-04"</f>
        <v>08-I16-04</v>
      </c>
      <c r="G11985">
        <v>0.83040000000000003</v>
      </c>
      <c r="H11985" t="s">
        <v>12</v>
      </c>
      <c r="I11985" t="s">
        <v>10</v>
      </c>
    </row>
    <row r="11986" spans="1:9" x14ac:dyDescent="0.25">
      <c r="A11986" t="str">
        <f t="shared" si="288"/>
        <v>89301000</v>
      </c>
      <c r="B11986" t="str">
        <f>"7506095322"</f>
        <v>7506095322</v>
      </c>
      <c r="C11986" s="1">
        <v>45132</v>
      </c>
      <c r="D11986" s="1">
        <v>45137</v>
      </c>
      <c r="E11986">
        <v>1</v>
      </c>
      <c r="F11986" t="str">
        <f>"11-I07-01"</f>
        <v>11-I07-01</v>
      </c>
      <c r="G11986">
        <v>2.7482000000000002</v>
      </c>
      <c r="H11986" t="s">
        <v>9</v>
      </c>
      <c r="I11986" t="s">
        <v>10</v>
      </c>
    </row>
    <row r="11987" spans="1:9" x14ac:dyDescent="0.25">
      <c r="A11987" t="str">
        <f t="shared" si="288"/>
        <v>89301000</v>
      </c>
      <c r="B11987" t="str">
        <f>"7506155305"</f>
        <v>7506155305</v>
      </c>
      <c r="C11987" s="1">
        <v>44970</v>
      </c>
      <c r="D11987" s="1">
        <v>44971</v>
      </c>
      <c r="E11987">
        <v>1</v>
      </c>
      <c r="F11987" t="str">
        <f>"05-I30-02"</f>
        <v>05-I30-02</v>
      </c>
      <c r="G11987">
        <v>0.41699999999999998</v>
      </c>
      <c r="H11987" t="s">
        <v>12</v>
      </c>
      <c r="I11987" t="s">
        <v>10</v>
      </c>
    </row>
    <row r="11988" spans="1:9" x14ac:dyDescent="0.25">
      <c r="A11988" t="str">
        <f t="shared" si="288"/>
        <v>89301000</v>
      </c>
      <c r="B11988" t="str">
        <f>"7506165337"</f>
        <v>7506165337</v>
      </c>
      <c r="C11988" s="1">
        <v>45049</v>
      </c>
      <c r="D11988" s="1">
        <v>45051</v>
      </c>
      <c r="E11988">
        <v>1</v>
      </c>
      <c r="F11988" t="str">
        <f>"08-K03-02"</f>
        <v>08-K03-02</v>
      </c>
      <c r="G11988">
        <v>0.93459999999999999</v>
      </c>
      <c r="H11988" t="s">
        <v>11</v>
      </c>
      <c r="I11988" t="s">
        <v>10</v>
      </c>
    </row>
    <row r="11989" spans="1:9" x14ac:dyDescent="0.25">
      <c r="A11989" t="str">
        <f t="shared" si="288"/>
        <v>89301000</v>
      </c>
      <c r="B11989" t="str">
        <f>"7506194850"</f>
        <v>7506194850</v>
      </c>
      <c r="C11989" s="1">
        <v>45071</v>
      </c>
      <c r="D11989" s="1">
        <v>45075</v>
      </c>
      <c r="E11989">
        <v>1</v>
      </c>
      <c r="F11989" t="str">
        <f>"07-K04-03"</f>
        <v>07-K04-03</v>
      </c>
      <c r="G11989">
        <v>1.1536999999999999</v>
      </c>
      <c r="H11989" t="s">
        <v>11</v>
      </c>
      <c r="I11989" t="s">
        <v>10</v>
      </c>
    </row>
    <row r="11990" spans="1:9" x14ac:dyDescent="0.25">
      <c r="A11990" t="str">
        <f t="shared" si="288"/>
        <v>89301000</v>
      </c>
      <c r="B11990" t="str">
        <f>"7506225353"</f>
        <v>7506225353</v>
      </c>
      <c r="C11990" s="1">
        <v>44948</v>
      </c>
      <c r="D11990" s="1">
        <v>44951</v>
      </c>
      <c r="E11990">
        <v>1</v>
      </c>
      <c r="F11990" t="str">
        <f>"08-M03-04"</f>
        <v>08-M03-04</v>
      </c>
      <c r="G11990">
        <v>0.87760000000000005</v>
      </c>
      <c r="H11990" t="s">
        <v>11</v>
      </c>
      <c r="I11990" t="s">
        <v>10</v>
      </c>
    </row>
    <row r="11991" spans="1:9" x14ac:dyDescent="0.25">
      <c r="A11991" t="str">
        <f t="shared" si="288"/>
        <v>89301000</v>
      </c>
      <c r="B11991" t="str">
        <f>"7506255636"</f>
        <v>7506255636</v>
      </c>
      <c r="C11991" s="1">
        <v>45236</v>
      </c>
      <c r="D11991" s="1">
        <v>45240</v>
      </c>
      <c r="E11991">
        <v>1</v>
      </c>
      <c r="F11991" t="str">
        <f>"04-K07-03"</f>
        <v>04-K07-03</v>
      </c>
      <c r="G11991">
        <v>0.61119999999999997</v>
      </c>
      <c r="H11991" t="s">
        <v>11</v>
      </c>
      <c r="I11991" t="s">
        <v>10</v>
      </c>
    </row>
    <row r="11992" spans="1:9" x14ac:dyDescent="0.25">
      <c r="A11992" t="str">
        <f t="shared" si="288"/>
        <v>89301000</v>
      </c>
      <c r="B11992" t="str">
        <f>"7506255636"</f>
        <v>7506255636</v>
      </c>
      <c r="C11992" s="1">
        <v>45001</v>
      </c>
      <c r="D11992" s="1">
        <v>45006</v>
      </c>
      <c r="E11992">
        <v>1</v>
      </c>
      <c r="F11992" t="str">
        <f>"04-M02-03"</f>
        <v>04-M02-03</v>
      </c>
      <c r="G11992">
        <v>1.4337</v>
      </c>
      <c r="H11992" t="s">
        <v>11</v>
      </c>
      <c r="I11992" t="s">
        <v>10</v>
      </c>
    </row>
    <row r="11993" spans="1:9" x14ac:dyDescent="0.25">
      <c r="A11993" t="str">
        <f t="shared" si="288"/>
        <v>89301000</v>
      </c>
      <c r="B11993" t="str">
        <f>"7506255636"</f>
        <v>7506255636</v>
      </c>
      <c r="C11993" s="1">
        <v>44937</v>
      </c>
      <c r="D11993" s="1">
        <v>44942</v>
      </c>
      <c r="E11993">
        <v>1</v>
      </c>
      <c r="F11993" t="str">
        <f>"11-K03-02"</f>
        <v>11-K03-02</v>
      </c>
      <c r="G11993">
        <v>0.622</v>
      </c>
      <c r="H11993" t="s">
        <v>11</v>
      </c>
      <c r="I11993" t="s">
        <v>10</v>
      </c>
    </row>
    <row r="11994" spans="1:9" x14ac:dyDescent="0.25">
      <c r="A11994" t="str">
        <f t="shared" si="288"/>
        <v>89301000</v>
      </c>
      <c r="B11994" t="str">
        <f>"7506255636"</f>
        <v>7506255636</v>
      </c>
      <c r="C11994" s="1">
        <v>44957</v>
      </c>
      <c r="D11994" s="1">
        <v>44959</v>
      </c>
      <c r="E11994">
        <v>1</v>
      </c>
      <c r="F11994" t="str">
        <f>"04-K07-03"</f>
        <v>04-K07-03</v>
      </c>
      <c r="G11994">
        <v>0.63949999999999996</v>
      </c>
      <c r="H11994" t="s">
        <v>11</v>
      </c>
      <c r="I11994" t="s">
        <v>10</v>
      </c>
    </row>
    <row r="11995" spans="1:9" x14ac:dyDescent="0.25">
      <c r="A11995" t="str">
        <f t="shared" si="288"/>
        <v>89301000</v>
      </c>
      <c r="B11995" t="str">
        <f>"7506285358"</f>
        <v>7506285358</v>
      </c>
      <c r="C11995" s="1">
        <v>45004</v>
      </c>
      <c r="D11995" s="1">
        <v>45013</v>
      </c>
      <c r="E11995">
        <v>4</v>
      </c>
      <c r="F11995" t="str">
        <f>"08-I05-04"</f>
        <v>08-I05-04</v>
      </c>
      <c r="G11995">
        <v>2.4445000000000001</v>
      </c>
      <c r="H11995" t="s">
        <v>12</v>
      </c>
      <c r="I11995" t="s">
        <v>10</v>
      </c>
    </row>
    <row r="11996" spans="1:9" x14ac:dyDescent="0.25">
      <c r="A11996" t="str">
        <f t="shared" si="288"/>
        <v>89301000</v>
      </c>
      <c r="B11996" t="str">
        <f>"7507025823"</f>
        <v>7507025823</v>
      </c>
      <c r="C11996" s="1">
        <v>45176</v>
      </c>
      <c r="D11996" s="1">
        <v>45178</v>
      </c>
      <c r="E11996">
        <v>1</v>
      </c>
      <c r="F11996" t="str">
        <f>"08-M03-05"</f>
        <v>08-M03-05</v>
      </c>
      <c r="G11996">
        <v>0.46910000000000002</v>
      </c>
      <c r="H11996" t="s">
        <v>11</v>
      </c>
      <c r="I11996" t="s">
        <v>10</v>
      </c>
    </row>
    <row r="11997" spans="1:9" x14ac:dyDescent="0.25">
      <c r="A11997" t="str">
        <f t="shared" si="288"/>
        <v>89301000</v>
      </c>
      <c r="B11997" t="str">
        <f>"7507035305"</f>
        <v>7507035305</v>
      </c>
      <c r="C11997" s="1">
        <v>45229</v>
      </c>
      <c r="D11997" s="1">
        <v>45268</v>
      </c>
      <c r="E11997">
        <v>1</v>
      </c>
      <c r="F11997" t="str">
        <f>"06-M01-04"</f>
        <v>06-M01-04</v>
      </c>
      <c r="G11997">
        <v>2.8332999999999999</v>
      </c>
      <c r="H11997" t="s">
        <v>11</v>
      </c>
      <c r="I11997" t="s">
        <v>10</v>
      </c>
    </row>
    <row r="11998" spans="1:9" x14ac:dyDescent="0.25">
      <c r="A11998" t="str">
        <f t="shared" si="288"/>
        <v>89301000</v>
      </c>
      <c r="B11998" t="str">
        <f>"7507124515"</f>
        <v>7507124515</v>
      </c>
      <c r="C11998" s="1">
        <v>45270</v>
      </c>
      <c r="D11998" s="1">
        <v>45271</v>
      </c>
      <c r="E11998">
        <v>5</v>
      </c>
      <c r="F11998" t="str">
        <f>"01-I08-04"</f>
        <v>01-I08-04</v>
      </c>
      <c r="G11998">
        <v>0.99519999999999997</v>
      </c>
      <c r="H11998" t="s">
        <v>14</v>
      </c>
      <c r="I11998" t="s">
        <v>10</v>
      </c>
    </row>
    <row r="11999" spans="1:9" x14ac:dyDescent="0.25">
      <c r="A11999" t="str">
        <f t="shared" ref="A11999:A12062" si="289">"89301000"</f>
        <v>89301000</v>
      </c>
      <c r="B11999" t="str">
        <f>"7507205761"</f>
        <v>7507205761</v>
      </c>
      <c r="C11999" s="1">
        <v>45002</v>
      </c>
      <c r="D11999" s="1">
        <v>45005</v>
      </c>
      <c r="E11999">
        <v>1</v>
      </c>
      <c r="F11999" t="str">
        <f>"01-D01-03"</f>
        <v>01-D01-03</v>
      </c>
      <c r="G11999">
        <v>0.21060000000000001</v>
      </c>
      <c r="H11999" t="s">
        <v>11</v>
      </c>
      <c r="I11999" t="s">
        <v>10</v>
      </c>
    </row>
    <row r="12000" spans="1:9" x14ac:dyDescent="0.25">
      <c r="A12000" t="str">
        <f t="shared" si="289"/>
        <v>89301000</v>
      </c>
      <c r="B12000" t="str">
        <f>"7507265766"</f>
        <v>7507265766</v>
      </c>
      <c r="C12000" s="1">
        <v>45127</v>
      </c>
      <c r="D12000" s="1">
        <v>45129</v>
      </c>
      <c r="E12000">
        <v>1</v>
      </c>
      <c r="F12000" t="str">
        <f>"05-M07-06"</f>
        <v>05-M07-06</v>
      </c>
      <c r="G12000">
        <v>1.2264999999999999</v>
      </c>
      <c r="H12000" t="s">
        <v>12</v>
      </c>
      <c r="I12000" t="s">
        <v>10</v>
      </c>
    </row>
    <row r="12001" spans="1:9" x14ac:dyDescent="0.25">
      <c r="A12001" t="str">
        <f t="shared" si="289"/>
        <v>89301000</v>
      </c>
      <c r="B12001" t="str">
        <f>"7508095331"</f>
        <v>7508095331</v>
      </c>
      <c r="C12001" s="1">
        <v>44980</v>
      </c>
      <c r="D12001" s="1">
        <v>44983</v>
      </c>
      <c r="E12001">
        <v>1</v>
      </c>
      <c r="F12001" t="str">
        <f>"07-I10-06"</f>
        <v>07-I10-06</v>
      </c>
      <c r="G12001">
        <v>0.98419999999999996</v>
      </c>
      <c r="H12001" t="s">
        <v>12</v>
      </c>
      <c r="I12001" t="s">
        <v>10</v>
      </c>
    </row>
    <row r="12002" spans="1:9" x14ac:dyDescent="0.25">
      <c r="A12002" t="str">
        <f t="shared" si="289"/>
        <v>89301000</v>
      </c>
      <c r="B12002" t="str">
        <f>"7508095705"</f>
        <v>7508095705</v>
      </c>
      <c r="C12002" s="1">
        <v>45125</v>
      </c>
      <c r="D12002" s="1">
        <v>45128</v>
      </c>
      <c r="E12002">
        <v>1</v>
      </c>
      <c r="F12002" t="str">
        <f>"01-K10-03"</f>
        <v>01-K10-03</v>
      </c>
      <c r="G12002">
        <v>1.0348999999999999</v>
      </c>
      <c r="H12002" t="s">
        <v>11</v>
      </c>
      <c r="I12002" t="s">
        <v>10</v>
      </c>
    </row>
    <row r="12003" spans="1:9" x14ac:dyDescent="0.25">
      <c r="A12003" t="str">
        <f t="shared" si="289"/>
        <v>89301000</v>
      </c>
      <c r="B12003" t="str">
        <f>"7508115351"</f>
        <v>7508115351</v>
      </c>
      <c r="C12003" s="1">
        <v>45158</v>
      </c>
      <c r="D12003" s="1">
        <v>45158</v>
      </c>
      <c r="E12003">
        <v>1</v>
      </c>
      <c r="F12003" t="str">
        <f>"08-K11-02"</f>
        <v>08-K11-02</v>
      </c>
      <c r="G12003">
        <v>0.28520000000000001</v>
      </c>
      <c r="H12003" t="s">
        <v>11</v>
      </c>
      <c r="I12003" t="s">
        <v>10</v>
      </c>
    </row>
    <row r="12004" spans="1:9" x14ac:dyDescent="0.25">
      <c r="A12004" t="str">
        <f t="shared" si="289"/>
        <v>89301000</v>
      </c>
      <c r="B12004" t="str">
        <f>"7508135756"</f>
        <v>7508135756</v>
      </c>
      <c r="C12004" s="1">
        <v>45275</v>
      </c>
      <c r="D12004" s="1">
        <v>45278</v>
      </c>
      <c r="E12004">
        <v>1</v>
      </c>
      <c r="F12004" t="str">
        <f>"01-D01-03"</f>
        <v>01-D01-03</v>
      </c>
      <c r="G12004">
        <v>0.21060000000000001</v>
      </c>
      <c r="H12004" t="s">
        <v>11</v>
      </c>
      <c r="I12004" t="s">
        <v>10</v>
      </c>
    </row>
    <row r="12005" spans="1:9" x14ac:dyDescent="0.25">
      <c r="A12005" t="str">
        <f t="shared" si="289"/>
        <v>89301000</v>
      </c>
      <c r="B12005" t="str">
        <f>"7508135756"</f>
        <v>7508135756</v>
      </c>
      <c r="C12005" s="1">
        <v>45201</v>
      </c>
      <c r="D12005" s="1">
        <v>45202</v>
      </c>
      <c r="E12005">
        <v>1</v>
      </c>
      <c r="F12005" t="str">
        <f>"01-D01-03"</f>
        <v>01-D01-03</v>
      </c>
      <c r="G12005">
        <v>0.16200000000000001</v>
      </c>
      <c r="H12005" t="s">
        <v>11</v>
      </c>
      <c r="I12005" t="s">
        <v>10</v>
      </c>
    </row>
    <row r="12006" spans="1:9" x14ac:dyDescent="0.25">
      <c r="A12006" t="str">
        <f t="shared" si="289"/>
        <v>89301000</v>
      </c>
      <c r="B12006" t="str">
        <f>"7508135778"</f>
        <v>7508135778</v>
      </c>
      <c r="C12006" s="1">
        <v>45099</v>
      </c>
      <c r="D12006" s="1">
        <v>45100</v>
      </c>
      <c r="E12006">
        <v>1</v>
      </c>
      <c r="F12006" t="str">
        <f>"01-D01-03"</f>
        <v>01-D01-03</v>
      </c>
      <c r="G12006">
        <v>0.16200000000000001</v>
      </c>
      <c r="H12006" t="s">
        <v>11</v>
      </c>
      <c r="I12006" t="s">
        <v>10</v>
      </c>
    </row>
    <row r="12007" spans="1:9" x14ac:dyDescent="0.25">
      <c r="A12007" t="str">
        <f t="shared" si="289"/>
        <v>89301000</v>
      </c>
      <c r="B12007" t="str">
        <f>"7508315309"</f>
        <v>7508315309</v>
      </c>
      <c r="C12007" s="1">
        <v>44963</v>
      </c>
      <c r="D12007" s="1">
        <v>44964</v>
      </c>
      <c r="E12007">
        <v>1</v>
      </c>
      <c r="F12007" t="str">
        <f>"01-D01-03"</f>
        <v>01-D01-03</v>
      </c>
      <c r="G12007">
        <v>0.16200000000000001</v>
      </c>
      <c r="H12007" t="s">
        <v>11</v>
      </c>
      <c r="I12007" t="s">
        <v>10</v>
      </c>
    </row>
    <row r="12008" spans="1:9" x14ac:dyDescent="0.25">
      <c r="A12008" t="str">
        <f t="shared" si="289"/>
        <v>89301000</v>
      </c>
      <c r="B12008" t="str">
        <f>"7508315309"</f>
        <v>7508315309</v>
      </c>
      <c r="C12008" s="1">
        <v>45016</v>
      </c>
      <c r="D12008" s="1">
        <v>45019</v>
      </c>
      <c r="E12008">
        <v>1</v>
      </c>
      <c r="F12008" t="str">
        <f>"01-D01-03"</f>
        <v>01-D01-03</v>
      </c>
      <c r="G12008">
        <v>0.21060000000000001</v>
      </c>
      <c r="H12008" t="s">
        <v>11</v>
      </c>
      <c r="I12008" t="s">
        <v>10</v>
      </c>
    </row>
    <row r="12009" spans="1:9" x14ac:dyDescent="0.25">
      <c r="A12009" t="str">
        <f t="shared" si="289"/>
        <v>89301000</v>
      </c>
      <c r="B12009" t="str">
        <f>"7509025755"</f>
        <v>7509025755</v>
      </c>
      <c r="C12009" s="1">
        <v>45218</v>
      </c>
      <c r="D12009" s="1">
        <v>45221</v>
      </c>
      <c r="E12009">
        <v>1</v>
      </c>
      <c r="F12009" t="str">
        <f>"08-I22-02"</f>
        <v>08-I22-02</v>
      </c>
      <c r="G12009">
        <v>1.131</v>
      </c>
      <c r="H12009" t="s">
        <v>12</v>
      </c>
      <c r="I12009" t="s">
        <v>10</v>
      </c>
    </row>
    <row r="12010" spans="1:9" x14ac:dyDescent="0.25">
      <c r="A12010" t="str">
        <f t="shared" si="289"/>
        <v>89301000</v>
      </c>
      <c r="B12010" t="str">
        <f>"7509105802"</f>
        <v>7509105802</v>
      </c>
      <c r="C12010" s="1">
        <v>45048</v>
      </c>
      <c r="D12010" s="1">
        <v>45050</v>
      </c>
      <c r="E12010">
        <v>1</v>
      </c>
      <c r="F12010" t="str">
        <f>"01-D01-03"</f>
        <v>01-D01-03</v>
      </c>
      <c r="G12010">
        <v>0.16200000000000001</v>
      </c>
      <c r="H12010" t="s">
        <v>11</v>
      </c>
      <c r="I12010" t="s">
        <v>10</v>
      </c>
    </row>
    <row r="12011" spans="1:9" x14ac:dyDescent="0.25">
      <c r="A12011" t="str">
        <f t="shared" si="289"/>
        <v>89301000</v>
      </c>
      <c r="B12011" t="str">
        <f>"7509114514"</f>
        <v>7509114514</v>
      </c>
      <c r="C12011" s="1">
        <v>45007</v>
      </c>
      <c r="D12011" s="1">
        <v>45008</v>
      </c>
      <c r="E12011">
        <v>1</v>
      </c>
      <c r="F12011" t="str">
        <f>"05-M03-00"</f>
        <v>05-M03-00</v>
      </c>
      <c r="G12011">
        <v>3.4253999999999998</v>
      </c>
      <c r="H12011" t="s">
        <v>14</v>
      </c>
      <c r="I12011" t="s">
        <v>10</v>
      </c>
    </row>
    <row r="12012" spans="1:9" x14ac:dyDescent="0.25">
      <c r="A12012" t="str">
        <f t="shared" si="289"/>
        <v>89301000</v>
      </c>
      <c r="B12012" t="str">
        <f>"7509145424"</f>
        <v>7509145424</v>
      </c>
      <c r="C12012" s="1">
        <v>45266</v>
      </c>
      <c r="D12012" s="1">
        <v>45269</v>
      </c>
      <c r="E12012">
        <v>1</v>
      </c>
      <c r="F12012" t="str">
        <f>"06-I16-04"</f>
        <v>06-I16-04</v>
      </c>
      <c r="G12012">
        <v>0.68920000000000003</v>
      </c>
      <c r="H12012" t="s">
        <v>9</v>
      </c>
      <c r="I12012" t="s">
        <v>10</v>
      </c>
    </row>
    <row r="12013" spans="1:9" x14ac:dyDescent="0.25">
      <c r="A12013" t="str">
        <f t="shared" si="289"/>
        <v>89301000</v>
      </c>
      <c r="B12013" t="str">
        <f>"7509175773"</f>
        <v>7509175773</v>
      </c>
      <c r="C12013" s="1">
        <v>45118</v>
      </c>
      <c r="D12013" s="1">
        <v>45119</v>
      </c>
      <c r="E12013">
        <v>1</v>
      </c>
      <c r="F12013" t="str">
        <f>"05-D01-06"</f>
        <v>05-D01-06</v>
      </c>
      <c r="G12013">
        <v>0.7571</v>
      </c>
      <c r="H12013" t="s">
        <v>11</v>
      </c>
      <c r="I12013" t="s">
        <v>10</v>
      </c>
    </row>
    <row r="12014" spans="1:9" x14ac:dyDescent="0.25">
      <c r="A12014" t="str">
        <f t="shared" si="289"/>
        <v>89301000</v>
      </c>
      <c r="B12014" t="str">
        <f>"7509225372"</f>
        <v>7509225372</v>
      </c>
      <c r="C12014" s="1">
        <v>45217</v>
      </c>
      <c r="D12014" s="1">
        <v>45218</v>
      </c>
      <c r="E12014">
        <v>1</v>
      </c>
      <c r="F12014" t="str">
        <f>"07-K06-01"</f>
        <v>07-K06-01</v>
      </c>
      <c r="G12014">
        <v>0.75439999999999996</v>
      </c>
      <c r="H12014" t="s">
        <v>11</v>
      </c>
      <c r="I12014" t="s">
        <v>10</v>
      </c>
    </row>
    <row r="12015" spans="1:9" x14ac:dyDescent="0.25">
      <c r="A12015" t="str">
        <f t="shared" si="289"/>
        <v>89301000</v>
      </c>
      <c r="B12015" t="str">
        <f>"7509225372"</f>
        <v>7509225372</v>
      </c>
      <c r="C12015" s="1">
        <v>45184</v>
      </c>
      <c r="D12015" s="1">
        <v>45191</v>
      </c>
      <c r="E12015">
        <v>1</v>
      </c>
      <c r="F12015" t="str">
        <f>"07-M02-04"</f>
        <v>07-M02-04</v>
      </c>
      <c r="G12015">
        <v>0.77339999999999998</v>
      </c>
      <c r="H12015" t="s">
        <v>12</v>
      </c>
      <c r="I12015" t="s">
        <v>10</v>
      </c>
    </row>
    <row r="12016" spans="1:9" x14ac:dyDescent="0.25">
      <c r="A12016" t="str">
        <f t="shared" si="289"/>
        <v>89301000</v>
      </c>
      <c r="B12016" t="str">
        <f>"7509295343"</f>
        <v>7509295343</v>
      </c>
      <c r="C12016" s="1">
        <v>45063</v>
      </c>
      <c r="D12016" s="1">
        <v>45066</v>
      </c>
      <c r="E12016">
        <v>1</v>
      </c>
      <c r="F12016" t="str">
        <f>"08-M03-05"</f>
        <v>08-M03-05</v>
      </c>
      <c r="G12016">
        <v>0.46910000000000002</v>
      </c>
      <c r="H12016" t="s">
        <v>11</v>
      </c>
      <c r="I12016" t="s">
        <v>10</v>
      </c>
    </row>
    <row r="12017" spans="1:9" x14ac:dyDescent="0.25">
      <c r="A12017" t="str">
        <f t="shared" si="289"/>
        <v>89301000</v>
      </c>
      <c r="B12017" t="str">
        <f>"7509295343"</f>
        <v>7509295343</v>
      </c>
      <c r="C12017" s="1">
        <v>45137</v>
      </c>
      <c r="D12017" s="1">
        <v>45209</v>
      </c>
      <c r="E12017">
        <v>3</v>
      </c>
      <c r="F12017" t="str">
        <f>"04-I02-02"</f>
        <v>04-I02-02</v>
      </c>
      <c r="G12017">
        <v>13.837300000000001</v>
      </c>
      <c r="H12017" t="s">
        <v>14</v>
      </c>
      <c r="I12017" t="s">
        <v>10</v>
      </c>
    </row>
    <row r="12018" spans="1:9" x14ac:dyDescent="0.25">
      <c r="A12018" t="str">
        <f t="shared" si="289"/>
        <v>89301000</v>
      </c>
      <c r="B12018" t="str">
        <f>"7509295343"</f>
        <v>7509295343</v>
      </c>
      <c r="C12018" s="1">
        <v>45209</v>
      </c>
      <c r="D12018" s="1">
        <v>45229</v>
      </c>
      <c r="E12018">
        <v>1</v>
      </c>
      <c r="F12018" t="str">
        <f>"24-M06-02"</f>
        <v>24-M06-02</v>
      </c>
      <c r="G12018">
        <v>1.2613000000000001</v>
      </c>
      <c r="H12018" t="s">
        <v>11</v>
      </c>
      <c r="I12018" t="s">
        <v>10</v>
      </c>
    </row>
    <row r="12019" spans="1:9" x14ac:dyDescent="0.25">
      <c r="A12019" t="str">
        <f t="shared" si="289"/>
        <v>89301000</v>
      </c>
      <c r="B12019" t="str">
        <f>"7510094493"</f>
        <v>7510094493</v>
      </c>
      <c r="C12019" s="1">
        <v>45089</v>
      </c>
      <c r="D12019" s="1">
        <v>45092</v>
      </c>
      <c r="E12019">
        <v>1</v>
      </c>
      <c r="F12019" t="str">
        <f>"05-M06-06"</f>
        <v>05-M06-06</v>
      </c>
      <c r="G12019">
        <v>1.8264</v>
      </c>
      <c r="H12019" t="s">
        <v>12</v>
      </c>
      <c r="I12019" t="s">
        <v>10</v>
      </c>
    </row>
    <row r="12020" spans="1:9" x14ac:dyDescent="0.25">
      <c r="A12020" t="str">
        <f t="shared" si="289"/>
        <v>89301000</v>
      </c>
      <c r="B12020" t="str">
        <f>"7510165333"</f>
        <v>7510165333</v>
      </c>
      <c r="C12020" s="1">
        <v>45148</v>
      </c>
      <c r="D12020" s="1">
        <v>45149</v>
      </c>
      <c r="E12020">
        <v>1</v>
      </c>
      <c r="F12020" t="str">
        <f>"01-D01-03"</f>
        <v>01-D01-03</v>
      </c>
      <c r="G12020">
        <v>0.16200000000000001</v>
      </c>
      <c r="H12020" t="s">
        <v>11</v>
      </c>
      <c r="I12020" t="s">
        <v>10</v>
      </c>
    </row>
    <row r="12021" spans="1:9" x14ac:dyDescent="0.25">
      <c r="A12021" t="str">
        <f t="shared" si="289"/>
        <v>89301000</v>
      </c>
      <c r="B12021" t="str">
        <f>"7510205307"</f>
        <v>7510205307</v>
      </c>
      <c r="C12021" s="1">
        <v>45268</v>
      </c>
      <c r="D12021" s="1">
        <v>45269</v>
      </c>
      <c r="E12021">
        <v>1</v>
      </c>
      <c r="F12021" t="str">
        <f>"12-I14-00"</f>
        <v>12-I14-00</v>
      </c>
      <c r="G12021">
        <v>0.42920000000000003</v>
      </c>
      <c r="H12021" t="s">
        <v>11</v>
      </c>
      <c r="I12021" t="s">
        <v>10</v>
      </c>
    </row>
    <row r="12022" spans="1:9" x14ac:dyDescent="0.25">
      <c r="A12022" t="str">
        <f t="shared" si="289"/>
        <v>89301000</v>
      </c>
      <c r="B12022" t="str">
        <f>"7510255797"</f>
        <v>7510255797</v>
      </c>
      <c r="C12022" s="1">
        <v>45005</v>
      </c>
      <c r="D12022" s="1">
        <v>45006</v>
      </c>
      <c r="E12022">
        <v>1</v>
      </c>
      <c r="F12022" t="str">
        <f>"12-I13-02"</f>
        <v>12-I13-02</v>
      </c>
      <c r="G12022">
        <v>0.53879999999999995</v>
      </c>
      <c r="H12022" t="s">
        <v>9</v>
      </c>
      <c r="I12022" t="s">
        <v>10</v>
      </c>
    </row>
    <row r="12023" spans="1:9" x14ac:dyDescent="0.25">
      <c r="A12023" t="str">
        <f t="shared" si="289"/>
        <v>89301000</v>
      </c>
      <c r="B12023" t="str">
        <f>"7510285343"</f>
        <v>7510285343</v>
      </c>
      <c r="C12023" s="1">
        <v>44973</v>
      </c>
      <c r="D12023" s="1">
        <v>44978</v>
      </c>
      <c r="E12023">
        <v>1</v>
      </c>
      <c r="F12023" t="str">
        <f>"08-M03-05"</f>
        <v>08-M03-05</v>
      </c>
      <c r="G12023">
        <v>0.46810000000000002</v>
      </c>
      <c r="H12023" t="s">
        <v>11</v>
      </c>
      <c r="I12023" t="s">
        <v>10</v>
      </c>
    </row>
    <row r="12024" spans="1:9" x14ac:dyDescent="0.25">
      <c r="A12024" t="str">
        <f t="shared" si="289"/>
        <v>89301000</v>
      </c>
      <c r="B12024" t="str">
        <f>"7511115304"</f>
        <v>7511115304</v>
      </c>
      <c r="C12024" s="1">
        <v>45026</v>
      </c>
      <c r="D12024" s="1">
        <v>45030</v>
      </c>
      <c r="E12024">
        <v>1</v>
      </c>
      <c r="F12024" t="str">
        <f>"03-I18-03"</f>
        <v>03-I18-03</v>
      </c>
      <c r="G12024">
        <v>0.83940000000000003</v>
      </c>
      <c r="H12024" t="s">
        <v>9</v>
      </c>
      <c r="I12024" t="s">
        <v>10</v>
      </c>
    </row>
    <row r="12025" spans="1:9" x14ac:dyDescent="0.25">
      <c r="A12025" t="str">
        <f t="shared" si="289"/>
        <v>89301000</v>
      </c>
      <c r="B12025" t="str">
        <f>"7511115304"</f>
        <v>7511115304</v>
      </c>
      <c r="C12025" s="1">
        <v>45176</v>
      </c>
      <c r="D12025" s="1">
        <v>45178</v>
      </c>
      <c r="E12025">
        <v>1</v>
      </c>
      <c r="F12025" t="str">
        <f>"06-I17-04"</f>
        <v>06-I17-04</v>
      </c>
      <c r="G12025">
        <v>0.49869999999999998</v>
      </c>
      <c r="H12025" t="s">
        <v>12</v>
      </c>
      <c r="I12025" t="s">
        <v>10</v>
      </c>
    </row>
    <row r="12026" spans="1:9" x14ac:dyDescent="0.25">
      <c r="A12026" t="str">
        <f t="shared" si="289"/>
        <v>89301000</v>
      </c>
      <c r="B12026" t="str">
        <f>"7511185330"</f>
        <v>7511185330</v>
      </c>
      <c r="C12026" s="1">
        <v>44931</v>
      </c>
      <c r="D12026" s="1">
        <v>44935</v>
      </c>
      <c r="E12026">
        <v>1</v>
      </c>
      <c r="F12026" t="str">
        <f>"08-I22-02"</f>
        <v>08-I22-02</v>
      </c>
      <c r="G12026">
        <v>1.131</v>
      </c>
      <c r="H12026" t="s">
        <v>12</v>
      </c>
      <c r="I12026" t="s">
        <v>10</v>
      </c>
    </row>
    <row r="12027" spans="1:9" x14ac:dyDescent="0.25">
      <c r="A12027" t="str">
        <f t="shared" si="289"/>
        <v>89301000</v>
      </c>
      <c r="B12027" t="str">
        <f>"7512035366"</f>
        <v>7512035366</v>
      </c>
      <c r="C12027" s="1">
        <v>44945</v>
      </c>
      <c r="D12027" s="1">
        <v>44957</v>
      </c>
      <c r="E12027">
        <v>1</v>
      </c>
      <c r="F12027" t="str">
        <f>"19-K04-02"</f>
        <v>19-K04-02</v>
      </c>
      <c r="G12027">
        <v>1.3379000000000001</v>
      </c>
      <c r="H12027" t="s">
        <v>15</v>
      </c>
      <c r="I12027" t="s">
        <v>10</v>
      </c>
    </row>
    <row r="12028" spans="1:9" x14ac:dyDescent="0.25">
      <c r="A12028" t="str">
        <f t="shared" si="289"/>
        <v>89301000</v>
      </c>
      <c r="B12028" t="str">
        <f>"7512225303"</f>
        <v>7512225303</v>
      </c>
      <c r="C12028" s="1">
        <v>45043</v>
      </c>
      <c r="D12028" s="1">
        <v>45044</v>
      </c>
      <c r="E12028">
        <v>1</v>
      </c>
      <c r="F12028" t="str">
        <f>"08-I09-03"</f>
        <v>08-I09-03</v>
      </c>
      <c r="G12028">
        <v>1.8398000000000001</v>
      </c>
      <c r="H12028" t="s">
        <v>9</v>
      </c>
      <c r="I12028" t="s">
        <v>10</v>
      </c>
    </row>
    <row r="12029" spans="1:9" x14ac:dyDescent="0.25">
      <c r="A12029" t="str">
        <f t="shared" si="289"/>
        <v>89301000</v>
      </c>
      <c r="B12029" t="str">
        <f>"7512234191"</f>
        <v>7512234191</v>
      </c>
      <c r="C12029" s="1">
        <v>45009</v>
      </c>
      <c r="D12029" s="1">
        <v>45013</v>
      </c>
      <c r="E12029">
        <v>1</v>
      </c>
      <c r="F12029" t="str">
        <f>"16-C02-00"</f>
        <v>16-C02-00</v>
      </c>
      <c r="G12029">
        <v>6.3133999999999997</v>
      </c>
      <c r="H12029" t="s">
        <v>11</v>
      </c>
      <c r="I12029" t="s">
        <v>10</v>
      </c>
    </row>
    <row r="12030" spans="1:9" x14ac:dyDescent="0.25">
      <c r="A12030" t="str">
        <f t="shared" si="289"/>
        <v>89301000</v>
      </c>
      <c r="B12030" t="str">
        <f>"7512245323"</f>
        <v>7512245323</v>
      </c>
      <c r="C12030" s="1">
        <v>45090</v>
      </c>
      <c r="D12030" s="1">
        <v>45092</v>
      </c>
      <c r="E12030">
        <v>1</v>
      </c>
      <c r="F12030" t="str">
        <f>"03-K04-01"</f>
        <v>03-K04-01</v>
      </c>
      <c r="G12030">
        <v>0.46479999999999999</v>
      </c>
      <c r="H12030" t="s">
        <v>11</v>
      </c>
      <c r="I12030" t="s">
        <v>10</v>
      </c>
    </row>
    <row r="12031" spans="1:9" x14ac:dyDescent="0.25">
      <c r="A12031" t="str">
        <f t="shared" si="289"/>
        <v>89301000</v>
      </c>
      <c r="B12031" t="str">
        <f>"7512285770"</f>
        <v>7512285770</v>
      </c>
      <c r="C12031" s="1">
        <v>45222</v>
      </c>
      <c r="D12031" s="1">
        <v>45226</v>
      </c>
      <c r="E12031">
        <v>1</v>
      </c>
      <c r="F12031" t="str">
        <f>"06-K06-01"</f>
        <v>06-K06-01</v>
      </c>
      <c r="G12031">
        <v>1.1001000000000001</v>
      </c>
      <c r="H12031" t="s">
        <v>11</v>
      </c>
      <c r="I12031" t="s">
        <v>10</v>
      </c>
    </row>
    <row r="12032" spans="1:9" x14ac:dyDescent="0.25">
      <c r="A12032" t="str">
        <f t="shared" si="289"/>
        <v>89301000</v>
      </c>
      <c r="B12032" t="str">
        <f>"7512285770"</f>
        <v>7512285770</v>
      </c>
      <c r="C12032" s="1">
        <v>45267</v>
      </c>
      <c r="D12032" s="1">
        <v>45268</v>
      </c>
      <c r="E12032">
        <v>1</v>
      </c>
      <c r="F12032" t="str">
        <f>"12-I14-00"</f>
        <v>12-I14-00</v>
      </c>
      <c r="G12032">
        <v>0.42920000000000003</v>
      </c>
      <c r="H12032" t="s">
        <v>11</v>
      </c>
      <c r="I12032" t="s">
        <v>10</v>
      </c>
    </row>
    <row r="12033" spans="1:9" x14ac:dyDescent="0.25">
      <c r="A12033" t="str">
        <f t="shared" si="289"/>
        <v>89301000</v>
      </c>
      <c r="B12033" t="str">
        <f>"7551055303"</f>
        <v>7551055303</v>
      </c>
      <c r="C12033" s="1">
        <v>44959</v>
      </c>
      <c r="D12033" s="1">
        <v>44960</v>
      </c>
      <c r="E12033">
        <v>1</v>
      </c>
      <c r="F12033" t="str">
        <f>"05-K14-03"</f>
        <v>05-K14-03</v>
      </c>
      <c r="G12033">
        <v>0.3997</v>
      </c>
      <c r="H12033" t="s">
        <v>11</v>
      </c>
      <c r="I12033" t="s">
        <v>10</v>
      </c>
    </row>
    <row r="12034" spans="1:9" x14ac:dyDescent="0.25">
      <c r="A12034" t="str">
        <f t="shared" si="289"/>
        <v>89301000</v>
      </c>
      <c r="B12034" t="str">
        <f>"7551175687"</f>
        <v>7551175687</v>
      </c>
      <c r="C12034" s="1">
        <v>45061</v>
      </c>
      <c r="D12034" s="1">
        <v>45062</v>
      </c>
      <c r="E12034">
        <v>1</v>
      </c>
      <c r="F12034" t="str">
        <f>"05-K14-03"</f>
        <v>05-K14-03</v>
      </c>
      <c r="G12034">
        <v>0.3962</v>
      </c>
      <c r="H12034" t="s">
        <v>11</v>
      </c>
      <c r="I12034" t="s">
        <v>10</v>
      </c>
    </row>
    <row r="12035" spans="1:9" x14ac:dyDescent="0.25">
      <c r="A12035" t="str">
        <f t="shared" si="289"/>
        <v>89301000</v>
      </c>
      <c r="B12035" t="str">
        <f>"7551184476"</f>
        <v>7551184476</v>
      </c>
      <c r="C12035" s="1">
        <v>45109</v>
      </c>
      <c r="D12035" s="1">
        <v>45114</v>
      </c>
      <c r="E12035">
        <v>1</v>
      </c>
      <c r="F12035" t="str">
        <f>"07-I10-06"</f>
        <v>07-I10-06</v>
      </c>
      <c r="G12035">
        <v>0.98419999999999996</v>
      </c>
      <c r="H12035" t="s">
        <v>12</v>
      </c>
      <c r="I12035" t="s">
        <v>10</v>
      </c>
    </row>
    <row r="12036" spans="1:9" x14ac:dyDescent="0.25">
      <c r="A12036" t="str">
        <f t="shared" si="289"/>
        <v>89301000</v>
      </c>
      <c r="B12036" t="str">
        <f>"7551185796"</f>
        <v>7551185796</v>
      </c>
      <c r="C12036" s="1">
        <v>45181</v>
      </c>
      <c r="D12036" s="1">
        <v>45188</v>
      </c>
      <c r="E12036">
        <v>5</v>
      </c>
      <c r="F12036" t="str">
        <f>"01-K03-08"</f>
        <v>01-K03-08</v>
      </c>
      <c r="G12036">
        <v>0.44030000000000002</v>
      </c>
      <c r="H12036" t="s">
        <v>11</v>
      </c>
      <c r="I12036" t="s">
        <v>10</v>
      </c>
    </row>
    <row r="12037" spans="1:9" x14ac:dyDescent="0.25">
      <c r="A12037" t="str">
        <f t="shared" si="289"/>
        <v>89301000</v>
      </c>
      <c r="B12037" t="str">
        <f>"7551223493"</f>
        <v>7551223493</v>
      </c>
      <c r="C12037" s="1">
        <v>44971</v>
      </c>
      <c r="D12037" s="1">
        <v>44973</v>
      </c>
      <c r="E12037">
        <v>1</v>
      </c>
      <c r="F12037" t="str">
        <f>"08-I23-02"</f>
        <v>08-I23-02</v>
      </c>
      <c r="G12037">
        <v>0.91059999999999997</v>
      </c>
      <c r="H12037" t="s">
        <v>12</v>
      </c>
      <c r="I12037" t="s">
        <v>10</v>
      </c>
    </row>
    <row r="12038" spans="1:9" x14ac:dyDescent="0.25">
      <c r="A12038" t="str">
        <f t="shared" si="289"/>
        <v>89301000</v>
      </c>
      <c r="B12038" t="str">
        <f>"7551224296"</f>
        <v>7551224296</v>
      </c>
      <c r="C12038" s="1">
        <v>45176</v>
      </c>
      <c r="D12038" s="1">
        <v>45179</v>
      </c>
      <c r="E12038">
        <v>1</v>
      </c>
      <c r="F12038" t="str">
        <f>"09-I07-02"</f>
        <v>09-I07-02</v>
      </c>
      <c r="G12038">
        <v>1.3984000000000001</v>
      </c>
      <c r="H12038" t="s">
        <v>14</v>
      </c>
      <c r="I12038" t="s">
        <v>10</v>
      </c>
    </row>
    <row r="12039" spans="1:9" x14ac:dyDescent="0.25">
      <c r="A12039" t="str">
        <f t="shared" si="289"/>
        <v>89301000</v>
      </c>
      <c r="B12039" t="str">
        <f>"7551224461"</f>
        <v>7551224461</v>
      </c>
      <c r="C12039" s="1">
        <v>44961</v>
      </c>
      <c r="D12039" s="1">
        <v>44965</v>
      </c>
      <c r="E12039">
        <v>1</v>
      </c>
      <c r="F12039" t="str">
        <f>"11-M05-02"</f>
        <v>11-M05-02</v>
      </c>
      <c r="G12039">
        <v>0.6694</v>
      </c>
      <c r="H12039" t="s">
        <v>12</v>
      </c>
      <c r="I12039" t="s">
        <v>10</v>
      </c>
    </row>
    <row r="12040" spans="1:9" x14ac:dyDescent="0.25">
      <c r="A12040" t="str">
        <f t="shared" si="289"/>
        <v>89301000</v>
      </c>
      <c r="B12040" t="str">
        <f>"7551224483"</f>
        <v>7551224483</v>
      </c>
      <c r="C12040" s="1">
        <v>45224</v>
      </c>
      <c r="D12040" s="1">
        <v>45226</v>
      </c>
      <c r="E12040">
        <v>1</v>
      </c>
      <c r="F12040" t="str">
        <f>"09-I04-02"</f>
        <v>09-I04-02</v>
      </c>
      <c r="G12040">
        <v>1.0899000000000001</v>
      </c>
      <c r="H12040" t="s">
        <v>12</v>
      </c>
      <c r="I12040" t="s">
        <v>10</v>
      </c>
    </row>
    <row r="12041" spans="1:9" x14ac:dyDescent="0.25">
      <c r="A12041" t="str">
        <f t="shared" si="289"/>
        <v>89301000</v>
      </c>
      <c r="B12041" t="str">
        <f>"7551245680"</f>
        <v>7551245680</v>
      </c>
      <c r="C12041" s="1">
        <v>45152</v>
      </c>
      <c r="D12041" s="1">
        <v>45159</v>
      </c>
      <c r="E12041">
        <v>1</v>
      </c>
      <c r="F12041" t="str">
        <f>"09-I05-02"</f>
        <v>09-I05-02</v>
      </c>
      <c r="G12041">
        <v>1.7806</v>
      </c>
      <c r="H12041" t="s">
        <v>11</v>
      </c>
      <c r="I12041" t="s">
        <v>10</v>
      </c>
    </row>
    <row r="12042" spans="1:9" x14ac:dyDescent="0.25">
      <c r="A12042" t="str">
        <f t="shared" si="289"/>
        <v>89301000</v>
      </c>
      <c r="B12042" t="str">
        <f>"7551284466"</f>
        <v>7551284466</v>
      </c>
      <c r="C12042" s="1">
        <v>44995</v>
      </c>
      <c r="D12042" s="1">
        <v>45012</v>
      </c>
      <c r="E12042">
        <v>4</v>
      </c>
      <c r="F12042" t="str">
        <f>"24-M07-01"</f>
        <v>24-M07-01</v>
      </c>
      <c r="G12042">
        <v>1.7825</v>
      </c>
      <c r="H12042" t="s">
        <v>11</v>
      </c>
      <c r="I12042" t="s">
        <v>10</v>
      </c>
    </row>
    <row r="12043" spans="1:9" x14ac:dyDescent="0.25">
      <c r="A12043" t="str">
        <f t="shared" si="289"/>
        <v>89301000</v>
      </c>
      <c r="B12043" t="str">
        <f>"7551284466"</f>
        <v>7551284466</v>
      </c>
      <c r="C12043" s="1">
        <v>44986</v>
      </c>
      <c r="D12043" s="1">
        <v>44995</v>
      </c>
      <c r="E12043">
        <v>3</v>
      </c>
      <c r="F12043" t="str">
        <f>"08-I04-01"</f>
        <v>08-I04-01</v>
      </c>
      <c r="G12043">
        <v>2.7970000000000002</v>
      </c>
      <c r="H12043" t="s">
        <v>14</v>
      </c>
      <c r="I12043" t="s">
        <v>10</v>
      </c>
    </row>
    <row r="12044" spans="1:9" x14ac:dyDescent="0.25">
      <c r="A12044" t="str">
        <f t="shared" si="289"/>
        <v>89301000</v>
      </c>
      <c r="B12044" t="str">
        <f>"7551303749"</f>
        <v>7551303749</v>
      </c>
      <c r="C12044" s="1">
        <v>45240</v>
      </c>
      <c r="D12044" s="1">
        <v>45241</v>
      </c>
      <c r="E12044">
        <v>1</v>
      </c>
      <c r="F12044" t="str">
        <f>"13-I19-00"</f>
        <v>13-I19-00</v>
      </c>
      <c r="G12044">
        <v>0.28249999999999997</v>
      </c>
      <c r="H12044" t="s">
        <v>11</v>
      </c>
      <c r="I12044" t="s">
        <v>10</v>
      </c>
    </row>
    <row r="12045" spans="1:9" x14ac:dyDescent="0.25">
      <c r="A12045" t="str">
        <f t="shared" si="289"/>
        <v>89301000</v>
      </c>
      <c r="B12045" t="str">
        <f>"7552035304"</f>
        <v>7552035304</v>
      </c>
      <c r="C12045" s="1">
        <v>45249</v>
      </c>
      <c r="D12045" s="1">
        <v>45253</v>
      </c>
      <c r="E12045">
        <v>1</v>
      </c>
      <c r="F12045" t="str">
        <f>"13-I11-03"</f>
        <v>13-I11-03</v>
      </c>
      <c r="G12045">
        <v>1.4332</v>
      </c>
      <c r="H12045" t="s">
        <v>9</v>
      </c>
      <c r="I12045" t="s">
        <v>10</v>
      </c>
    </row>
    <row r="12046" spans="1:9" x14ac:dyDescent="0.25">
      <c r="A12046" t="str">
        <f t="shared" si="289"/>
        <v>89301000</v>
      </c>
      <c r="B12046" t="str">
        <f>"7552125328"</f>
        <v>7552125328</v>
      </c>
      <c r="C12046" s="1">
        <v>44928</v>
      </c>
      <c r="D12046" s="1">
        <v>44932</v>
      </c>
      <c r="E12046">
        <v>1</v>
      </c>
      <c r="F12046" t="str">
        <f>"13-I11-03"</f>
        <v>13-I11-03</v>
      </c>
      <c r="G12046">
        <v>1.4332</v>
      </c>
      <c r="H12046" t="s">
        <v>9</v>
      </c>
      <c r="I12046" t="s">
        <v>10</v>
      </c>
    </row>
    <row r="12047" spans="1:9" x14ac:dyDescent="0.25">
      <c r="A12047" t="str">
        <f t="shared" si="289"/>
        <v>89301000</v>
      </c>
      <c r="B12047" t="str">
        <f>"7552134458"</f>
        <v>7552134458</v>
      </c>
      <c r="C12047" s="1">
        <v>45137</v>
      </c>
      <c r="D12047" s="1">
        <v>45141</v>
      </c>
      <c r="E12047">
        <v>1</v>
      </c>
      <c r="F12047" t="str">
        <f>"08-I03-06"</f>
        <v>08-I03-06</v>
      </c>
      <c r="G12047">
        <v>2.8340000000000001</v>
      </c>
      <c r="H12047" t="s">
        <v>9</v>
      </c>
      <c r="I12047" t="s">
        <v>10</v>
      </c>
    </row>
    <row r="12048" spans="1:9" x14ac:dyDescent="0.25">
      <c r="A12048" t="str">
        <f t="shared" si="289"/>
        <v>89301000</v>
      </c>
      <c r="B12048" t="str">
        <f>"7552145700"</f>
        <v>7552145700</v>
      </c>
      <c r="C12048" s="1">
        <v>44991</v>
      </c>
      <c r="D12048" s="1">
        <v>44993</v>
      </c>
      <c r="E12048">
        <v>1</v>
      </c>
      <c r="F12048" t="str">
        <f>"08-I25-01"</f>
        <v>08-I25-01</v>
      </c>
      <c r="G12048">
        <v>0.95720000000000005</v>
      </c>
      <c r="H12048" t="s">
        <v>11</v>
      </c>
      <c r="I12048" t="s">
        <v>10</v>
      </c>
    </row>
    <row r="12049" spans="1:9" x14ac:dyDescent="0.25">
      <c r="A12049" t="str">
        <f t="shared" si="289"/>
        <v>89301000</v>
      </c>
      <c r="B12049" t="str">
        <f>"7552145766"</f>
        <v>7552145766</v>
      </c>
      <c r="C12049" s="1">
        <v>45203</v>
      </c>
      <c r="D12049" s="1">
        <v>45211</v>
      </c>
      <c r="E12049">
        <v>1</v>
      </c>
      <c r="F12049" t="str">
        <f>"19-K03-01"</f>
        <v>19-K03-01</v>
      </c>
      <c r="G12049">
        <v>1.2786</v>
      </c>
      <c r="H12049" t="s">
        <v>15</v>
      </c>
      <c r="I12049" t="s">
        <v>10</v>
      </c>
    </row>
    <row r="12050" spans="1:9" x14ac:dyDescent="0.25">
      <c r="A12050" t="str">
        <f t="shared" si="289"/>
        <v>89301000</v>
      </c>
      <c r="B12050" t="str">
        <f>"7552155017"</f>
        <v>7552155017</v>
      </c>
      <c r="C12050" s="1">
        <v>44930</v>
      </c>
      <c r="D12050" s="1">
        <v>44934</v>
      </c>
      <c r="E12050">
        <v>1</v>
      </c>
      <c r="F12050" t="str">
        <f>"03-I18-03"</f>
        <v>03-I18-03</v>
      </c>
      <c r="G12050">
        <v>0.83940000000000003</v>
      </c>
      <c r="H12050" t="s">
        <v>9</v>
      </c>
      <c r="I12050" t="s">
        <v>10</v>
      </c>
    </row>
    <row r="12051" spans="1:9" x14ac:dyDescent="0.25">
      <c r="A12051" t="str">
        <f t="shared" si="289"/>
        <v>89301000</v>
      </c>
      <c r="B12051" t="str">
        <f>"7552163773"</f>
        <v>7552163773</v>
      </c>
      <c r="C12051" s="1">
        <v>44927</v>
      </c>
      <c r="D12051" s="1">
        <v>44930</v>
      </c>
      <c r="E12051">
        <v>1</v>
      </c>
      <c r="F12051" t="str">
        <f>"08-I32-00"</f>
        <v>08-I32-00</v>
      </c>
      <c r="G12051">
        <v>0.4093</v>
      </c>
      <c r="H12051" t="s">
        <v>11</v>
      </c>
      <c r="I12051" t="s">
        <v>10</v>
      </c>
    </row>
    <row r="12052" spans="1:9" x14ac:dyDescent="0.25">
      <c r="A12052" t="str">
        <f t="shared" si="289"/>
        <v>89301000</v>
      </c>
      <c r="B12052" t="str">
        <f>"7552264841"</f>
        <v>7552264841</v>
      </c>
      <c r="C12052" s="1">
        <v>44991</v>
      </c>
      <c r="D12052" s="1">
        <v>44994</v>
      </c>
      <c r="E12052">
        <v>1</v>
      </c>
      <c r="F12052" t="str">
        <f>"08-M03-04"</f>
        <v>08-M03-04</v>
      </c>
      <c r="G12052">
        <v>0.87760000000000005</v>
      </c>
      <c r="H12052" t="s">
        <v>11</v>
      </c>
      <c r="I12052" t="s">
        <v>10</v>
      </c>
    </row>
    <row r="12053" spans="1:9" x14ac:dyDescent="0.25">
      <c r="A12053" t="str">
        <f t="shared" si="289"/>
        <v>89301000</v>
      </c>
      <c r="B12053" t="str">
        <f>"7552265336"</f>
        <v>7552265336</v>
      </c>
      <c r="C12053" s="1">
        <v>45043</v>
      </c>
      <c r="D12053" s="1">
        <v>45048</v>
      </c>
      <c r="E12053">
        <v>1</v>
      </c>
      <c r="F12053" t="str">
        <f>"01-K07-03"</f>
        <v>01-K07-03</v>
      </c>
      <c r="G12053">
        <v>0.48680000000000001</v>
      </c>
      <c r="H12053" t="s">
        <v>11</v>
      </c>
      <c r="I12053" t="s">
        <v>10</v>
      </c>
    </row>
    <row r="12054" spans="1:9" x14ac:dyDescent="0.25">
      <c r="A12054" t="str">
        <f t="shared" si="289"/>
        <v>89301000</v>
      </c>
      <c r="B12054" t="str">
        <f>"7552284685"</f>
        <v>7552284685</v>
      </c>
      <c r="C12054" s="1">
        <v>44991</v>
      </c>
      <c r="D12054" s="1">
        <v>44995</v>
      </c>
      <c r="E12054">
        <v>1</v>
      </c>
      <c r="F12054" t="str">
        <f>"09-I06-04"</f>
        <v>09-I06-04</v>
      </c>
      <c r="G12054">
        <v>0.95069999999999999</v>
      </c>
      <c r="H12054" t="s">
        <v>12</v>
      </c>
      <c r="I12054" t="s">
        <v>10</v>
      </c>
    </row>
    <row r="12055" spans="1:9" x14ac:dyDescent="0.25">
      <c r="A12055" t="str">
        <f t="shared" si="289"/>
        <v>89301000</v>
      </c>
      <c r="B12055" t="str">
        <f>"7553075772"</f>
        <v>7553075772</v>
      </c>
      <c r="C12055" s="1">
        <v>45006</v>
      </c>
      <c r="D12055" s="1">
        <v>45008</v>
      </c>
      <c r="E12055">
        <v>1</v>
      </c>
      <c r="F12055" t="str">
        <f>"05-I30-01"</f>
        <v>05-I30-01</v>
      </c>
      <c r="G12055">
        <v>0.60309999999999997</v>
      </c>
      <c r="H12055" t="s">
        <v>12</v>
      </c>
      <c r="I12055" t="s">
        <v>10</v>
      </c>
    </row>
    <row r="12056" spans="1:9" x14ac:dyDescent="0.25">
      <c r="A12056" t="str">
        <f t="shared" si="289"/>
        <v>89301000</v>
      </c>
      <c r="B12056" t="str">
        <f>"7553205308"</f>
        <v>7553205308</v>
      </c>
      <c r="C12056" s="1">
        <v>45189</v>
      </c>
      <c r="D12056" s="1">
        <v>45194</v>
      </c>
      <c r="E12056">
        <v>1</v>
      </c>
      <c r="F12056" t="str">
        <f>"01-K01-02"</f>
        <v>01-K01-02</v>
      </c>
      <c r="G12056">
        <v>0.442</v>
      </c>
      <c r="H12056" t="s">
        <v>11</v>
      </c>
      <c r="I12056" t="s">
        <v>10</v>
      </c>
    </row>
    <row r="12057" spans="1:9" x14ac:dyDescent="0.25">
      <c r="A12057" t="str">
        <f t="shared" si="289"/>
        <v>89301000</v>
      </c>
      <c r="B12057" t="str">
        <f>"7553205352"</f>
        <v>7553205352</v>
      </c>
      <c r="C12057" s="1">
        <v>45056</v>
      </c>
      <c r="D12057" s="1">
        <v>45059</v>
      </c>
      <c r="E12057">
        <v>1</v>
      </c>
      <c r="F12057" t="str">
        <f>"09-I08-02"</f>
        <v>09-I08-02</v>
      </c>
      <c r="G12057">
        <v>1.1051</v>
      </c>
      <c r="H12057" t="s">
        <v>14</v>
      </c>
      <c r="I12057" t="s">
        <v>10</v>
      </c>
    </row>
    <row r="12058" spans="1:9" x14ac:dyDescent="0.25">
      <c r="A12058" t="str">
        <f t="shared" si="289"/>
        <v>89301000</v>
      </c>
      <c r="B12058" t="str">
        <f>"7553205352"</f>
        <v>7553205352</v>
      </c>
      <c r="C12058" s="1">
        <v>45063</v>
      </c>
      <c r="D12058" s="1">
        <v>45069</v>
      </c>
      <c r="E12058">
        <v>1</v>
      </c>
      <c r="F12058" t="str">
        <f>"09-I13-03"</f>
        <v>09-I13-03</v>
      </c>
      <c r="G12058">
        <v>0.79510000000000003</v>
      </c>
      <c r="H12058" t="s">
        <v>11</v>
      </c>
      <c r="I12058" t="s">
        <v>10</v>
      </c>
    </row>
    <row r="12059" spans="1:9" x14ac:dyDescent="0.25">
      <c r="A12059" t="str">
        <f t="shared" si="289"/>
        <v>89301000</v>
      </c>
      <c r="B12059" t="str">
        <f>"7553205363"</f>
        <v>7553205363</v>
      </c>
      <c r="C12059" s="1">
        <v>45236</v>
      </c>
      <c r="D12059" s="1">
        <v>45238</v>
      </c>
      <c r="E12059">
        <v>1</v>
      </c>
      <c r="F12059" t="str">
        <f>"05-I30-01"</f>
        <v>05-I30-01</v>
      </c>
      <c r="G12059">
        <v>0.60309999999999997</v>
      </c>
      <c r="H12059" t="s">
        <v>12</v>
      </c>
      <c r="I12059" t="s">
        <v>10</v>
      </c>
    </row>
    <row r="12060" spans="1:9" x14ac:dyDescent="0.25">
      <c r="A12060" t="str">
        <f t="shared" si="289"/>
        <v>89301000</v>
      </c>
      <c r="B12060" t="str">
        <f>"7553264466"</f>
        <v>7553264466</v>
      </c>
      <c r="C12060" s="1">
        <v>44974</v>
      </c>
      <c r="D12060" s="1">
        <v>44984</v>
      </c>
      <c r="E12060">
        <v>1</v>
      </c>
      <c r="F12060" t="str">
        <f>"08-I14-02"</f>
        <v>08-I14-02</v>
      </c>
      <c r="G12060">
        <v>1.6909000000000001</v>
      </c>
      <c r="H12060" t="s">
        <v>12</v>
      </c>
      <c r="I12060" t="s">
        <v>10</v>
      </c>
    </row>
    <row r="12061" spans="1:9" x14ac:dyDescent="0.25">
      <c r="A12061" t="str">
        <f t="shared" si="289"/>
        <v>89301000</v>
      </c>
      <c r="B12061" t="str">
        <f>"7553294287"</f>
        <v>7553294287</v>
      </c>
      <c r="C12061" s="1">
        <v>45104</v>
      </c>
      <c r="D12061" s="1">
        <v>45106</v>
      </c>
      <c r="E12061">
        <v>1</v>
      </c>
      <c r="F12061" t="str">
        <f>"05-M05-02"</f>
        <v>05-M05-02</v>
      </c>
      <c r="G12061">
        <v>3.4817999999999998</v>
      </c>
      <c r="H12061" t="s">
        <v>14</v>
      </c>
      <c r="I12061" t="s">
        <v>10</v>
      </c>
    </row>
    <row r="12062" spans="1:9" x14ac:dyDescent="0.25">
      <c r="A12062" t="str">
        <f t="shared" si="289"/>
        <v>89301000</v>
      </c>
      <c r="B12062" t="str">
        <f>"7553295310"</f>
        <v>7553295310</v>
      </c>
      <c r="C12062" s="1">
        <v>45260</v>
      </c>
      <c r="D12062" s="1">
        <v>45265</v>
      </c>
      <c r="E12062">
        <v>1</v>
      </c>
      <c r="F12062" t="str">
        <f>"01-K18-04"</f>
        <v>01-K18-04</v>
      </c>
      <c r="G12062">
        <v>0.54610000000000003</v>
      </c>
      <c r="H12062" t="s">
        <v>11</v>
      </c>
      <c r="I12062" t="s">
        <v>10</v>
      </c>
    </row>
    <row r="12063" spans="1:9" x14ac:dyDescent="0.25">
      <c r="A12063" t="str">
        <f t="shared" ref="A12063:A12126" si="290">"89301000"</f>
        <v>89301000</v>
      </c>
      <c r="B12063" t="str">
        <f>"7553295310"</f>
        <v>7553295310</v>
      </c>
      <c r="C12063" s="1">
        <v>45084</v>
      </c>
      <c r="D12063" s="1">
        <v>45086</v>
      </c>
      <c r="E12063">
        <v>1</v>
      </c>
      <c r="F12063" t="str">
        <f>"06-K02-04"</f>
        <v>06-K02-04</v>
      </c>
      <c r="G12063">
        <v>0.37659999999999999</v>
      </c>
      <c r="H12063" t="s">
        <v>11</v>
      </c>
      <c r="I12063" t="s">
        <v>10</v>
      </c>
    </row>
    <row r="12064" spans="1:9" x14ac:dyDescent="0.25">
      <c r="A12064" t="str">
        <f t="shared" si="290"/>
        <v>89301000</v>
      </c>
      <c r="B12064" t="str">
        <f>"7553295310"</f>
        <v>7553295310</v>
      </c>
      <c r="C12064" s="1">
        <v>45034</v>
      </c>
      <c r="D12064" s="1">
        <v>45035</v>
      </c>
      <c r="E12064">
        <v>1</v>
      </c>
      <c r="F12064" t="str">
        <f>"11-K05-00"</f>
        <v>11-K05-00</v>
      </c>
      <c r="G12064">
        <v>0.34339999999999998</v>
      </c>
      <c r="H12064" t="s">
        <v>11</v>
      </c>
      <c r="I12064" t="s">
        <v>10</v>
      </c>
    </row>
    <row r="12065" spans="1:9" x14ac:dyDescent="0.25">
      <c r="A12065" t="str">
        <f t="shared" si="290"/>
        <v>89301000</v>
      </c>
      <c r="B12065" t="str">
        <f>"7553295310"</f>
        <v>7553295310</v>
      </c>
      <c r="C12065" s="1">
        <v>45093</v>
      </c>
      <c r="D12065" s="1">
        <v>45117</v>
      </c>
      <c r="E12065">
        <v>1</v>
      </c>
      <c r="F12065" t="str">
        <f>"19-K06-01"</f>
        <v>19-K06-01</v>
      </c>
      <c r="G12065">
        <v>2.4773000000000001</v>
      </c>
      <c r="H12065" t="s">
        <v>15</v>
      </c>
      <c r="I12065" t="s">
        <v>10</v>
      </c>
    </row>
    <row r="12066" spans="1:9" x14ac:dyDescent="0.25">
      <c r="A12066" t="str">
        <f t="shared" si="290"/>
        <v>89301000</v>
      </c>
      <c r="B12066" t="str">
        <f>"7554045774"</f>
        <v>7554045774</v>
      </c>
      <c r="C12066" s="1">
        <v>45165</v>
      </c>
      <c r="D12066" s="1">
        <v>45170</v>
      </c>
      <c r="E12066">
        <v>1</v>
      </c>
      <c r="F12066" t="str">
        <f>"09-K14-02"</f>
        <v>09-K14-02</v>
      </c>
      <c r="G12066">
        <v>0.5</v>
      </c>
      <c r="H12066" t="s">
        <v>11</v>
      </c>
      <c r="I12066" t="s">
        <v>10</v>
      </c>
    </row>
    <row r="12067" spans="1:9" x14ac:dyDescent="0.25">
      <c r="A12067" t="str">
        <f t="shared" si="290"/>
        <v>89301000</v>
      </c>
      <c r="B12067" t="str">
        <f>"7554055795"</f>
        <v>7554055795</v>
      </c>
      <c r="C12067" s="1">
        <v>45223</v>
      </c>
      <c r="D12067" s="1">
        <v>45229</v>
      </c>
      <c r="E12067">
        <v>1</v>
      </c>
      <c r="F12067" t="str">
        <f>"13-I04-04"</f>
        <v>13-I04-04</v>
      </c>
      <c r="G12067">
        <v>2.0345</v>
      </c>
      <c r="H12067" t="s">
        <v>14</v>
      </c>
      <c r="I12067" t="s">
        <v>10</v>
      </c>
    </row>
    <row r="12068" spans="1:9" x14ac:dyDescent="0.25">
      <c r="A12068" t="str">
        <f t="shared" si="290"/>
        <v>89301000</v>
      </c>
      <c r="B12068" t="str">
        <f>"7554063869"</f>
        <v>7554063869</v>
      </c>
      <c r="C12068" s="1">
        <v>45007</v>
      </c>
      <c r="D12068" s="1">
        <v>45020</v>
      </c>
      <c r="E12068">
        <v>1</v>
      </c>
      <c r="F12068" t="str">
        <f>"19-K04-02"</f>
        <v>19-K04-02</v>
      </c>
      <c r="G12068">
        <v>1.3379000000000001</v>
      </c>
      <c r="H12068" t="s">
        <v>15</v>
      </c>
      <c r="I12068" t="s">
        <v>10</v>
      </c>
    </row>
    <row r="12069" spans="1:9" x14ac:dyDescent="0.25">
      <c r="A12069" t="str">
        <f t="shared" si="290"/>
        <v>89301000</v>
      </c>
      <c r="B12069" t="str">
        <f>"7554085704"</f>
        <v>7554085704</v>
      </c>
      <c r="C12069" s="1">
        <v>44977</v>
      </c>
      <c r="D12069" s="1">
        <v>44978</v>
      </c>
      <c r="E12069">
        <v>1</v>
      </c>
      <c r="F12069" t="str">
        <f>"08-I18-02"</f>
        <v>08-I18-02</v>
      </c>
      <c r="G12069">
        <v>0.62509999999999999</v>
      </c>
      <c r="H12069" t="s">
        <v>12</v>
      </c>
      <c r="I12069" t="s">
        <v>10</v>
      </c>
    </row>
    <row r="12070" spans="1:9" x14ac:dyDescent="0.25">
      <c r="A12070" t="str">
        <f t="shared" si="290"/>
        <v>89301000</v>
      </c>
      <c r="B12070" t="str">
        <f>"7554145786"</f>
        <v>7554145786</v>
      </c>
      <c r="C12070" s="1">
        <v>45012</v>
      </c>
      <c r="D12070" s="1">
        <v>45015</v>
      </c>
      <c r="E12070">
        <v>1</v>
      </c>
      <c r="F12070" t="str">
        <f>"05-I30-03"</f>
        <v>05-I30-03</v>
      </c>
      <c r="G12070">
        <v>0.51890000000000003</v>
      </c>
      <c r="H12070" t="s">
        <v>12</v>
      </c>
      <c r="I12070" t="s">
        <v>10</v>
      </c>
    </row>
    <row r="12071" spans="1:9" x14ac:dyDescent="0.25">
      <c r="A12071" t="str">
        <f t="shared" si="290"/>
        <v>89301000</v>
      </c>
      <c r="B12071" t="str">
        <f>"7554183505"</f>
        <v>7554183505</v>
      </c>
      <c r="C12071" s="1">
        <v>45274</v>
      </c>
      <c r="D12071" s="1">
        <v>45276</v>
      </c>
      <c r="E12071">
        <v>1</v>
      </c>
      <c r="F12071" t="str">
        <f>"09-I06-04"</f>
        <v>09-I06-04</v>
      </c>
      <c r="G12071">
        <v>1.0638000000000001</v>
      </c>
      <c r="H12071" t="s">
        <v>12</v>
      </c>
      <c r="I12071" t="s">
        <v>10</v>
      </c>
    </row>
    <row r="12072" spans="1:9" x14ac:dyDescent="0.25">
      <c r="A12072" t="str">
        <f t="shared" si="290"/>
        <v>89301000</v>
      </c>
      <c r="B12072" t="str">
        <f>"7554183505"</f>
        <v>7554183505</v>
      </c>
      <c r="C12072" s="1">
        <v>45070</v>
      </c>
      <c r="D12072" s="1">
        <v>45073</v>
      </c>
      <c r="E12072">
        <v>1</v>
      </c>
      <c r="F12072" t="str">
        <f>"13-I14-03"</f>
        <v>13-I14-03</v>
      </c>
      <c r="G12072">
        <v>0.87760000000000005</v>
      </c>
      <c r="H12072" t="s">
        <v>9</v>
      </c>
      <c r="I12072" t="s">
        <v>10</v>
      </c>
    </row>
    <row r="12073" spans="1:9" x14ac:dyDescent="0.25">
      <c r="A12073" t="str">
        <f t="shared" si="290"/>
        <v>89301000</v>
      </c>
      <c r="B12073" t="str">
        <f>"7554225382"</f>
        <v>7554225382</v>
      </c>
      <c r="C12073" s="1">
        <v>45082</v>
      </c>
      <c r="D12073" s="1">
        <v>45105</v>
      </c>
      <c r="E12073">
        <v>1</v>
      </c>
      <c r="F12073" t="str">
        <f>"19-K05-02"</f>
        <v>19-K05-02</v>
      </c>
      <c r="G12073">
        <v>1.7688999999999999</v>
      </c>
      <c r="H12073" t="s">
        <v>15</v>
      </c>
      <c r="I12073" t="s">
        <v>10</v>
      </c>
    </row>
    <row r="12074" spans="1:9" x14ac:dyDescent="0.25">
      <c r="A12074" t="str">
        <f t="shared" si="290"/>
        <v>89301000</v>
      </c>
      <c r="B12074" t="str">
        <f>"7554225382"</f>
        <v>7554225382</v>
      </c>
      <c r="C12074" s="1">
        <v>44959</v>
      </c>
      <c r="D12074" s="1">
        <v>44988</v>
      </c>
      <c r="E12074">
        <v>1</v>
      </c>
      <c r="F12074" t="str">
        <f>"19-K06-02"</f>
        <v>19-K06-02</v>
      </c>
      <c r="G12074">
        <v>2.2334999999999998</v>
      </c>
      <c r="H12074" t="s">
        <v>15</v>
      </c>
      <c r="I12074" t="s">
        <v>10</v>
      </c>
    </row>
    <row r="12075" spans="1:9" x14ac:dyDescent="0.25">
      <c r="A12075" t="str">
        <f t="shared" si="290"/>
        <v>89301000</v>
      </c>
      <c r="B12075" t="str">
        <f>"7554245358"</f>
        <v>7554245358</v>
      </c>
      <c r="C12075" s="1">
        <v>45105</v>
      </c>
      <c r="D12075" s="1">
        <v>45109</v>
      </c>
      <c r="E12075">
        <v>1</v>
      </c>
      <c r="F12075" t="str">
        <f>"17-K10-02"</f>
        <v>17-K10-02</v>
      </c>
      <c r="G12075">
        <v>0.63500000000000001</v>
      </c>
      <c r="H12075" t="s">
        <v>11</v>
      </c>
      <c r="I12075" t="s">
        <v>10</v>
      </c>
    </row>
    <row r="12076" spans="1:9" x14ac:dyDescent="0.25">
      <c r="A12076" t="str">
        <f t="shared" si="290"/>
        <v>89301000</v>
      </c>
      <c r="B12076" t="str">
        <f>"7554275322"</f>
        <v>7554275322</v>
      </c>
      <c r="C12076" s="1">
        <v>45139</v>
      </c>
      <c r="D12076" s="1">
        <v>45145</v>
      </c>
      <c r="E12076">
        <v>4</v>
      </c>
      <c r="F12076" t="str">
        <f>"08-I05-04"</f>
        <v>08-I05-04</v>
      </c>
      <c r="G12076">
        <v>2.4445000000000001</v>
      </c>
      <c r="H12076" t="s">
        <v>12</v>
      </c>
      <c r="I12076" t="s">
        <v>10</v>
      </c>
    </row>
    <row r="12077" spans="1:9" x14ac:dyDescent="0.25">
      <c r="A12077" t="str">
        <f t="shared" si="290"/>
        <v>89301000</v>
      </c>
      <c r="B12077" t="str">
        <f>"7554720569"</f>
        <v>7554720569</v>
      </c>
      <c r="C12077" s="1">
        <v>45210</v>
      </c>
      <c r="D12077" s="1">
        <v>45214</v>
      </c>
      <c r="E12077">
        <v>1</v>
      </c>
      <c r="F12077" t="str">
        <f>"07-I10-06"</f>
        <v>07-I10-06</v>
      </c>
      <c r="G12077">
        <v>0.98419999999999996</v>
      </c>
      <c r="H12077" t="s">
        <v>12</v>
      </c>
      <c r="I12077" t="s">
        <v>10</v>
      </c>
    </row>
    <row r="12078" spans="1:9" x14ac:dyDescent="0.25">
      <c r="A12078" t="str">
        <f t="shared" si="290"/>
        <v>89301000</v>
      </c>
      <c r="B12078" t="str">
        <f>"7555035345"</f>
        <v>7555035345</v>
      </c>
      <c r="C12078" s="1">
        <v>45085</v>
      </c>
      <c r="D12078" s="1">
        <v>45086</v>
      </c>
      <c r="E12078">
        <v>1</v>
      </c>
      <c r="F12078" t="str">
        <f>"01-D01-03"</f>
        <v>01-D01-03</v>
      </c>
      <c r="G12078">
        <v>0.16200000000000001</v>
      </c>
      <c r="H12078" t="s">
        <v>11</v>
      </c>
      <c r="I12078" t="s">
        <v>10</v>
      </c>
    </row>
    <row r="12079" spans="1:9" x14ac:dyDescent="0.25">
      <c r="A12079" t="str">
        <f t="shared" si="290"/>
        <v>89301000</v>
      </c>
      <c r="B12079" t="str">
        <f>"7555114050"</f>
        <v>7555114050</v>
      </c>
      <c r="C12079" s="1">
        <v>45257</v>
      </c>
      <c r="D12079" s="1">
        <v>45261</v>
      </c>
      <c r="E12079">
        <v>1</v>
      </c>
      <c r="F12079" t="str">
        <f>"01-M02-00"</f>
        <v>01-M02-00</v>
      </c>
      <c r="G12079">
        <v>5.3973000000000004</v>
      </c>
      <c r="H12079" t="s">
        <v>12</v>
      </c>
      <c r="I12079" t="s">
        <v>10</v>
      </c>
    </row>
    <row r="12080" spans="1:9" x14ac:dyDescent="0.25">
      <c r="A12080" t="str">
        <f t="shared" si="290"/>
        <v>89301000</v>
      </c>
      <c r="B12080" t="str">
        <f>"7555144982"</f>
        <v>7555144982</v>
      </c>
      <c r="C12080" s="1">
        <v>45098</v>
      </c>
      <c r="D12080" s="1">
        <v>45100</v>
      </c>
      <c r="E12080">
        <v>1</v>
      </c>
      <c r="F12080" t="str">
        <f>"08-I24-01"</f>
        <v>08-I24-01</v>
      </c>
      <c r="G12080">
        <v>1.1051</v>
      </c>
      <c r="H12080" t="s">
        <v>11</v>
      </c>
      <c r="I12080" t="s">
        <v>10</v>
      </c>
    </row>
    <row r="12081" spans="1:9" x14ac:dyDescent="0.25">
      <c r="A12081" t="str">
        <f t="shared" si="290"/>
        <v>89301000</v>
      </c>
      <c r="B12081" t="str">
        <f>"7555165794"</f>
        <v>7555165794</v>
      </c>
      <c r="C12081" s="1">
        <v>45224</v>
      </c>
      <c r="D12081" s="1">
        <v>45226</v>
      </c>
      <c r="E12081">
        <v>1</v>
      </c>
      <c r="F12081" t="str">
        <f>"23-I08-00"</f>
        <v>23-I08-00</v>
      </c>
      <c r="G12081">
        <v>0.81740000000000002</v>
      </c>
      <c r="H12081" t="s">
        <v>9</v>
      </c>
      <c r="I12081" t="s">
        <v>10</v>
      </c>
    </row>
    <row r="12082" spans="1:9" x14ac:dyDescent="0.25">
      <c r="A12082" t="str">
        <f t="shared" si="290"/>
        <v>89301000</v>
      </c>
      <c r="B12082" t="str">
        <f>"7555195340"</f>
        <v>7555195340</v>
      </c>
      <c r="C12082" s="1">
        <v>45088</v>
      </c>
      <c r="D12082" s="1">
        <v>45090</v>
      </c>
      <c r="E12082">
        <v>1</v>
      </c>
      <c r="F12082" t="str">
        <f>"08-M03-05"</f>
        <v>08-M03-05</v>
      </c>
      <c r="G12082">
        <v>0.46810000000000002</v>
      </c>
      <c r="H12082" t="s">
        <v>11</v>
      </c>
      <c r="I12082" t="s">
        <v>10</v>
      </c>
    </row>
    <row r="12083" spans="1:9" x14ac:dyDescent="0.25">
      <c r="A12083" t="str">
        <f t="shared" si="290"/>
        <v>89301000</v>
      </c>
      <c r="B12083" t="str">
        <f>"7555215767"</f>
        <v>7555215767</v>
      </c>
      <c r="C12083" s="1">
        <v>45008</v>
      </c>
      <c r="D12083" s="1">
        <v>45012</v>
      </c>
      <c r="E12083">
        <v>1</v>
      </c>
      <c r="F12083" t="str">
        <f>"09-I09-02"</f>
        <v>09-I09-02</v>
      </c>
      <c r="G12083">
        <v>0.76900000000000002</v>
      </c>
      <c r="H12083" t="s">
        <v>12</v>
      </c>
      <c r="I12083" t="s">
        <v>10</v>
      </c>
    </row>
    <row r="12084" spans="1:9" x14ac:dyDescent="0.25">
      <c r="A12084" t="str">
        <f t="shared" si="290"/>
        <v>89301000</v>
      </c>
      <c r="B12084" t="str">
        <f>"7555234467"</f>
        <v>7555234467</v>
      </c>
      <c r="C12084" s="1">
        <v>45196</v>
      </c>
      <c r="D12084" s="1">
        <v>45198</v>
      </c>
      <c r="E12084">
        <v>1</v>
      </c>
      <c r="F12084" t="str">
        <f>"08-K04-03"</f>
        <v>08-K04-03</v>
      </c>
      <c r="G12084">
        <v>0.42399999999999999</v>
      </c>
      <c r="H12084" t="s">
        <v>11</v>
      </c>
      <c r="I12084" t="s">
        <v>10</v>
      </c>
    </row>
    <row r="12085" spans="1:9" x14ac:dyDescent="0.25">
      <c r="A12085" t="str">
        <f t="shared" si="290"/>
        <v>89301000</v>
      </c>
      <c r="B12085" t="str">
        <f>"7555255796"</f>
        <v>7555255796</v>
      </c>
      <c r="C12085" s="1">
        <v>45207</v>
      </c>
      <c r="D12085" s="1">
        <v>45211</v>
      </c>
      <c r="E12085">
        <v>1</v>
      </c>
      <c r="F12085" t="str">
        <f>"10-I13-02"</f>
        <v>10-I13-02</v>
      </c>
      <c r="G12085">
        <v>1.1124000000000001</v>
      </c>
      <c r="H12085" t="s">
        <v>9</v>
      </c>
      <c r="I12085" t="s">
        <v>10</v>
      </c>
    </row>
    <row r="12086" spans="1:9" x14ac:dyDescent="0.25">
      <c r="A12086" t="str">
        <f t="shared" si="290"/>
        <v>89301000</v>
      </c>
      <c r="B12086" t="str">
        <f>"7555285012"</f>
        <v>7555285012</v>
      </c>
      <c r="C12086" s="1">
        <v>45078</v>
      </c>
      <c r="D12086" s="1">
        <v>45082</v>
      </c>
      <c r="E12086">
        <v>1</v>
      </c>
      <c r="F12086" t="str">
        <f>"08-I22-02"</f>
        <v>08-I22-02</v>
      </c>
      <c r="G12086">
        <v>1.131</v>
      </c>
      <c r="H12086" t="s">
        <v>12</v>
      </c>
      <c r="I12086" t="s">
        <v>10</v>
      </c>
    </row>
    <row r="12087" spans="1:9" x14ac:dyDescent="0.25">
      <c r="A12087" t="str">
        <f t="shared" si="290"/>
        <v>89301000</v>
      </c>
      <c r="B12087" t="str">
        <f>"7555314459"</f>
        <v>7555314459</v>
      </c>
      <c r="C12087" s="1">
        <v>45239</v>
      </c>
      <c r="D12087" s="1">
        <v>45240</v>
      </c>
      <c r="E12087">
        <v>1</v>
      </c>
      <c r="F12087" t="str">
        <f>"01-D01-03"</f>
        <v>01-D01-03</v>
      </c>
      <c r="G12087">
        <v>0.16200000000000001</v>
      </c>
      <c r="H12087" t="s">
        <v>11</v>
      </c>
      <c r="I12087" t="s">
        <v>10</v>
      </c>
    </row>
    <row r="12088" spans="1:9" x14ac:dyDescent="0.25">
      <c r="A12088" t="str">
        <f t="shared" si="290"/>
        <v>89301000</v>
      </c>
      <c r="B12088" t="str">
        <f>"7555315306"</f>
        <v>7555315306</v>
      </c>
      <c r="C12088" s="1">
        <v>45117</v>
      </c>
      <c r="D12088" s="1">
        <v>45119</v>
      </c>
      <c r="E12088">
        <v>1</v>
      </c>
      <c r="F12088" t="str">
        <f>"08-M03-05"</f>
        <v>08-M03-05</v>
      </c>
      <c r="G12088">
        <v>0.46810000000000002</v>
      </c>
      <c r="H12088" t="s">
        <v>11</v>
      </c>
      <c r="I12088" t="s">
        <v>10</v>
      </c>
    </row>
    <row r="12089" spans="1:9" x14ac:dyDescent="0.25">
      <c r="A12089" t="str">
        <f t="shared" si="290"/>
        <v>89301000</v>
      </c>
      <c r="B12089" t="str">
        <f>"7556035344"</f>
        <v>7556035344</v>
      </c>
      <c r="C12089" s="1">
        <v>44990</v>
      </c>
      <c r="D12089" s="1">
        <v>44994</v>
      </c>
      <c r="E12089">
        <v>1</v>
      </c>
      <c r="F12089" t="str">
        <f>"06-I22-02"</f>
        <v>06-I22-02</v>
      </c>
      <c r="G12089">
        <v>0.41810000000000003</v>
      </c>
      <c r="H12089" t="s">
        <v>12</v>
      </c>
      <c r="I12089" t="s">
        <v>10</v>
      </c>
    </row>
    <row r="12090" spans="1:9" x14ac:dyDescent="0.25">
      <c r="A12090" t="str">
        <f t="shared" si="290"/>
        <v>89301000</v>
      </c>
      <c r="B12090" t="str">
        <f>"7556085328"</f>
        <v>7556085328</v>
      </c>
      <c r="C12090" s="1">
        <v>45182</v>
      </c>
      <c r="D12090" s="1">
        <v>45183</v>
      </c>
      <c r="E12090">
        <v>1</v>
      </c>
      <c r="F12090" t="str">
        <f>"08-M03-02"</f>
        <v>08-M03-02</v>
      </c>
      <c r="G12090">
        <v>0.91359999999999997</v>
      </c>
      <c r="H12090" t="s">
        <v>11</v>
      </c>
      <c r="I12090" t="s">
        <v>10</v>
      </c>
    </row>
    <row r="12091" spans="1:9" x14ac:dyDescent="0.25">
      <c r="A12091" t="str">
        <f t="shared" si="290"/>
        <v>89301000</v>
      </c>
      <c r="B12091" t="str">
        <f>"7556125302"</f>
        <v>7556125302</v>
      </c>
      <c r="C12091" s="1">
        <v>45126</v>
      </c>
      <c r="D12091" s="1">
        <v>45127</v>
      </c>
      <c r="E12091">
        <v>1</v>
      </c>
      <c r="F12091" t="str">
        <f>"05-D01-08"</f>
        <v>05-D01-08</v>
      </c>
      <c r="G12091">
        <v>0.43159999999999998</v>
      </c>
      <c r="H12091" t="s">
        <v>11</v>
      </c>
      <c r="I12091" t="s">
        <v>10</v>
      </c>
    </row>
    <row r="12092" spans="1:9" x14ac:dyDescent="0.25">
      <c r="A12092" t="str">
        <f t="shared" si="290"/>
        <v>89301000</v>
      </c>
      <c r="B12092" t="str">
        <f>"7556145388"</f>
        <v>7556145388</v>
      </c>
      <c r="C12092" s="1">
        <v>45221</v>
      </c>
      <c r="D12092" s="1">
        <v>45224</v>
      </c>
      <c r="E12092">
        <v>1</v>
      </c>
      <c r="F12092" t="str">
        <f>"01-K10-03"</f>
        <v>01-K10-03</v>
      </c>
      <c r="G12092">
        <v>1.0348999999999999</v>
      </c>
      <c r="H12092" t="s">
        <v>11</v>
      </c>
      <c r="I12092" t="s">
        <v>10</v>
      </c>
    </row>
    <row r="12093" spans="1:9" x14ac:dyDescent="0.25">
      <c r="A12093" t="str">
        <f t="shared" si="290"/>
        <v>89301000</v>
      </c>
      <c r="B12093" t="str">
        <f>"7556164880"</f>
        <v>7556164880</v>
      </c>
      <c r="C12093" s="1">
        <v>45089</v>
      </c>
      <c r="D12093" s="1">
        <v>45097</v>
      </c>
      <c r="E12093">
        <v>1</v>
      </c>
      <c r="F12093" t="str">
        <f>"09-K14-02"</f>
        <v>09-K14-02</v>
      </c>
      <c r="G12093">
        <v>0.50229999999999997</v>
      </c>
      <c r="H12093" t="s">
        <v>11</v>
      </c>
      <c r="I12093" t="s">
        <v>10</v>
      </c>
    </row>
    <row r="12094" spans="1:9" x14ac:dyDescent="0.25">
      <c r="A12094" t="str">
        <f t="shared" si="290"/>
        <v>89301000</v>
      </c>
      <c r="B12094" t="str">
        <f>"7556215304"</f>
        <v>7556215304</v>
      </c>
      <c r="C12094" s="1">
        <v>44970</v>
      </c>
      <c r="D12094" s="1">
        <v>44971</v>
      </c>
      <c r="E12094">
        <v>1</v>
      </c>
      <c r="F12094" t="str">
        <f>"05-I30-02"</f>
        <v>05-I30-02</v>
      </c>
      <c r="G12094">
        <v>0.41699999999999998</v>
      </c>
      <c r="H12094" t="s">
        <v>12</v>
      </c>
      <c r="I12094" t="s">
        <v>10</v>
      </c>
    </row>
    <row r="12095" spans="1:9" x14ac:dyDescent="0.25">
      <c r="A12095" t="str">
        <f t="shared" si="290"/>
        <v>89301000</v>
      </c>
      <c r="B12095" t="str">
        <f>"7556265332"</f>
        <v>7556265332</v>
      </c>
      <c r="C12095" s="1">
        <v>44976</v>
      </c>
      <c r="D12095" s="1">
        <v>44982</v>
      </c>
      <c r="E12095">
        <v>1</v>
      </c>
      <c r="F12095" t="str">
        <f>"13-I11-03"</f>
        <v>13-I11-03</v>
      </c>
      <c r="G12095">
        <v>1.4332</v>
      </c>
      <c r="H12095" t="s">
        <v>9</v>
      </c>
      <c r="I12095" t="s">
        <v>10</v>
      </c>
    </row>
    <row r="12096" spans="1:9" x14ac:dyDescent="0.25">
      <c r="A12096" t="str">
        <f t="shared" si="290"/>
        <v>89301000</v>
      </c>
      <c r="B12096" t="str">
        <f>"7556275320"</f>
        <v>7556275320</v>
      </c>
      <c r="C12096" s="1">
        <v>45082</v>
      </c>
      <c r="D12096" s="1">
        <v>45085</v>
      </c>
      <c r="E12096">
        <v>1</v>
      </c>
      <c r="F12096" t="str">
        <f>"08-M03-05"</f>
        <v>08-M03-05</v>
      </c>
      <c r="G12096">
        <v>0.46910000000000002</v>
      </c>
      <c r="H12096" t="s">
        <v>11</v>
      </c>
      <c r="I12096" t="s">
        <v>10</v>
      </c>
    </row>
    <row r="12097" spans="1:9" x14ac:dyDescent="0.25">
      <c r="A12097" t="str">
        <f t="shared" si="290"/>
        <v>89301000</v>
      </c>
      <c r="B12097" t="str">
        <f>"7556305350"</f>
        <v>7556305350</v>
      </c>
      <c r="C12097" s="1">
        <v>45028</v>
      </c>
      <c r="D12097" s="1">
        <v>45032</v>
      </c>
      <c r="E12097">
        <v>1</v>
      </c>
      <c r="F12097" t="str">
        <f>"09-I08-01"</f>
        <v>09-I08-01</v>
      </c>
      <c r="G12097">
        <v>1.2547999999999999</v>
      </c>
      <c r="H12097" t="s">
        <v>14</v>
      </c>
      <c r="I12097" t="s">
        <v>10</v>
      </c>
    </row>
    <row r="12098" spans="1:9" x14ac:dyDescent="0.25">
      <c r="A12098" t="str">
        <f t="shared" si="290"/>
        <v>89301000</v>
      </c>
      <c r="B12098" t="str">
        <f t="shared" ref="B12098:B12103" si="291">"7557015389"</f>
        <v>7557015389</v>
      </c>
      <c r="C12098" s="1">
        <v>45207</v>
      </c>
      <c r="D12098" s="1">
        <v>45217</v>
      </c>
      <c r="E12098">
        <v>3</v>
      </c>
      <c r="F12098" t="str">
        <f>"10-I05-01"</f>
        <v>10-I05-01</v>
      </c>
      <c r="G12098">
        <v>4.0898000000000003</v>
      </c>
      <c r="H12098" t="s">
        <v>11</v>
      </c>
      <c r="I12098" t="s">
        <v>10</v>
      </c>
    </row>
    <row r="12099" spans="1:9" x14ac:dyDescent="0.25">
      <c r="A12099" t="str">
        <f t="shared" si="290"/>
        <v>89301000</v>
      </c>
      <c r="B12099" t="str">
        <f t="shared" si="291"/>
        <v>7557015389</v>
      </c>
      <c r="C12099" s="1">
        <v>45217</v>
      </c>
      <c r="D12099" s="1">
        <v>45223</v>
      </c>
      <c r="E12099">
        <v>1</v>
      </c>
      <c r="F12099" t="str">
        <f>"24-M05-01"</f>
        <v>24-M05-01</v>
      </c>
      <c r="G12099">
        <v>0.63700000000000001</v>
      </c>
      <c r="H12099" t="s">
        <v>11</v>
      </c>
      <c r="I12099" t="s">
        <v>10</v>
      </c>
    </row>
    <row r="12100" spans="1:9" x14ac:dyDescent="0.25">
      <c r="A12100" t="str">
        <f t="shared" si="290"/>
        <v>89301000</v>
      </c>
      <c r="B12100" t="str">
        <f t="shared" si="291"/>
        <v>7557015389</v>
      </c>
      <c r="C12100" s="1">
        <v>45117</v>
      </c>
      <c r="D12100" s="1">
        <v>45121</v>
      </c>
      <c r="E12100">
        <v>1</v>
      </c>
      <c r="F12100" t="str">
        <f>"10-I08-02"</f>
        <v>10-I08-02</v>
      </c>
      <c r="G12100">
        <v>0.92430000000000001</v>
      </c>
      <c r="H12100" t="s">
        <v>11</v>
      </c>
      <c r="I12100" t="s">
        <v>10</v>
      </c>
    </row>
    <row r="12101" spans="1:9" x14ac:dyDescent="0.25">
      <c r="A12101" t="str">
        <f t="shared" si="290"/>
        <v>89301000</v>
      </c>
      <c r="B12101" t="str">
        <f t="shared" si="291"/>
        <v>7557015389</v>
      </c>
      <c r="C12101" s="1">
        <v>45077</v>
      </c>
      <c r="D12101" s="1">
        <v>45097</v>
      </c>
      <c r="E12101">
        <v>1</v>
      </c>
      <c r="F12101" t="str">
        <f>"18-K01-04"</f>
        <v>18-K01-04</v>
      </c>
      <c r="G12101">
        <v>2.9117000000000002</v>
      </c>
      <c r="H12101" t="s">
        <v>11</v>
      </c>
      <c r="I12101" t="s">
        <v>10</v>
      </c>
    </row>
    <row r="12102" spans="1:9" x14ac:dyDescent="0.25">
      <c r="A12102" t="str">
        <f t="shared" si="290"/>
        <v>89301000</v>
      </c>
      <c r="B12102" t="str">
        <f t="shared" si="291"/>
        <v>7557015389</v>
      </c>
      <c r="C12102" s="1">
        <v>45013</v>
      </c>
      <c r="D12102" s="1">
        <v>45020</v>
      </c>
      <c r="E12102">
        <v>1</v>
      </c>
      <c r="F12102" t="str">
        <f>"10-K03-03"</f>
        <v>10-K03-03</v>
      </c>
      <c r="G12102">
        <v>1.3317000000000001</v>
      </c>
      <c r="H12102" t="s">
        <v>11</v>
      </c>
      <c r="I12102" t="s">
        <v>10</v>
      </c>
    </row>
    <row r="12103" spans="1:9" x14ac:dyDescent="0.25">
      <c r="A12103" t="str">
        <f t="shared" si="290"/>
        <v>89301000</v>
      </c>
      <c r="B12103" t="str">
        <f t="shared" si="291"/>
        <v>7557015389</v>
      </c>
      <c r="C12103" s="1">
        <v>44946</v>
      </c>
      <c r="D12103" s="1">
        <v>44951</v>
      </c>
      <c r="E12103">
        <v>1</v>
      </c>
      <c r="F12103" t="str">
        <f>"10-K04-04"</f>
        <v>10-K04-04</v>
      </c>
      <c r="G12103">
        <v>0.54310000000000003</v>
      </c>
      <c r="H12103" t="s">
        <v>11</v>
      </c>
      <c r="I12103" t="s">
        <v>10</v>
      </c>
    </row>
    <row r="12104" spans="1:9" x14ac:dyDescent="0.25">
      <c r="A12104" t="str">
        <f t="shared" si="290"/>
        <v>89301000</v>
      </c>
      <c r="B12104" t="str">
        <f>"7557024486"</f>
        <v>7557024486</v>
      </c>
      <c r="C12104" s="1">
        <v>45188</v>
      </c>
      <c r="D12104" s="1">
        <v>45190</v>
      </c>
      <c r="E12104">
        <v>1</v>
      </c>
      <c r="F12104" t="str">
        <f>"05-M05-02"</f>
        <v>05-M05-02</v>
      </c>
      <c r="G12104">
        <v>3.4817999999999998</v>
      </c>
      <c r="H12104" t="s">
        <v>14</v>
      </c>
      <c r="I12104" t="s">
        <v>10</v>
      </c>
    </row>
    <row r="12105" spans="1:9" x14ac:dyDescent="0.25">
      <c r="A12105" t="str">
        <f t="shared" si="290"/>
        <v>89301000</v>
      </c>
      <c r="B12105" t="str">
        <f>"7557024486"</f>
        <v>7557024486</v>
      </c>
      <c r="C12105" s="1">
        <v>44985</v>
      </c>
      <c r="D12105" s="1">
        <v>44986</v>
      </c>
      <c r="E12105">
        <v>1</v>
      </c>
      <c r="F12105" t="str">
        <f>"05-M06-08"</f>
        <v>05-M06-08</v>
      </c>
      <c r="G12105">
        <v>1.4228000000000001</v>
      </c>
      <c r="H12105" t="s">
        <v>12</v>
      </c>
      <c r="I12105" t="s">
        <v>10</v>
      </c>
    </row>
    <row r="12106" spans="1:9" x14ac:dyDescent="0.25">
      <c r="A12106" t="str">
        <f t="shared" si="290"/>
        <v>89301000</v>
      </c>
      <c r="B12106" t="str">
        <f>"7557064493"</f>
        <v>7557064493</v>
      </c>
      <c r="C12106" s="1">
        <v>45001</v>
      </c>
      <c r="D12106" s="1">
        <v>45003</v>
      </c>
      <c r="E12106">
        <v>1</v>
      </c>
      <c r="F12106" t="str">
        <f>"05-I30-01"</f>
        <v>05-I30-01</v>
      </c>
      <c r="G12106">
        <v>0.60350000000000004</v>
      </c>
      <c r="H12106" t="s">
        <v>12</v>
      </c>
      <c r="I12106" t="s">
        <v>10</v>
      </c>
    </row>
    <row r="12107" spans="1:9" x14ac:dyDescent="0.25">
      <c r="A12107" t="str">
        <f t="shared" si="290"/>
        <v>89301000</v>
      </c>
      <c r="B12107" t="str">
        <f>"7557114499"</f>
        <v>7557114499</v>
      </c>
      <c r="C12107" s="1">
        <v>45195</v>
      </c>
      <c r="D12107" s="1">
        <v>45199</v>
      </c>
      <c r="E12107">
        <v>1</v>
      </c>
      <c r="F12107" t="str">
        <f>"01-K01-02"</f>
        <v>01-K01-02</v>
      </c>
      <c r="G12107">
        <v>0.442</v>
      </c>
      <c r="H12107" t="s">
        <v>11</v>
      </c>
      <c r="I12107" t="s">
        <v>10</v>
      </c>
    </row>
    <row r="12108" spans="1:9" x14ac:dyDescent="0.25">
      <c r="A12108" t="str">
        <f t="shared" si="290"/>
        <v>89301000</v>
      </c>
      <c r="B12108" t="str">
        <f>"7557115313"</f>
        <v>7557115313</v>
      </c>
      <c r="C12108" s="1">
        <v>45188</v>
      </c>
      <c r="D12108" s="1">
        <v>45190</v>
      </c>
      <c r="E12108">
        <v>1</v>
      </c>
      <c r="F12108" t="str">
        <f>"08-I23-01"</f>
        <v>08-I23-01</v>
      </c>
      <c r="G12108">
        <v>1.6314</v>
      </c>
      <c r="H12108" t="s">
        <v>12</v>
      </c>
      <c r="I12108" t="s">
        <v>10</v>
      </c>
    </row>
    <row r="12109" spans="1:9" x14ac:dyDescent="0.25">
      <c r="A12109" t="str">
        <f t="shared" si="290"/>
        <v>89301000</v>
      </c>
      <c r="B12109" t="str">
        <f>"7557155309"</f>
        <v>7557155309</v>
      </c>
      <c r="C12109" s="1">
        <v>45042</v>
      </c>
      <c r="D12109" s="1">
        <v>45044</v>
      </c>
      <c r="E12109">
        <v>1</v>
      </c>
      <c r="F12109" t="str">
        <f>"08-I23-02"</f>
        <v>08-I23-02</v>
      </c>
      <c r="G12109">
        <v>0.91059999999999997</v>
      </c>
      <c r="H12109" t="s">
        <v>12</v>
      </c>
      <c r="I12109" t="s">
        <v>10</v>
      </c>
    </row>
    <row r="12110" spans="1:9" x14ac:dyDescent="0.25">
      <c r="A12110" t="str">
        <f t="shared" si="290"/>
        <v>89301000</v>
      </c>
      <c r="B12110" t="str">
        <f>"7557195305"</f>
        <v>7557195305</v>
      </c>
      <c r="C12110" s="1">
        <v>45267</v>
      </c>
      <c r="D12110" s="1">
        <v>45281</v>
      </c>
      <c r="E12110">
        <v>1</v>
      </c>
      <c r="F12110" t="str">
        <f>"24-M07-02"</f>
        <v>24-M07-02</v>
      </c>
      <c r="G12110">
        <v>1.5729</v>
      </c>
      <c r="H12110" t="s">
        <v>11</v>
      </c>
      <c r="I12110" t="s">
        <v>10</v>
      </c>
    </row>
    <row r="12111" spans="1:9" x14ac:dyDescent="0.25">
      <c r="A12111" t="str">
        <f t="shared" si="290"/>
        <v>89301000</v>
      </c>
      <c r="B12111" t="str">
        <f>"7557195305"</f>
        <v>7557195305</v>
      </c>
      <c r="C12111" s="1">
        <v>45260</v>
      </c>
      <c r="D12111" s="1">
        <v>45265</v>
      </c>
      <c r="E12111">
        <v>1</v>
      </c>
      <c r="F12111" t="str">
        <f>"08-I03-08"</f>
        <v>08-I03-08</v>
      </c>
      <c r="G12111">
        <v>1.9455</v>
      </c>
      <c r="H12111" t="s">
        <v>9</v>
      </c>
      <c r="I12111" t="s">
        <v>10</v>
      </c>
    </row>
    <row r="12112" spans="1:9" x14ac:dyDescent="0.25">
      <c r="A12112" t="str">
        <f t="shared" si="290"/>
        <v>89301000</v>
      </c>
      <c r="B12112" t="str">
        <f>"7557225104"</f>
        <v>7557225104</v>
      </c>
      <c r="C12112" s="1">
        <v>45099</v>
      </c>
      <c r="D12112" s="1">
        <v>45103</v>
      </c>
      <c r="E12112">
        <v>1</v>
      </c>
      <c r="F12112" t="str">
        <f>"08-K04-01"</f>
        <v>08-K04-01</v>
      </c>
      <c r="G12112">
        <v>0.89059999999999995</v>
      </c>
      <c r="H12112" t="s">
        <v>11</v>
      </c>
      <c r="I12112" t="s">
        <v>10</v>
      </c>
    </row>
    <row r="12113" spans="1:9" x14ac:dyDescent="0.25">
      <c r="A12113" t="str">
        <f t="shared" si="290"/>
        <v>89301000</v>
      </c>
      <c r="B12113" t="str">
        <f>"7557225335"</f>
        <v>7557225335</v>
      </c>
      <c r="C12113" s="1">
        <v>45133</v>
      </c>
      <c r="D12113" s="1">
        <v>45140</v>
      </c>
      <c r="E12113">
        <v>3</v>
      </c>
      <c r="F12113" t="str">
        <f>"01-I06-04"</f>
        <v>01-I06-04</v>
      </c>
      <c r="G12113">
        <v>3.6478999999999999</v>
      </c>
      <c r="H12113" t="s">
        <v>12</v>
      </c>
      <c r="I12113" t="s">
        <v>10</v>
      </c>
    </row>
    <row r="12114" spans="1:9" x14ac:dyDescent="0.25">
      <c r="A12114" t="str">
        <f t="shared" si="290"/>
        <v>89301000</v>
      </c>
      <c r="B12114" t="str">
        <f>"7557225335"</f>
        <v>7557225335</v>
      </c>
      <c r="C12114" s="1">
        <v>45140</v>
      </c>
      <c r="D12114" s="1">
        <v>45159</v>
      </c>
      <c r="E12114">
        <v>1</v>
      </c>
      <c r="F12114" t="str">
        <f>"24-M08-01"</f>
        <v>24-M08-01</v>
      </c>
      <c r="G12114">
        <v>2.024</v>
      </c>
      <c r="H12114" t="s">
        <v>11</v>
      </c>
      <c r="I12114" t="s">
        <v>10</v>
      </c>
    </row>
    <row r="12115" spans="1:9" x14ac:dyDescent="0.25">
      <c r="A12115" t="str">
        <f t="shared" si="290"/>
        <v>89301000</v>
      </c>
      <c r="B12115" t="str">
        <f>"7557295350"</f>
        <v>7557295350</v>
      </c>
      <c r="C12115" s="1">
        <v>45231</v>
      </c>
      <c r="D12115" s="1">
        <v>45237</v>
      </c>
      <c r="E12115">
        <v>1</v>
      </c>
      <c r="F12115" t="str">
        <f>"13-I04-01"</f>
        <v>13-I04-01</v>
      </c>
      <c r="G12115">
        <v>2.8856000000000002</v>
      </c>
      <c r="H12115" t="s">
        <v>14</v>
      </c>
      <c r="I12115" t="s">
        <v>10</v>
      </c>
    </row>
    <row r="12116" spans="1:9" x14ac:dyDescent="0.25">
      <c r="A12116" t="str">
        <f t="shared" si="290"/>
        <v>89301000</v>
      </c>
      <c r="B12116" t="str">
        <f>"7558044472"</f>
        <v>7558044472</v>
      </c>
      <c r="C12116" s="1">
        <v>44948</v>
      </c>
      <c r="D12116" s="1">
        <v>44952</v>
      </c>
      <c r="E12116">
        <v>1</v>
      </c>
      <c r="F12116" t="str">
        <f>"02-I02-01"</f>
        <v>02-I02-01</v>
      </c>
      <c r="G12116">
        <v>1.2369000000000001</v>
      </c>
      <c r="H12116" t="s">
        <v>12</v>
      </c>
      <c r="I12116" t="s">
        <v>10</v>
      </c>
    </row>
    <row r="12117" spans="1:9" x14ac:dyDescent="0.25">
      <c r="A12117" t="str">
        <f t="shared" si="290"/>
        <v>89301000</v>
      </c>
      <c r="B12117" t="str">
        <f>"7558045352"</f>
        <v>7558045352</v>
      </c>
      <c r="C12117" s="1">
        <v>44928</v>
      </c>
      <c r="D12117" s="1">
        <v>44939</v>
      </c>
      <c r="E12117">
        <v>1</v>
      </c>
      <c r="F12117" t="str">
        <f>"24-M06-02"</f>
        <v>24-M06-02</v>
      </c>
      <c r="G12117">
        <v>1.0699000000000001</v>
      </c>
      <c r="H12117" t="s">
        <v>11</v>
      </c>
      <c r="I12117" t="s">
        <v>10</v>
      </c>
    </row>
    <row r="12118" spans="1:9" x14ac:dyDescent="0.25">
      <c r="A12118" t="str">
        <f t="shared" si="290"/>
        <v>89301000</v>
      </c>
      <c r="B12118" t="str">
        <f>"7558055351"</f>
        <v>7558055351</v>
      </c>
      <c r="C12118" s="1">
        <v>45040</v>
      </c>
      <c r="D12118" s="1">
        <v>45042</v>
      </c>
      <c r="E12118">
        <v>1</v>
      </c>
      <c r="F12118" t="str">
        <f>"10-K01-02"</f>
        <v>10-K01-02</v>
      </c>
      <c r="G12118">
        <v>0.62870000000000004</v>
      </c>
      <c r="H12118" t="s">
        <v>11</v>
      </c>
      <c r="I12118" t="s">
        <v>10</v>
      </c>
    </row>
    <row r="12119" spans="1:9" x14ac:dyDescent="0.25">
      <c r="A12119" t="str">
        <f t="shared" si="290"/>
        <v>89301000</v>
      </c>
      <c r="B12119" t="str">
        <f>"7558135398"</f>
        <v>7558135398</v>
      </c>
      <c r="C12119" s="1">
        <v>45026</v>
      </c>
      <c r="D12119" s="1">
        <v>45040</v>
      </c>
      <c r="E12119">
        <v>1</v>
      </c>
      <c r="F12119" t="str">
        <f>"06-I12-03"</f>
        <v>06-I12-03</v>
      </c>
      <c r="G12119">
        <v>1.9540999999999999</v>
      </c>
      <c r="H12119" t="s">
        <v>11</v>
      </c>
      <c r="I12119" t="s">
        <v>10</v>
      </c>
    </row>
    <row r="12120" spans="1:9" x14ac:dyDescent="0.25">
      <c r="A12120" t="str">
        <f t="shared" si="290"/>
        <v>89301000</v>
      </c>
      <c r="B12120" t="str">
        <f>"7558135398"</f>
        <v>7558135398</v>
      </c>
      <c r="C12120" s="1">
        <v>45256</v>
      </c>
      <c r="D12120" s="1">
        <v>45260</v>
      </c>
      <c r="E12120">
        <v>1</v>
      </c>
      <c r="F12120" t="str">
        <f>"06-I17-02"</f>
        <v>06-I17-02</v>
      </c>
      <c r="G12120">
        <v>1.0106999999999999</v>
      </c>
      <c r="H12120" t="s">
        <v>12</v>
      </c>
      <c r="I12120" t="s">
        <v>10</v>
      </c>
    </row>
    <row r="12121" spans="1:9" x14ac:dyDescent="0.25">
      <c r="A12121" t="str">
        <f t="shared" si="290"/>
        <v>89301000</v>
      </c>
      <c r="B12121" t="str">
        <f>"7558135761"</f>
        <v>7558135761</v>
      </c>
      <c r="C12121" s="1">
        <v>45229</v>
      </c>
      <c r="D12121" s="1">
        <v>45232</v>
      </c>
      <c r="E12121">
        <v>1</v>
      </c>
      <c r="F12121" t="str">
        <f>"08-M03-05"</f>
        <v>08-M03-05</v>
      </c>
      <c r="G12121">
        <v>0.46810000000000002</v>
      </c>
      <c r="H12121" t="s">
        <v>11</v>
      </c>
      <c r="I12121" t="s">
        <v>10</v>
      </c>
    </row>
    <row r="12122" spans="1:9" x14ac:dyDescent="0.25">
      <c r="A12122" t="str">
        <f t="shared" si="290"/>
        <v>89301000</v>
      </c>
      <c r="B12122" t="str">
        <f>"7558225356"</f>
        <v>7558225356</v>
      </c>
      <c r="C12122" s="1">
        <v>45216</v>
      </c>
      <c r="D12122" s="1">
        <v>45219</v>
      </c>
      <c r="E12122">
        <v>1</v>
      </c>
      <c r="F12122" t="str">
        <f>"08-M03-05"</f>
        <v>08-M03-05</v>
      </c>
      <c r="G12122">
        <v>0.46810000000000002</v>
      </c>
      <c r="H12122" t="s">
        <v>11</v>
      </c>
      <c r="I12122" t="s">
        <v>10</v>
      </c>
    </row>
    <row r="12123" spans="1:9" x14ac:dyDescent="0.25">
      <c r="A12123" t="str">
        <f t="shared" si="290"/>
        <v>89301000</v>
      </c>
      <c r="B12123" t="str">
        <f>"7558255309"</f>
        <v>7558255309</v>
      </c>
      <c r="C12123" s="1">
        <v>45189</v>
      </c>
      <c r="D12123" s="1">
        <v>45190</v>
      </c>
      <c r="E12123">
        <v>1</v>
      </c>
      <c r="F12123" t="str">
        <f>"05-M03-00"</f>
        <v>05-M03-00</v>
      </c>
      <c r="G12123">
        <v>3.4253999999999998</v>
      </c>
      <c r="H12123" t="s">
        <v>14</v>
      </c>
      <c r="I12123" t="s">
        <v>10</v>
      </c>
    </row>
    <row r="12124" spans="1:9" x14ac:dyDescent="0.25">
      <c r="A12124" t="str">
        <f t="shared" si="290"/>
        <v>89301000</v>
      </c>
      <c r="B12124" t="str">
        <f>"7558255474"</f>
        <v>7558255474</v>
      </c>
      <c r="C12124" s="1">
        <v>45043</v>
      </c>
      <c r="D12124" s="1">
        <v>45053</v>
      </c>
      <c r="E12124">
        <v>7</v>
      </c>
      <c r="F12124" t="str">
        <f>"04-K09-02"</f>
        <v>04-K09-02</v>
      </c>
      <c r="G12124">
        <v>1.155</v>
      </c>
      <c r="H12124" t="s">
        <v>11</v>
      </c>
      <c r="I12124" t="s">
        <v>10</v>
      </c>
    </row>
    <row r="12125" spans="1:9" x14ac:dyDescent="0.25">
      <c r="A12125" t="str">
        <f t="shared" si="290"/>
        <v>89301000</v>
      </c>
      <c r="B12125" t="str">
        <f>"7558255474"</f>
        <v>7558255474</v>
      </c>
      <c r="C12125" s="1">
        <v>44998</v>
      </c>
      <c r="D12125" s="1">
        <v>45008</v>
      </c>
      <c r="E12125">
        <v>1</v>
      </c>
      <c r="F12125" t="str">
        <f>"04-K09-03"</f>
        <v>04-K09-03</v>
      </c>
      <c r="G12125">
        <v>0.65600000000000003</v>
      </c>
      <c r="H12125" t="s">
        <v>11</v>
      </c>
      <c r="I12125" t="s">
        <v>10</v>
      </c>
    </row>
    <row r="12126" spans="1:9" x14ac:dyDescent="0.25">
      <c r="A12126" t="str">
        <f t="shared" si="290"/>
        <v>89301000</v>
      </c>
      <c r="B12126" t="str">
        <f>"7558295371"</f>
        <v>7558295371</v>
      </c>
      <c r="C12126" s="1">
        <v>45017</v>
      </c>
      <c r="D12126" s="1">
        <v>45017</v>
      </c>
      <c r="E12126">
        <v>1</v>
      </c>
      <c r="F12126" t="str">
        <f>"06-K03-03"</f>
        <v>06-K03-03</v>
      </c>
      <c r="G12126">
        <v>0.21329999999999999</v>
      </c>
      <c r="H12126" t="s">
        <v>11</v>
      </c>
      <c r="I12126" t="s">
        <v>10</v>
      </c>
    </row>
    <row r="12127" spans="1:9" x14ac:dyDescent="0.25">
      <c r="A12127" t="str">
        <f t="shared" ref="A12127:A12190" si="292">"89301000"</f>
        <v>89301000</v>
      </c>
      <c r="B12127" t="str">
        <f>"7559034703"</f>
        <v>7559034703</v>
      </c>
      <c r="C12127" s="1">
        <v>44935</v>
      </c>
      <c r="D12127" s="1">
        <v>44936</v>
      </c>
      <c r="E12127">
        <v>1</v>
      </c>
      <c r="F12127" t="str">
        <f>"05-M05-03"</f>
        <v>05-M05-03</v>
      </c>
      <c r="G12127">
        <v>2.0312999999999999</v>
      </c>
      <c r="H12127" t="s">
        <v>14</v>
      </c>
      <c r="I12127" t="s">
        <v>10</v>
      </c>
    </row>
    <row r="12128" spans="1:9" x14ac:dyDescent="0.25">
      <c r="A12128" t="str">
        <f t="shared" si="292"/>
        <v>89301000</v>
      </c>
      <c r="B12128" t="str">
        <f>"7559035341"</f>
        <v>7559035341</v>
      </c>
      <c r="C12128" s="1">
        <v>45017</v>
      </c>
      <c r="D12128" s="1">
        <v>45018</v>
      </c>
      <c r="E12128">
        <v>1</v>
      </c>
      <c r="F12128" t="str">
        <f>"04-K15-03"</f>
        <v>04-K15-03</v>
      </c>
      <c r="G12128">
        <v>0.48670000000000002</v>
      </c>
      <c r="H12128" t="s">
        <v>11</v>
      </c>
      <c r="I12128" t="s">
        <v>10</v>
      </c>
    </row>
    <row r="12129" spans="1:9" x14ac:dyDescent="0.25">
      <c r="A12129" t="str">
        <f t="shared" si="292"/>
        <v>89301000</v>
      </c>
      <c r="B12129" t="str">
        <f>"7559075304"</f>
        <v>7559075304</v>
      </c>
      <c r="C12129" s="1">
        <v>45222</v>
      </c>
      <c r="D12129" s="1">
        <v>45225</v>
      </c>
      <c r="E12129">
        <v>1</v>
      </c>
      <c r="F12129" t="str">
        <f>"05-I30-01"</f>
        <v>05-I30-01</v>
      </c>
      <c r="G12129">
        <v>0.60309999999999997</v>
      </c>
      <c r="H12129" t="s">
        <v>12</v>
      </c>
      <c r="I12129" t="s">
        <v>10</v>
      </c>
    </row>
    <row r="12130" spans="1:9" x14ac:dyDescent="0.25">
      <c r="A12130" t="str">
        <f t="shared" si="292"/>
        <v>89301000</v>
      </c>
      <c r="B12130" t="str">
        <f>"7559125354"</f>
        <v>7559125354</v>
      </c>
      <c r="C12130" s="1">
        <v>45210</v>
      </c>
      <c r="D12130" s="1">
        <v>45212</v>
      </c>
      <c r="E12130">
        <v>1</v>
      </c>
      <c r="F12130" t="str">
        <f>"13-I19-00"</f>
        <v>13-I19-00</v>
      </c>
      <c r="G12130">
        <v>0.36549999999999999</v>
      </c>
      <c r="H12130" t="s">
        <v>11</v>
      </c>
      <c r="I12130" t="s">
        <v>10</v>
      </c>
    </row>
    <row r="12131" spans="1:9" x14ac:dyDescent="0.25">
      <c r="A12131" t="str">
        <f t="shared" si="292"/>
        <v>89301000</v>
      </c>
      <c r="B12131" t="str">
        <f>"7560065359"</f>
        <v>7560065359</v>
      </c>
      <c r="C12131" s="1">
        <v>45179</v>
      </c>
      <c r="D12131" s="1">
        <v>45181</v>
      </c>
      <c r="E12131">
        <v>1</v>
      </c>
      <c r="F12131" t="str">
        <f>"11-K04-02"</f>
        <v>11-K04-02</v>
      </c>
      <c r="G12131">
        <v>0.36730000000000002</v>
      </c>
      <c r="H12131" t="s">
        <v>11</v>
      </c>
      <c r="I12131" t="s">
        <v>10</v>
      </c>
    </row>
    <row r="12132" spans="1:9" x14ac:dyDescent="0.25">
      <c r="A12132" t="str">
        <f t="shared" si="292"/>
        <v>89301000</v>
      </c>
      <c r="B12132" t="str">
        <f>"7560072806"</f>
        <v>7560072806</v>
      </c>
      <c r="C12132" s="1">
        <v>45075</v>
      </c>
      <c r="D12132" s="1">
        <v>45078</v>
      </c>
      <c r="E12132">
        <v>1</v>
      </c>
      <c r="F12132" t="str">
        <f>"13-I14-03"</f>
        <v>13-I14-03</v>
      </c>
      <c r="G12132">
        <v>0.87760000000000005</v>
      </c>
      <c r="H12132" t="s">
        <v>9</v>
      </c>
      <c r="I12132" t="s">
        <v>10</v>
      </c>
    </row>
    <row r="12133" spans="1:9" x14ac:dyDescent="0.25">
      <c r="A12133" t="str">
        <f t="shared" si="292"/>
        <v>89301000</v>
      </c>
      <c r="B12133" t="str">
        <f>"7560095312"</f>
        <v>7560095312</v>
      </c>
      <c r="C12133" s="1">
        <v>44974</v>
      </c>
      <c r="D12133" s="1">
        <v>44978</v>
      </c>
      <c r="E12133">
        <v>1</v>
      </c>
      <c r="F12133" t="str">
        <f>"06-I18-05"</f>
        <v>06-I18-05</v>
      </c>
      <c r="G12133">
        <v>0.82420000000000004</v>
      </c>
      <c r="H12133" t="s">
        <v>9</v>
      </c>
      <c r="I12133" t="s">
        <v>10</v>
      </c>
    </row>
    <row r="12134" spans="1:9" x14ac:dyDescent="0.25">
      <c r="A12134" t="str">
        <f t="shared" si="292"/>
        <v>89301000</v>
      </c>
      <c r="B12134" t="str">
        <f>"7560195753"</f>
        <v>7560195753</v>
      </c>
      <c r="C12134" s="1">
        <v>44966</v>
      </c>
      <c r="D12134" s="1">
        <v>44973</v>
      </c>
      <c r="E12134">
        <v>1</v>
      </c>
      <c r="F12134" t="str">
        <f>"01-K07-03"</f>
        <v>01-K07-03</v>
      </c>
      <c r="G12134">
        <v>0.48680000000000001</v>
      </c>
      <c r="H12134" t="s">
        <v>11</v>
      </c>
      <c r="I12134" t="s">
        <v>10</v>
      </c>
    </row>
    <row r="12135" spans="1:9" x14ac:dyDescent="0.25">
      <c r="A12135" t="str">
        <f t="shared" si="292"/>
        <v>89301000</v>
      </c>
      <c r="B12135" t="str">
        <f>"7560211131"</f>
        <v>7560211131</v>
      </c>
      <c r="C12135" s="1">
        <v>44939</v>
      </c>
      <c r="D12135" s="1">
        <v>44940</v>
      </c>
      <c r="E12135">
        <v>1</v>
      </c>
      <c r="F12135" t="str">
        <f>"01-K05-02"</f>
        <v>01-K05-02</v>
      </c>
      <c r="G12135">
        <v>0.57299999999999995</v>
      </c>
      <c r="H12135" t="s">
        <v>11</v>
      </c>
      <c r="I12135" t="s">
        <v>10</v>
      </c>
    </row>
    <row r="12136" spans="1:9" x14ac:dyDescent="0.25">
      <c r="A12136" t="str">
        <f t="shared" si="292"/>
        <v>89301000</v>
      </c>
      <c r="B12136" t="str">
        <f>"7560225365"</f>
        <v>7560225365</v>
      </c>
      <c r="C12136" s="1">
        <v>44938</v>
      </c>
      <c r="D12136" s="1">
        <v>44940</v>
      </c>
      <c r="E12136">
        <v>1</v>
      </c>
      <c r="F12136" t="str">
        <f>"09-I06-04"</f>
        <v>09-I06-04</v>
      </c>
      <c r="G12136">
        <v>0.98780000000000001</v>
      </c>
      <c r="H12136" t="s">
        <v>12</v>
      </c>
      <c r="I12136" t="s">
        <v>10</v>
      </c>
    </row>
    <row r="12137" spans="1:9" x14ac:dyDescent="0.25">
      <c r="A12137" t="str">
        <f t="shared" si="292"/>
        <v>89301000</v>
      </c>
      <c r="B12137" t="str">
        <f>"7561023822"</f>
        <v>7561023822</v>
      </c>
      <c r="C12137" s="1">
        <v>45082</v>
      </c>
      <c r="D12137" s="1">
        <v>45085</v>
      </c>
      <c r="E12137">
        <v>1</v>
      </c>
      <c r="F12137" t="str">
        <f>"05-I30-02"</f>
        <v>05-I30-02</v>
      </c>
      <c r="G12137">
        <v>0.41699999999999998</v>
      </c>
      <c r="H12137" t="s">
        <v>12</v>
      </c>
      <c r="I12137" t="s">
        <v>10</v>
      </c>
    </row>
    <row r="12138" spans="1:9" x14ac:dyDescent="0.25">
      <c r="A12138" t="str">
        <f t="shared" si="292"/>
        <v>89301000</v>
      </c>
      <c r="B12138" t="str">
        <f>"7561075896"</f>
        <v>7561075896</v>
      </c>
      <c r="C12138" s="1">
        <v>45176</v>
      </c>
      <c r="D12138" s="1">
        <v>45177</v>
      </c>
      <c r="E12138">
        <v>1</v>
      </c>
      <c r="F12138" t="str">
        <f>"08-M03-05"</f>
        <v>08-M03-05</v>
      </c>
      <c r="G12138">
        <v>0.46810000000000002</v>
      </c>
      <c r="H12138" t="s">
        <v>11</v>
      </c>
      <c r="I12138" t="s">
        <v>10</v>
      </c>
    </row>
    <row r="12139" spans="1:9" x14ac:dyDescent="0.25">
      <c r="A12139" t="str">
        <f t="shared" si="292"/>
        <v>89301000</v>
      </c>
      <c r="B12139" t="str">
        <f>"7561084784"</f>
        <v>7561084784</v>
      </c>
      <c r="C12139" s="1">
        <v>45050</v>
      </c>
      <c r="D12139" s="1">
        <v>45051</v>
      </c>
      <c r="E12139">
        <v>1</v>
      </c>
      <c r="F12139" t="str">
        <f>"03-K13-02"</f>
        <v>03-K13-02</v>
      </c>
      <c r="G12139">
        <v>0.24440000000000001</v>
      </c>
      <c r="H12139" t="s">
        <v>11</v>
      </c>
      <c r="I12139" t="s">
        <v>10</v>
      </c>
    </row>
    <row r="12140" spans="1:9" x14ac:dyDescent="0.25">
      <c r="A12140" t="str">
        <f t="shared" si="292"/>
        <v>89301000</v>
      </c>
      <c r="B12140" t="str">
        <f>"7561145317"</f>
        <v>7561145317</v>
      </c>
      <c r="C12140" s="1">
        <v>44948</v>
      </c>
      <c r="D12140" s="1">
        <v>44950</v>
      </c>
      <c r="E12140">
        <v>1</v>
      </c>
      <c r="F12140" t="str">
        <f>"05-M05-03"</f>
        <v>05-M05-03</v>
      </c>
      <c r="G12140">
        <v>2.0312999999999999</v>
      </c>
      <c r="H12140" t="s">
        <v>14</v>
      </c>
      <c r="I12140" t="s">
        <v>10</v>
      </c>
    </row>
    <row r="12141" spans="1:9" x14ac:dyDescent="0.25">
      <c r="A12141" t="str">
        <f t="shared" si="292"/>
        <v>89301000</v>
      </c>
      <c r="B12141" t="str">
        <f>"7561145317"</f>
        <v>7561145317</v>
      </c>
      <c r="C12141" s="1">
        <v>45229</v>
      </c>
      <c r="D12141" s="1">
        <v>45230</v>
      </c>
      <c r="E12141">
        <v>1</v>
      </c>
      <c r="F12141" t="str">
        <f>"05-M05-02"</f>
        <v>05-M05-02</v>
      </c>
      <c r="G12141">
        <v>2.4681999999999999</v>
      </c>
      <c r="H12141" t="s">
        <v>14</v>
      </c>
      <c r="I12141" t="s">
        <v>10</v>
      </c>
    </row>
    <row r="12142" spans="1:9" x14ac:dyDescent="0.25">
      <c r="A12142" t="str">
        <f t="shared" si="292"/>
        <v>89301000</v>
      </c>
      <c r="B12142" t="str">
        <f>"7561145317"</f>
        <v>7561145317</v>
      </c>
      <c r="C12142" s="1">
        <v>45119</v>
      </c>
      <c r="D12142" s="1">
        <v>45124</v>
      </c>
      <c r="E12142">
        <v>1</v>
      </c>
      <c r="F12142" t="str">
        <f>"05-K12-02"</f>
        <v>05-K12-02</v>
      </c>
      <c r="G12142">
        <v>0.50290000000000001</v>
      </c>
      <c r="H12142" t="s">
        <v>11</v>
      </c>
      <c r="I12142" t="s">
        <v>10</v>
      </c>
    </row>
    <row r="12143" spans="1:9" x14ac:dyDescent="0.25">
      <c r="A12143" t="str">
        <f t="shared" si="292"/>
        <v>89301000</v>
      </c>
      <c r="B12143" t="str">
        <f>"7561145768"</f>
        <v>7561145768</v>
      </c>
      <c r="C12143" s="1">
        <v>45057</v>
      </c>
      <c r="D12143" s="1">
        <v>45071</v>
      </c>
      <c r="E12143">
        <v>7</v>
      </c>
      <c r="F12143" t="str">
        <f>"01-K13-01"</f>
        <v>01-K13-01</v>
      </c>
      <c r="G12143">
        <v>1.1157999999999999</v>
      </c>
      <c r="H12143" t="s">
        <v>11</v>
      </c>
      <c r="I12143" t="s">
        <v>10</v>
      </c>
    </row>
    <row r="12144" spans="1:9" x14ac:dyDescent="0.25">
      <c r="A12144" t="str">
        <f t="shared" si="292"/>
        <v>89301000</v>
      </c>
      <c r="B12144" t="str">
        <f>"7561214496"</f>
        <v>7561214496</v>
      </c>
      <c r="C12144" s="1">
        <v>45216</v>
      </c>
      <c r="D12144" s="1">
        <v>45221</v>
      </c>
      <c r="E12144">
        <v>1</v>
      </c>
      <c r="F12144" t="str">
        <f>"13-I11-03"</f>
        <v>13-I11-03</v>
      </c>
      <c r="G12144">
        <v>1.4332</v>
      </c>
      <c r="H12144" t="s">
        <v>9</v>
      </c>
      <c r="I12144" t="s">
        <v>10</v>
      </c>
    </row>
    <row r="12145" spans="1:9" x14ac:dyDescent="0.25">
      <c r="A12145" t="str">
        <f t="shared" si="292"/>
        <v>89301000</v>
      </c>
      <c r="B12145" t="str">
        <f>"7561255328"</f>
        <v>7561255328</v>
      </c>
      <c r="C12145" s="1">
        <v>45231</v>
      </c>
      <c r="D12145" s="1">
        <v>45235</v>
      </c>
      <c r="E12145">
        <v>1</v>
      </c>
      <c r="F12145" t="str">
        <f>"11-M03-02"</f>
        <v>11-M03-02</v>
      </c>
      <c r="G12145">
        <v>1.4410000000000001</v>
      </c>
      <c r="H12145" t="s">
        <v>12</v>
      </c>
      <c r="I12145" t="s">
        <v>10</v>
      </c>
    </row>
    <row r="12146" spans="1:9" x14ac:dyDescent="0.25">
      <c r="A12146" t="str">
        <f t="shared" si="292"/>
        <v>89301000</v>
      </c>
      <c r="B12146" t="str">
        <f>"7562055303"</f>
        <v>7562055303</v>
      </c>
      <c r="C12146" s="1">
        <v>45014</v>
      </c>
      <c r="D12146" s="1">
        <v>45015</v>
      </c>
      <c r="E12146">
        <v>1</v>
      </c>
      <c r="F12146" t="str">
        <f>"11-K03-02"</f>
        <v>11-K03-02</v>
      </c>
      <c r="G12146">
        <v>0.622</v>
      </c>
      <c r="H12146" t="s">
        <v>11</v>
      </c>
      <c r="I12146" t="s">
        <v>10</v>
      </c>
    </row>
    <row r="12147" spans="1:9" x14ac:dyDescent="0.25">
      <c r="A12147" t="str">
        <f t="shared" si="292"/>
        <v>89301000</v>
      </c>
      <c r="B12147" t="str">
        <f>"7562055303"</f>
        <v>7562055303</v>
      </c>
      <c r="C12147" s="1">
        <v>44994</v>
      </c>
      <c r="D12147" s="1">
        <v>44999</v>
      </c>
      <c r="E12147">
        <v>1</v>
      </c>
      <c r="F12147" t="str">
        <f>"11-K03-02"</f>
        <v>11-K03-02</v>
      </c>
      <c r="G12147">
        <v>2.2946</v>
      </c>
      <c r="H12147" t="s">
        <v>11</v>
      </c>
      <c r="I12147" t="s">
        <v>10</v>
      </c>
    </row>
    <row r="12148" spans="1:9" x14ac:dyDescent="0.25">
      <c r="A12148" t="str">
        <f t="shared" si="292"/>
        <v>89301000</v>
      </c>
      <c r="B12148" t="str">
        <f>"7562055303"</f>
        <v>7562055303</v>
      </c>
      <c r="C12148" s="1">
        <v>44977</v>
      </c>
      <c r="D12148" s="1">
        <v>44981</v>
      </c>
      <c r="E12148">
        <v>1</v>
      </c>
      <c r="F12148" t="str">
        <f>"11-M02-05"</f>
        <v>11-M02-05</v>
      </c>
      <c r="G12148">
        <v>3.0617999999999999</v>
      </c>
      <c r="H12148" t="s">
        <v>11</v>
      </c>
      <c r="I12148" t="s">
        <v>10</v>
      </c>
    </row>
    <row r="12149" spans="1:9" x14ac:dyDescent="0.25">
      <c r="A12149" t="str">
        <f t="shared" si="292"/>
        <v>89301000</v>
      </c>
      <c r="B12149" t="str">
        <f>"7562055303"</f>
        <v>7562055303</v>
      </c>
      <c r="C12149" s="1">
        <v>45104</v>
      </c>
      <c r="D12149" s="1">
        <v>45111</v>
      </c>
      <c r="E12149">
        <v>1</v>
      </c>
      <c r="F12149" t="str">
        <f>"11-M02-04"</f>
        <v>11-M02-04</v>
      </c>
      <c r="G12149">
        <v>4.0118999999999998</v>
      </c>
      <c r="H12149" t="s">
        <v>11</v>
      </c>
      <c r="I12149" t="s">
        <v>10</v>
      </c>
    </row>
    <row r="12150" spans="1:9" x14ac:dyDescent="0.25">
      <c r="A12150" t="str">
        <f t="shared" si="292"/>
        <v>89301000</v>
      </c>
      <c r="B12150" t="str">
        <f>"7562068734"</f>
        <v>7562068734</v>
      </c>
      <c r="C12150" s="1">
        <v>45232</v>
      </c>
      <c r="D12150" s="1">
        <v>45236</v>
      </c>
      <c r="E12150">
        <v>1</v>
      </c>
      <c r="F12150" t="str">
        <f>"06-I16-04"</f>
        <v>06-I16-04</v>
      </c>
      <c r="G12150">
        <v>0.68920000000000003</v>
      </c>
      <c r="H12150" t="s">
        <v>9</v>
      </c>
      <c r="I12150" t="s">
        <v>10</v>
      </c>
    </row>
    <row r="12151" spans="1:9" x14ac:dyDescent="0.25">
      <c r="A12151" t="str">
        <f t="shared" si="292"/>
        <v>89301000</v>
      </c>
      <c r="B12151" t="str">
        <f>"7562085322"</f>
        <v>7562085322</v>
      </c>
      <c r="C12151" s="1">
        <v>45223</v>
      </c>
      <c r="D12151" s="1">
        <v>45225</v>
      </c>
      <c r="E12151">
        <v>1</v>
      </c>
      <c r="F12151" t="str">
        <f>"09-I04-02"</f>
        <v>09-I04-02</v>
      </c>
      <c r="G12151">
        <v>1.0899000000000001</v>
      </c>
      <c r="H12151" t="s">
        <v>12</v>
      </c>
      <c r="I12151" t="s">
        <v>10</v>
      </c>
    </row>
    <row r="12152" spans="1:9" x14ac:dyDescent="0.25">
      <c r="A12152" t="str">
        <f t="shared" si="292"/>
        <v>89301000</v>
      </c>
      <c r="B12152" t="str">
        <f>"7562135768"</f>
        <v>7562135768</v>
      </c>
      <c r="C12152" s="1">
        <v>44956</v>
      </c>
      <c r="D12152" s="1">
        <v>44959</v>
      </c>
      <c r="E12152">
        <v>1</v>
      </c>
      <c r="F12152" t="str">
        <f>"08-K02-03"</f>
        <v>08-K02-03</v>
      </c>
      <c r="G12152">
        <v>0.6361</v>
      </c>
      <c r="H12152" t="s">
        <v>11</v>
      </c>
      <c r="I12152" t="s">
        <v>10</v>
      </c>
    </row>
    <row r="12153" spans="1:9" x14ac:dyDescent="0.25">
      <c r="A12153" t="str">
        <f t="shared" si="292"/>
        <v>89301000</v>
      </c>
      <c r="B12153" t="str">
        <f>"7562165622"</f>
        <v>7562165622</v>
      </c>
      <c r="C12153" s="1">
        <v>45092</v>
      </c>
      <c r="D12153" s="1">
        <v>45098</v>
      </c>
      <c r="E12153">
        <v>1</v>
      </c>
      <c r="F12153" t="str">
        <f>"01-K18-04"</f>
        <v>01-K18-04</v>
      </c>
      <c r="G12153">
        <v>0.54610000000000003</v>
      </c>
      <c r="H12153" t="s">
        <v>11</v>
      </c>
      <c r="I12153" t="s">
        <v>10</v>
      </c>
    </row>
    <row r="12154" spans="1:9" x14ac:dyDescent="0.25">
      <c r="A12154" t="str">
        <f t="shared" si="292"/>
        <v>89301000</v>
      </c>
      <c r="B12154" t="str">
        <f>"7562235318"</f>
        <v>7562235318</v>
      </c>
      <c r="C12154" s="1">
        <v>45008</v>
      </c>
      <c r="D12154" s="1">
        <v>45016</v>
      </c>
      <c r="E12154">
        <v>1</v>
      </c>
      <c r="F12154" t="str">
        <f>"07-M02-04"</f>
        <v>07-M02-04</v>
      </c>
      <c r="G12154">
        <v>0.77339999999999998</v>
      </c>
      <c r="H12154" t="s">
        <v>12</v>
      </c>
      <c r="I12154" t="s">
        <v>10</v>
      </c>
    </row>
    <row r="12155" spans="1:9" x14ac:dyDescent="0.25">
      <c r="A12155" t="str">
        <f t="shared" si="292"/>
        <v>89301000</v>
      </c>
      <c r="B12155" t="str">
        <f>"7562235318"</f>
        <v>7562235318</v>
      </c>
      <c r="C12155" s="1">
        <v>45068</v>
      </c>
      <c r="D12155" s="1">
        <v>45075</v>
      </c>
      <c r="E12155">
        <v>1</v>
      </c>
      <c r="F12155" t="str">
        <f>"07-I10-06"</f>
        <v>07-I10-06</v>
      </c>
      <c r="G12155">
        <v>1.0752999999999999</v>
      </c>
      <c r="H12155" t="s">
        <v>12</v>
      </c>
      <c r="I12155" t="s">
        <v>10</v>
      </c>
    </row>
    <row r="12156" spans="1:9" x14ac:dyDescent="0.25">
      <c r="A12156" t="str">
        <f t="shared" si="292"/>
        <v>89301000</v>
      </c>
      <c r="B12156" t="str">
        <f>"7562244844"</f>
        <v>7562244844</v>
      </c>
      <c r="C12156" s="1">
        <v>45047</v>
      </c>
      <c r="D12156" s="1">
        <v>45051</v>
      </c>
      <c r="E12156">
        <v>1</v>
      </c>
      <c r="F12156" t="str">
        <f>"10-I13-02"</f>
        <v>10-I13-02</v>
      </c>
      <c r="G12156">
        <v>1.1124000000000001</v>
      </c>
      <c r="H12156" t="s">
        <v>9</v>
      </c>
      <c r="I12156" t="s">
        <v>10</v>
      </c>
    </row>
    <row r="12157" spans="1:9" x14ac:dyDescent="0.25">
      <c r="A12157" t="str">
        <f t="shared" si="292"/>
        <v>89301000</v>
      </c>
      <c r="B12157" t="str">
        <f>"7562245306"</f>
        <v>7562245306</v>
      </c>
      <c r="C12157" s="1">
        <v>45226</v>
      </c>
      <c r="D12157" s="1">
        <v>45229</v>
      </c>
      <c r="E12157">
        <v>1</v>
      </c>
      <c r="F12157" t="str">
        <f>"01-K03-06"</f>
        <v>01-K03-06</v>
      </c>
      <c r="G12157">
        <v>0.84740000000000004</v>
      </c>
      <c r="H12157" t="s">
        <v>11</v>
      </c>
      <c r="I12157" t="s">
        <v>10</v>
      </c>
    </row>
    <row r="12158" spans="1:9" x14ac:dyDescent="0.25">
      <c r="A12158" t="str">
        <f t="shared" si="292"/>
        <v>89301000</v>
      </c>
      <c r="B12158" t="str">
        <f>"7562255316"</f>
        <v>7562255316</v>
      </c>
      <c r="C12158" s="1">
        <v>45115</v>
      </c>
      <c r="D12158" s="1">
        <v>45123</v>
      </c>
      <c r="E12158">
        <v>1</v>
      </c>
      <c r="F12158" t="str">
        <f>"13-K01-02"</f>
        <v>13-K01-02</v>
      </c>
      <c r="G12158">
        <v>0.48220000000000002</v>
      </c>
      <c r="H12158" t="s">
        <v>11</v>
      </c>
      <c r="I12158" t="s">
        <v>10</v>
      </c>
    </row>
    <row r="12159" spans="1:9" x14ac:dyDescent="0.25">
      <c r="A12159" t="str">
        <f t="shared" si="292"/>
        <v>89301000</v>
      </c>
      <c r="B12159" t="str">
        <f>"7562255316"</f>
        <v>7562255316</v>
      </c>
      <c r="C12159" s="1">
        <v>45110</v>
      </c>
      <c r="D12159" s="1">
        <v>45112</v>
      </c>
      <c r="E12159">
        <v>1</v>
      </c>
      <c r="F12159" t="str">
        <f>"13-I19-00"</f>
        <v>13-I19-00</v>
      </c>
      <c r="G12159">
        <v>0.28249999999999997</v>
      </c>
      <c r="H12159" t="s">
        <v>11</v>
      </c>
      <c r="I12159" t="s">
        <v>10</v>
      </c>
    </row>
    <row r="12160" spans="1:9" x14ac:dyDescent="0.25">
      <c r="A12160" t="str">
        <f t="shared" si="292"/>
        <v>89301000</v>
      </c>
      <c r="B12160" t="str">
        <f>"7562265755"</f>
        <v>7562265755</v>
      </c>
      <c r="C12160" s="1">
        <v>45070</v>
      </c>
      <c r="D12160" s="1">
        <v>45079</v>
      </c>
      <c r="E12160">
        <v>1</v>
      </c>
      <c r="F12160" t="str">
        <f>"24-M06-02"</f>
        <v>24-M06-02</v>
      </c>
      <c r="G12160">
        <v>1.0699000000000001</v>
      </c>
      <c r="H12160" t="s">
        <v>11</v>
      </c>
      <c r="I12160" t="s">
        <v>10</v>
      </c>
    </row>
    <row r="12161" spans="1:9" x14ac:dyDescent="0.25">
      <c r="A12161" t="str">
        <f t="shared" si="292"/>
        <v>89301000</v>
      </c>
      <c r="B12161" t="str">
        <f>"7562275820"</f>
        <v>7562275820</v>
      </c>
      <c r="C12161" s="1">
        <v>45232</v>
      </c>
      <c r="D12161" s="1">
        <v>45236</v>
      </c>
      <c r="E12161">
        <v>1</v>
      </c>
      <c r="F12161" t="str">
        <f>"01-K03-08"</f>
        <v>01-K03-08</v>
      </c>
      <c r="G12161">
        <v>0.38290000000000002</v>
      </c>
      <c r="H12161" t="s">
        <v>11</v>
      </c>
      <c r="I12161" t="s">
        <v>10</v>
      </c>
    </row>
    <row r="12162" spans="1:9" x14ac:dyDescent="0.25">
      <c r="A12162" t="str">
        <f t="shared" si="292"/>
        <v>89301000</v>
      </c>
      <c r="B12162" t="str">
        <f>"7601015763"</f>
        <v>7601015763</v>
      </c>
      <c r="C12162" s="1">
        <v>45273</v>
      </c>
      <c r="D12162" s="1">
        <v>45274</v>
      </c>
      <c r="E12162">
        <v>1</v>
      </c>
      <c r="F12162" t="str">
        <f>"08-I17-02"</f>
        <v>08-I17-02</v>
      </c>
      <c r="G12162">
        <v>0.89680000000000004</v>
      </c>
      <c r="H12162" t="s">
        <v>11</v>
      </c>
      <c r="I12162" t="s">
        <v>10</v>
      </c>
    </row>
    <row r="12163" spans="1:9" x14ac:dyDescent="0.25">
      <c r="A12163" t="str">
        <f t="shared" si="292"/>
        <v>89301000</v>
      </c>
      <c r="B12163" t="str">
        <f>"7601055319"</f>
        <v>7601055319</v>
      </c>
      <c r="C12163" s="1">
        <v>45026</v>
      </c>
      <c r="D12163" s="1">
        <v>45029</v>
      </c>
      <c r="E12163">
        <v>1</v>
      </c>
      <c r="F12163" t="str">
        <f>"08-M03-05"</f>
        <v>08-M03-05</v>
      </c>
      <c r="G12163">
        <v>0.46810000000000002</v>
      </c>
      <c r="H12163" t="s">
        <v>11</v>
      </c>
      <c r="I12163" t="s">
        <v>10</v>
      </c>
    </row>
    <row r="12164" spans="1:9" x14ac:dyDescent="0.25">
      <c r="A12164" t="str">
        <f t="shared" si="292"/>
        <v>89301000</v>
      </c>
      <c r="B12164" t="str">
        <f>"7601081059"</f>
        <v>7601081059</v>
      </c>
      <c r="C12164" s="1">
        <v>44939</v>
      </c>
      <c r="D12164" s="1">
        <v>44942</v>
      </c>
      <c r="E12164">
        <v>1</v>
      </c>
      <c r="F12164" t="str">
        <f>"01-K18-04"</f>
        <v>01-K18-04</v>
      </c>
      <c r="G12164">
        <v>0.54610000000000003</v>
      </c>
      <c r="H12164" t="s">
        <v>11</v>
      </c>
      <c r="I12164" t="s">
        <v>10</v>
      </c>
    </row>
    <row r="12165" spans="1:9" x14ac:dyDescent="0.25">
      <c r="A12165" t="str">
        <f t="shared" si="292"/>
        <v>89301000</v>
      </c>
      <c r="B12165" t="str">
        <f>"7601081059"</f>
        <v>7601081059</v>
      </c>
      <c r="C12165" s="1">
        <v>44994</v>
      </c>
      <c r="D12165" s="1">
        <v>44995</v>
      </c>
      <c r="E12165">
        <v>1</v>
      </c>
      <c r="F12165" t="str">
        <f>"01-K18-04"</f>
        <v>01-K18-04</v>
      </c>
      <c r="G12165">
        <v>0.54610000000000003</v>
      </c>
      <c r="H12165" t="s">
        <v>11</v>
      </c>
      <c r="I12165" t="s">
        <v>10</v>
      </c>
    </row>
    <row r="12166" spans="1:9" x14ac:dyDescent="0.25">
      <c r="A12166" t="str">
        <f t="shared" si="292"/>
        <v>89301000</v>
      </c>
      <c r="B12166" t="str">
        <f>"7601094457"</f>
        <v>7601094457</v>
      </c>
      <c r="C12166" s="1">
        <v>45184</v>
      </c>
      <c r="D12166" s="1">
        <v>45189</v>
      </c>
      <c r="E12166">
        <v>1</v>
      </c>
      <c r="F12166" t="str">
        <f>"02-K11-01"</f>
        <v>02-K11-01</v>
      </c>
      <c r="G12166">
        <v>0.87490000000000001</v>
      </c>
      <c r="H12166" t="s">
        <v>11</v>
      </c>
      <c r="I12166" t="s">
        <v>10</v>
      </c>
    </row>
    <row r="12167" spans="1:9" x14ac:dyDescent="0.25">
      <c r="A12167" t="str">
        <f t="shared" si="292"/>
        <v>89301000</v>
      </c>
      <c r="B12167" t="str">
        <f>"7601184272"</f>
        <v>7601184272</v>
      </c>
      <c r="C12167" s="1">
        <v>45171</v>
      </c>
      <c r="D12167" s="1">
        <v>45177</v>
      </c>
      <c r="E12167">
        <v>1</v>
      </c>
      <c r="F12167" t="str">
        <f>"07-K01-02"</f>
        <v>07-K01-02</v>
      </c>
      <c r="G12167">
        <v>1.0002</v>
      </c>
      <c r="H12167" t="s">
        <v>11</v>
      </c>
      <c r="I12167" t="s">
        <v>10</v>
      </c>
    </row>
    <row r="12168" spans="1:9" x14ac:dyDescent="0.25">
      <c r="A12168" t="str">
        <f t="shared" si="292"/>
        <v>89301000</v>
      </c>
      <c r="B12168" t="str">
        <f>"7601204479"</f>
        <v>7601204479</v>
      </c>
      <c r="C12168" s="1">
        <v>45138</v>
      </c>
      <c r="D12168" s="1">
        <v>45143</v>
      </c>
      <c r="E12168">
        <v>1</v>
      </c>
      <c r="F12168" t="str">
        <f>"08-I03-06"</f>
        <v>08-I03-06</v>
      </c>
      <c r="G12168">
        <v>3.2523</v>
      </c>
      <c r="H12168" t="s">
        <v>9</v>
      </c>
      <c r="I12168" t="s">
        <v>10</v>
      </c>
    </row>
    <row r="12169" spans="1:9" x14ac:dyDescent="0.25">
      <c r="A12169" t="str">
        <f t="shared" si="292"/>
        <v>89301000</v>
      </c>
      <c r="B12169" t="str">
        <f>"7601205392"</f>
        <v>7601205392</v>
      </c>
      <c r="C12169" s="1">
        <v>45245</v>
      </c>
      <c r="D12169" s="1">
        <v>45247</v>
      </c>
      <c r="E12169">
        <v>1</v>
      </c>
      <c r="F12169" t="str">
        <f>"08-M03-05"</f>
        <v>08-M03-05</v>
      </c>
      <c r="G12169">
        <v>0.46810000000000002</v>
      </c>
      <c r="H12169" t="s">
        <v>11</v>
      </c>
      <c r="I12169" t="s">
        <v>10</v>
      </c>
    </row>
    <row r="12170" spans="1:9" x14ac:dyDescent="0.25">
      <c r="A12170" t="str">
        <f t="shared" si="292"/>
        <v>89301000</v>
      </c>
      <c r="B12170" t="str">
        <f>"7602024485"</f>
        <v>7602024485</v>
      </c>
      <c r="C12170" s="1">
        <v>45241</v>
      </c>
      <c r="D12170" s="1">
        <v>45243</v>
      </c>
      <c r="E12170">
        <v>1</v>
      </c>
      <c r="F12170" t="str">
        <f>"08-I03-08"</f>
        <v>08-I03-08</v>
      </c>
      <c r="G12170">
        <v>1.9455</v>
      </c>
      <c r="H12170" t="s">
        <v>9</v>
      </c>
      <c r="I12170" t="s">
        <v>10</v>
      </c>
    </row>
    <row r="12171" spans="1:9" x14ac:dyDescent="0.25">
      <c r="A12171" t="str">
        <f t="shared" si="292"/>
        <v>89301000</v>
      </c>
      <c r="B12171" t="str">
        <f>"7602045407"</f>
        <v>7602045407</v>
      </c>
      <c r="C12171" s="1">
        <v>45253</v>
      </c>
      <c r="D12171" s="1">
        <v>45258</v>
      </c>
      <c r="E12171">
        <v>1</v>
      </c>
      <c r="F12171" t="str">
        <f>"07-I10-06"</f>
        <v>07-I10-06</v>
      </c>
      <c r="G12171">
        <v>0.98419999999999996</v>
      </c>
      <c r="H12171" t="s">
        <v>12</v>
      </c>
      <c r="I12171" t="s">
        <v>10</v>
      </c>
    </row>
    <row r="12172" spans="1:9" x14ac:dyDescent="0.25">
      <c r="A12172" t="str">
        <f t="shared" si="292"/>
        <v>89301000</v>
      </c>
      <c r="B12172" t="str">
        <f>"7602055373"</f>
        <v>7602055373</v>
      </c>
      <c r="C12172" s="1">
        <v>45103</v>
      </c>
      <c r="D12172" s="1">
        <v>45107</v>
      </c>
      <c r="E12172">
        <v>1</v>
      </c>
      <c r="F12172" t="str">
        <f>"06-K20-03"</f>
        <v>06-K20-03</v>
      </c>
      <c r="G12172">
        <v>0.40229999999999999</v>
      </c>
      <c r="H12172" t="s">
        <v>11</v>
      </c>
      <c r="I12172" t="s">
        <v>10</v>
      </c>
    </row>
    <row r="12173" spans="1:9" x14ac:dyDescent="0.25">
      <c r="A12173" t="str">
        <f t="shared" si="292"/>
        <v>89301000</v>
      </c>
      <c r="B12173" t="str">
        <f>"7602213377"</f>
        <v>7602213377</v>
      </c>
      <c r="C12173" s="1">
        <v>45152</v>
      </c>
      <c r="D12173" s="1">
        <v>45153</v>
      </c>
      <c r="E12173">
        <v>1</v>
      </c>
      <c r="F12173" t="str">
        <f>"01-D01-03"</f>
        <v>01-D01-03</v>
      </c>
      <c r="G12173">
        <v>0.16200000000000001</v>
      </c>
      <c r="H12173" t="s">
        <v>11</v>
      </c>
      <c r="I12173" t="s">
        <v>10</v>
      </c>
    </row>
    <row r="12174" spans="1:9" x14ac:dyDescent="0.25">
      <c r="A12174" t="str">
        <f t="shared" si="292"/>
        <v>89301000</v>
      </c>
      <c r="B12174" t="str">
        <f>"7602275362"</f>
        <v>7602275362</v>
      </c>
      <c r="C12174" s="1">
        <v>45027</v>
      </c>
      <c r="D12174" s="1">
        <v>45030</v>
      </c>
      <c r="E12174">
        <v>1</v>
      </c>
      <c r="F12174" t="str">
        <f>"09-K04-02"</f>
        <v>09-K04-02</v>
      </c>
      <c r="G12174">
        <v>0.64849999999999997</v>
      </c>
      <c r="H12174" t="s">
        <v>11</v>
      </c>
      <c r="I12174" t="s">
        <v>10</v>
      </c>
    </row>
    <row r="12175" spans="1:9" x14ac:dyDescent="0.25">
      <c r="A12175" t="str">
        <f t="shared" si="292"/>
        <v>89301000</v>
      </c>
      <c r="B12175" t="str">
        <f>"7603045296"</f>
        <v>7603045296</v>
      </c>
      <c r="C12175" s="1">
        <v>45278</v>
      </c>
      <c r="D12175" s="1">
        <v>45282</v>
      </c>
      <c r="E12175">
        <v>1</v>
      </c>
      <c r="F12175" t="str">
        <f>"20-K02-03"</f>
        <v>20-K02-03</v>
      </c>
      <c r="G12175">
        <v>0.57520000000000004</v>
      </c>
      <c r="H12175" t="s">
        <v>11</v>
      </c>
      <c r="I12175" t="s">
        <v>10</v>
      </c>
    </row>
    <row r="12176" spans="1:9" x14ac:dyDescent="0.25">
      <c r="A12176" t="str">
        <f t="shared" si="292"/>
        <v>89301000</v>
      </c>
      <c r="B12176" t="str">
        <f>"7603050895"</f>
        <v>7603050895</v>
      </c>
      <c r="C12176" s="1">
        <v>45114</v>
      </c>
      <c r="D12176" s="1">
        <v>45114</v>
      </c>
      <c r="E12176">
        <v>1</v>
      </c>
      <c r="F12176" t="str">
        <f>"01-K18-04"</f>
        <v>01-K18-04</v>
      </c>
      <c r="G12176">
        <v>0.27310000000000001</v>
      </c>
      <c r="H12176" t="s">
        <v>11</v>
      </c>
      <c r="I12176" t="s">
        <v>10</v>
      </c>
    </row>
    <row r="12177" spans="1:9" x14ac:dyDescent="0.25">
      <c r="A12177" t="str">
        <f t="shared" si="292"/>
        <v>89301000</v>
      </c>
      <c r="B12177" t="str">
        <f>"7603054470"</f>
        <v>7603054470</v>
      </c>
      <c r="C12177" s="1">
        <v>45062</v>
      </c>
      <c r="D12177" s="1">
        <v>45063</v>
      </c>
      <c r="E12177">
        <v>1</v>
      </c>
      <c r="F12177" t="str">
        <f>"01-D01-03"</f>
        <v>01-D01-03</v>
      </c>
      <c r="G12177">
        <v>0.16200000000000001</v>
      </c>
      <c r="H12177" t="s">
        <v>11</v>
      </c>
      <c r="I12177" t="s">
        <v>10</v>
      </c>
    </row>
    <row r="12178" spans="1:9" x14ac:dyDescent="0.25">
      <c r="A12178" t="str">
        <f t="shared" si="292"/>
        <v>89301000</v>
      </c>
      <c r="B12178" t="str">
        <f>"7603125772"</f>
        <v>7603125772</v>
      </c>
      <c r="C12178" s="1">
        <v>45208</v>
      </c>
      <c r="D12178" s="1">
        <v>45218</v>
      </c>
      <c r="E12178">
        <v>1</v>
      </c>
      <c r="F12178" t="str">
        <f>"08-K08-00"</f>
        <v>08-K08-00</v>
      </c>
      <c r="G12178">
        <v>0.5272</v>
      </c>
      <c r="H12178" t="s">
        <v>11</v>
      </c>
      <c r="I12178" t="s">
        <v>10</v>
      </c>
    </row>
    <row r="12179" spans="1:9" x14ac:dyDescent="0.25">
      <c r="A12179" t="str">
        <f t="shared" si="292"/>
        <v>89301000</v>
      </c>
      <c r="B12179" t="str">
        <f>"7603165779"</f>
        <v>7603165779</v>
      </c>
      <c r="C12179" s="1">
        <v>45138</v>
      </c>
      <c r="D12179" s="1">
        <v>45140</v>
      </c>
      <c r="E12179">
        <v>1</v>
      </c>
      <c r="F12179" t="str">
        <f>"05-M06-06"</f>
        <v>05-M06-06</v>
      </c>
      <c r="G12179">
        <v>1.8264</v>
      </c>
      <c r="H12179" t="s">
        <v>12</v>
      </c>
      <c r="I12179" t="s">
        <v>10</v>
      </c>
    </row>
    <row r="12180" spans="1:9" x14ac:dyDescent="0.25">
      <c r="A12180" t="str">
        <f t="shared" si="292"/>
        <v>89301000</v>
      </c>
      <c r="B12180" t="str">
        <f>"7603255792"</f>
        <v>7603255792</v>
      </c>
      <c r="C12180" s="1">
        <v>45254</v>
      </c>
      <c r="D12180" s="1">
        <v>45257</v>
      </c>
      <c r="E12180">
        <v>1</v>
      </c>
      <c r="F12180" t="str">
        <f>"10-K15-02"</f>
        <v>10-K15-02</v>
      </c>
      <c r="G12180">
        <v>0.66379999999999995</v>
      </c>
      <c r="H12180" t="s">
        <v>11</v>
      </c>
      <c r="I12180" t="s">
        <v>10</v>
      </c>
    </row>
    <row r="12181" spans="1:9" x14ac:dyDescent="0.25">
      <c r="A12181" t="str">
        <f t="shared" si="292"/>
        <v>89301000</v>
      </c>
      <c r="B12181" t="str">
        <f>"7603255792"</f>
        <v>7603255792</v>
      </c>
      <c r="C12181" s="1">
        <v>45174</v>
      </c>
      <c r="D12181" s="1">
        <v>45175</v>
      </c>
      <c r="E12181">
        <v>1</v>
      </c>
      <c r="F12181" t="str">
        <f>"10-K15-02"</f>
        <v>10-K15-02</v>
      </c>
      <c r="G12181">
        <v>0.66379999999999995</v>
      </c>
      <c r="H12181" t="s">
        <v>11</v>
      </c>
      <c r="I12181" t="s">
        <v>10</v>
      </c>
    </row>
    <row r="12182" spans="1:9" x14ac:dyDescent="0.25">
      <c r="A12182" t="str">
        <f t="shared" si="292"/>
        <v>89301000</v>
      </c>
      <c r="B12182" t="str">
        <f>"7603281917"</f>
        <v>7603281917</v>
      </c>
      <c r="C12182" s="1">
        <v>44950</v>
      </c>
      <c r="D12182" s="1">
        <v>44953</v>
      </c>
      <c r="E12182">
        <v>1</v>
      </c>
      <c r="F12182" t="str">
        <f>"08-M03-04"</f>
        <v>08-M03-04</v>
      </c>
      <c r="G12182">
        <v>0.87760000000000005</v>
      </c>
      <c r="H12182" t="s">
        <v>11</v>
      </c>
      <c r="I12182" t="s">
        <v>10</v>
      </c>
    </row>
    <row r="12183" spans="1:9" x14ac:dyDescent="0.25">
      <c r="A12183" t="str">
        <f t="shared" si="292"/>
        <v>89301000</v>
      </c>
      <c r="B12183" t="str">
        <f>"7603295315"</f>
        <v>7603295315</v>
      </c>
      <c r="C12183" s="1">
        <v>44970</v>
      </c>
      <c r="D12183" s="1">
        <v>44973</v>
      </c>
      <c r="E12183">
        <v>1</v>
      </c>
      <c r="F12183" t="str">
        <f>"08-M03-05"</f>
        <v>08-M03-05</v>
      </c>
      <c r="G12183">
        <v>0.46810000000000002</v>
      </c>
      <c r="H12183" t="s">
        <v>11</v>
      </c>
      <c r="I12183" t="s">
        <v>10</v>
      </c>
    </row>
    <row r="12184" spans="1:9" x14ac:dyDescent="0.25">
      <c r="A12184" t="str">
        <f t="shared" si="292"/>
        <v>89301000</v>
      </c>
      <c r="B12184" t="str">
        <f>"7603315302"</f>
        <v>7603315302</v>
      </c>
      <c r="C12184" s="1">
        <v>44952</v>
      </c>
      <c r="D12184" s="1">
        <v>44956</v>
      </c>
      <c r="E12184">
        <v>1</v>
      </c>
      <c r="F12184" t="str">
        <f>"01-K01-02"</f>
        <v>01-K01-02</v>
      </c>
      <c r="G12184">
        <v>0.442</v>
      </c>
      <c r="H12184" t="s">
        <v>11</v>
      </c>
      <c r="I12184" t="s">
        <v>10</v>
      </c>
    </row>
    <row r="12185" spans="1:9" x14ac:dyDescent="0.25">
      <c r="A12185" t="str">
        <f t="shared" si="292"/>
        <v>89301000</v>
      </c>
      <c r="B12185" t="str">
        <f>"7604165360"</f>
        <v>7604165360</v>
      </c>
      <c r="C12185" s="1">
        <v>44980</v>
      </c>
      <c r="D12185" s="1">
        <v>44981</v>
      </c>
      <c r="E12185">
        <v>1</v>
      </c>
      <c r="F12185" t="str">
        <f>"01-D01-03"</f>
        <v>01-D01-03</v>
      </c>
      <c r="G12185">
        <v>0.16200000000000001</v>
      </c>
      <c r="H12185" t="s">
        <v>11</v>
      </c>
      <c r="I12185" t="s">
        <v>10</v>
      </c>
    </row>
    <row r="12186" spans="1:9" x14ac:dyDescent="0.25">
      <c r="A12186" t="str">
        <f t="shared" si="292"/>
        <v>89301000</v>
      </c>
      <c r="B12186" t="str">
        <f>"7604185765"</f>
        <v>7604185765</v>
      </c>
      <c r="C12186" s="1">
        <v>44978</v>
      </c>
      <c r="D12186" s="1">
        <v>44992</v>
      </c>
      <c r="E12186">
        <v>4</v>
      </c>
      <c r="F12186" t="str">
        <f>"10-I08-01"</f>
        <v>10-I08-01</v>
      </c>
      <c r="G12186">
        <v>1.2454000000000001</v>
      </c>
      <c r="H12186" t="s">
        <v>11</v>
      </c>
      <c r="I12186" t="s">
        <v>10</v>
      </c>
    </row>
    <row r="12187" spans="1:9" x14ac:dyDescent="0.25">
      <c r="A12187" t="str">
        <f t="shared" si="292"/>
        <v>89301000</v>
      </c>
      <c r="B12187" t="str">
        <f>"7604205807"</f>
        <v>7604205807</v>
      </c>
      <c r="C12187" s="1">
        <v>45007</v>
      </c>
      <c r="D12187" s="1">
        <v>45012</v>
      </c>
      <c r="E12187">
        <v>1</v>
      </c>
      <c r="F12187" t="str">
        <f>"11-M02-03"</f>
        <v>11-M02-03</v>
      </c>
      <c r="G12187">
        <v>2.6562000000000001</v>
      </c>
      <c r="H12187" t="s">
        <v>11</v>
      </c>
      <c r="I12187" t="s">
        <v>10</v>
      </c>
    </row>
    <row r="12188" spans="1:9" x14ac:dyDescent="0.25">
      <c r="A12188" t="str">
        <f t="shared" si="292"/>
        <v>89301000</v>
      </c>
      <c r="B12188" t="str">
        <f>"7604235078"</f>
        <v>7604235078</v>
      </c>
      <c r="C12188" s="1">
        <v>45263</v>
      </c>
      <c r="D12188" s="1">
        <v>45264</v>
      </c>
      <c r="E12188">
        <v>1</v>
      </c>
      <c r="F12188" t="str">
        <f>"04-K14-03"</f>
        <v>04-K14-03</v>
      </c>
      <c r="G12188">
        <v>0.76</v>
      </c>
      <c r="H12188" t="s">
        <v>11</v>
      </c>
      <c r="I12188" t="s">
        <v>10</v>
      </c>
    </row>
    <row r="12189" spans="1:9" x14ac:dyDescent="0.25">
      <c r="A12189" t="str">
        <f t="shared" si="292"/>
        <v>89301000</v>
      </c>
      <c r="B12189" t="str">
        <f>"7604245341"</f>
        <v>7604245341</v>
      </c>
      <c r="C12189" s="1">
        <v>44941</v>
      </c>
      <c r="D12189" s="1">
        <v>44944</v>
      </c>
      <c r="E12189">
        <v>1</v>
      </c>
      <c r="F12189" t="str">
        <f>"04-K05-03"</f>
        <v>04-K05-03</v>
      </c>
      <c r="G12189">
        <v>0.74039999999999995</v>
      </c>
      <c r="H12189" t="s">
        <v>11</v>
      </c>
      <c r="I12189" t="s">
        <v>10</v>
      </c>
    </row>
    <row r="12190" spans="1:9" x14ac:dyDescent="0.25">
      <c r="A12190" t="str">
        <f t="shared" si="292"/>
        <v>89301000</v>
      </c>
      <c r="B12190" t="str">
        <f>"7604255329"</f>
        <v>7604255329</v>
      </c>
      <c r="C12190" s="1">
        <v>45090</v>
      </c>
      <c r="D12190" s="1">
        <v>45092</v>
      </c>
      <c r="E12190">
        <v>1</v>
      </c>
      <c r="F12190" t="str">
        <f>"01-D01-03"</f>
        <v>01-D01-03</v>
      </c>
      <c r="G12190">
        <v>0.16200000000000001</v>
      </c>
      <c r="H12190" t="s">
        <v>11</v>
      </c>
      <c r="I12190" t="s">
        <v>10</v>
      </c>
    </row>
    <row r="12191" spans="1:9" x14ac:dyDescent="0.25">
      <c r="A12191" t="str">
        <f t="shared" ref="A12191:A12253" si="293">"89301000"</f>
        <v>89301000</v>
      </c>
      <c r="B12191" t="str">
        <f>"7604264195"</f>
        <v>7604264195</v>
      </c>
      <c r="C12191" s="1">
        <v>45206</v>
      </c>
      <c r="D12191" s="1">
        <v>45210</v>
      </c>
      <c r="E12191">
        <v>1</v>
      </c>
      <c r="F12191" t="str">
        <f>"08-I14-02"</f>
        <v>08-I14-02</v>
      </c>
      <c r="G12191">
        <v>1.6909000000000001</v>
      </c>
      <c r="H12191" t="s">
        <v>12</v>
      </c>
      <c r="I12191" t="s">
        <v>10</v>
      </c>
    </row>
    <row r="12192" spans="1:9" x14ac:dyDescent="0.25">
      <c r="A12192" t="str">
        <f t="shared" si="293"/>
        <v>89301000</v>
      </c>
      <c r="B12192" t="str">
        <f>"7604265306"</f>
        <v>7604265306</v>
      </c>
      <c r="C12192" s="1">
        <v>45271</v>
      </c>
      <c r="D12192" s="1">
        <v>45274</v>
      </c>
      <c r="E12192">
        <v>1</v>
      </c>
      <c r="F12192" t="str">
        <f>"07-M02-04"</f>
        <v>07-M02-04</v>
      </c>
      <c r="G12192">
        <v>0.80459999999999998</v>
      </c>
      <c r="H12192" t="s">
        <v>12</v>
      </c>
      <c r="I12192" t="s">
        <v>10</v>
      </c>
    </row>
    <row r="12193" spans="1:9" x14ac:dyDescent="0.25">
      <c r="A12193" t="str">
        <f t="shared" si="293"/>
        <v>89301000</v>
      </c>
      <c r="B12193" t="str">
        <f>"7604265306"</f>
        <v>7604265306</v>
      </c>
      <c r="C12193" s="1">
        <v>45254</v>
      </c>
      <c r="D12193" s="1">
        <v>45265</v>
      </c>
      <c r="E12193">
        <v>1</v>
      </c>
      <c r="F12193" t="str">
        <f>"07-K05-03"</f>
        <v>07-K05-03</v>
      </c>
      <c r="G12193">
        <v>0.56169999999999998</v>
      </c>
      <c r="H12193" t="s">
        <v>11</v>
      </c>
      <c r="I12193" t="s">
        <v>10</v>
      </c>
    </row>
    <row r="12194" spans="1:9" x14ac:dyDescent="0.25">
      <c r="A12194" t="str">
        <f t="shared" si="293"/>
        <v>89301000</v>
      </c>
      <c r="B12194" t="str">
        <f>"7604304510"</f>
        <v>7604304510</v>
      </c>
      <c r="C12194" s="1">
        <v>45256</v>
      </c>
      <c r="D12194" s="1">
        <v>45272</v>
      </c>
      <c r="E12194">
        <v>1</v>
      </c>
      <c r="F12194" t="str">
        <f>"06-I05-02"</f>
        <v>06-I05-02</v>
      </c>
      <c r="G12194">
        <v>6.2107999999999999</v>
      </c>
      <c r="H12194" t="s">
        <v>12</v>
      </c>
      <c r="I12194" t="s">
        <v>10</v>
      </c>
    </row>
    <row r="12195" spans="1:9" x14ac:dyDescent="0.25">
      <c r="A12195" t="str">
        <f t="shared" si="293"/>
        <v>89301000</v>
      </c>
      <c r="B12195" t="str">
        <f>"7604304510"</f>
        <v>7604304510</v>
      </c>
      <c r="C12195" s="1">
        <v>45174</v>
      </c>
      <c r="D12195" s="1">
        <v>45184</v>
      </c>
      <c r="E12195">
        <v>1</v>
      </c>
      <c r="F12195" t="str">
        <f>"06-I05-01"</f>
        <v>06-I05-01</v>
      </c>
      <c r="G12195">
        <v>3.8811</v>
      </c>
      <c r="H12195" t="s">
        <v>12</v>
      </c>
      <c r="I12195" t="s">
        <v>10</v>
      </c>
    </row>
    <row r="12196" spans="1:9" x14ac:dyDescent="0.25">
      <c r="A12196" t="str">
        <f t="shared" si="293"/>
        <v>89301000</v>
      </c>
      <c r="B12196" t="str">
        <f>"7604304510"</f>
        <v>7604304510</v>
      </c>
      <c r="C12196" s="1">
        <v>45065</v>
      </c>
      <c r="D12196" s="1">
        <v>45067</v>
      </c>
      <c r="E12196">
        <v>1</v>
      </c>
      <c r="F12196" t="str">
        <f>"06-C02-03"</f>
        <v>06-C02-03</v>
      </c>
      <c r="G12196">
        <v>0.32650000000000001</v>
      </c>
      <c r="H12196" t="s">
        <v>11</v>
      </c>
      <c r="I12196" t="s">
        <v>10</v>
      </c>
    </row>
    <row r="12197" spans="1:9" x14ac:dyDescent="0.25">
      <c r="A12197" t="str">
        <f t="shared" si="293"/>
        <v>89301000</v>
      </c>
      <c r="B12197" t="str">
        <f>"7605084498"</f>
        <v>7605084498</v>
      </c>
      <c r="C12197" s="1">
        <v>45146</v>
      </c>
      <c r="D12197" s="1">
        <v>45151</v>
      </c>
      <c r="E12197">
        <v>1</v>
      </c>
      <c r="F12197" t="str">
        <f>"03-I07-03"</f>
        <v>03-I07-03</v>
      </c>
      <c r="G12197">
        <v>1.9346000000000001</v>
      </c>
      <c r="H12197" t="s">
        <v>12</v>
      </c>
      <c r="I12197" t="s">
        <v>10</v>
      </c>
    </row>
    <row r="12198" spans="1:9" x14ac:dyDescent="0.25">
      <c r="A12198" t="str">
        <f t="shared" si="293"/>
        <v>89301000</v>
      </c>
      <c r="B12198" t="str">
        <f>"7605104485"</f>
        <v>7605104485</v>
      </c>
      <c r="C12198" s="1">
        <v>44984</v>
      </c>
      <c r="D12198" s="1">
        <v>44992</v>
      </c>
      <c r="E12198">
        <v>1</v>
      </c>
      <c r="F12198" t="str">
        <f>"17-K09-01"</f>
        <v>17-K09-01</v>
      </c>
      <c r="G12198">
        <v>1.9113</v>
      </c>
      <c r="H12198" t="s">
        <v>11</v>
      </c>
      <c r="I12198" t="s">
        <v>10</v>
      </c>
    </row>
    <row r="12199" spans="1:9" x14ac:dyDescent="0.25">
      <c r="A12199" t="str">
        <f t="shared" si="293"/>
        <v>89301000</v>
      </c>
      <c r="B12199" t="str">
        <f>"7605174478"</f>
        <v>7605174478</v>
      </c>
      <c r="C12199" s="1">
        <v>44957</v>
      </c>
      <c r="D12199" s="1">
        <v>44960</v>
      </c>
      <c r="E12199">
        <v>1</v>
      </c>
      <c r="F12199" t="str">
        <f>"19-K02-03"</f>
        <v>19-K02-03</v>
      </c>
      <c r="G12199">
        <v>0.71950000000000003</v>
      </c>
      <c r="H12199" t="s">
        <v>15</v>
      </c>
      <c r="I12199" t="s">
        <v>10</v>
      </c>
    </row>
    <row r="12200" spans="1:9" x14ac:dyDescent="0.25">
      <c r="A12200" t="str">
        <f t="shared" si="293"/>
        <v>89301000</v>
      </c>
      <c r="B12200" t="str">
        <f>"7605174478"</f>
        <v>7605174478</v>
      </c>
      <c r="C12200" s="1">
        <v>44985</v>
      </c>
      <c r="D12200" s="1">
        <v>44985</v>
      </c>
      <c r="E12200">
        <v>1</v>
      </c>
      <c r="F12200" t="str">
        <f>"05-I25-03"</f>
        <v>05-I25-03</v>
      </c>
      <c r="G12200">
        <v>1.3169</v>
      </c>
      <c r="H12200" t="s">
        <v>12</v>
      </c>
      <c r="I12200" t="s">
        <v>10</v>
      </c>
    </row>
    <row r="12201" spans="1:9" x14ac:dyDescent="0.25">
      <c r="A12201" t="str">
        <f t="shared" si="293"/>
        <v>89301000</v>
      </c>
      <c r="B12201" t="str">
        <f>"7605225793"</f>
        <v>7605225793</v>
      </c>
      <c r="C12201" s="1">
        <v>45287</v>
      </c>
      <c r="D12201" s="1">
        <v>45288</v>
      </c>
      <c r="E12201">
        <v>1</v>
      </c>
      <c r="F12201" t="str">
        <f>"12-I08-03"</f>
        <v>12-I08-03</v>
      </c>
      <c r="G12201">
        <v>0.71730000000000005</v>
      </c>
      <c r="H12201" t="s">
        <v>11</v>
      </c>
      <c r="I12201" t="s">
        <v>10</v>
      </c>
    </row>
    <row r="12202" spans="1:9" x14ac:dyDescent="0.25">
      <c r="A12202" t="str">
        <f t="shared" si="293"/>
        <v>89301000</v>
      </c>
      <c r="B12202" t="str">
        <f>"7605225793"</f>
        <v>7605225793</v>
      </c>
      <c r="C12202" s="1">
        <v>45217</v>
      </c>
      <c r="D12202" s="1">
        <v>45218</v>
      </c>
      <c r="E12202">
        <v>1</v>
      </c>
      <c r="F12202" t="str">
        <f>"12-I13-02"</f>
        <v>12-I13-02</v>
      </c>
      <c r="G12202">
        <v>0.53879999999999995</v>
      </c>
      <c r="H12202" t="s">
        <v>9</v>
      </c>
      <c r="I12202" t="s">
        <v>10</v>
      </c>
    </row>
    <row r="12203" spans="1:9" x14ac:dyDescent="0.25">
      <c r="A12203" t="str">
        <f t="shared" si="293"/>
        <v>89301000</v>
      </c>
      <c r="B12203" t="str">
        <f>"7605254426"</f>
        <v>7605254426</v>
      </c>
      <c r="C12203" s="1">
        <v>45001</v>
      </c>
      <c r="D12203" s="1">
        <v>45006</v>
      </c>
      <c r="E12203">
        <v>1</v>
      </c>
      <c r="F12203" t="str">
        <f>"11-I07-01"</f>
        <v>11-I07-01</v>
      </c>
      <c r="G12203">
        <v>2.7482000000000002</v>
      </c>
      <c r="H12203" t="s">
        <v>9</v>
      </c>
      <c r="I12203" t="s">
        <v>10</v>
      </c>
    </row>
    <row r="12204" spans="1:9" x14ac:dyDescent="0.25">
      <c r="A12204" t="str">
        <f t="shared" si="293"/>
        <v>89301000</v>
      </c>
      <c r="B12204" t="str">
        <f>"7605275744"</f>
        <v>7605275744</v>
      </c>
      <c r="C12204" s="1">
        <v>44965</v>
      </c>
      <c r="D12204" s="1">
        <v>44973</v>
      </c>
      <c r="E12204">
        <v>1</v>
      </c>
      <c r="F12204" t="str">
        <f>"08-K08-00"</f>
        <v>08-K08-00</v>
      </c>
      <c r="G12204">
        <v>0.5272</v>
      </c>
      <c r="H12204" t="s">
        <v>11</v>
      </c>
      <c r="I12204" t="s">
        <v>10</v>
      </c>
    </row>
    <row r="12205" spans="1:9" x14ac:dyDescent="0.25">
      <c r="A12205" t="str">
        <f t="shared" si="293"/>
        <v>89301000</v>
      </c>
      <c r="B12205" t="str">
        <f>"7606015307"</f>
        <v>7606015307</v>
      </c>
      <c r="C12205" s="1">
        <v>44993</v>
      </c>
      <c r="D12205" s="1">
        <v>44994</v>
      </c>
      <c r="E12205">
        <v>1</v>
      </c>
      <c r="F12205" t="str">
        <f>"06-I16-04"</f>
        <v>06-I16-04</v>
      </c>
      <c r="G12205">
        <v>0.68920000000000003</v>
      </c>
      <c r="H12205" t="s">
        <v>9</v>
      </c>
      <c r="I12205" t="s">
        <v>10</v>
      </c>
    </row>
    <row r="12206" spans="1:9" x14ac:dyDescent="0.25">
      <c r="A12206" t="str">
        <f t="shared" si="293"/>
        <v>89301000</v>
      </c>
      <c r="B12206" t="str">
        <f>"7606085707"</f>
        <v>7606085707</v>
      </c>
      <c r="C12206" s="1">
        <v>44929</v>
      </c>
      <c r="D12206" s="1">
        <v>44937</v>
      </c>
      <c r="E12206">
        <v>1</v>
      </c>
      <c r="F12206" t="str">
        <f>"06-I05-04"</f>
        <v>06-I05-04</v>
      </c>
      <c r="G12206">
        <v>3.2768999999999999</v>
      </c>
      <c r="H12206" t="s">
        <v>12</v>
      </c>
      <c r="I12206" t="s">
        <v>10</v>
      </c>
    </row>
    <row r="12207" spans="1:9" x14ac:dyDescent="0.25">
      <c r="A12207" t="str">
        <f t="shared" si="293"/>
        <v>89301000</v>
      </c>
      <c r="B12207" t="str">
        <f>"7606085707"</f>
        <v>7606085707</v>
      </c>
      <c r="C12207" s="1">
        <v>45145</v>
      </c>
      <c r="D12207" s="1">
        <v>45154</v>
      </c>
      <c r="E12207">
        <v>1</v>
      </c>
      <c r="F12207" t="str">
        <f>"06-I07-05"</f>
        <v>06-I07-05</v>
      </c>
      <c r="G12207">
        <v>2.7919999999999998</v>
      </c>
      <c r="H12207" t="s">
        <v>12</v>
      </c>
      <c r="I12207" t="s">
        <v>10</v>
      </c>
    </row>
    <row r="12208" spans="1:9" x14ac:dyDescent="0.25">
      <c r="A12208" t="str">
        <f t="shared" si="293"/>
        <v>89301000</v>
      </c>
      <c r="B12208" t="str">
        <f>"7606094628"</f>
        <v>7606094628</v>
      </c>
      <c r="C12208" s="1">
        <v>44907</v>
      </c>
      <c r="D12208" s="1">
        <v>44942</v>
      </c>
      <c r="E12208">
        <v>1</v>
      </c>
      <c r="F12208" t="str">
        <f>"06-I03-00"</f>
        <v>06-I03-00</v>
      </c>
      <c r="G12208">
        <v>9.9413999999999998</v>
      </c>
      <c r="H12208" t="s">
        <v>9</v>
      </c>
      <c r="I12208" t="s">
        <v>10</v>
      </c>
    </row>
    <row r="12209" spans="1:9" x14ac:dyDescent="0.25">
      <c r="A12209" t="str">
        <f t="shared" si="293"/>
        <v>89301000</v>
      </c>
      <c r="B12209" t="str">
        <f>"7606094628"</f>
        <v>7606094628</v>
      </c>
      <c r="C12209" s="1">
        <v>45089</v>
      </c>
      <c r="D12209" s="1">
        <v>45094</v>
      </c>
      <c r="E12209">
        <v>1</v>
      </c>
      <c r="F12209" t="str">
        <f>"06-M01-03"</f>
        <v>06-M01-03</v>
      </c>
      <c r="G12209">
        <v>0.82350000000000001</v>
      </c>
      <c r="H12209" t="s">
        <v>11</v>
      </c>
      <c r="I12209" t="s">
        <v>10</v>
      </c>
    </row>
    <row r="12210" spans="1:9" x14ac:dyDescent="0.25">
      <c r="A12210" t="str">
        <f t="shared" si="293"/>
        <v>89301000</v>
      </c>
      <c r="B12210" t="str">
        <f>"7606094628"</f>
        <v>7606094628</v>
      </c>
      <c r="C12210" s="1">
        <v>45117</v>
      </c>
      <c r="D12210" s="1">
        <v>45123</v>
      </c>
      <c r="E12210">
        <v>1</v>
      </c>
      <c r="F12210" t="str">
        <f>"06-M01-03"</f>
        <v>06-M01-03</v>
      </c>
      <c r="G12210">
        <v>0.82350000000000001</v>
      </c>
      <c r="H12210" t="s">
        <v>11</v>
      </c>
      <c r="I12210" t="s">
        <v>10</v>
      </c>
    </row>
    <row r="12211" spans="1:9" x14ac:dyDescent="0.25">
      <c r="A12211" t="str">
        <f t="shared" si="293"/>
        <v>89301000</v>
      </c>
      <c r="B12211" t="str">
        <f>"7606094628"</f>
        <v>7606094628</v>
      </c>
      <c r="C12211" s="1">
        <v>44970</v>
      </c>
      <c r="D12211" s="1">
        <v>44975</v>
      </c>
      <c r="E12211">
        <v>1</v>
      </c>
      <c r="F12211" t="str">
        <f>"06-M01-03"</f>
        <v>06-M01-03</v>
      </c>
      <c r="G12211">
        <v>0.82350000000000001</v>
      </c>
      <c r="H12211" t="s">
        <v>11</v>
      </c>
      <c r="I12211" t="s">
        <v>10</v>
      </c>
    </row>
    <row r="12212" spans="1:9" x14ac:dyDescent="0.25">
      <c r="A12212" t="str">
        <f t="shared" si="293"/>
        <v>89301000</v>
      </c>
      <c r="B12212" t="str">
        <f>"7606094628"</f>
        <v>7606094628</v>
      </c>
      <c r="C12212" s="1">
        <v>45040</v>
      </c>
      <c r="D12212" s="1">
        <v>45043</v>
      </c>
      <c r="E12212">
        <v>1</v>
      </c>
      <c r="F12212" t="str">
        <f>"06-M01-03"</f>
        <v>06-M01-03</v>
      </c>
      <c r="G12212">
        <v>0.82350000000000001</v>
      </c>
      <c r="H12212" t="s">
        <v>11</v>
      </c>
      <c r="I12212" t="s">
        <v>10</v>
      </c>
    </row>
    <row r="12213" spans="1:9" x14ac:dyDescent="0.25">
      <c r="A12213" t="str">
        <f t="shared" si="293"/>
        <v>89301000</v>
      </c>
      <c r="B12213" t="str">
        <f>"7606185818"</f>
        <v>7606185818</v>
      </c>
      <c r="C12213" s="1">
        <v>45188</v>
      </c>
      <c r="D12213" s="1">
        <v>45203</v>
      </c>
      <c r="E12213">
        <v>1</v>
      </c>
      <c r="F12213" t="str">
        <f>"24-M06-02"</f>
        <v>24-M06-02</v>
      </c>
      <c r="G12213">
        <v>1.0699000000000001</v>
      </c>
      <c r="H12213" t="s">
        <v>11</v>
      </c>
      <c r="I12213" t="s">
        <v>10</v>
      </c>
    </row>
    <row r="12214" spans="1:9" x14ac:dyDescent="0.25">
      <c r="A12214" t="str">
        <f t="shared" si="293"/>
        <v>89301000</v>
      </c>
      <c r="B12214" t="str">
        <f>"7606185818"</f>
        <v>7606185818</v>
      </c>
      <c r="C12214" s="1">
        <v>44977</v>
      </c>
      <c r="D12214" s="1">
        <v>44980</v>
      </c>
      <c r="E12214">
        <v>1</v>
      </c>
      <c r="F12214" t="str">
        <f>"08-I03-06"</f>
        <v>08-I03-06</v>
      </c>
      <c r="G12214">
        <v>2.4329999999999998</v>
      </c>
      <c r="H12214" t="s">
        <v>9</v>
      </c>
      <c r="I12214" t="s">
        <v>10</v>
      </c>
    </row>
    <row r="12215" spans="1:9" x14ac:dyDescent="0.25">
      <c r="A12215" t="str">
        <f t="shared" si="293"/>
        <v>89301000</v>
      </c>
      <c r="B12215" t="str">
        <f>"7606245768"</f>
        <v>7606245768</v>
      </c>
      <c r="C12215" s="1">
        <v>45219</v>
      </c>
      <c r="D12215" s="1">
        <v>45226</v>
      </c>
      <c r="E12215">
        <v>1</v>
      </c>
      <c r="F12215" t="str">
        <f>"18-K01-06"</f>
        <v>18-K01-06</v>
      </c>
      <c r="G12215">
        <v>1.4659</v>
      </c>
      <c r="H12215" t="s">
        <v>11</v>
      </c>
      <c r="I12215" t="s">
        <v>10</v>
      </c>
    </row>
    <row r="12216" spans="1:9" x14ac:dyDescent="0.25">
      <c r="A12216" t="str">
        <f t="shared" si="293"/>
        <v>89301000</v>
      </c>
      <c r="B12216" t="str">
        <f>"7606304475"</f>
        <v>7606304475</v>
      </c>
      <c r="C12216" s="1">
        <v>45091</v>
      </c>
      <c r="D12216" s="1">
        <v>45100</v>
      </c>
      <c r="E12216">
        <v>1</v>
      </c>
      <c r="F12216" t="str">
        <f>"24-M06-02"</f>
        <v>24-M06-02</v>
      </c>
      <c r="G12216">
        <v>1.0699000000000001</v>
      </c>
      <c r="H12216" t="s">
        <v>11</v>
      </c>
      <c r="I12216" t="s">
        <v>10</v>
      </c>
    </row>
    <row r="12217" spans="1:9" x14ac:dyDescent="0.25">
      <c r="A12217" t="str">
        <f t="shared" si="293"/>
        <v>89301000</v>
      </c>
      <c r="B12217" t="str">
        <f>"7607025371"</f>
        <v>7607025371</v>
      </c>
      <c r="C12217" s="1">
        <v>44992</v>
      </c>
      <c r="D12217" s="1">
        <v>44994</v>
      </c>
      <c r="E12217">
        <v>1</v>
      </c>
      <c r="F12217" t="str">
        <f>"04-K07-03"</f>
        <v>04-K07-03</v>
      </c>
      <c r="G12217">
        <v>0.61119999999999997</v>
      </c>
      <c r="H12217" t="s">
        <v>11</v>
      </c>
      <c r="I12217" t="s">
        <v>10</v>
      </c>
    </row>
    <row r="12218" spans="1:9" x14ac:dyDescent="0.25">
      <c r="A12218" t="str">
        <f t="shared" si="293"/>
        <v>89301000</v>
      </c>
      <c r="B12218" t="str">
        <f>"7607093527"</f>
        <v>7607093527</v>
      </c>
      <c r="C12218" s="1">
        <v>45277</v>
      </c>
      <c r="D12218" s="1">
        <v>45281</v>
      </c>
      <c r="E12218">
        <v>1</v>
      </c>
      <c r="F12218" t="str">
        <f>"05-K02-02"</f>
        <v>05-K02-02</v>
      </c>
      <c r="G12218">
        <v>0.77410000000000001</v>
      </c>
      <c r="H12218" t="s">
        <v>11</v>
      </c>
      <c r="I12218" t="s">
        <v>10</v>
      </c>
    </row>
    <row r="12219" spans="1:9" x14ac:dyDescent="0.25">
      <c r="A12219" t="str">
        <f t="shared" si="293"/>
        <v>89301000</v>
      </c>
      <c r="B12219" t="str">
        <f>"7607114867"</f>
        <v>7607114867</v>
      </c>
      <c r="C12219" s="1">
        <v>45145</v>
      </c>
      <c r="D12219" s="1">
        <v>45146</v>
      </c>
      <c r="E12219">
        <v>5</v>
      </c>
      <c r="F12219" t="str">
        <f>"20-K02-03"</f>
        <v>20-K02-03</v>
      </c>
      <c r="G12219">
        <v>0.38350000000000001</v>
      </c>
      <c r="H12219" t="s">
        <v>11</v>
      </c>
      <c r="I12219" t="s">
        <v>10</v>
      </c>
    </row>
    <row r="12220" spans="1:9" x14ac:dyDescent="0.25">
      <c r="A12220" t="str">
        <f t="shared" si="293"/>
        <v>89301000</v>
      </c>
      <c r="B12220" t="str">
        <f>"7607114867"</f>
        <v>7607114867</v>
      </c>
      <c r="C12220" s="1">
        <v>45157</v>
      </c>
      <c r="D12220" s="1">
        <v>45159</v>
      </c>
      <c r="E12220">
        <v>1</v>
      </c>
      <c r="F12220" t="str">
        <f>"09-K01-04"</f>
        <v>09-K01-04</v>
      </c>
      <c r="G12220">
        <v>0.60570000000000002</v>
      </c>
      <c r="H12220" t="s">
        <v>11</v>
      </c>
      <c r="I12220" t="s">
        <v>10</v>
      </c>
    </row>
    <row r="12221" spans="1:9" x14ac:dyDescent="0.25">
      <c r="A12221" t="str">
        <f t="shared" si="293"/>
        <v>89301000</v>
      </c>
      <c r="B12221" t="str">
        <f>"7607114867"</f>
        <v>7607114867</v>
      </c>
      <c r="C12221" s="1">
        <v>45136</v>
      </c>
      <c r="D12221" s="1">
        <v>45138</v>
      </c>
      <c r="E12221">
        <v>1</v>
      </c>
      <c r="F12221" t="str">
        <f>"19-K01-03"</f>
        <v>19-K01-03</v>
      </c>
      <c r="G12221">
        <v>0.55700000000000005</v>
      </c>
      <c r="H12221" t="s">
        <v>15</v>
      </c>
      <c r="I12221" t="s">
        <v>10</v>
      </c>
    </row>
    <row r="12222" spans="1:9" x14ac:dyDescent="0.25">
      <c r="A12222" t="str">
        <f t="shared" si="293"/>
        <v>89301000</v>
      </c>
      <c r="B12222" t="str">
        <f>"7607114867"</f>
        <v>7607114867</v>
      </c>
      <c r="C12222" s="1">
        <v>45036</v>
      </c>
      <c r="D12222" s="1">
        <v>45039</v>
      </c>
      <c r="E12222">
        <v>6</v>
      </c>
      <c r="F12222" t="str">
        <f>"20-K02-03"</f>
        <v>20-K02-03</v>
      </c>
      <c r="G12222">
        <v>0.57520000000000004</v>
      </c>
      <c r="H12222" t="s">
        <v>11</v>
      </c>
      <c r="I12222" t="s">
        <v>10</v>
      </c>
    </row>
    <row r="12223" spans="1:9" x14ac:dyDescent="0.25">
      <c r="A12223" t="str">
        <f t="shared" si="293"/>
        <v>89301000</v>
      </c>
      <c r="B12223" t="str">
        <f>"7607135360"</f>
        <v>7607135360</v>
      </c>
      <c r="C12223" s="1">
        <v>44998</v>
      </c>
      <c r="D12223" s="1">
        <v>44999</v>
      </c>
      <c r="E12223">
        <v>1</v>
      </c>
      <c r="F12223" t="str">
        <f>"08-I32-00"</f>
        <v>08-I32-00</v>
      </c>
      <c r="G12223">
        <v>0.4093</v>
      </c>
      <c r="H12223" t="s">
        <v>11</v>
      </c>
      <c r="I12223" t="s">
        <v>10</v>
      </c>
    </row>
    <row r="12224" spans="1:9" x14ac:dyDescent="0.25">
      <c r="A12224" t="str">
        <f t="shared" si="293"/>
        <v>89301000</v>
      </c>
      <c r="B12224" t="str">
        <f>"7607164466"</f>
        <v>7607164466</v>
      </c>
      <c r="C12224" s="1">
        <v>44979</v>
      </c>
      <c r="D12224" s="1">
        <v>44981</v>
      </c>
      <c r="E12224">
        <v>1</v>
      </c>
      <c r="F12224" t="str">
        <f>"01-D01-03"</f>
        <v>01-D01-03</v>
      </c>
      <c r="G12224">
        <v>0.16200000000000001</v>
      </c>
      <c r="H12224" t="s">
        <v>11</v>
      </c>
      <c r="I12224" t="s">
        <v>10</v>
      </c>
    </row>
    <row r="12225" spans="1:9" x14ac:dyDescent="0.25">
      <c r="A12225" t="str">
        <f t="shared" si="293"/>
        <v>89301000</v>
      </c>
      <c r="B12225" t="str">
        <f>"7607165775"</f>
        <v>7607165775</v>
      </c>
      <c r="C12225" s="1">
        <v>45002</v>
      </c>
      <c r="D12225" s="1">
        <v>45002</v>
      </c>
      <c r="E12225">
        <v>1</v>
      </c>
      <c r="F12225" t="str">
        <f>"11-K03-02"</f>
        <v>11-K03-02</v>
      </c>
      <c r="G12225">
        <v>0.32890000000000003</v>
      </c>
      <c r="H12225" t="s">
        <v>11</v>
      </c>
      <c r="I12225" t="s">
        <v>10</v>
      </c>
    </row>
    <row r="12226" spans="1:9" x14ac:dyDescent="0.25">
      <c r="A12226" t="str">
        <f t="shared" si="293"/>
        <v>89301000</v>
      </c>
      <c r="B12226" t="str">
        <f>"7607185355"</f>
        <v>7607185355</v>
      </c>
      <c r="C12226" s="1">
        <v>45275</v>
      </c>
      <c r="D12226" s="1">
        <v>45281</v>
      </c>
      <c r="E12226">
        <v>1</v>
      </c>
      <c r="F12226" t="str">
        <f>"16-K04-02"</f>
        <v>16-K04-02</v>
      </c>
      <c r="G12226">
        <v>1.0081</v>
      </c>
      <c r="H12226" t="s">
        <v>11</v>
      </c>
      <c r="I12226" t="s">
        <v>10</v>
      </c>
    </row>
    <row r="12227" spans="1:9" x14ac:dyDescent="0.25">
      <c r="A12227" t="str">
        <f t="shared" si="293"/>
        <v>89301000</v>
      </c>
      <c r="B12227" t="str">
        <f>"7607185355"</f>
        <v>7607185355</v>
      </c>
      <c r="C12227" s="1">
        <v>45048</v>
      </c>
      <c r="D12227" s="1">
        <v>45051</v>
      </c>
      <c r="E12227">
        <v>1</v>
      </c>
      <c r="F12227" t="str">
        <f>"16-C03-01"</f>
        <v>16-C03-01</v>
      </c>
      <c r="G12227">
        <v>4.8266999999999998</v>
      </c>
      <c r="H12227" t="s">
        <v>11</v>
      </c>
      <c r="I12227" t="s">
        <v>10</v>
      </c>
    </row>
    <row r="12228" spans="1:9" x14ac:dyDescent="0.25">
      <c r="A12228" t="str">
        <f t="shared" si="293"/>
        <v>89301000</v>
      </c>
      <c r="B12228" t="str">
        <f>"7607185355"</f>
        <v>7607185355</v>
      </c>
      <c r="C12228" s="1">
        <v>45001</v>
      </c>
      <c r="D12228" s="1">
        <v>45007</v>
      </c>
      <c r="E12228">
        <v>1</v>
      </c>
      <c r="F12228" t="str">
        <f>"16-C03-01"</f>
        <v>16-C03-01</v>
      </c>
      <c r="G12228">
        <v>4.8266999999999998</v>
      </c>
      <c r="H12228" t="s">
        <v>11</v>
      </c>
      <c r="I12228" t="s">
        <v>10</v>
      </c>
    </row>
    <row r="12229" spans="1:9" x14ac:dyDescent="0.25">
      <c r="A12229" t="str">
        <f t="shared" si="293"/>
        <v>89301000</v>
      </c>
      <c r="B12229" t="str">
        <f>"7607185355"</f>
        <v>7607185355</v>
      </c>
      <c r="C12229" s="1">
        <v>45172</v>
      </c>
      <c r="D12229" s="1">
        <v>45176</v>
      </c>
      <c r="E12229">
        <v>1</v>
      </c>
      <c r="F12229" t="str">
        <f>"16-C03-01"</f>
        <v>16-C03-01</v>
      </c>
      <c r="G12229">
        <v>4.8266999999999998</v>
      </c>
      <c r="H12229" t="s">
        <v>11</v>
      </c>
      <c r="I12229" t="s">
        <v>10</v>
      </c>
    </row>
    <row r="12230" spans="1:9" x14ac:dyDescent="0.25">
      <c r="A12230" t="str">
        <f t="shared" si="293"/>
        <v>89301000</v>
      </c>
      <c r="B12230" t="str">
        <f>"7607204858"</f>
        <v>7607204858</v>
      </c>
      <c r="C12230" s="1">
        <v>45125</v>
      </c>
      <c r="D12230" s="1">
        <v>45128</v>
      </c>
      <c r="E12230">
        <v>1</v>
      </c>
      <c r="F12230" t="str">
        <f>"09-K01-03"</f>
        <v>09-K01-03</v>
      </c>
      <c r="G12230">
        <v>0.85919999999999996</v>
      </c>
      <c r="H12230" t="s">
        <v>11</v>
      </c>
      <c r="I12230" t="s">
        <v>10</v>
      </c>
    </row>
    <row r="12231" spans="1:9" x14ac:dyDescent="0.25">
      <c r="A12231" t="str">
        <f t="shared" si="293"/>
        <v>89301000</v>
      </c>
      <c r="B12231" t="str">
        <f>"7607215803"</f>
        <v>7607215803</v>
      </c>
      <c r="C12231" s="1">
        <v>44966</v>
      </c>
      <c r="D12231" s="1">
        <v>44968</v>
      </c>
      <c r="E12231">
        <v>1</v>
      </c>
      <c r="F12231" t="str">
        <f>"08-I03-08"</f>
        <v>08-I03-08</v>
      </c>
      <c r="G12231">
        <v>1.9455</v>
      </c>
      <c r="H12231" t="s">
        <v>9</v>
      </c>
      <c r="I12231" t="s">
        <v>10</v>
      </c>
    </row>
    <row r="12232" spans="1:9" x14ac:dyDescent="0.25">
      <c r="A12232" t="str">
        <f t="shared" si="293"/>
        <v>89301000</v>
      </c>
      <c r="B12232" t="str">
        <f>"7607225813"</f>
        <v>7607225813</v>
      </c>
      <c r="C12232" s="1">
        <v>44957</v>
      </c>
      <c r="D12232" s="1">
        <v>44960</v>
      </c>
      <c r="E12232">
        <v>1</v>
      </c>
      <c r="F12232" t="str">
        <f>"08-I13-06"</f>
        <v>08-I13-06</v>
      </c>
      <c r="G12232">
        <v>1.9452</v>
      </c>
      <c r="H12232" t="s">
        <v>12</v>
      </c>
      <c r="I12232" t="s">
        <v>10</v>
      </c>
    </row>
    <row r="12233" spans="1:9" x14ac:dyDescent="0.25">
      <c r="A12233" t="str">
        <f t="shared" si="293"/>
        <v>89301000</v>
      </c>
      <c r="B12233" t="str">
        <f>"7607234613"</f>
        <v>7607234613</v>
      </c>
      <c r="C12233" s="1">
        <v>45027</v>
      </c>
      <c r="D12233" s="1">
        <v>45028</v>
      </c>
      <c r="E12233">
        <v>1</v>
      </c>
      <c r="F12233" t="str">
        <f>"04-K15-03"</f>
        <v>04-K15-03</v>
      </c>
      <c r="G12233">
        <v>0.49790000000000001</v>
      </c>
      <c r="H12233" t="s">
        <v>11</v>
      </c>
      <c r="I12233" t="s">
        <v>10</v>
      </c>
    </row>
    <row r="12234" spans="1:9" x14ac:dyDescent="0.25">
      <c r="A12234" t="str">
        <f t="shared" si="293"/>
        <v>89301000</v>
      </c>
      <c r="B12234" t="str">
        <f>"7607244469"</f>
        <v>7607244469</v>
      </c>
      <c r="C12234" s="1">
        <v>45175</v>
      </c>
      <c r="D12234" s="1">
        <v>45189</v>
      </c>
      <c r="E12234">
        <v>1</v>
      </c>
      <c r="F12234" t="str">
        <f>"18-K02-02"</f>
        <v>18-K02-02</v>
      </c>
      <c r="G12234">
        <v>1.3509</v>
      </c>
      <c r="H12234" t="s">
        <v>11</v>
      </c>
      <c r="I12234" t="s">
        <v>10</v>
      </c>
    </row>
    <row r="12235" spans="1:9" x14ac:dyDescent="0.25">
      <c r="A12235" t="str">
        <f t="shared" si="293"/>
        <v>89301000</v>
      </c>
      <c r="B12235" t="str">
        <f>"7608019034"</f>
        <v>7608019034</v>
      </c>
      <c r="C12235" s="1">
        <v>45100</v>
      </c>
      <c r="D12235" s="1">
        <v>45101</v>
      </c>
      <c r="E12235">
        <v>1</v>
      </c>
      <c r="F12235" t="str">
        <f>"05-I14-04"</f>
        <v>05-I14-04</v>
      </c>
      <c r="G12235">
        <v>5.2220000000000004</v>
      </c>
      <c r="H12235" t="s">
        <v>12</v>
      </c>
      <c r="I12235" t="s">
        <v>10</v>
      </c>
    </row>
    <row r="12236" spans="1:9" x14ac:dyDescent="0.25">
      <c r="A12236" t="str">
        <f t="shared" si="293"/>
        <v>89301000</v>
      </c>
      <c r="B12236" t="str">
        <f>"7608025326"</f>
        <v>7608025326</v>
      </c>
      <c r="C12236" s="1">
        <v>45206</v>
      </c>
      <c r="D12236" s="1">
        <v>45209</v>
      </c>
      <c r="E12236">
        <v>1</v>
      </c>
      <c r="F12236" t="str">
        <f>"04-K13-01"</f>
        <v>04-K13-01</v>
      </c>
      <c r="G12236">
        <v>0.68720000000000003</v>
      </c>
      <c r="H12236" t="s">
        <v>11</v>
      </c>
      <c r="I12236" t="s">
        <v>10</v>
      </c>
    </row>
    <row r="12237" spans="1:9" x14ac:dyDescent="0.25">
      <c r="A12237" t="str">
        <f t="shared" si="293"/>
        <v>89301000</v>
      </c>
      <c r="B12237" t="str">
        <f>"7608055323"</f>
        <v>7608055323</v>
      </c>
      <c r="C12237" s="1">
        <v>45084</v>
      </c>
      <c r="D12237" s="1">
        <v>45089</v>
      </c>
      <c r="E12237">
        <v>1</v>
      </c>
      <c r="F12237" t="str">
        <f>"20-K03-03"</f>
        <v>20-K03-03</v>
      </c>
      <c r="G12237">
        <v>0.94020000000000004</v>
      </c>
      <c r="H12237" t="s">
        <v>11</v>
      </c>
      <c r="I12237" t="s">
        <v>10</v>
      </c>
    </row>
    <row r="12238" spans="1:9" x14ac:dyDescent="0.25">
      <c r="A12238" t="str">
        <f t="shared" si="293"/>
        <v>89301000</v>
      </c>
      <c r="B12238" t="str">
        <f>"7608175806"</f>
        <v>7608175806</v>
      </c>
      <c r="C12238" s="1">
        <v>45076</v>
      </c>
      <c r="D12238" s="1">
        <v>45077</v>
      </c>
      <c r="E12238">
        <v>1</v>
      </c>
      <c r="F12238" t="str">
        <f>"05-M06-08"</f>
        <v>05-M06-08</v>
      </c>
      <c r="G12238">
        <v>1.4228000000000001</v>
      </c>
      <c r="H12238" t="s">
        <v>12</v>
      </c>
      <c r="I12238" t="s">
        <v>10</v>
      </c>
    </row>
    <row r="12239" spans="1:9" x14ac:dyDescent="0.25">
      <c r="A12239" t="str">
        <f t="shared" si="293"/>
        <v>89301000</v>
      </c>
      <c r="B12239" t="str">
        <f>"7608212645"</f>
        <v>7608212645</v>
      </c>
      <c r="C12239" s="1">
        <v>44996</v>
      </c>
      <c r="D12239" s="1">
        <v>45002</v>
      </c>
      <c r="E12239">
        <v>1</v>
      </c>
      <c r="F12239" t="str">
        <f>"16-K02-01"</f>
        <v>16-K02-01</v>
      </c>
      <c r="G12239">
        <v>1.3922000000000001</v>
      </c>
      <c r="H12239" t="s">
        <v>11</v>
      </c>
      <c r="I12239" t="s">
        <v>10</v>
      </c>
    </row>
    <row r="12240" spans="1:9" x14ac:dyDescent="0.25">
      <c r="A12240" t="str">
        <f t="shared" si="293"/>
        <v>89301000</v>
      </c>
      <c r="B12240" t="str">
        <f>"7608235338"</f>
        <v>7608235338</v>
      </c>
      <c r="C12240" s="1">
        <v>44979</v>
      </c>
      <c r="D12240" s="1">
        <v>44981</v>
      </c>
      <c r="E12240">
        <v>1</v>
      </c>
      <c r="F12240" t="str">
        <f>"08-I23-02"</f>
        <v>08-I23-02</v>
      </c>
      <c r="G12240">
        <v>0.91059999999999997</v>
      </c>
      <c r="H12240" t="s">
        <v>12</v>
      </c>
      <c r="I12240" t="s">
        <v>10</v>
      </c>
    </row>
    <row r="12241" spans="1:9" x14ac:dyDescent="0.25">
      <c r="A12241" t="str">
        <f t="shared" si="293"/>
        <v>89301000</v>
      </c>
      <c r="B12241" t="str">
        <f>"7608245326"</f>
        <v>7608245326</v>
      </c>
      <c r="C12241" s="1">
        <v>45211</v>
      </c>
      <c r="D12241" s="1">
        <v>45212</v>
      </c>
      <c r="E12241">
        <v>1</v>
      </c>
      <c r="F12241" t="str">
        <f>"03-I14-02"</f>
        <v>03-I14-02</v>
      </c>
      <c r="G12241">
        <v>1.0793999999999999</v>
      </c>
      <c r="H12241" t="s">
        <v>11</v>
      </c>
      <c r="I12241" t="s">
        <v>10</v>
      </c>
    </row>
    <row r="12242" spans="1:9" x14ac:dyDescent="0.25">
      <c r="A12242" t="str">
        <f t="shared" si="293"/>
        <v>89301000</v>
      </c>
      <c r="B12242" t="str">
        <f>"7609035335"</f>
        <v>7609035335</v>
      </c>
      <c r="C12242" s="1">
        <v>44942</v>
      </c>
      <c r="D12242" s="1">
        <v>44944</v>
      </c>
      <c r="E12242">
        <v>1</v>
      </c>
      <c r="F12242" t="str">
        <f>"03-I24-00"</f>
        <v>03-I24-00</v>
      </c>
      <c r="G12242">
        <v>0.40670000000000001</v>
      </c>
      <c r="H12242" t="s">
        <v>11</v>
      </c>
      <c r="I12242" t="s">
        <v>10</v>
      </c>
    </row>
    <row r="12243" spans="1:9" x14ac:dyDescent="0.25">
      <c r="A12243" t="str">
        <f t="shared" si="293"/>
        <v>89301000</v>
      </c>
      <c r="B12243" t="str">
        <f>"7609044465"</f>
        <v>7609044465</v>
      </c>
      <c r="C12243" s="1">
        <v>45173</v>
      </c>
      <c r="D12243" s="1">
        <v>45174</v>
      </c>
      <c r="E12243">
        <v>1</v>
      </c>
      <c r="F12243" t="str">
        <f>"01-D01-03"</f>
        <v>01-D01-03</v>
      </c>
      <c r="G12243">
        <v>0.16200000000000001</v>
      </c>
      <c r="H12243" t="s">
        <v>11</v>
      </c>
      <c r="I12243" t="s">
        <v>10</v>
      </c>
    </row>
    <row r="12244" spans="1:9" x14ac:dyDescent="0.25">
      <c r="A12244" t="str">
        <f t="shared" si="293"/>
        <v>89301000</v>
      </c>
      <c r="B12244" t="str">
        <f>"7609135303"</f>
        <v>7609135303</v>
      </c>
      <c r="C12244" s="1">
        <v>44953</v>
      </c>
      <c r="D12244" s="1">
        <v>44956</v>
      </c>
      <c r="E12244">
        <v>1</v>
      </c>
      <c r="F12244" t="str">
        <f>"01-D01-03"</f>
        <v>01-D01-03</v>
      </c>
      <c r="G12244">
        <v>0.21060000000000001</v>
      </c>
      <c r="H12244" t="s">
        <v>11</v>
      </c>
      <c r="I12244" t="s">
        <v>10</v>
      </c>
    </row>
    <row r="12245" spans="1:9" x14ac:dyDescent="0.25">
      <c r="A12245" t="str">
        <f t="shared" si="293"/>
        <v>89301000</v>
      </c>
      <c r="B12245" t="str">
        <f>"7609184682"</f>
        <v>7609184682</v>
      </c>
      <c r="C12245" s="1">
        <v>45277</v>
      </c>
      <c r="D12245" s="1">
        <v>45282</v>
      </c>
      <c r="E12245">
        <v>1</v>
      </c>
      <c r="F12245" t="str">
        <f>"08-I05-04"</f>
        <v>08-I05-04</v>
      </c>
      <c r="G12245">
        <v>2.4445000000000001</v>
      </c>
      <c r="H12245" t="s">
        <v>12</v>
      </c>
      <c r="I12245" t="s">
        <v>10</v>
      </c>
    </row>
    <row r="12246" spans="1:9" x14ac:dyDescent="0.25">
      <c r="A12246" t="str">
        <f t="shared" si="293"/>
        <v>89301000</v>
      </c>
      <c r="B12246" t="str">
        <f>"7609275344"</f>
        <v>7609275344</v>
      </c>
      <c r="C12246" s="1">
        <v>44993</v>
      </c>
      <c r="D12246" s="1">
        <v>45000</v>
      </c>
      <c r="E12246">
        <v>1</v>
      </c>
      <c r="F12246" t="str">
        <f>"06-I16-01"</f>
        <v>06-I16-01</v>
      </c>
      <c r="G12246">
        <v>1.726</v>
      </c>
      <c r="H12246" t="s">
        <v>9</v>
      </c>
      <c r="I12246" t="s">
        <v>10</v>
      </c>
    </row>
    <row r="12247" spans="1:9" x14ac:dyDescent="0.25">
      <c r="A12247" t="str">
        <f t="shared" si="293"/>
        <v>89301000</v>
      </c>
      <c r="B12247" t="str">
        <f>"7609275344"</f>
        <v>7609275344</v>
      </c>
      <c r="C12247" s="1">
        <v>45061</v>
      </c>
      <c r="D12247" s="1">
        <v>45064</v>
      </c>
      <c r="E12247">
        <v>1</v>
      </c>
      <c r="F12247" t="str">
        <f>"06-I16-04"</f>
        <v>06-I16-04</v>
      </c>
      <c r="G12247">
        <v>0.68920000000000003</v>
      </c>
      <c r="H12247" t="s">
        <v>9</v>
      </c>
      <c r="I12247" t="s">
        <v>10</v>
      </c>
    </row>
    <row r="12248" spans="1:9" x14ac:dyDescent="0.25">
      <c r="A12248" t="str">
        <f t="shared" si="293"/>
        <v>89301000</v>
      </c>
      <c r="B12248" t="str">
        <f>"7609284474"</f>
        <v>7609284474</v>
      </c>
      <c r="C12248" s="1">
        <v>44971</v>
      </c>
      <c r="D12248" s="1">
        <v>44973</v>
      </c>
      <c r="E12248">
        <v>1</v>
      </c>
      <c r="F12248" t="str">
        <f>"08-I25-02"</f>
        <v>08-I25-02</v>
      </c>
      <c r="G12248">
        <v>0.55279999999999996</v>
      </c>
      <c r="H12248" t="s">
        <v>11</v>
      </c>
      <c r="I12248" t="s">
        <v>10</v>
      </c>
    </row>
    <row r="12249" spans="1:9" x14ac:dyDescent="0.25">
      <c r="A12249" t="str">
        <f t="shared" si="293"/>
        <v>89301000</v>
      </c>
      <c r="B12249" t="str">
        <f>"7610015336"</f>
        <v>7610015336</v>
      </c>
      <c r="C12249" s="1">
        <v>45145</v>
      </c>
      <c r="D12249" s="1">
        <v>45153</v>
      </c>
      <c r="E12249">
        <v>1</v>
      </c>
      <c r="F12249" t="str">
        <f>"07-K03-02"</f>
        <v>07-K03-02</v>
      </c>
      <c r="G12249">
        <v>0.48620000000000002</v>
      </c>
      <c r="H12249" t="s">
        <v>11</v>
      </c>
      <c r="I12249" t="s">
        <v>10</v>
      </c>
    </row>
    <row r="12250" spans="1:9" x14ac:dyDescent="0.25">
      <c r="A12250" t="str">
        <f t="shared" si="293"/>
        <v>89301000</v>
      </c>
      <c r="B12250" t="str">
        <f>"7610025764"</f>
        <v>7610025764</v>
      </c>
      <c r="C12250" s="1">
        <v>44952</v>
      </c>
      <c r="D12250" s="1">
        <v>44953</v>
      </c>
      <c r="E12250">
        <v>1</v>
      </c>
      <c r="F12250" t="str">
        <f>"03-K13-02"</f>
        <v>03-K13-02</v>
      </c>
      <c r="G12250">
        <v>0.24440000000000001</v>
      </c>
      <c r="H12250" t="s">
        <v>11</v>
      </c>
      <c r="I12250" t="s">
        <v>10</v>
      </c>
    </row>
    <row r="12251" spans="1:9" x14ac:dyDescent="0.25">
      <c r="A12251" t="str">
        <f t="shared" si="293"/>
        <v>89301000</v>
      </c>
      <c r="B12251" t="str">
        <f>"7610045355"</f>
        <v>7610045355</v>
      </c>
      <c r="C12251" s="1">
        <v>44941</v>
      </c>
      <c r="D12251" s="1">
        <v>44943</v>
      </c>
      <c r="E12251">
        <v>1</v>
      </c>
      <c r="F12251" t="str">
        <f>"08-I32-00"</f>
        <v>08-I32-00</v>
      </c>
      <c r="G12251">
        <v>0.4093</v>
      </c>
      <c r="H12251" t="s">
        <v>11</v>
      </c>
      <c r="I12251" t="s">
        <v>10</v>
      </c>
    </row>
    <row r="12252" spans="1:9" x14ac:dyDescent="0.25">
      <c r="A12252" t="str">
        <f t="shared" si="293"/>
        <v>89301000</v>
      </c>
      <c r="B12252" t="str">
        <f>"7610309047"</f>
        <v>7610309047</v>
      </c>
      <c r="C12252" s="1">
        <v>45040</v>
      </c>
      <c r="D12252" s="1">
        <v>45043</v>
      </c>
      <c r="E12252">
        <v>1</v>
      </c>
      <c r="F12252" t="str">
        <f>"12-M02-02"</f>
        <v>12-M02-02</v>
      </c>
      <c r="G12252">
        <v>0.95020000000000004</v>
      </c>
      <c r="H12252" t="s">
        <v>9</v>
      </c>
      <c r="I12252" t="s">
        <v>10</v>
      </c>
    </row>
    <row r="12253" spans="1:9" x14ac:dyDescent="0.25">
      <c r="A12253" t="str">
        <f t="shared" si="293"/>
        <v>89301000</v>
      </c>
      <c r="B12253" t="str">
        <f>"7611054484"</f>
        <v>7611054484</v>
      </c>
      <c r="C12253" s="1">
        <v>44963</v>
      </c>
      <c r="D12253" s="1">
        <v>44968</v>
      </c>
      <c r="E12253">
        <v>1</v>
      </c>
      <c r="F12253" t="str">
        <f>"12-I03-01"</f>
        <v>12-I03-01</v>
      </c>
      <c r="G12253">
        <v>2.6934999999999998</v>
      </c>
      <c r="H12253" t="s">
        <v>9</v>
      </c>
      <c r="I12253" t="s">
        <v>10</v>
      </c>
    </row>
    <row r="12254" spans="1:9" x14ac:dyDescent="0.25">
      <c r="A12254" t="str">
        <f t="shared" ref="A12254:A12317" si="294">"89301000"</f>
        <v>89301000</v>
      </c>
      <c r="B12254" t="str">
        <f>"7611085306"</f>
        <v>7611085306</v>
      </c>
      <c r="C12254" s="1">
        <v>45211</v>
      </c>
      <c r="D12254" s="1">
        <v>45212</v>
      </c>
      <c r="E12254">
        <v>1</v>
      </c>
      <c r="F12254" t="str">
        <f>"01-D01-03"</f>
        <v>01-D01-03</v>
      </c>
      <c r="G12254">
        <v>0.16200000000000001</v>
      </c>
      <c r="H12254" t="s">
        <v>11</v>
      </c>
      <c r="I12254" t="s">
        <v>10</v>
      </c>
    </row>
    <row r="12255" spans="1:9" x14ac:dyDescent="0.25">
      <c r="A12255" t="str">
        <f t="shared" si="294"/>
        <v>89301000</v>
      </c>
      <c r="B12255" t="str">
        <f>"7611094117"</f>
        <v>7611094117</v>
      </c>
      <c r="C12255" s="1">
        <v>45048</v>
      </c>
      <c r="D12255" s="1">
        <v>45050</v>
      </c>
      <c r="E12255">
        <v>1</v>
      </c>
      <c r="F12255" t="str">
        <f>"08-M03-03"</f>
        <v>08-M03-03</v>
      </c>
      <c r="G12255">
        <v>0.56640000000000001</v>
      </c>
      <c r="H12255" t="s">
        <v>11</v>
      </c>
      <c r="I12255" t="s">
        <v>10</v>
      </c>
    </row>
    <row r="12256" spans="1:9" x14ac:dyDescent="0.25">
      <c r="A12256" t="str">
        <f t="shared" si="294"/>
        <v>89301000</v>
      </c>
      <c r="B12256" t="str">
        <f>"7611094898"</f>
        <v>7611094898</v>
      </c>
      <c r="C12256" s="1">
        <v>45268</v>
      </c>
      <c r="D12256" s="1">
        <v>45271</v>
      </c>
      <c r="E12256">
        <v>1</v>
      </c>
      <c r="F12256" t="str">
        <f>"01-D01-03"</f>
        <v>01-D01-03</v>
      </c>
      <c r="G12256">
        <v>0.21060000000000001</v>
      </c>
      <c r="H12256" t="s">
        <v>11</v>
      </c>
      <c r="I12256" t="s">
        <v>10</v>
      </c>
    </row>
    <row r="12257" spans="1:9" x14ac:dyDescent="0.25">
      <c r="A12257" t="str">
        <f t="shared" si="294"/>
        <v>89301000</v>
      </c>
      <c r="B12257" t="str">
        <f>"7611094898"</f>
        <v>7611094898</v>
      </c>
      <c r="C12257" s="1">
        <v>45180</v>
      </c>
      <c r="D12257" s="1">
        <v>45181</v>
      </c>
      <c r="E12257">
        <v>1</v>
      </c>
      <c r="F12257" t="str">
        <f>"01-D01-03"</f>
        <v>01-D01-03</v>
      </c>
      <c r="G12257">
        <v>0.16200000000000001</v>
      </c>
      <c r="H12257" t="s">
        <v>11</v>
      </c>
      <c r="I12257" t="s">
        <v>10</v>
      </c>
    </row>
    <row r="12258" spans="1:9" x14ac:dyDescent="0.25">
      <c r="A12258" t="str">
        <f t="shared" si="294"/>
        <v>89301000</v>
      </c>
      <c r="B12258" t="str">
        <f>"7611115336"</f>
        <v>7611115336</v>
      </c>
      <c r="C12258" s="1">
        <v>45187</v>
      </c>
      <c r="D12258" s="1">
        <v>45193</v>
      </c>
      <c r="E12258">
        <v>1</v>
      </c>
      <c r="F12258" t="str">
        <f>"18-K02-03"</f>
        <v>18-K02-03</v>
      </c>
      <c r="G12258">
        <v>0.9234</v>
      </c>
      <c r="H12258" t="s">
        <v>11</v>
      </c>
      <c r="I12258" t="s">
        <v>10</v>
      </c>
    </row>
    <row r="12259" spans="1:9" x14ac:dyDescent="0.25">
      <c r="A12259" t="str">
        <f t="shared" si="294"/>
        <v>89301000</v>
      </c>
      <c r="B12259" t="str">
        <f>"7611145344"</f>
        <v>7611145344</v>
      </c>
      <c r="C12259" s="1">
        <v>45029</v>
      </c>
      <c r="D12259" s="1">
        <v>45032</v>
      </c>
      <c r="E12259">
        <v>1</v>
      </c>
      <c r="F12259" t="str">
        <f>"08-I19-03"</f>
        <v>08-I19-03</v>
      </c>
      <c r="G12259">
        <v>0.59130000000000005</v>
      </c>
      <c r="H12259" t="s">
        <v>12</v>
      </c>
      <c r="I12259" t="s">
        <v>10</v>
      </c>
    </row>
    <row r="12260" spans="1:9" x14ac:dyDescent="0.25">
      <c r="A12260" t="str">
        <f t="shared" si="294"/>
        <v>89301000</v>
      </c>
      <c r="B12260" t="str">
        <f>"7611165705"</f>
        <v>7611165705</v>
      </c>
      <c r="C12260" s="1">
        <v>45265</v>
      </c>
      <c r="D12260" s="1">
        <v>45267</v>
      </c>
      <c r="E12260">
        <v>1</v>
      </c>
      <c r="F12260" t="str">
        <f>"08-I03-08"</f>
        <v>08-I03-08</v>
      </c>
      <c r="G12260">
        <v>1.9455</v>
      </c>
      <c r="H12260" t="s">
        <v>9</v>
      </c>
      <c r="I12260" t="s">
        <v>10</v>
      </c>
    </row>
    <row r="12261" spans="1:9" x14ac:dyDescent="0.25">
      <c r="A12261" t="str">
        <f t="shared" si="294"/>
        <v>89301000</v>
      </c>
      <c r="B12261" t="str">
        <f>"7611185318"</f>
        <v>7611185318</v>
      </c>
      <c r="C12261" s="1">
        <v>44986</v>
      </c>
      <c r="D12261" s="1">
        <v>44986</v>
      </c>
      <c r="E12261">
        <v>1</v>
      </c>
      <c r="F12261" t="str">
        <f>"05-M06-08"</f>
        <v>05-M06-08</v>
      </c>
      <c r="G12261">
        <v>1.7868999999999999</v>
      </c>
      <c r="H12261" t="s">
        <v>12</v>
      </c>
      <c r="I12261" t="s">
        <v>10</v>
      </c>
    </row>
    <row r="12262" spans="1:9" x14ac:dyDescent="0.25">
      <c r="A12262" t="str">
        <f t="shared" si="294"/>
        <v>89301000</v>
      </c>
      <c r="B12262" t="str">
        <f>"7611194503"</f>
        <v>7611194503</v>
      </c>
      <c r="C12262" s="1">
        <v>45279</v>
      </c>
      <c r="D12262" s="1">
        <v>45282</v>
      </c>
      <c r="E12262">
        <v>1</v>
      </c>
      <c r="F12262" t="str">
        <f>"09-K14-02"</f>
        <v>09-K14-02</v>
      </c>
      <c r="G12262">
        <v>0.5</v>
      </c>
      <c r="H12262" t="s">
        <v>11</v>
      </c>
      <c r="I12262" t="s">
        <v>10</v>
      </c>
    </row>
    <row r="12263" spans="1:9" x14ac:dyDescent="0.25">
      <c r="A12263" t="str">
        <f t="shared" si="294"/>
        <v>89301000</v>
      </c>
      <c r="B12263" t="str">
        <f>"7611225358"</f>
        <v>7611225358</v>
      </c>
      <c r="C12263" s="1">
        <v>45146</v>
      </c>
      <c r="D12263" s="1">
        <v>45149</v>
      </c>
      <c r="E12263">
        <v>1</v>
      </c>
      <c r="F12263" t="str">
        <f>"08-M03-01"</f>
        <v>08-M03-01</v>
      </c>
      <c r="G12263">
        <v>0.93420000000000003</v>
      </c>
      <c r="H12263" t="s">
        <v>11</v>
      </c>
      <c r="I12263" t="s">
        <v>10</v>
      </c>
    </row>
    <row r="12264" spans="1:9" x14ac:dyDescent="0.25">
      <c r="A12264" t="str">
        <f t="shared" si="294"/>
        <v>89301000</v>
      </c>
      <c r="B12264" t="str">
        <f>"7611255762"</f>
        <v>7611255762</v>
      </c>
      <c r="C12264" s="1">
        <v>45215</v>
      </c>
      <c r="D12264" s="1">
        <v>45218</v>
      </c>
      <c r="E12264">
        <v>1</v>
      </c>
      <c r="F12264" t="str">
        <f>"05-M05-02"</f>
        <v>05-M05-02</v>
      </c>
      <c r="G12264">
        <v>4.3551000000000002</v>
      </c>
      <c r="H12264" t="s">
        <v>14</v>
      </c>
      <c r="I12264" t="s">
        <v>10</v>
      </c>
    </row>
    <row r="12265" spans="1:9" x14ac:dyDescent="0.25">
      <c r="A12265" t="str">
        <f t="shared" si="294"/>
        <v>89301000</v>
      </c>
      <c r="B12265" t="str">
        <f>"7611265376"</f>
        <v>7611265376</v>
      </c>
      <c r="C12265" s="1">
        <v>45172</v>
      </c>
      <c r="D12265" s="1">
        <v>45175</v>
      </c>
      <c r="E12265">
        <v>1</v>
      </c>
      <c r="F12265" t="str">
        <f>"08-M03-03"</f>
        <v>08-M03-03</v>
      </c>
      <c r="G12265">
        <v>0.56640000000000001</v>
      </c>
      <c r="H12265" t="s">
        <v>11</v>
      </c>
      <c r="I12265" t="s">
        <v>10</v>
      </c>
    </row>
    <row r="12266" spans="1:9" x14ac:dyDescent="0.25">
      <c r="A12266" t="str">
        <f t="shared" si="294"/>
        <v>89301000</v>
      </c>
      <c r="B12266" t="str">
        <f>"7612215336"</f>
        <v>7612215336</v>
      </c>
      <c r="C12266" s="1">
        <v>44927</v>
      </c>
      <c r="D12266" s="1">
        <v>44930</v>
      </c>
      <c r="E12266">
        <v>1</v>
      </c>
      <c r="F12266" t="str">
        <f>"08-M03-02"</f>
        <v>08-M03-02</v>
      </c>
      <c r="G12266">
        <v>0.91359999999999997</v>
      </c>
      <c r="H12266" t="s">
        <v>11</v>
      </c>
      <c r="I12266" t="s">
        <v>10</v>
      </c>
    </row>
    <row r="12267" spans="1:9" x14ac:dyDescent="0.25">
      <c r="A12267" t="str">
        <f t="shared" si="294"/>
        <v>89301000</v>
      </c>
      <c r="B12267" t="str">
        <f>"7612215347"</f>
        <v>7612215347</v>
      </c>
      <c r="C12267" s="1">
        <v>44938</v>
      </c>
      <c r="D12267" s="1">
        <v>44939</v>
      </c>
      <c r="E12267">
        <v>1</v>
      </c>
      <c r="F12267" t="str">
        <f>"20-K02-03"</f>
        <v>20-K02-03</v>
      </c>
      <c r="G12267">
        <v>0.38350000000000001</v>
      </c>
      <c r="H12267" t="s">
        <v>11</v>
      </c>
      <c r="I12267" t="s">
        <v>10</v>
      </c>
    </row>
    <row r="12268" spans="1:9" x14ac:dyDescent="0.25">
      <c r="A12268" t="str">
        <f t="shared" si="294"/>
        <v>89301000</v>
      </c>
      <c r="B12268" t="str">
        <f>"7612315326"</f>
        <v>7612315326</v>
      </c>
      <c r="C12268" s="1">
        <v>45066</v>
      </c>
      <c r="D12268" s="1">
        <v>45070</v>
      </c>
      <c r="E12268">
        <v>1</v>
      </c>
      <c r="F12268" t="str">
        <f>"05-D01-06"</f>
        <v>05-D01-06</v>
      </c>
      <c r="G12268">
        <v>0.7571</v>
      </c>
      <c r="H12268" t="s">
        <v>11</v>
      </c>
      <c r="I12268" t="s">
        <v>10</v>
      </c>
    </row>
    <row r="12269" spans="1:9" x14ac:dyDescent="0.25">
      <c r="A12269" t="str">
        <f t="shared" si="294"/>
        <v>89301000</v>
      </c>
      <c r="B12269" t="str">
        <f>"7651015779"</f>
        <v>7651015779</v>
      </c>
      <c r="C12269" s="1">
        <v>45078</v>
      </c>
      <c r="D12269" s="1">
        <v>45081</v>
      </c>
      <c r="E12269">
        <v>1</v>
      </c>
      <c r="F12269" t="str">
        <f>"10-I13-02"</f>
        <v>10-I13-02</v>
      </c>
      <c r="G12269">
        <v>1.1124000000000001</v>
      </c>
      <c r="H12269" t="s">
        <v>9</v>
      </c>
      <c r="I12269" t="s">
        <v>10</v>
      </c>
    </row>
    <row r="12270" spans="1:9" x14ac:dyDescent="0.25">
      <c r="A12270" t="str">
        <f t="shared" si="294"/>
        <v>89301000</v>
      </c>
      <c r="B12270" t="str">
        <f t="shared" ref="B12270:B12277" si="295">"7651044841"</f>
        <v>7651044841</v>
      </c>
      <c r="C12270" s="1">
        <v>45201</v>
      </c>
      <c r="D12270" s="1">
        <v>45202</v>
      </c>
      <c r="E12270">
        <v>1</v>
      </c>
      <c r="F12270" t="str">
        <f>"08-C04-02"</f>
        <v>08-C04-02</v>
      </c>
      <c r="G12270">
        <v>0.28699999999999998</v>
      </c>
      <c r="H12270" t="s">
        <v>11</v>
      </c>
      <c r="I12270" t="s">
        <v>10</v>
      </c>
    </row>
    <row r="12271" spans="1:9" x14ac:dyDescent="0.25">
      <c r="A12271" t="str">
        <f t="shared" si="294"/>
        <v>89301000</v>
      </c>
      <c r="B12271" t="str">
        <f t="shared" si="295"/>
        <v>7651044841</v>
      </c>
      <c r="C12271" s="1">
        <v>45104</v>
      </c>
      <c r="D12271" s="1">
        <v>45106</v>
      </c>
      <c r="E12271">
        <v>1</v>
      </c>
      <c r="F12271" t="str">
        <f>"08-C04-02"</f>
        <v>08-C04-02</v>
      </c>
      <c r="G12271">
        <v>0.28699999999999998</v>
      </c>
      <c r="H12271" t="s">
        <v>11</v>
      </c>
      <c r="I12271" t="s">
        <v>10</v>
      </c>
    </row>
    <row r="12272" spans="1:9" x14ac:dyDescent="0.25">
      <c r="A12272" t="str">
        <f t="shared" si="294"/>
        <v>89301000</v>
      </c>
      <c r="B12272" t="str">
        <f t="shared" si="295"/>
        <v>7651044841</v>
      </c>
      <c r="C12272" s="1">
        <v>45119</v>
      </c>
      <c r="D12272" s="1">
        <v>45120</v>
      </c>
      <c r="E12272">
        <v>1</v>
      </c>
      <c r="F12272" t="str">
        <f>"08-C04-02"</f>
        <v>08-C04-02</v>
      </c>
      <c r="G12272">
        <v>0.28699999999999998</v>
      </c>
      <c r="H12272" t="s">
        <v>11</v>
      </c>
      <c r="I12272" t="s">
        <v>10</v>
      </c>
    </row>
    <row r="12273" spans="1:9" x14ac:dyDescent="0.25">
      <c r="A12273" t="str">
        <f t="shared" si="294"/>
        <v>89301000</v>
      </c>
      <c r="B12273" t="str">
        <f t="shared" si="295"/>
        <v>7651044841</v>
      </c>
      <c r="C12273" s="1">
        <v>45133</v>
      </c>
      <c r="D12273" s="1">
        <v>45134</v>
      </c>
      <c r="E12273">
        <v>1</v>
      </c>
      <c r="F12273" t="str">
        <f>"08-C04-02"</f>
        <v>08-C04-02</v>
      </c>
      <c r="G12273">
        <v>0.28699999999999998</v>
      </c>
      <c r="H12273" t="s">
        <v>11</v>
      </c>
      <c r="I12273" t="s">
        <v>10</v>
      </c>
    </row>
    <row r="12274" spans="1:9" x14ac:dyDescent="0.25">
      <c r="A12274" t="str">
        <f t="shared" si="294"/>
        <v>89301000</v>
      </c>
      <c r="B12274" t="str">
        <f t="shared" si="295"/>
        <v>7651044841</v>
      </c>
      <c r="C12274" s="1">
        <v>45069</v>
      </c>
      <c r="D12274" s="1">
        <v>45071</v>
      </c>
      <c r="E12274">
        <v>1</v>
      </c>
      <c r="F12274" t="str">
        <f>"04-K10-01"</f>
        <v>04-K10-01</v>
      </c>
      <c r="G12274">
        <v>0.74970000000000003</v>
      </c>
      <c r="H12274" t="s">
        <v>11</v>
      </c>
      <c r="I12274" t="s">
        <v>10</v>
      </c>
    </row>
    <row r="12275" spans="1:9" x14ac:dyDescent="0.25">
      <c r="A12275" t="str">
        <f t="shared" si="294"/>
        <v>89301000</v>
      </c>
      <c r="B12275" t="str">
        <f t="shared" si="295"/>
        <v>7651044841</v>
      </c>
      <c r="C12275" s="1">
        <v>45083</v>
      </c>
      <c r="D12275" s="1">
        <v>45089</v>
      </c>
      <c r="E12275">
        <v>1</v>
      </c>
      <c r="F12275" t="str">
        <f>"04-I03-02"</f>
        <v>04-I03-02</v>
      </c>
      <c r="G12275">
        <v>3.6444000000000001</v>
      </c>
      <c r="H12275" t="s">
        <v>14</v>
      </c>
      <c r="I12275" t="s">
        <v>10</v>
      </c>
    </row>
    <row r="12276" spans="1:9" x14ac:dyDescent="0.25">
      <c r="A12276" t="str">
        <f t="shared" si="294"/>
        <v>89301000</v>
      </c>
      <c r="B12276" t="str">
        <f t="shared" si="295"/>
        <v>7651044841</v>
      </c>
      <c r="C12276" s="1">
        <v>45175</v>
      </c>
      <c r="D12276" s="1">
        <v>45176</v>
      </c>
      <c r="E12276">
        <v>1</v>
      </c>
      <c r="F12276" t="str">
        <f>"08-C04-02"</f>
        <v>08-C04-02</v>
      </c>
      <c r="G12276">
        <v>0.28699999999999998</v>
      </c>
      <c r="H12276" t="s">
        <v>11</v>
      </c>
      <c r="I12276" t="s">
        <v>10</v>
      </c>
    </row>
    <row r="12277" spans="1:9" x14ac:dyDescent="0.25">
      <c r="A12277" t="str">
        <f t="shared" si="294"/>
        <v>89301000</v>
      </c>
      <c r="B12277" t="str">
        <f t="shared" si="295"/>
        <v>7651044841</v>
      </c>
      <c r="C12277" s="1">
        <v>45154</v>
      </c>
      <c r="D12277" s="1">
        <v>45155</v>
      </c>
      <c r="E12277">
        <v>1</v>
      </c>
      <c r="F12277" t="str">
        <f>"08-C04-02"</f>
        <v>08-C04-02</v>
      </c>
      <c r="G12277">
        <v>0.28699999999999998</v>
      </c>
      <c r="H12277" t="s">
        <v>11</v>
      </c>
      <c r="I12277" t="s">
        <v>10</v>
      </c>
    </row>
    <row r="12278" spans="1:9" x14ac:dyDescent="0.25">
      <c r="A12278" t="str">
        <f t="shared" si="294"/>
        <v>89301000</v>
      </c>
      <c r="B12278" t="str">
        <f>"7651085695"</f>
        <v>7651085695</v>
      </c>
      <c r="C12278" s="1">
        <v>45077</v>
      </c>
      <c r="D12278" s="1">
        <v>45078</v>
      </c>
      <c r="E12278">
        <v>1</v>
      </c>
      <c r="F12278" t="str">
        <f>"08-I32-00"</f>
        <v>08-I32-00</v>
      </c>
      <c r="G12278">
        <v>0.4093</v>
      </c>
      <c r="H12278" t="s">
        <v>11</v>
      </c>
      <c r="I12278" t="s">
        <v>10</v>
      </c>
    </row>
    <row r="12279" spans="1:9" x14ac:dyDescent="0.25">
      <c r="A12279" t="str">
        <f t="shared" si="294"/>
        <v>89301000</v>
      </c>
      <c r="B12279" t="str">
        <f>"7651085695"</f>
        <v>7651085695</v>
      </c>
      <c r="C12279" s="1">
        <v>45013</v>
      </c>
      <c r="D12279" s="1">
        <v>45017</v>
      </c>
      <c r="E12279">
        <v>1</v>
      </c>
      <c r="F12279" t="str">
        <f>"08-I22-01"</f>
        <v>08-I22-01</v>
      </c>
      <c r="G12279">
        <v>1.9497</v>
      </c>
      <c r="H12279" t="s">
        <v>12</v>
      </c>
      <c r="I12279" t="s">
        <v>10</v>
      </c>
    </row>
    <row r="12280" spans="1:9" x14ac:dyDescent="0.25">
      <c r="A12280" t="str">
        <f t="shared" si="294"/>
        <v>89301000</v>
      </c>
      <c r="B12280" t="str">
        <f>"7651135833"</f>
        <v>7651135833</v>
      </c>
      <c r="C12280" s="1">
        <v>45104</v>
      </c>
      <c r="D12280" s="1">
        <v>45107</v>
      </c>
      <c r="E12280">
        <v>1</v>
      </c>
      <c r="F12280" t="str">
        <f>"04-K05-03"</f>
        <v>04-K05-03</v>
      </c>
      <c r="G12280">
        <v>0.74039999999999995</v>
      </c>
      <c r="H12280" t="s">
        <v>11</v>
      </c>
      <c r="I12280" t="s">
        <v>10</v>
      </c>
    </row>
    <row r="12281" spans="1:9" x14ac:dyDescent="0.25">
      <c r="A12281" t="str">
        <f t="shared" si="294"/>
        <v>89301000</v>
      </c>
      <c r="B12281" t="str">
        <f>"7651274477"</f>
        <v>7651274477</v>
      </c>
      <c r="C12281" s="1">
        <v>45096</v>
      </c>
      <c r="D12281" s="1">
        <v>45098</v>
      </c>
      <c r="E12281">
        <v>1</v>
      </c>
      <c r="F12281" t="str">
        <f>"09-I09-05"</f>
        <v>09-I09-05</v>
      </c>
      <c r="G12281">
        <v>0.46870000000000001</v>
      </c>
      <c r="H12281" t="s">
        <v>12</v>
      </c>
      <c r="I12281" t="s">
        <v>10</v>
      </c>
    </row>
    <row r="12282" spans="1:9" x14ac:dyDescent="0.25">
      <c r="A12282" t="str">
        <f t="shared" si="294"/>
        <v>89301000</v>
      </c>
      <c r="B12282" t="str">
        <f>"7651285939"</f>
        <v>7651285939</v>
      </c>
      <c r="C12282" s="1">
        <v>45072</v>
      </c>
      <c r="D12282" s="1">
        <v>45078</v>
      </c>
      <c r="E12282">
        <v>1</v>
      </c>
      <c r="F12282" t="str">
        <f>"08-K02-02"</f>
        <v>08-K02-02</v>
      </c>
      <c r="G12282">
        <v>0.81369999999999998</v>
      </c>
      <c r="H12282" t="s">
        <v>11</v>
      </c>
      <c r="I12282" t="s">
        <v>10</v>
      </c>
    </row>
    <row r="12283" spans="1:9" x14ac:dyDescent="0.25">
      <c r="A12283" t="str">
        <f t="shared" si="294"/>
        <v>89301000</v>
      </c>
      <c r="B12283" t="str">
        <f>"7651292264"</f>
        <v>7651292264</v>
      </c>
      <c r="C12283" s="1">
        <v>45173</v>
      </c>
      <c r="D12283" s="1">
        <v>45175</v>
      </c>
      <c r="E12283">
        <v>1</v>
      </c>
      <c r="F12283" t="str">
        <f>"09-I09-05"</f>
        <v>09-I09-05</v>
      </c>
      <c r="G12283">
        <v>0.46870000000000001</v>
      </c>
      <c r="H12283" t="s">
        <v>12</v>
      </c>
      <c r="I12283" t="s">
        <v>10</v>
      </c>
    </row>
    <row r="12284" spans="1:9" x14ac:dyDescent="0.25">
      <c r="A12284" t="str">
        <f t="shared" si="294"/>
        <v>89301000</v>
      </c>
      <c r="B12284" t="str">
        <f>"7651292264"</f>
        <v>7651292264</v>
      </c>
      <c r="C12284" s="1">
        <v>45216</v>
      </c>
      <c r="D12284" s="1">
        <v>45219</v>
      </c>
      <c r="E12284">
        <v>1</v>
      </c>
      <c r="F12284" t="str">
        <f>"23-I07-00"</f>
        <v>23-I07-00</v>
      </c>
      <c r="G12284">
        <v>1.4204000000000001</v>
      </c>
      <c r="H12284" t="s">
        <v>9</v>
      </c>
      <c r="I12284" t="s">
        <v>10</v>
      </c>
    </row>
    <row r="12285" spans="1:9" x14ac:dyDescent="0.25">
      <c r="A12285" t="str">
        <f t="shared" si="294"/>
        <v>89301000</v>
      </c>
      <c r="B12285" t="str">
        <f>"7652054949"</f>
        <v>7652054949</v>
      </c>
      <c r="C12285" s="1">
        <v>45012</v>
      </c>
      <c r="D12285" s="1">
        <v>45051</v>
      </c>
      <c r="E12285">
        <v>1</v>
      </c>
      <c r="F12285" t="str">
        <f>"19-K08-02"</f>
        <v>19-K08-02</v>
      </c>
      <c r="G12285">
        <v>4.4416000000000002</v>
      </c>
      <c r="H12285" t="s">
        <v>15</v>
      </c>
      <c r="I12285" t="s">
        <v>10</v>
      </c>
    </row>
    <row r="12286" spans="1:9" x14ac:dyDescent="0.25">
      <c r="A12286" t="str">
        <f t="shared" si="294"/>
        <v>89301000</v>
      </c>
      <c r="B12286" t="str">
        <f>"7652095330"</f>
        <v>7652095330</v>
      </c>
      <c r="C12286" s="1">
        <v>45070</v>
      </c>
      <c r="D12286" s="1">
        <v>45071</v>
      </c>
      <c r="E12286">
        <v>1</v>
      </c>
      <c r="F12286" t="str">
        <f>"19-K02-03"</f>
        <v>19-K02-03</v>
      </c>
      <c r="G12286">
        <v>0.47970000000000002</v>
      </c>
      <c r="H12286" t="s">
        <v>15</v>
      </c>
      <c r="I12286" t="s">
        <v>10</v>
      </c>
    </row>
    <row r="12287" spans="1:9" x14ac:dyDescent="0.25">
      <c r="A12287" t="str">
        <f t="shared" si="294"/>
        <v>89301000</v>
      </c>
      <c r="B12287" t="str">
        <f>"7652115350"</f>
        <v>7652115350</v>
      </c>
      <c r="C12287" s="1">
        <v>44931</v>
      </c>
      <c r="D12287" s="1">
        <v>44945</v>
      </c>
      <c r="E12287">
        <v>1</v>
      </c>
      <c r="F12287" t="str">
        <f>"19-K04-02"</f>
        <v>19-K04-02</v>
      </c>
      <c r="G12287">
        <v>1.3379000000000001</v>
      </c>
      <c r="H12287" t="s">
        <v>15</v>
      </c>
      <c r="I12287" t="s">
        <v>10</v>
      </c>
    </row>
    <row r="12288" spans="1:9" x14ac:dyDescent="0.25">
      <c r="A12288" t="str">
        <f t="shared" si="294"/>
        <v>89301000</v>
      </c>
      <c r="B12288" t="str">
        <f>"7652124458"</f>
        <v>7652124458</v>
      </c>
      <c r="C12288" s="1">
        <v>45218</v>
      </c>
      <c r="D12288" s="1">
        <v>45219</v>
      </c>
      <c r="E12288">
        <v>1</v>
      </c>
      <c r="F12288" t="str">
        <f>"10-K15-02"</f>
        <v>10-K15-02</v>
      </c>
      <c r="G12288">
        <v>0.66379999999999995</v>
      </c>
      <c r="H12288" t="s">
        <v>11</v>
      </c>
      <c r="I12288" t="s">
        <v>10</v>
      </c>
    </row>
    <row r="12289" spans="1:9" x14ac:dyDescent="0.25">
      <c r="A12289" t="str">
        <f t="shared" si="294"/>
        <v>89301000</v>
      </c>
      <c r="B12289" t="str">
        <f>"7652124458"</f>
        <v>7652124458</v>
      </c>
      <c r="C12289" s="1">
        <v>45189</v>
      </c>
      <c r="D12289" s="1">
        <v>45190</v>
      </c>
      <c r="E12289">
        <v>1</v>
      </c>
      <c r="F12289" t="str">
        <f>"10-K15-02"</f>
        <v>10-K15-02</v>
      </c>
      <c r="G12289">
        <v>0.66379999999999995</v>
      </c>
      <c r="H12289" t="s">
        <v>11</v>
      </c>
      <c r="I12289" t="s">
        <v>10</v>
      </c>
    </row>
    <row r="12290" spans="1:9" x14ac:dyDescent="0.25">
      <c r="A12290" t="str">
        <f t="shared" si="294"/>
        <v>89301000</v>
      </c>
      <c r="B12290" t="str">
        <f>"7652244039"</f>
        <v>7652244039</v>
      </c>
      <c r="C12290" s="1">
        <v>44942</v>
      </c>
      <c r="D12290" s="1">
        <v>44946</v>
      </c>
      <c r="E12290">
        <v>1</v>
      </c>
      <c r="F12290" t="str">
        <f>"09-K14-02"</f>
        <v>09-K14-02</v>
      </c>
      <c r="G12290">
        <v>0.5</v>
      </c>
      <c r="H12290" t="s">
        <v>11</v>
      </c>
      <c r="I12290" t="s">
        <v>10</v>
      </c>
    </row>
    <row r="12291" spans="1:9" x14ac:dyDescent="0.25">
      <c r="A12291" t="str">
        <f t="shared" si="294"/>
        <v>89301000</v>
      </c>
      <c r="B12291" t="str">
        <f>"7653044399"</f>
        <v>7653044399</v>
      </c>
      <c r="C12291" s="1">
        <v>45254</v>
      </c>
      <c r="D12291" s="1">
        <v>45261</v>
      </c>
      <c r="E12291">
        <v>5</v>
      </c>
      <c r="F12291" t="str">
        <f>"08-I04-01"</f>
        <v>08-I04-01</v>
      </c>
      <c r="G12291">
        <v>2.7970000000000002</v>
      </c>
      <c r="H12291" t="s">
        <v>14</v>
      </c>
      <c r="I12291" t="s">
        <v>10</v>
      </c>
    </row>
    <row r="12292" spans="1:9" x14ac:dyDescent="0.25">
      <c r="A12292" t="str">
        <f t="shared" si="294"/>
        <v>89301000</v>
      </c>
      <c r="B12292" t="str">
        <f>"7653044630"</f>
        <v>7653044630</v>
      </c>
      <c r="C12292" s="1">
        <v>45278</v>
      </c>
      <c r="D12292" s="1">
        <v>45280</v>
      </c>
      <c r="E12292">
        <v>1</v>
      </c>
      <c r="F12292" t="str">
        <f>"08-M03-05"</f>
        <v>08-M03-05</v>
      </c>
      <c r="G12292">
        <v>0.46810000000000002</v>
      </c>
      <c r="H12292" t="s">
        <v>11</v>
      </c>
      <c r="I12292" t="s">
        <v>10</v>
      </c>
    </row>
    <row r="12293" spans="1:9" x14ac:dyDescent="0.25">
      <c r="A12293" t="str">
        <f t="shared" si="294"/>
        <v>89301000</v>
      </c>
      <c r="B12293" t="str">
        <f>"7653065761"</f>
        <v>7653065761</v>
      </c>
      <c r="C12293" s="1">
        <v>45270</v>
      </c>
      <c r="D12293" s="1">
        <v>45279</v>
      </c>
      <c r="E12293">
        <v>1</v>
      </c>
      <c r="F12293" t="str">
        <f>"09-K08-01"</f>
        <v>09-K08-01</v>
      </c>
      <c r="G12293">
        <v>2.6518000000000002</v>
      </c>
      <c r="H12293" t="s">
        <v>11</v>
      </c>
      <c r="I12293" t="s">
        <v>10</v>
      </c>
    </row>
    <row r="12294" spans="1:9" x14ac:dyDescent="0.25">
      <c r="A12294" t="str">
        <f t="shared" si="294"/>
        <v>89301000</v>
      </c>
      <c r="B12294" t="str">
        <f>"7653165344"</f>
        <v>7653165344</v>
      </c>
      <c r="C12294" s="1">
        <v>44943</v>
      </c>
      <c r="D12294" s="1">
        <v>44946</v>
      </c>
      <c r="E12294">
        <v>1</v>
      </c>
      <c r="F12294" t="str">
        <f>"08-K08-00"</f>
        <v>08-K08-00</v>
      </c>
      <c r="G12294">
        <v>0.5272</v>
      </c>
      <c r="H12294" t="s">
        <v>11</v>
      </c>
      <c r="I12294" t="s">
        <v>10</v>
      </c>
    </row>
    <row r="12295" spans="1:9" x14ac:dyDescent="0.25">
      <c r="A12295" t="str">
        <f t="shared" si="294"/>
        <v>89301000</v>
      </c>
      <c r="B12295" t="str">
        <f>"7653165729"</f>
        <v>7653165729</v>
      </c>
      <c r="C12295" s="1">
        <v>45210</v>
      </c>
      <c r="D12295" s="1">
        <v>45215</v>
      </c>
      <c r="E12295">
        <v>1</v>
      </c>
      <c r="F12295" t="str">
        <f>"10-I13-02"</f>
        <v>10-I13-02</v>
      </c>
      <c r="G12295">
        <v>1.1227</v>
      </c>
      <c r="H12295" t="s">
        <v>9</v>
      </c>
      <c r="I12295" t="s">
        <v>10</v>
      </c>
    </row>
    <row r="12296" spans="1:9" x14ac:dyDescent="0.25">
      <c r="A12296" t="str">
        <f t="shared" si="294"/>
        <v>89301000</v>
      </c>
      <c r="B12296" t="str">
        <f>"7653204889"</f>
        <v>7653204889</v>
      </c>
      <c r="C12296" s="1">
        <v>44971</v>
      </c>
      <c r="D12296" s="1">
        <v>44978</v>
      </c>
      <c r="E12296">
        <v>1</v>
      </c>
      <c r="F12296" t="str">
        <f>"10-R02-02"</f>
        <v>10-R02-02</v>
      </c>
      <c r="G12296">
        <v>0.66300000000000003</v>
      </c>
      <c r="H12296" t="s">
        <v>9</v>
      </c>
      <c r="I12296" t="s">
        <v>10</v>
      </c>
    </row>
    <row r="12297" spans="1:9" x14ac:dyDescent="0.25">
      <c r="A12297" t="str">
        <f t="shared" si="294"/>
        <v>89301000</v>
      </c>
      <c r="B12297" t="str">
        <f>"7653304472"</f>
        <v>7653304472</v>
      </c>
      <c r="C12297" s="1">
        <v>45204</v>
      </c>
      <c r="D12297" s="1">
        <v>45205</v>
      </c>
      <c r="E12297">
        <v>1</v>
      </c>
      <c r="F12297" t="str">
        <f>"09-I04-02"</f>
        <v>09-I04-02</v>
      </c>
      <c r="G12297">
        <v>1.0899000000000001</v>
      </c>
      <c r="H12297" t="s">
        <v>12</v>
      </c>
      <c r="I12297" t="s">
        <v>10</v>
      </c>
    </row>
    <row r="12298" spans="1:9" x14ac:dyDescent="0.25">
      <c r="A12298" t="str">
        <f t="shared" si="294"/>
        <v>89301000</v>
      </c>
      <c r="B12298" t="str">
        <f>"7653305803"</f>
        <v>7653305803</v>
      </c>
      <c r="C12298" s="1">
        <v>45032</v>
      </c>
      <c r="D12298" s="1">
        <v>45036</v>
      </c>
      <c r="E12298">
        <v>1</v>
      </c>
      <c r="F12298" t="str">
        <f>"10-I13-02"</f>
        <v>10-I13-02</v>
      </c>
      <c r="G12298">
        <v>1.1124000000000001</v>
      </c>
      <c r="H12298" t="s">
        <v>9</v>
      </c>
      <c r="I12298" t="s">
        <v>10</v>
      </c>
    </row>
    <row r="12299" spans="1:9" x14ac:dyDescent="0.25">
      <c r="A12299" t="str">
        <f t="shared" si="294"/>
        <v>89301000</v>
      </c>
      <c r="B12299" t="str">
        <f>"7653740512"</f>
        <v>7653740512</v>
      </c>
      <c r="C12299" s="1">
        <v>45287</v>
      </c>
      <c r="D12299" s="1">
        <v>45288</v>
      </c>
      <c r="E12299">
        <v>1</v>
      </c>
      <c r="F12299" t="str">
        <f>"13-I19-00"</f>
        <v>13-I19-00</v>
      </c>
      <c r="G12299">
        <v>0.33429999999999999</v>
      </c>
      <c r="H12299" t="s">
        <v>11</v>
      </c>
      <c r="I12299" t="s">
        <v>10</v>
      </c>
    </row>
    <row r="12300" spans="1:9" x14ac:dyDescent="0.25">
      <c r="A12300" t="str">
        <f t="shared" si="294"/>
        <v>89301000</v>
      </c>
      <c r="B12300" t="str">
        <f>"7654011959"</f>
        <v>7654011959</v>
      </c>
      <c r="C12300" s="1">
        <v>45098</v>
      </c>
      <c r="D12300" s="1">
        <v>45100</v>
      </c>
      <c r="E12300">
        <v>1</v>
      </c>
      <c r="F12300" t="str">
        <f>"02-I13-02"</f>
        <v>02-I13-02</v>
      </c>
      <c r="G12300">
        <v>0.4259</v>
      </c>
      <c r="H12300" t="s">
        <v>11</v>
      </c>
      <c r="I12300" t="s">
        <v>10</v>
      </c>
    </row>
    <row r="12301" spans="1:9" x14ac:dyDescent="0.25">
      <c r="A12301" t="str">
        <f t="shared" si="294"/>
        <v>89301000</v>
      </c>
      <c r="B12301" t="str">
        <f>"7654025390"</f>
        <v>7654025390</v>
      </c>
      <c r="C12301" s="1">
        <v>45091</v>
      </c>
      <c r="D12301" s="1">
        <v>45093</v>
      </c>
      <c r="E12301">
        <v>1</v>
      </c>
      <c r="F12301" t="str">
        <f>"10-K01-02"</f>
        <v>10-K01-02</v>
      </c>
      <c r="G12301">
        <v>0.62870000000000004</v>
      </c>
      <c r="H12301" t="s">
        <v>11</v>
      </c>
      <c r="I12301" t="s">
        <v>10</v>
      </c>
    </row>
    <row r="12302" spans="1:9" x14ac:dyDescent="0.25">
      <c r="A12302" t="str">
        <f t="shared" si="294"/>
        <v>89301000</v>
      </c>
      <c r="B12302" t="str">
        <f>"7654025390"</f>
        <v>7654025390</v>
      </c>
      <c r="C12302" s="1">
        <v>45165</v>
      </c>
      <c r="D12302" s="1">
        <v>45170</v>
      </c>
      <c r="E12302">
        <v>1</v>
      </c>
      <c r="F12302" t="str">
        <f>"10-I13-04"</f>
        <v>10-I13-04</v>
      </c>
      <c r="G12302">
        <v>0.67910000000000004</v>
      </c>
      <c r="H12302" t="s">
        <v>9</v>
      </c>
      <c r="I12302" t="s">
        <v>10</v>
      </c>
    </row>
    <row r="12303" spans="1:9" x14ac:dyDescent="0.25">
      <c r="A12303" t="str">
        <f t="shared" si="294"/>
        <v>89301000</v>
      </c>
      <c r="B12303" t="str">
        <f>"7654095306"</f>
        <v>7654095306</v>
      </c>
      <c r="C12303" s="1">
        <v>45267</v>
      </c>
      <c r="D12303" s="1">
        <v>45268</v>
      </c>
      <c r="E12303">
        <v>1</v>
      </c>
      <c r="F12303" t="str">
        <f>"09-I04-02"</f>
        <v>09-I04-02</v>
      </c>
      <c r="G12303">
        <v>1.0899000000000001</v>
      </c>
      <c r="H12303" t="s">
        <v>12</v>
      </c>
      <c r="I12303" t="s">
        <v>10</v>
      </c>
    </row>
    <row r="12304" spans="1:9" x14ac:dyDescent="0.25">
      <c r="A12304" t="str">
        <f t="shared" si="294"/>
        <v>89301000</v>
      </c>
      <c r="B12304" t="str">
        <f>"7654095306"</f>
        <v>7654095306</v>
      </c>
      <c r="C12304" s="1">
        <v>45099</v>
      </c>
      <c r="D12304" s="1">
        <v>45100</v>
      </c>
      <c r="E12304">
        <v>1</v>
      </c>
      <c r="F12304" t="str">
        <f>"09-I04-02"</f>
        <v>09-I04-02</v>
      </c>
      <c r="G12304">
        <v>1.0899000000000001</v>
      </c>
      <c r="H12304" t="s">
        <v>12</v>
      </c>
      <c r="I12304" t="s">
        <v>10</v>
      </c>
    </row>
    <row r="12305" spans="1:9" x14ac:dyDescent="0.25">
      <c r="A12305" t="str">
        <f t="shared" si="294"/>
        <v>89301000</v>
      </c>
      <c r="B12305" t="str">
        <f>"7654115326"</f>
        <v>7654115326</v>
      </c>
      <c r="C12305" s="1">
        <v>45271</v>
      </c>
      <c r="D12305" s="1">
        <v>45272</v>
      </c>
      <c r="E12305">
        <v>1</v>
      </c>
      <c r="F12305" t="str">
        <f>"01-K06-00"</f>
        <v>01-K06-00</v>
      </c>
      <c r="G12305">
        <v>0.1535</v>
      </c>
      <c r="H12305" t="s">
        <v>11</v>
      </c>
      <c r="I12305" t="s">
        <v>10</v>
      </c>
    </row>
    <row r="12306" spans="1:9" x14ac:dyDescent="0.25">
      <c r="A12306" t="str">
        <f t="shared" si="294"/>
        <v>89301000</v>
      </c>
      <c r="B12306" t="str">
        <f>"7654115326"</f>
        <v>7654115326</v>
      </c>
      <c r="C12306" s="1">
        <v>45181</v>
      </c>
      <c r="D12306" s="1">
        <v>45182</v>
      </c>
      <c r="E12306">
        <v>1</v>
      </c>
      <c r="F12306" t="str">
        <f>"01-D01-03"</f>
        <v>01-D01-03</v>
      </c>
      <c r="G12306">
        <v>0.16200000000000001</v>
      </c>
      <c r="H12306" t="s">
        <v>11</v>
      </c>
      <c r="I12306" t="s">
        <v>10</v>
      </c>
    </row>
    <row r="12307" spans="1:9" x14ac:dyDescent="0.25">
      <c r="A12307" t="str">
        <f t="shared" si="294"/>
        <v>89301000</v>
      </c>
      <c r="B12307" t="str">
        <f>"7654205372"</f>
        <v>7654205372</v>
      </c>
      <c r="C12307" s="1">
        <v>45103</v>
      </c>
      <c r="D12307" s="1">
        <v>45107</v>
      </c>
      <c r="E12307">
        <v>1</v>
      </c>
      <c r="F12307" t="str">
        <f>"11-M03-02"</f>
        <v>11-M03-02</v>
      </c>
      <c r="G12307">
        <v>1.4410000000000001</v>
      </c>
      <c r="H12307" t="s">
        <v>12</v>
      </c>
      <c r="I12307" t="s">
        <v>10</v>
      </c>
    </row>
    <row r="12308" spans="1:9" x14ac:dyDescent="0.25">
      <c r="A12308" t="str">
        <f t="shared" si="294"/>
        <v>89301000</v>
      </c>
      <c r="B12308" t="str">
        <f>"7654205372"</f>
        <v>7654205372</v>
      </c>
      <c r="C12308" s="1">
        <v>45187</v>
      </c>
      <c r="D12308" s="1">
        <v>45189</v>
      </c>
      <c r="E12308">
        <v>1</v>
      </c>
      <c r="F12308" t="str">
        <f>"11-M05-02"</f>
        <v>11-M05-02</v>
      </c>
      <c r="G12308">
        <v>0.6694</v>
      </c>
      <c r="H12308" t="s">
        <v>12</v>
      </c>
      <c r="I12308" t="s">
        <v>10</v>
      </c>
    </row>
    <row r="12309" spans="1:9" x14ac:dyDescent="0.25">
      <c r="A12309" t="str">
        <f t="shared" si="294"/>
        <v>89301000</v>
      </c>
      <c r="B12309" t="str">
        <f>"7654205372"</f>
        <v>7654205372</v>
      </c>
      <c r="C12309" s="1">
        <v>45236</v>
      </c>
      <c r="D12309" s="1">
        <v>45243</v>
      </c>
      <c r="E12309">
        <v>1</v>
      </c>
      <c r="F12309" t="str">
        <f>"11-M03-02"</f>
        <v>11-M03-02</v>
      </c>
      <c r="G12309">
        <v>1.4410000000000001</v>
      </c>
      <c r="H12309" t="s">
        <v>12</v>
      </c>
      <c r="I12309" t="s">
        <v>10</v>
      </c>
    </row>
    <row r="12310" spans="1:9" x14ac:dyDescent="0.25">
      <c r="A12310" t="str">
        <f t="shared" si="294"/>
        <v>89301000</v>
      </c>
      <c r="B12310" t="str">
        <f>"7654225392"</f>
        <v>7654225392</v>
      </c>
      <c r="C12310" s="1">
        <v>44985</v>
      </c>
      <c r="D12310" s="1">
        <v>44987</v>
      </c>
      <c r="E12310">
        <v>1</v>
      </c>
      <c r="F12310" t="str">
        <f>"08-I17-02"</f>
        <v>08-I17-02</v>
      </c>
      <c r="G12310">
        <v>0.89680000000000004</v>
      </c>
      <c r="H12310" t="s">
        <v>11</v>
      </c>
      <c r="I12310" t="s">
        <v>10</v>
      </c>
    </row>
    <row r="12311" spans="1:9" x14ac:dyDescent="0.25">
      <c r="A12311" t="str">
        <f t="shared" si="294"/>
        <v>89301000</v>
      </c>
      <c r="B12311" t="str">
        <f>"7654255323"</f>
        <v>7654255323</v>
      </c>
      <c r="C12311" s="1">
        <v>45096</v>
      </c>
      <c r="D12311" s="1">
        <v>45097</v>
      </c>
      <c r="E12311">
        <v>1</v>
      </c>
      <c r="F12311" t="str">
        <f>"08-I14-02"</f>
        <v>08-I14-02</v>
      </c>
      <c r="G12311">
        <v>1.2390000000000001</v>
      </c>
      <c r="H12311" t="s">
        <v>12</v>
      </c>
      <c r="I12311" t="s">
        <v>10</v>
      </c>
    </row>
    <row r="12312" spans="1:9" x14ac:dyDescent="0.25">
      <c r="A12312" t="str">
        <f t="shared" si="294"/>
        <v>89301000</v>
      </c>
      <c r="B12312" t="str">
        <f>"7654264464"</f>
        <v>7654264464</v>
      </c>
      <c r="C12312" s="1">
        <v>44998</v>
      </c>
      <c r="D12312" s="1">
        <v>45006</v>
      </c>
      <c r="E12312">
        <v>8</v>
      </c>
      <c r="F12312" t="str">
        <f>"00-M01-03"</f>
        <v>00-M01-03</v>
      </c>
      <c r="G12312">
        <v>10.3605</v>
      </c>
      <c r="H12312" t="s">
        <v>11</v>
      </c>
      <c r="I12312" t="s">
        <v>10</v>
      </c>
    </row>
    <row r="12313" spans="1:9" x14ac:dyDescent="0.25">
      <c r="A12313" t="str">
        <f t="shared" si="294"/>
        <v>89301000</v>
      </c>
      <c r="B12313" t="str">
        <f>"7654285375"</f>
        <v>7654285375</v>
      </c>
      <c r="C12313" s="1">
        <v>44984</v>
      </c>
      <c r="D12313" s="1">
        <v>44993</v>
      </c>
      <c r="E12313">
        <v>1</v>
      </c>
      <c r="F12313" t="str">
        <f>"04-K07-02"</f>
        <v>04-K07-02</v>
      </c>
      <c r="G12313">
        <v>1.1275999999999999</v>
      </c>
      <c r="H12313" t="s">
        <v>11</v>
      </c>
      <c r="I12313" t="s">
        <v>10</v>
      </c>
    </row>
    <row r="12314" spans="1:9" x14ac:dyDescent="0.25">
      <c r="A12314" t="str">
        <f t="shared" si="294"/>
        <v>89301000</v>
      </c>
      <c r="B12314" t="str">
        <f>"7654285375"</f>
        <v>7654285375</v>
      </c>
      <c r="C12314" s="1">
        <v>45182</v>
      </c>
      <c r="D12314" s="1">
        <v>45195</v>
      </c>
      <c r="E12314">
        <v>4</v>
      </c>
      <c r="F12314" t="str">
        <f>"10-K15-01"</f>
        <v>10-K15-01</v>
      </c>
      <c r="G12314">
        <v>1.5553999999999999</v>
      </c>
      <c r="H12314" t="s">
        <v>11</v>
      </c>
      <c r="I12314" t="s">
        <v>10</v>
      </c>
    </row>
    <row r="12315" spans="1:9" x14ac:dyDescent="0.25">
      <c r="A12315" t="str">
        <f t="shared" si="294"/>
        <v>89301000</v>
      </c>
      <c r="B12315" t="str">
        <f>"7654295352"</f>
        <v>7654295352</v>
      </c>
      <c r="C12315" s="1">
        <v>45117</v>
      </c>
      <c r="D12315" s="1">
        <v>45119</v>
      </c>
      <c r="E12315">
        <v>1</v>
      </c>
      <c r="F12315" t="str">
        <f>"08-K08-00"</f>
        <v>08-K08-00</v>
      </c>
      <c r="G12315">
        <v>0.5272</v>
      </c>
      <c r="H12315" t="s">
        <v>11</v>
      </c>
      <c r="I12315" t="s">
        <v>10</v>
      </c>
    </row>
    <row r="12316" spans="1:9" x14ac:dyDescent="0.25">
      <c r="A12316" t="str">
        <f t="shared" si="294"/>
        <v>89301000</v>
      </c>
      <c r="B12316" t="str">
        <f>"7654295352"</f>
        <v>7654295352</v>
      </c>
      <c r="C12316" s="1">
        <v>45138</v>
      </c>
      <c r="D12316" s="1">
        <v>45142</v>
      </c>
      <c r="E12316">
        <v>1</v>
      </c>
      <c r="F12316" t="str">
        <f>"06-K07-02"</f>
        <v>06-K07-02</v>
      </c>
      <c r="G12316">
        <v>0.48399999999999999</v>
      </c>
      <c r="H12316" t="s">
        <v>11</v>
      </c>
      <c r="I12316" t="s">
        <v>10</v>
      </c>
    </row>
    <row r="12317" spans="1:9" x14ac:dyDescent="0.25">
      <c r="A12317" t="str">
        <f t="shared" si="294"/>
        <v>89301000</v>
      </c>
      <c r="B12317" t="str">
        <f>"7655015346"</f>
        <v>7655015346</v>
      </c>
      <c r="C12317" s="1">
        <v>44967</v>
      </c>
      <c r="D12317" s="1">
        <v>44969</v>
      </c>
      <c r="E12317">
        <v>1</v>
      </c>
      <c r="F12317" t="str">
        <f>"03-I24-00"</f>
        <v>03-I24-00</v>
      </c>
      <c r="G12317">
        <v>0.40670000000000001</v>
      </c>
      <c r="H12317" t="s">
        <v>11</v>
      </c>
      <c r="I12317" t="s">
        <v>10</v>
      </c>
    </row>
    <row r="12318" spans="1:9" x14ac:dyDescent="0.25">
      <c r="A12318" t="str">
        <f t="shared" ref="A12318:A12381" si="296">"89301000"</f>
        <v>89301000</v>
      </c>
      <c r="B12318" t="str">
        <f>"7655015742"</f>
        <v>7655015742</v>
      </c>
      <c r="C12318" s="1">
        <v>44942</v>
      </c>
      <c r="D12318" s="1">
        <v>44945</v>
      </c>
      <c r="E12318">
        <v>1</v>
      </c>
      <c r="F12318" t="str">
        <f>"08-M03-05"</f>
        <v>08-M03-05</v>
      </c>
      <c r="G12318">
        <v>0.46810000000000002</v>
      </c>
      <c r="H12318" t="s">
        <v>11</v>
      </c>
      <c r="I12318" t="s">
        <v>10</v>
      </c>
    </row>
    <row r="12319" spans="1:9" x14ac:dyDescent="0.25">
      <c r="A12319" t="str">
        <f t="shared" si="296"/>
        <v>89301000</v>
      </c>
      <c r="B12319" t="str">
        <f>"7655105326"</f>
        <v>7655105326</v>
      </c>
      <c r="C12319" s="1">
        <v>45231</v>
      </c>
      <c r="D12319" s="1">
        <v>45236</v>
      </c>
      <c r="E12319">
        <v>4</v>
      </c>
      <c r="F12319" t="str">
        <f>"08-I05-04"</f>
        <v>08-I05-04</v>
      </c>
      <c r="G12319">
        <v>2.4445000000000001</v>
      </c>
      <c r="H12319" t="s">
        <v>12</v>
      </c>
      <c r="I12319" t="s">
        <v>10</v>
      </c>
    </row>
    <row r="12320" spans="1:9" x14ac:dyDescent="0.25">
      <c r="A12320" t="str">
        <f t="shared" si="296"/>
        <v>89301000</v>
      </c>
      <c r="B12320" t="str">
        <f>"7655105381"</f>
        <v>7655105381</v>
      </c>
      <c r="C12320" s="1">
        <v>45273</v>
      </c>
      <c r="D12320" s="1">
        <v>45277</v>
      </c>
      <c r="E12320">
        <v>1</v>
      </c>
      <c r="F12320" t="str">
        <f>"03-I19-03"</f>
        <v>03-I19-03</v>
      </c>
      <c r="G12320">
        <v>0.53420000000000001</v>
      </c>
      <c r="H12320" t="s">
        <v>11</v>
      </c>
      <c r="I12320" t="s">
        <v>10</v>
      </c>
    </row>
    <row r="12321" spans="1:9" x14ac:dyDescent="0.25">
      <c r="A12321" t="str">
        <f t="shared" si="296"/>
        <v>89301000</v>
      </c>
      <c r="B12321" t="str">
        <f>"7655105381"</f>
        <v>7655105381</v>
      </c>
      <c r="C12321" s="1">
        <v>45172</v>
      </c>
      <c r="D12321" s="1">
        <v>45174</v>
      </c>
      <c r="E12321">
        <v>1</v>
      </c>
      <c r="F12321" t="str">
        <f>"03-K08-00"</f>
        <v>03-K08-00</v>
      </c>
      <c r="G12321">
        <v>0.45639999999999997</v>
      </c>
      <c r="H12321" t="s">
        <v>11</v>
      </c>
      <c r="I12321" t="s">
        <v>10</v>
      </c>
    </row>
    <row r="12322" spans="1:9" x14ac:dyDescent="0.25">
      <c r="A12322" t="str">
        <f t="shared" si="296"/>
        <v>89301000</v>
      </c>
      <c r="B12322" t="str">
        <f>"7655125313"</f>
        <v>7655125313</v>
      </c>
      <c r="C12322" s="1">
        <v>45241</v>
      </c>
      <c r="D12322" s="1">
        <v>45250</v>
      </c>
      <c r="E12322">
        <v>1</v>
      </c>
      <c r="F12322" t="str">
        <f>"04-K05-02"</f>
        <v>04-K05-02</v>
      </c>
      <c r="G12322">
        <v>1.4463999999999999</v>
      </c>
      <c r="H12322" t="s">
        <v>11</v>
      </c>
      <c r="I12322" t="s">
        <v>10</v>
      </c>
    </row>
    <row r="12323" spans="1:9" x14ac:dyDescent="0.25">
      <c r="A12323" t="str">
        <f t="shared" si="296"/>
        <v>89301000</v>
      </c>
      <c r="B12323" t="str">
        <f>"7655155365"</f>
        <v>7655155365</v>
      </c>
      <c r="C12323" s="1">
        <v>45137</v>
      </c>
      <c r="D12323" s="1">
        <v>45140</v>
      </c>
      <c r="E12323">
        <v>8</v>
      </c>
      <c r="F12323" t="str">
        <f>"17-K10-01"</f>
        <v>17-K10-01</v>
      </c>
      <c r="G12323">
        <v>1.5891999999999999</v>
      </c>
      <c r="H12323" t="s">
        <v>11</v>
      </c>
      <c r="I12323" t="s">
        <v>10</v>
      </c>
    </row>
    <row r="12324" spans="1:9" x14ac:dyDescent="0.25">
      <c r="A12324" t="str">
        <f t="shared" si="296"/>
        <v>89301000</v>
      </c>
      <c r="B12324" t="str">
        <f>"7655175308"</f>
        <v>7655175308</v>
      </c>
      <c r="C12324" s="1">
        <v>45043</v>
      </c>
      <c r="D12324" s="1">
        <v>45048</v>
      </c>
      <c r="E12324">
        <v>1</v>
      </c>
      <c r="F12324" t="str">
        <f>"06-K15-02"</f>
        <v>06-K15-02</v>
      </c>
      <c r="G12324">
        <v>0.31859999999999999</v>
      </c>
      <c r="H12324" t="s">
        <v>11</v>
      </c>
      <c r="I12324" t="s">
        <v>10</v>
      </c>
    </row>
    <row r="12325" spans="1:9" x14ac:dyDescent="0.25">
      <c r="A12325" t="str">
        <f t="shared" si="296"/>
        <v>89301000</v>
      </c>
      <c r="B12325" t="str">
        <f>"7655255333"</f>
        <v>7655255333</v>
      </c>
      <c r="C12325" s="1">
        <v>44965</v>
      </c>
      <c r="D12325" s="1">
        <v>44967</v>
      </c>
      <c r="E12325">
        <v>1</v>
      </c>
      <c r="F12325" t="str">
        <f>"08-I03-08"</f>
        <v>08-I03-08</v>
      </c>
      <c r="G12325">
        <v>1.9455</v>
      </c>
      <c r="H12325" t="s">
        <v>9</v>
      </c>
      <c r="I12325" t="s">
        <v>10</v>
      </c>
    </row>
    <row r="12326" spans="1:9" x14ac:dyDescent="0.25">
      <c r="A12326" t="str">
        <f t="shared" si="296"/>
        <v>89301000</v>
      </c>
      <c r="B12326" t="str">
        <f>"7655314480"</f>
        <v>7655314480</v>
      </c>
      <c r="C12326" s="1">
        <v>45117</v>
      </c>
      <c r="D12326" s="1">
        <v>45121</v>
      </c>
      <c r="E12326">
        <v>1</v>
      </c>
      <c r="F12326" t="str">
        <f>"08-I14-01"</f>
        <v>08-I14-01</v>
      </c>
      <c r="G12326">
        <v>3.0539999999999998</v>
      </c>
      <c r="H12326" t="s">
        <v>12</v>
      </c>
      <c r="I12326" t="s">
        <v>10</v>
      </c>
    </row>
    <row r="12327" spans="1:9" x14ac:dyDescent="0.25">
      <c r="A12327" t="str">
        <f t="shared" si="296"/>
        <v>89301000</v>
      </c>
      <c r="B12327" t="str">
        <f>"7656025685"</f>
        <v>7656025685</v>
      </c>
      <c r="C12327" s="1">
        <v>44984</v>
      </c>
      <c r="D12327" s="1">
        <v>44988</v>
      </c>
      <c r="E12327">
        <v>1</v>
      </c>
      <c r="F12327" t="str">
        <f>"03-I15-00"</f>
        <v>03-I15-00</v>
      </c>
      <c r="G12327">
        <v>0.99539999999999995</v>
      </c>
      <c r="H12327" t="s">
        <v>9</v>
      </c>
      <c r="I12327" t="s">
        <v>10</v>
      </c>
    </row>
    <row r="12328" spans="1:9" x14ac:dyDescent="0.25">
      <c r="A12328" t="str">
        <f t="shared" si="296"/>
        <v>89301000</v>
      </c>
      <c r="B12328" t="str">
        <f>"7656063514"</f>
        <v>7656063514</v>
      </c>
      <c r="C12328" s="1">
        <v>45223</v>
      </c>
      <c r="D12328" s="1">
        <v>45227</v>
      </c>
      <c r="E12328">
        <v>1</v>
      </c>
      <c r="F12328" t="str">
        <f>"01-K01-01"</f>
        <v>01-K01-01</v>
      </c>
      <c r="G12328">
        <v>0.91659999999999997</v>
      </c>
      <c r="H12328" t="s">
        <v>11</v>
      </c>
      <c r="I12328" t="s">
        <v>10</v>
      </c>
    </row>
    <row r="12329" spans="1:9" x14ac:dyDescent="0.25">
      <c r="A12329" t="str">
        <f t="shared" si="296"/>
        <v>89301000</v>
      </c>
      <c r="B12329" t="str">
        <f>"7656094611"</f>
        <v>7656094611</v>
      </c>
      <c r="C12329" s="1">
        <v>44942</v>
      </c>
      <c r="D12329" s="1">
        <v>44944</v>
      </c>
      <c r="E12329">
        <v>1</v>
      </c>
      <c r="F12329" t="str">
        <f>"05-M05-02"</f>
        <v>05-M05-02</v>
      </c>
      <c r="G12329">
        <v>3.4817999999999998</v>
      </c>
      <c r="H12329" t="s">
        <v>14</v>
      </c>
      <c r="I12329" t="s">
        <v>10</v>
      </c>
    </row>
    <row r="12330" spans="1:9" x14ac:dyDescent="0.25">
      <c r="A12330" t="str">
        <f t="shared" si="296"/>
        <v>89301000</v>
      </c>
      <c r="B12330" t="str">
        <f>"7656135311"</f>
        <v>7656135311</v>
      </c>
      <c r="C12330" s="1">
        <v>45136</v>
      </c>
      <c r="D12330" s="1">
        <v>45145</v>
      </c>
      <c r="E12330">
        <v>1</v>
      </c>
      <c r="F12330" t="str">
        <f>"20-K03-03"</f>
        <v>20-K03-03</v>
      </c>
      <c r="G12330">
        <v>0.94020000000000004</v>
      </c>
      <c r="H12330" t="s">
        <v>11</v>
      </c>
      <c r="I12330" t="s">
        <v>10</v>
      </c>
    </row>
    <row r="12331" spans="1:9" x14ac:dyDescent="0.25">
      <c r="A12331" t="str">
        <f t="shared" si="296"/>
        <v>89301000</v>
      </c>
      <c r="B12331" t="str">
        <f>"7656135311"</f>
        <v>7656135311</v>
      </c>
      <c r="C12331" s="1">
        <v>45104</v>
      </c>
      <c r="D12331" s="1">
        <v>45105</v>
      </c>
      <c r="E12331">
        <v>1</v>
      </c>
      <c r="F12331" t="str">
        <f>"06-K21-03"</f>
        <v>06-K21-03</v>
      </c>
      <c r="G12331">
        <v>0.38040000000000002</v>
      </c>
      <c r="H12331" t="s">
        <v>11</v>
      </c>
      <c r="I12331" t="s">
        <v>10</v>
      </c>
    </row>
    <row r="12332" spans="1:9" x14ac:dyDescent="0.25">
      <c r="A12332" t="str">
        <f t="shared" si="296"/>
        <v>89301000</v>
      </c>
      <c r="B12332" t="str">
        <f>"7656135311"</f>
        <v>7656135311</v>
      </c>
      <c r="C12332" s="1">
        <v>44948</v>
      </c>
      <c r="D12332" s="1">
        <v>44950</v>
      </c>
      <c r="E12332">
        <v>1</v>
      </c>
      <c r="F12332" t="str">
        <f>"08-K08-00"</f>
        <v>08-K08-00</v>
      </c>
      <c r="G12332">
        <v>0.5272</v>
      </c>
      <c r="H12332" t="s">
        <v>11</v>
      </c>
      <c r="I12332" t="s">
        <v>10</v>
      </c>
    </row>
    <row r="12333" spans="1:9" x14ac:dyDescent="0.25">
      <c r="A12333" t="str">
        <f t="shared" si="296"/>
        <v>89301000</v>
      </c>
      <c r="B12333" t="str">
        <f>"7656155705"</f>
        <v>7656155705</v>
      </c>
      <c r="C12333" s="1">
        <v>44974</v>
      </c>
      <c r="D12333" s="1">
        <v>44977</v>
      </c>
      <c r="E12333">
        <v>1</v>
      </c>
      <c r="F12333" t="str">
        <f>"10-K05-02"</f>
        <v>10-K05-02</v>
      </c>
      <c r="G12333">
        <v>0.4597</v>
      </c>
      <c r="H12333" t="s">
        <v>11</v>
      </c>
      <c r="I12333" t="s">
        <v>10</v>
      </c>
    </row>
    <row r="12334" spans="1:9" x14ac:dyDescent="0.25">
      <c r="A12334" t="str">
        <f t="shared" si="296"/>
        <v>89301000</v>
      </c>
      <c r="B12334" t="str">
        <f>"7656175307"</f>
        <v>7656175307</v>
      </c>
      <c r="C12334" s="1">
        <v>44929</v>
      </c>
      <c r="D12334" s="1">
        <v>44930</v>
      </c>
      <c r="E12334">
        <v>1</v>
      </c>
      <c r="F12334" t="str">
        <f>"05-M10-00"</f>
        <v>05-M10-00</v>
      </c>
      <c r="G12334">
        <v>0.2036</v>
      </c>
      <c r="H12334" t="s">
        <v>11</v>
      </c>
      <c r="I12334" t="s">
        <v>10</v>
      </c>
    </row>
    <row r="12335" spans="1:9" x14ac:dyDescent="0.25">
      <c r="A12335" t="str">
        <f t="shared" si="296"/>
        <v>89301000</v>
      </c>
      <c r="B12335" t="str">
        <f>"7656195855"</f>
        <v>7656195855</v>
      </c>
      <c r="C12335" s="1">
        <v>45020</v>
      </c>
      <c r="D12335" s="1">
        <v>45023</v>
      </c>
      <c r="E12335">
        <v>1</v>
      </c>
      <c r="F12335" t="str">
        <f>"03-I18-01"</f>
        <v>03-I18-01</v>
      </c>
      <c r="G12335">
        <v>1.1439999999999999</v>
      </c>
      <c r="H12335" t="s">
        <v>9</v>
      </c>
      <c r="I12335" t="s">
        <v>10</v>
      </c>
    </row>
    <row r="12336" spans="1:9" x14ac:dyDescent="0.25">
      <c r="A12336" t="str">
        <f t="shared" si="296"/>
        <v>89301000</v>
      </c>
      <c r="B12336" t="str">
        <f>"7656205348"</f>
        <v>7656205348</v>
      </c>
      <c r="C12336" s="1">
        <v>45028</v>
      </c>
      <c r="D12336" s="1">
        <v>45031</v>
      </c>
      <c r="E12336">
        <v>1</v>
      </c>
      <c r="F12336" t="str">
        <f>"09-I08-01"</f>
        <v>09-I08-01</v>
      </c>
      <c r="G12336">
        <v>1.2547999999999999</v>
      </c>
      <c r="H12336" t="s">
        <v>14</v>
      </c>
      <c r="I12336" t="s">
        <v>10</v>
      </c>
    </row>
    <row r="12337" spans="1:9" x14ac:dyDescent="0.25">
      <c r="A12337" t="str">
        <f t="shared" si="296"/>
        <v>89301000</v>
      </c>
      <c r="B12337" t="str">
        <f>"7656205348"</f>
        <v>7656205348</v>
      </c>
      <c r="C12337" s="1">
        <v>45210</v>
      </c>
      <c r="D12337" s="1">
        <v>45213</v>
      </c>
      <c r="E12337">
        <v>1</v>
      </c>
      <c r="F12337" t="str">
        <f>"09-I08-02"</f>
        <v>09-I08-02</v>
      </c>
      <c r="G12337">
        <v>1.1033999999999999</v>
      </c>
      <c r="H12337" t="s">
        <v>14</v>
      </c>
      <c r="I12337" t="s">
        <v>10</v>
      </c>
    </row>
    <row r="12338" spans="1:9" x14ac:dyDescent="0.25">
      <c r="A12338" t="str">
        <f t="shared" si="296"/>
        <v>89301000</v>
      </c>
      <c r="B12338" t="str">
        <f>"7656235345"</f>
        <v>7656235345</v>
      </c>
      <c r="C12338" s="1">
        <v>44880</v>
      </c>
      <c r="D12338" s="1">
        <v>44959</v>
      </c>
      <c r="E12338">
        <v>8</v>
      </c>
      <c r="F12338" t="str">
        <f>"00-M02-02"</f>
        <v>00-M02-02</v>
      </c>
      <c r="G12338">
        <v>35.717799999999997</v>
      </c>
      <c r="H12338" t="s">
        <v>11</v>
      </c>
      <c r="I12338" t="s">
        <v>10</v>
      </c>
    </row>
    <row r="12339" spans="1:9" x14ac:dyDescent="0.25">
      <c r="A12339" t="str">
        <f t="shared" si="296"/>
        <v>89301000</v>
      </c>
      <c r="B12339" t="str">
        <f>"7656235433"</f>
        <v>7656235433</v>
      </c>
      <c r="C12339" s="1">
        <v>45041</v>
      </c>
      <c r="D12339" s="1">
        <v>45045</v>
      </c>
      <c r="E12339">
        <v>1</v>
      </c>
      <c r="F12339" t="str">
        <f>"13-I11-03"</f>
        <v>13-I11-03</v>
      </c>
      <c r="G12339">
        <v>1.4332</v>
      </c>
      <c r="H12339" t="s">
        <v>9</v>
      </c>
      <c r="I12339" t="s">
        <v>10</v>
      </c>
    </row>
    <row r="12340" spans="1:9" x14ac:dyDescent="0.25">
      <c r="A12340" t="str">
        <f t="shared" si="296"/>
        <v>89301000</v>
      </c>
      <c r="B12340" t="str">
        <f>"7657045374"</f>
        <v>7657045374</v>
      </c>
      <c r="C12340" s="1">
        <v>45247</v>
      </c>
      <c r="D12340" s="1">
        <v>45255</v>
      </c>
      <c r="E12340">
        <v>1</v>
      </c>
      <c r="F12340" t="str">
        <f>"06-I07-05"</f>
        <v>06-I07-05</v>
      </c>
      <c r="G12340">
        <v>2.7919999999999998</v>
      </c>
      <c r="H12340" t="s">
        <v>12</v>
      </c>
      <c r="I12340" t="s">
        <v>10</v>
      </c>
    </row>
    <row r="12341" spans="1:9" x14ac:dyDescent="0.25">
      <c r="A12341" t="str">
        <f t="shared" si="296"/>
        <v>89301000</v>
      </c>
      <c r="B12341" t="str">
        <f>"7657114465"</f>
        <v>7657114465</v>
      </c>
      <c r="C12341" s="1">
        <v>45005</v>
      </c>
      <c r="D12341" s="1">
        <v>45022</v>
      </c>
      <c r="E12341">
        <v>1</v>
      </c>
      <c r="F12341" t="str">
        <f>"03-I04-01"</f>
        <v>03-I04-01</v>
      </c>
      <c r="G12341">
        <v>4.8132000000000001</v>
      </c>
      <c r="H12341" t="s">
        <v>14</v>
      </c>
      <c r="I12341" t="s">
        <v>10</v>
      </c>
    </row>
    <row r="12342" spans="1:9" x14ac:dyDescent="0.25">
      <c r="A12342" t="str">
        <f t="shared" si="296"/>
        <v>89301000</v>
      </c>
      <c r="B12342" t="str">
        <f>"7657114465"</f>
        <v>7657114465</v>
      </c>
      <c r="C12342" s="1">
        <v>45056</v>
      </c>
      <c r="D12342" s="1">
        <v>45061</v>
      </c>
      <c r="E12342">
        <v>1</v>
      </c>
      <c r="F12342" t="str">
        <f>"17-I07-02"</f>
        <v>17-I07-02</v>
      </c>
      <c r="G12342">
        <v>1.9672000000000001</v>
      </c>
      <c r="H12342" t="s">
        <v>12</v>
      </c>
      <c r="I12342" t="s">
        <v>10</v>
      </c>
    </row>
    <row r="12343" spans="1:9" x14ac:dyDescent="0.25">
      <c r="A12343" t="str">
        <f t="shared" si="296"/>
        <v>89301000</v>
      </c>
      <c r="B12343" t="str">
        <f>"7657114465"</f>
        <v>7657114465</v>
      </c>
      <c r="C12343" s="1">
        <v>45104</v>
      </c>
      <c r="D12343" s="1">
        <v>45107</v>
      </c>
      <c r="E12343">
        <v>1</v>
      </c>
      <c r="F12343" t="str">
        <f>"03-R01-08"</f>
        <v>03-R01-08</v>
      </c>
      <c r="G12343">
        <v>1.0805</v>
      </c>
      <c r="H12343" t="s">
        <v>11</v>
      </c>
      <c r="I12343" t="s">
        <v>10</v>
      </c>
    </row>
    <row r="12344" spans="1:9" x14ac:dyDescent="0.25">
      <c r="A12344" t="str">
        <f t="shared" si="296"/>
        <v>89301000</v>
      </c>
      <c r="B12344" t="str">
        <f>"7657114465"</f>
        <v>7657114465</v>
      </c>
      <c r="C12344" s="1">
        <v>45131</v>
      </c>
      <c r="D12344" s="1">
        <v>45133</v>
      </c>
      <c r="E12344">
        <v>1</v>
      </c>
      <c r="F12344" t="str">
        <f>"03-R01-08"</f>
        <v>03-R01-08</v>
      </c>
      <c r="G12344">
        <v>1.0805</v>
      </c>
      <c r="H12344" t="s">
        <v>11</v>
      </c>
      <c r="I12344" t="s">
        <v>10</v>
      </c>
    </row>
    <row r="12345" spans="1:9" x14ac:dyDescent="0.25">
      <c r="A12345" t="str">
        <f t="shared" si="296"/>
        <v>89301000</v>
      </c>
      <c r="B12345" t="str">
        <f>"7657114465"</f>
        <v>7657114465</v>
      </c>
      <c r="C12345" s="1">
        <v>45083</v>
      </c>
      <c r="D12345" s="1">
        <v>45085</v>
      </c>
      <c r="E12345">
        <v>1</v>
      </c>
      <c r="F12345" t="str">
        <f>"03-R01-08"</f>
        <v>03-R01-08</v>
      </c>
      <c r="G12345">
        <v>1.0805</v>
      </c>
      <c r="H12345" t="s">
        <v>11</v>
      </c>
      <c r="I12345" t="s">
        <v>10</v>
      </c>
    </row>
    <row r="12346" spans="1:9" x14ac:dyDescent="0.25">
      <c r="A12346" t="str">
        <f t="shared" si="296"/>
        <v>89301000</v>
      </c>
      <c r="B12346" t="str">
        <f>"7657164845"</f>
        <v>7657164845</v>
      </c>
      <c r="C12346" s="1">
        <v>45270</v>
      </c>
      <c r="D12346" s="1">
        <v>45271</v>
      </c>
      <c r="E12346">
        <v>1</v>
      </c>
      <c r="F12346" t="str">
        <f>"05-K05-05"</f>
        <v>05-K05-05</v>
      </c>
      <c r="G12346">
        <v>0.35659999999999997</v>
      </c>
      <c r="H12346" t="s">
        <v>11</v>
      </c>
      <c r="I12346" t="s">
        <v>10</v>
      </c>
    </row>
    <row r="12347" spans="1:9" x14ac:dyDescent="0.25">
      <c r="A12347" t="str">
        <f t="shared" si="296"/>
        <v>89301000</v>
      </c>
      <c r="B12347" t="str">
        <f>"7657164856"</f>
        <v>7657164856</v>
      </c>
      <c r="C12347" s="1">
        <v>45005</v>
      </c>
      <c r="D12347" s="1">
        <v>45007</v>
      </c>
      <c r="E12347">
        <v>1</v>
      </c>
      <c r="F12347" t="str">
        <f>"08-M03-05"</f>
        <v>08-M03-05</v>
      </c>
      <c r="G12347">
        <v>0.46810000000000002</v>
      </c>
      <c r="H12347" t="s">
        <v>11</v>
      </c>
      <c r="I12347" t="s">
        <v>10</v>
      </c>
    </row>
    <row r="12348" spans="1:9" x14ac:dyDescent="0.25">
      <c r="A12348" t="str">
        <f t="shared" si="296"/>
        <v>89301000</v>
      </c>
      <c r="B12348" t="str">
        <f>"7657164856"</f>
        <v>7657164856</v>
      </c>
      <c r="C12348" s="1">
        <v>45012</v>
      </c>
      <c r="D12348" s="1">
        <v>45022</v>
      </c>
      <c r="E12348">
        <v>1</v>
      </c>
      <c r="F12348" t="str">
        <f>"24-M06-02"</f>
        <v>24-M06-02</v>
      </c>
      <c r="G12348">
        <v>1.07</v>
      </c>
      <c r="H12348" t="s">
        <v>11</v>
      </c>
      <c r="I12348" t="s">
        <v>10</v>
      </c>
    </row>
    <row r="12349" spans="1:9" x14ac:dyDescent="0.25">
      <c r="A12349" t="str">
        <f t="shared" si="296"/>
        <v>89301000</v>
      </c>
      <c r="B12349" t="str">
        <f>"7657284459"</f>
        <v>7657284459</v>
      </c>
      <c r="C12349" s="1">
        <v>44991</v>
      </c>
      <c r="D12349" s="1">
        <v>44993</v>
      </c>
      <c r="E12349">
        <v>1</v>
      </c>
      <c r="F12349" t="str">
        <f>"03-I14-02"</f>
        <v>03-I14-02</v>
      </c>
      <c r="G12349">
        <v>1.0793999999999999</v>
      </c>
      <c r="H12349" t="s">
        <v>11</v>
      </c>
      <c r="I12349" t="s">
        <v>10</v>
      </c>
    </row>
    <row r="12350" spans="1:9" x14ac:dyDescent="0.25">
      <c r="A12350" t="str">
        <f t="shared" si="296"/>
        <v>89301000</v>
      </c>
      <c r="B12350" t="str">
        <f>"7657285757"</f>
        <v>7657285757</v>
      </c>
      <c r="C12350" s="1">
        <v>45225</v>
      </c>
      <c r="D12350" s="1">
        <v>45229</v>
      </c>
      <c r="E12350">
        <v>1</v>
      </c>
      <c r="F12350" t="str">
        <f>"09-I09-02"</f>
        <v>09-I09-02</v>
      </c>
      <c r="G12350">
        <v>0.76900000000000002</v>
      </c>
      <c r="H12350" t="s">
        <v>12</v>
      </c>
      <c r="I12350" t="s">
        <v>10</v>
      </c>
    </row>
    <row r="12351" spans="1:9" x14ac:dyDescent="0.25">
      <c r="A12351" t="str">
        <f t="shared" si="296"/>
        <v>89301000</v>
      </c>
      <c r="B12351" t="str">
        <f>"7658055328"</f>
        <v>7658055328</v>
      </c>
      <c r="C12351" s="1">
        <v>45258</v>
      </c>
      <c r="D12351" s="1">
        <v>45261</v>
      </c>
      <c r="E12351">
        <v>1</v>
      </c>
      <c r="F12351" t="str">
        <f>"23-I08-00"</f>
        <v>23-I08-00</v>
      </c>
      <c r="G12351">
        <v>0.81740000000000002</v>
      </c>
      <c r="H12351" t="s">
        <v>9</v>
      </c>
      <c r="I12351" t="s">
        <v>10</v>
      </c>
    </row>
    <row r="12352" spans="1:9" x14ac:dyDescent="0.25">
      <c r="A12352" t="str">
        <f t="shared" si="296"/>
        <v>89301000</v>
      </c>
      <c r="B12352" t="str">
        <f>"7658104498"</f>
        <v>7658104498</v>
      </c>
      <c r="C12352" s="1">
        <v>45051</v>
      </c>
      <c r="D12352" s="1">
        <v>45061</v>
      </c>
      <c r="E12352">
        <v>1</v>
      </c>
      <c r="F12352" t="str">
        <f>"19-K04-02"</f>
        <v>19-K04-02</v>
      </c>
      <c r="G12352">
        <v>1.3379000000000001</v>
      </c>
      <c r="H12352" t="s">
        <v>15</v>
      </c>
      <c r="I12352" t="s">
        <v>10</v>
      </c>
    </row>
    <row r="12353" spans="1:9" x14ac:dyDescent="0.25">
      <c r="A12353" t="str">
        <f t="shared" si="296"/>
        <v>89301000</v>
      </c>
      <c r="B12353" t="str">
        <f>"7658105345"</f>
        <v>7658105345</v>
      </c>
      <c r="C12353" s="1">
        <v>44987</v>
      </c>
      <c r="D12353" s="1">
        <v>44991</v>
      </c>
      <c r="E12353">
        <v>1</v>
      </c>
      <c r="F12353" t="str">
        <f>"09-I09-02"</f>
        <v>09-I09-02</v>
      </c>
      <c r="G12353">
        <v>0.76900000000000002</v>
      </c>
      <c r="H12353" t="s">
        <v>12</v>
      </c>
      <c r="I12353" t="s">
        <v>10</v>
      </c>
    </row>
    <row r="12354" spans="1:9" x14ac:dyDescent="0.25">
      <c r="A12354" t="str">
        <f t="shared" si="296"/>
        <v>89301000</v>
      </c>
      <c r="B12354" t="str">
        <f>"7658125772"</f>
        <v>7658125772</v>
      </c>
      <c r="C12354" s="1">
        <v>45011</v>
      </c>
      <c r="D12354" s="1">
        <v>45013</v>
      </c>
      <c r="E12354">
        <v>1</v>
      </c>
      <c r="F12354" t="str">
        <f>"01-I13-00"</f>
        <v>01-I13-00</v>
      </c>
      <c r="G12354">
        <v>0.38400000000000001</v>
      </c>
      <c r="H12354" t="s">
        <v>11</v>
      </c>
      <c r="I12354" t="s">
        <v>10</v>
      </c>
    </row>
    <row r="12355" spans="1:9" x14ac:dyDescent="0.25">
      <c r="A12355" t="str">
        <f t="shared" si="296"/>
        <v>89301000</v>
      </c>
      <c r="B12355" t="str">
        <f>"7658185766"</f>
        <v>7658185766</v>
      </c>
      <c r="C12355" s="1">
        <v>45189</v>
      </c>
      <c r="D12355" s="1">
        <v>45192</v>
      </c>
      <c r="E12355">
        <v>1</v>
      </c>
      <c r="F12355" t="str">
        <f>"05-M07-06"</f>
        <v>05-M07-06</v>
      </c>
      <c r="G12355">
        <v>1.2264999999999999</v>
      </c>
      <c r="H12355" t="s">
        <v>12</v>
      </c>
      <c r="I12355" t="s">
        <v>10</v>
      </c>
    </row>
    <row r="12356" spans="1:9" x14ac:dyDescent="0.25">
      <c r="A12356" t="str">
        <f t="shared" si="296"/>
        <v>89301000</v>
      </c>
      <c r="B12356" t="str">
        <f>"7658235310"</f>
        <v>7658235310</v>
      </c>
      <c r="C12356" s="1">
        <v>45035</v>
      </c>
      <c r="D12356" s="1">
        <v>45037</v>
      </c>
      <c r="E12356">
        <v>1</v>
      </c>
      <c r="F12356" t="str">
        <f>"05-I30-01"</f>
        <v>05-I30-01</v>
      </c>
      <c r="G12356">
        <v>0.60309999999999997</v>
      </c>
      <c r="H12356" t="s">
        <v>12</v>
      </c>
      <c r="I12356" t="s">
        <v>10</v>
      </c>
    </row>
    <row r="12357" spans="1:9" x14ac:dyDescent="0.25">
      <c r="A12357" t="str">
        <f t="shared" si="296"/>
        <v>89301000</v>
      </c>
      <c r="B12357" t="str">
        <f>"7659065304"</f>
        <v>7659065304</v>
      </c>
      <c r="C12357" s="1">
        <v>45186</v>
      </c>
      <c r="D12357" s="1">
        <v>45188</v>
      </c>
      <c r="E12357">
        <v>1</v>
      </c>
      <c r="F12357" t="str">
        <f>"08-M03-05"</f>
        <v>08-M03-05</v>
      </c>
      <c r="G12357">
        <v>0.46810000000000002</v>
      </c>
      <c r="H12357" t="s">
        <v>11</v>
      </c>
      <c r="I12357" t="s">
        <v>10</v>
      </c>
    </row>
    <row r="12358" spans="1:9" x14ac:dyDescent="0.25">
      <c r="A12358" t="str">
        <f t="shared" si="296"/>
        <v>89301000</v>
      </c>
      <c r="B12358" t="str">
        <f>"7659084466"</f>
        <v>7659084466</v>
      </c>
      <c r="C12358" s="1">
        <v>45037</v>
      </c>
      <c r="D12358" s="1">
        <v>45044</v>
      </c>
      <c r="E12358">
        <v>1</v>
      </c>
      <c r="F12358" t="str">
        <f>"08-K08-00"</f>
        <v>08-K08-00</v>
      </c>
      <c r="G12358">
        <v>0.5272</v>
      </c>
      <c r="H12358" t="s">
        <v>11</v>
      </c>
      <c r="I12358" t="s">
        <v>10</v>
      </c>
    </row>
    <row r="12359" spans="1:9" x14ac:dyDescent="0.25">
      <c r="A12359" t="str">
        <f t="shared" si="296"/>
        <v>89301000</v>
      </c>
      <c r="B12359" t="str">
        <f>"7659113858"</f>
        <v>7659113858</v>
      </c>
      <c r="C12359" s="1">
        <v>44963</v>
      </c>
      <c r="D12359" s="1">
        <v>44979</v>
      </c>
      <c r="E12359">
        <v>1</v>
      </c>
      <c r="F12359" t="str">
        <f>"19-K04-02"</f>
        <v>19-K04-02</v>
      </c>
      <c r="G12359">
        <v>1.3379000000000001</v>
      </c>
      <c r="H12359" t="s">
        <v>15</v>
      </c>
      <c r="I12359" t="s">
        <v>10</v>
      </c>
    </row>
    <row r="12360" spans="1:9" x14ac:dyDescent="0.25">
      <c r="A12360" t="str">
        <f t="shared" si="296"/>
        <v>89301000</v>
      </c>
      <c r="B12360" t="str">
        <f>"7659123351"</f>
        <v>7659123351</v>
      </c>
      <c r="C12360" s="1">
        <v>45085</v>
      </c>
      <c r="D12360" s="1">
        <v>45093</v>
      </c>
      <c r="E12360">
        <v>1</v>
      </c>
      <c r="F12360" t="str">
        <f>"08-K07-00"</f>
        <v>08-K07-00</v>
      </c>
      <c r="G12360">
        <v>0.97599999999999998</v>
      </c>
      <c r="H12360" t="s">
        <v>11</v>
      </c>
      <c r="I12360" t="s">
        <v>10</v>
      </c>
    </row>
    <row r="12361" spans="1:9" x14ac:dyDescent="0.25">
      <c r="A12361" t="str">
        <f t="shared" si="296"/>
        <v>89301000</v>
      </c>
      <c r="B12361" t="str">
        <f>"7659123351"</f>
        <v>7659123351</v>
      </c>
      <c r="C12361" s="1">
        <v>45029</v>
      </c>
      <c r="D12361" s="1">
        <v>45051</v>
      </c>
      <c r="E12361">
        <v>1</v>
      </c>
      <c r="F12361" t="str">
        <f>"24-M07-02"</f>
        <v>24-M07-02</v>
      </c>
      <c r="G12361">
        <v>1.5729</v>
      </c>
      <c r="H12361" t="s">
        <v>11</v>
      </c>
      <c r="I12361" t="s">
        <v>10</v>
      </c>
    </row>
    <row r="12362" spans="1:9" x14ac:dyDescent="0.25">
      <c r="A12362" t="str">
        <f t="shared" si="296"/>
        <v>89301000</v>
      </c>
      <c r="B12362" t="str">
        <f>"7659123351"</f>
        <v>7659123351</v>
      </c>
      <c r="C12362" s="1">
        <v>44955</v>
      </c>
      <c r="D12362" s="1">
        <v>44960</v>
      </c>
      <c r="E12362">
        <v>1</v>
      </c>
      <c r="F12362" t="str">
        <f>"08-I04-03"</f>
        <v>08-I04-03</v>
      </c>
      <c r="G12362">
        <v>1.3045</v>
      </c>
      <c r="H12362" t="s">
        <v>14</v>
      </c>
      <c r="I12362" t="s">
        <v>10</v>
      </c>
    </row>
    <row r="12363" spans="1:9" x14ac:dyDescent="0.25">
      <c r="A12363" t="str">
        <f t="shared" si="296"/>
        <v>89301000</v>
      </c>
      <c r="B12363" t="str">
        <f>"7659124473"</f>
        <v>7659124473</v>
      </c>
      <c r="C12363" s="1">
        <v>45217</v>
      </c>
      <c r="D12363" s="1">
        <v>45220</v>
      </c>
      <c r="E12363">
        <v>1</v>
      </c>
      <c r="F12363" t="str">
        <f>"08-I23-02"</f>
        <v>08-I23-02</v>
      </c>
      <c r="G12363">
        <v>0.91059999999999997</v>
      </c>
      <c r="H12363" t="s">
        <v>12</v>
      </c>
      <c r="I12363" t="s">
        <v>10</v>
      </c>
    </row>
    <row r="12364" spans="1:9" x14ac:dyDescent="0.25">
      <c r="A12364" t="str">
        <f t="shared" si="296"/>
        <v>89301000</v>
      </c>
      <c r="B12364" t="str">
        <f>"7659135308"</f>
        <v>7659135308</v>
      </c>
      <c r="C12364" s="1">
        <v>45105</v>
      </c>
      <c r="D12364" s="1">
        <v>45107</v>
      </c>
      <c r="E12364">
        <v>1</v>
      </c>
      <c r="F12364" t="str">
        <f>"08-I23-02"</f>
        <v>08-I23-02</v>
      </c>
      <c r="G12364">
        <v>0.91059999999999997</v>
      </c>
      <c r="H12364" t="s">
        <v>12</v>
      </c>
      <c r="I12364" t="s">
        <v>10</v>
      </c>
    </row>
    <row r="12365" spans="1:9" x14ac:dyDescent="0.25">
      <c r="A12365" t="str">
        <f t="shared" si="296"/>
        <v>89301000</v>
      </c>
      <c r="B12365" t="str">
        <f>"7659254471"</f>
        <v>7659254471</v>
      </c>
      <c r="C12365" s="1">
        <v>45177</v>
      </c>
      <c r="D12365" s="1">
        <v>45184</v>
      </c>
      <c r="E12365">
        <v>5</v>
      </c>
      <c r="F12365" t="str">
        <f>"08-I13-04"</f>
        <v>08-I13-04</v>
      </c>
      <c r="G12365">
        <v>4.1078000000000001</v>
      </c>
      <c r="H12365" t="s">
        <v>12</v>
      </c>
      <c r="I12365" t="s">
        <v>10</v>
      </c>
    </row>
    <row r="12366" spans="1:9" x14ac:dyDescent="0.25">
      <c r="A12366" t="str">
        <f t="shared" si="296"/>
        <v>89301000</v>
      </c>
      <c r="B12366" t="str">
        <f>"7659254493"</f>
        <v>7659254493</v>
      </c>
      <c r="C12366" s="1">
        <v>45200</v>
      </c>
      <c r="D12366" s="1">
        <v>45206</v>
      </c>
      <c r="E12366">
        <v>1</v>
      </c>
      <c r="F12366" t="str">
        <f>"01-I06-04"</f>
        <v>01-I06-04</v>
      </c>
      <c r="G12366">
        <v>3.6478999999999999</v>
      </c>
      <c r="H12366" t="s">
        <v>12</v>
      </c>
      <c r="I12366" t="s">
        <v>10</v>
      </c>
    </row>
    <row r="12367" spans="1:9" x14ac:dyDescent="0.25">
      <c r="A12367" t="str">
        <f t="shared" si="296"/>
        <v>89301000</v>
      </c>
      <c r="B12367" t="str">
        <f>"7659294478"</f>
        <v>7659294478</v>
      </c>
      <c r="C12367" s="1">
        <v>44965</v>
      </c>
      <c r="D12367" s="1">
        <v>44971</v>
      </c>
      <c r="E12367">
        <v>1</v>
      </c>
      <c r="F12367" t="str">
        <f>"08-I17-01"</f>
        <v>08-I17-01</v>
      </c>
      <c r="G12367">
        <v>1.6462000000000001</v>
      </c>
      <c r="H12367" t="s">
        <v>11</v>
      </c>
      <c r="I12367" t="s">
        <v>10</v>
      </c>
    </row>
    <row r="12368" spans="1:9" x14ac:dyDescent="0.25">
      <c r="A12368" t="str">
        <f t="shared" si="296"/>
        <v>89301000</v>
      </c>
      <c r="B12368" t="str">
        <f>"7660035757"</f>
        <v>7660035757</v>
      </c>
      <c r="C12368" s="1">
        <v>44966</v>
      </c>
      <c r="D12368" s="1">
        <v>44974</v>
      </c>
      <c r="E12368">
        <v>1</v>
      </c>
      <c r="F12368" t="str">
        <f>"05-I24-03"</f>
        <v>05-I24-03</v>
      </c>
      <c r="G12368">
        <v>3.1084999999999998</v>
      </c>
      <c r="H12368" t="s">
        <v>12</v>
      </c>
      <c r="I12368" t="s">
        <v>10</v>
      </c>
    </row>
    <row r="12369" spans="1:9" x14ac:dyDescent="0.25">
      <c r="A12369" t="str">
        <f t="shared" si="296"/>
        <v>89301000</v>
      </c>
      <c r="B12369" t="str">
        <f>"7660045811"</f>
        <v>7660045811</v>
      </c>
      <c r="C12369" s="1">
        <v>45207</v>
      </c>
      <c r="D12369" s="1">
        <v>45208</v>
      </c>
      <c r="E12369">
        <v>1</v>
      </c>
      <c r="F12369" t="str">
        <f>"03-K07-00"</f>
        <v>03-K07-00</v>
      </c>
      <c r="G12369">
        <v>0.38940000000000002</v>
      </c>
      <c r="H12369" t="s">
        <v>11</v>
      </c>
      <c r="I12369" t="s">
        <v>10</v>
      </c>
    </row>
    <row r="12370" spans="1:9" x14ac:dyDescent="0.25">
      <c r="A12370" t="str">
        <f t="shared" si="296"/>
        <v>89301000</v>
      </c>
      <c r="B12370" t="str">
        <f>"7660095784"</f>
        <v>7660095784</v>
      </c>
      <c r="C12370" s="1">
        <v>45056</v>
      </c>
      <c r="D12370" s="1">
        <v>45060</v>
      </c>
      <c r="E12370">
        <v>1</v>
      </c>
      <c r="F12370" t="str">
        <f>"09-I08-02"</f>
        <v>09-I08-02</v>
      </c>
      <c r="G12370">
        <v>1.1161000000000001</v>
      </c>
      <c r="H12370" t="s">
        <v>14</v>
      </c>
      <c r="I12370" t="s">
        <v>10</v>
      </c>
    </row>
    <row r="12371" spans="1:9" x14ac:dyDescent="0.25">
      <c r="A12371" t="str">
        <f t="shared" si="296"/>
        <v>89301000</v>
      </c>
      <c r="B12371" t="str">
        <f>"7660095784"</f>
        <v>7660095784</v>
      </c>
      <c r="C12371" s="1">
        <v>44969</v>
      </c>
      <c r="D12371" s="1">
        <v>44972</v>
      </c>
      <c r="E12371">
        <v>1</v>
      </c>
      <c r="F12371" t="str">
        <f>"23-I08-00"</f>
        <v>23-I08-00</v>
      </c>
      <c r="G12371">
        <v>0.81740000000000002</v>
      </c>
      <c r="H12371" t="s">
        <v>9</v>
      </c>
      <c r="I12371" t="s">
        <v>10</v>
      </c>
    </row>
    <row r="12372" spans="1:9" x14ac:dyDescent="0.25">
      <c r="A12372" t="str">
        <f t="shared" si="296"/>
        <v>89301000</v>
      </c>
      <c r="B12372" t="str">
        <f>"7660095784"</f>
        <v>7660095784</v>
      </c>
      <c r="C12372" s="1">
        <v>45063</v>
      </c>
      <c r="D12372" s="1">
        <v>45069</v>
      </c>
      <c r="E12372">
        <v>1</v>
      </c>
      <c r="F12372" t="str">
        <f>"18-K02-03"</f>
        <v>18-K02-03</v>
      </c>
      <c r="G12372">
        <v>0.9234</v>
      </c>
      <c r="H12372" t="s">
        <v>11</v>
      </c>
      <c r="I12372" t="s">
        <v>10</v>
      </c>
    </row>
    <row r="12373" spans="1:9" x14ac:dyDescent="0.25">
      <c r="A12373" t="str">
        <f t="shared" si="296"/>
        <v>89301000</v>
      </c>
      <c r="B12373" t="str">
        <f>"7660115793"</f>
        <v>7660115793</v>
      </c>
      <c r="C12373" s="1">
        <v>45082</v>
      </c>
      <c r="D12373" s="1">
        <v>45085</v>
      </c>
      <c r="E12373">
        <v>1</v>
      </c>
      <c r="F12373" t="str">
        <f>"09-I09-02"</f>
        <v>09-I09-02</v>
      </c>
      <c r="G12373">
        <v>0.76900000000000002</v>
      </c>
      <c r="H12373" t="s">
        <v>12</v>
      </c>
      <c r="I12373" t="s">
        <v>10</v>
      </c>
    </row>
    <row r="12374" spans="1:9" x14ac:dyDescent="0.25">
      <c r="A12374" t="str">
        <f t="shared" si="296"/>
        <v>89301000</v>
      </c>
      <c r="B12374" t="str">
        <f>"7660205355"</f>
        <v>7660205355</v>
      </c>
      <c r="C12374" s="1">
        <v>44938</v>
      </c>
      <c r="D12374" s="1">
        <v>44938</v>
      </c>
      <c r="E12374">
        <v>7</v>
      </c>
      <c r="F12374" t="str">
        <f>"05-K06-01"</f>
        <v>05-K06-01</v>
      </c>
      <c r="G12374">
        <v>1.2706</v>
      </c>
      <c r="H12374" t="s">
        <v>11</v>
      </c>
      <c r="I12374" t="s">
        <v>10</v>
      </c>
    </row>
    <row r="12375" spans="1:9" x14ac:dyDescent="0.25">
      <c r="A12375" t="str">
        <f t="shared" si="296"/>
        <v>89301000</v>
      </c>
      <c r="B12375" t="str">
        <f>"7660205388"</f>
        <v>7660205388</v>
      </c>
      <c r="C12375" s="1">
        <v>45075</v>
      </c>
      <c r="D12375" s="1">
        <v>45077</v>
      </c>
      <c r="E12375">
        <v>1</v>
      </c>
      <c r="F12375" t="str">
        <f>"09-I09-02"</f>
        <v>09-I09-02</v>
      </c>
      <c r="G12375">
        <v>0.76900000000000002</v>
      </c>
      <c r="H12375" t="s">
        <v>12</v>
      </c>
      <c r="I12375" t="s">
        <v>10</v>
      </c>
    </row>
    <row r="12376" spans="1:9" x14ac:dyDescent="0.25">
      <c r="A12376" t="str">
        <f t="shared" si="296"/>
        <v>89301000</v>
      </c>
      <c r="B12376" t="str">
        <f>"7660265349"</f>
        <v>7660265349</v>
      </c>
      <c r="C12376" s="1">
        <v>45022</v>
      </c>
      <c r="D12376" s="1">
        <v>45023</v>
      </c>
      <c r="E12376">
        <v>1</v>
      </c>
      <c r="F12376" t="str">
        <f>"09-K16-00"</f>
        <v>09-K16-00</v>
      </c>
      <c r="G12376">
        <v>0.67700000000000005</v>
      </c>
      <c r="H12376" t="s">
        <v>11</v>
      </c>
      <c r="I12376" t="s">
        <v>10</v>
      </c>
    </row>
    <row r="12377" spans="1:9" x14ac:dyDescent="0.25">
      <c r="A12377" t="str">
        <f t="shared" si="296"/>
        <v>89301000</v>
      </c>
      <c r="B12377" t="str">
        <f>"7660265371"</f>
        <v>7660265371</v>
      </c>
      <c r="C12377" s="1">
        <v>45140</v>
      </c>
      <c r="D12377" s="1">
        <v>45141</v>
      </c>
      <c r="E12377">
        <v>1</v>
      </c>
      <c r="F12377" t="str">
        <f>"05-M05-03"</f>
        <v>05-M05-03</v>
      </c>
      <c r="G12377">
        <v>2.0312999999999999</v>
      </c>
      <c r="H12377" t="s">
        <v>14</v>
      </c>
      <c r="I12377" t="s">
        <v>10</v>
      </c>
    </row>
    <row r="12378" spans="1:9" x14ac:dyDescent="0.25">
      <c r="A12378" t="str">
        <f t="shared" si="296"/>
        <v>89301000</v>
      </c>
      <c r="B12378" t="str">
        <f>"7661015791"</f>
        <v>7661015791</v>
      </c>
      <c r="C12378" s="1">
        <v>45013</v>
      </c>
      <c r="D12378" s="1">
        <v>45015</v>
      </c>
      <c r="E12378">
        <v>1</v>
      </c>
      <c r="F12378" t="str">
        <f>"08-M03-04"</f>
        <v>08-M03-04</v>
      </c>
      <c r="G12378">
        <v>0.95550000000000002</v>
      </c>
      <c r="H12378" t="s">
        <v>11</v>
      </c>
      <c r="I12378" t="s">
        <v>10</v>
      </c>
    </row>
    <row r="12379" spans="1:9" x14ac:dyDescent="0.25">
      <c r="A12379" t="str">
        <f t="shared" si="296"/>
        <v>89301000</v>
      </c>
      <c r="B12379" t="str">
        <f>"7661065302"</f>
        <v>7661065302</v>
      </c>
      <c r="C12379" s="1">
        <v>45027</v>
      </c>
      <c r="D12379" s="1">
        <v>45034</v>
      </c>
      <c r="E12379">
        <v>1</v>
      </c>
      <c r="F12379" t="str">
        <f>"01-I06-04"</f>
        <v>01-I06-04</v>
      </c>
      <c r="G12379">
        <v>3.6478999999999999</v>
      </c>
      <c r="H12379" t="s">
        <v>12</v>
      </c>
      <c r="I12379" t="s">
        <v>10</v>
      </c>
    </row>
    <row r="12380" spans="1:9" x14ac:dyDescent="0.25">
      <c r="A12380" t="str">
        <f t="shared" si="296"/>
        <v>89301000</v>
      </c>
      <c r="B12380" t="str">
        <f>"7661085322"</f>
        <v>7661085322</v>
      </c>
      <c r="C12380" s="1">
        <v>45268</v>
      </c>
      <c r="D12380" s="1">
        <v>45274</v>
      </c>
      <c r="E12380">
        <v>1</v>
      </c>
      <c r="F12380" t="str">
        <f>"01-K01-02"</f>
        <v>01-K01-02</v>
      </c>
      <c r="G12380">
        <v>0.442</v>
      </c>
      <c r="H12380" t="s">
        <v>11</v>
      </c>
      <c r="I12380" t="s">
        <v>10</v>
      </c>
    </row>
    <row r="12381" spans="1:9" x14ac:dyDescent="0.25">
      <c r="A12381" t="str">
        <f t="shared" si="296"/>
        <v>89301000</v>
      </c>
      <c r="B12381" t="str">
        <f>"7661094463"</f>
        <v>7661094463</v>
      </c>
      <c r="C12381" s="1">
        <v>45019</v>
      </c>
      <c r="D12381" s="1">
        <v>45022</v>
      </c>
      <c r="E12381">
        <v>1</v>
      </c>
      <c r="F12381" t="str">
        <f>"19-K01-03"</f>
        <v>19-K01-03</v>
      </c>
      <c r="G12381">
        <v>0.55700000000000005</v>
      </c>
      <c r="H12381" t="s">
        <v>15</v>
      </c>
      <c r="I12381" t="s">
        <v>10</v>
      </c>
    </row>
    <row r="12382" spans="1:9" x14ac:dyDescent="0.25">
      <c r="A12382" t="str">
        <f t="shared" ref="A12382:A12444" si="297">"89301000"</f>
        <v>89301000</v>
      </c>
      <c r="B12382" t="str">
        <f>"7661115352"</f>
        <v>7661115352</v>
      </c>
      <c r="C12382" s="1">
        <v>45187</v>
      </c>
      <c r="D12382" s="1">
        <v>45190</v>
      </c>
      <c r="E12382">
        <v>1</v>
      </c>
      <c r="F12382" t="str">
        <f>"09-I07-02"</f>
        <v>09-I07-02</v>
      </c>
      <c r="G12382">
        <v>1.4041999999999999</v>
      </c>
      <c r="H12382" t="s">
        <v>14</v>
      </c>
      <c r="I12382" t="s">
        <v>10</v>
      </c>
    </row>
    <row r="12383" spans="1:9" x14ac:dyDescent="0.25">
      <c r="A12383" t="str">
        <f t="shared" si="297"/>
        <v>89301000</v>
      </c>
      <c r="B12383" t="str">
        <f>"7661145316"</f>
        <v>7661145316</v>
      </c>
      <c r="C12383" s="1">
        <v>45212</v>
      </c>
      <c r="D12383" s="1">
        <v>45213</v>
      </c>
      <c r="E12383">
        <v>1</v>
      </c>
      <c r="F12383" t="str">
        <f>"08-M03-05"</f>
        <v>08-M03-05</v>
      </c>
      <c r="G12383">
        <v>0.46810000000000002</v>
      </c>
      <c r="H12383" t="s">
        <v>11</v>
      </c>
      <c r="I12383" t="s">
        <v>10</v>
      </c>
    </row>
    <row r="12384" spans="1:9" x14ac:dyDescent="0.25">
      <c r="A12384" t="str">
        <f t="shared" si="297"/>
        <v>89301000</v>
      </c>
      <c r="B12384" t="str">
        <f>"7661152928"</f>
        <v>7661152928</v>
      </c>
      <c r="C12384" s="1">
        <v>45245</v>
      </c>
      <c r="D12384" s="1">
        <v>45246</v>
      </c>
      <c r="E12384">
        <v>1</v>
      </c>
      <c r="F12384" t="str">
        <f>"01-K01-02"</f>
        <v>01-K01-02</v>
      </c>
      <c r="G12384">
        <v>0.49540000000000001</v>
      </c>
      <c r="H12384" t="s">
        <v>11</v>
      </c>
      <c r="I12384" t="s">
        <v>10</v>
      </c>
    </row>
    <row r="12385" spans="1:9" x14ac:dyDescent="0.25">
      <c r="A12385" t="str">
        <f t="shared" si="297"/>
        <v>89301000</v>
      </c>
      <c r="B12385" t="str">
        <f>"7661255316"</f>
        <v>7661255316</v>
      </c>
      <c r="C12385" s="1">
        <v>45174</v>
      </c>
      <c r="D12385" s="1">
        <v>45177</v>
      </c>
      <c r="E12385">
        <v>1</v>
      </c>
      <c r="F12385" t="str">
        <f>"08-M03-05"</f>
        <v>08-M03-05</v>
      </c>
      <c r="G12385">
        <v>0.46810000000000002</v>
      </c>
      <c r="H12385" t="s">
        <v>11</v>
      </c>
      <c r="I12385" t="s">
        <v>10</v>
      </c>
    </row>
    <row r="12386" spans="1:9" x14ac:dyDescent="0.25">
      <c r="A12386" t="str">
        <f t="shared" si="297"/>
        <v>89301000</v>
      </c>
      <c r="B12386" t="str">
        <f>"7661265381"</f>
        <v>7661265381</v>
      </c>
      <c r="C12386" s="1">
        <v>44972</v>
      </c>
      <c r="D12386" s="1">
        <v>44980</v>
      </c>
      <c r="E12386">
        <v>1</v>
      </c>
      <c r="F12386" t="str">
        <f>"01-K07-03"</f>
        <v>01-K07-03</v>
      </c>
      <c r="G12386">
        <v>0.55979999999999996</v>
      </c>
      <c r="H12386" t="s">
        <v>11</v>
      </c>
      <c r="I12386" t="s">
        <v>10</v>
      </c>
    </row>
    <row r="12387" spans="1:9" x14ac:dyDescent="0.25">
      <c r="A12387" t="str">
        <f t="shared" si="297"/>
        <v>89301000</v>
      </c>
      <c r="B12387" t="str">
        <f>"7661285302"</f>
        <v>7661285302</v>
      </c>
      <c r="C12387" s="1">
        <v>45145</v>
      </c>
      <c r="D12387" s="1">
        <v>45147</v>
      </c>
      <c r="E12387">
        <v>1</v>
      </c>
      <c r="F12387" t="str">
        <f>"11-M05-02"</f>
        <v>11-M05-02</v>
      </c>
      <c r="G12387">
        <v>0.6694</v>
      </c>
      <c r="H12387" t="s">
        <v>12</v>
      </c>
      <c r="I12387" t="s">
        <v>10</v>
      </c>
    </row>
    <row r="12388" spans="1:9" x14ac:dyDescent="0.25">
      <c r="A12388" t="str">
        <f t="shared" si="297"/>
        <v>89301000</v>
      </c>
      <c r="B12388" t="str">
        <f>"7661285302"</f>
        <v>7661285302</v>
      </c>
      <c r="C12388" s="1">
        <v>45224</v>
      </c>
      <c r="D12388" s="1">
        <v>45230</v>
      </c>
      <c r="E12388">
        <v>1</v>
      </c>
      <c r="F12388" t="str">
        <f>"11-M03-02"</f>
        <v>11-M03-02</v>
      </c>
      <c r="G12388">
        <v>1.4410000000000001</v>
      </c>
      <c r="H12388" t="s">
        <v>12</v>
      </c>
      <c r="I12388" t="s">
        <v>10</v>
      </c>
    </row>
    <row r="12389" spans="1:9" x14ac:dyDescent="0.25">
      <c r="A12389" t="str">
        <f t="shared" si="297"/>
        <v>89301000</v>
      </c>
      <c r="B12389" t="str">
        <f>"7661292342"</f>
        <v>7661292342</v>
      </c>
      <c r="C12389" s="1">
        <v>45138</v>
      </c>
      <c r="D12389" s="1">
        <v>45142</v>
      </c>
      <c r="E12389">
        <v>1</v>
      </c>
      <c r="F12389" t="str">
        <f>"01-C02-02"</f>
        <v>01-C02-02</v>
      </c>
      <c r="G12389">
        <v>1.6685000000000001</v>
      </c>
      <c r="H12389" t="s">
        <v>11</v>
      </c>
      <c r="I12389" t="s">
        <v>10</v>
      </c>
    </row>
    <row r="12390" spans="1:9" x14ac:dyDescent="0.25">
      <c r="A12390" t="str">
        <f t="shared" si="297"/>
        <v>89301000</v>
      </c>
      <c r="B12390" t="str">
        <f>"7662025085"</f>
        <v>7662025085</v>
      </c>
      <c r="C12390" s="1">
        <v>45170</v>
      </c>
      <c r="D12390" s="1">
        <v>45171</v>
      </c>
      <c r="E12390">
        <v>1</v>
      </c>
      <c r="F12390" t="str">
        <f>"13-I19-00"</f>
        <v>13-I19-00</v>
      </c>
      <c r="G12390">
        <v>0.28249999999999997</v>
      </c>
      <c r="H12390" t="s">
        <v>11</v>
      </c>
      <c r="I12390" t="s">
        <v>10</v>
      </c>
    </row>
    <row r="12391" spans="1:9" x14ac:dyDescent="0.25">
      <c r="A12391" t="str">
        <f t="shared" si="297"/>
        <v>89301000</v>
      </c>
      <c r="B12391" t="str">
        <f>"7662065312"</f>
        <v>7662065312</v>
      </c>
      <c r="C12391" s="1">
        <v>44951</v>
      </c>
      <c r="D12391" s="1">
        <v>44954</v>
      </c>
      <c r="E12391">
        <v>1</v>
      </c>
      <c r="F12391" t="str">
        <f>"09-I04-02"</f>
        <v>09-I04-02</v>
      </c>
      <c r="G12391">
        <v>1.0899000000000001</v>
      </c>
      <c r="H12391" t="s">
        <v>12</v>
      </c>
      <c r="I12391" t="s">
        <v>10</v>
      </c>
    </row>
    <row r="12392" spans="1:9" x14ac:dyDescent="0.25">
      <c r="A12392" t="str">
        <f t="shared" si="297"/>
        <v>89301000</v>
      </c>
      <c r="B12392" t="str">
        <f>"7662065312"</f>
        <v>7662065312</v>
      </c>
      <c r="C12392" s="1">
        <v>45100</v>
      </c>
      <c r="D12392" s="1">
        <v>45105</v>
      </c>
      <c r="E12392">
        <v>1</v>
      </c>
      <c r="F12392" t="str">
        <f>"05-K13-02"</f>
        <v>05-K13-02</v>
      </c>
      <c r="G12392">
        <v>0.57220000000000004</v>
      </c>
      <c r="H12392" t="s">
        <v>11</v>
      </c>
      <c r="I12392" t="s">
        <v>10</v>
      </c>
    </row>
    <row r="12393" spans="1:9" x14ac:dyDescent="0.25">
      <c r="A12393" t="str">
        <f t="shared" si="297"/>
        <v>89301000</v>
      </c>
      <c r="B12393" t="str">
        <f>"7662075850"</f>
        <v>7662075850</v>
      </c>
      <c r="C12393" s="1">
        <v>45192</v>
      </c>
      <c r="D12393" s="1">
        <v>45201</v>
      </c>
      <c r="E12393">
        <v>1</v>
      </c>
      <c r="F12393" t="str">
        <f>"08-K08-00"</f>
        <v>08-K08-00</v>
      </c>
      <c r="G12393">
        <v>0.5272</v>
      </c>
      <c r="H12393" t="s">
        <v>11</v>
      </c>
      <c r="I12393" t="s">
        <v>10</v>
      </c>
    </row>
    <row r="12394" spans="1:9" x14ac:dyDescent="0.25">
      <c r="A12394" t="str">
        <f t="shared" si="297"/>
        <v>89301000</v>
      </c>
      <c r="B12394" t="str">
        <f>"7662081284"</f>
        <v>7662081284</v>
      </c>
      <c r="C12394" s="1">
        <v>45286</v>
      </c>
      <c r="D12394" s="1">
        <v>45288</v>
      </c>
      <c r="E12394">
        <v>1</v>
      </c>
      <c r="F12394" t="str">
        <f>"03-K07-00"</f>
        <v>03-K07-00</v>
      </c>
      <c r="G12394">
        <v>0.39269999999999999</v>
      </c>
      <c r="H12394" t="s">
        <v>11</v>
      </c>
      <c r="I12394" t="s">
        <v>10</v>
      </c>
    </row>
    <row r="12395" spans="1:9" x14ac:dyDescent="0.25">
      <c r="A12395" t="str">
        <f t="shared" si="297"/>
        <v>89301000</v>
      </c>
      <c r="B12395" t="str">
        <f>"7662105374"</f>
        <v>7662105374</v>
      </c>
      <c r="C12395" s="1">
        <v>45229</v>
      </c>
      <c r="D12395" s="1">
        <v>45236</v>
      </c>
      <c r="E12395">
        <v>1</v>
      </c>
      <c r="F12395" t="str">
        <f>"06-K02-02"</f>
        <v>06-K02-02</v>
      </c>
      <c r="G12395">
        <v>0.86660000000000004</v>
      </c>
      <c r="H12395" t="s">
        <v>11</v>
      </c>
      <c r="I12395" t="s">
        <v>10</v>
      </c>
    </row>
    <row r="12396" spans="1:9" x14ac:dyDescent="0.25">
      <c r="A12396" t="str">
        <f t="shared" si="297"/>
        <v>89301000</v>
      </c>
      <c r="B12396" t="str">
        <f>"7662105374"</f>
        <v>7662105374</v>
      </c>
      <c r="C12396" s="1">
        <v>45029</v>
      </c>
      <c r="D12396" s="1">
        <v>45032</v>
      </c>
      <c r="E12396">
        <v>1</v>
      </c>
      <c r="F12396" t="str">
        <f>"07-I10-06"</f>
        <v>07-I10-06</v>
      </c>
      <c r="G12396">
        <v>0.98419999999999996</v>
      </c>
      <c r="H12396" t="s">
        <v>12</v>
      </c>
      <c r="I12396" t="s">
        <v>10</v>
      </c>
    </row>
    <row r="12397" spans="1:9" x14ac:dyDescent="0.25">
      <c r="A12397" t="str">
        <f t="shared" si="297"/>
        <v>89301000</v>
      </c>
      <c r="B12397" t="str">
        <f>"7662145832"</f>
        <v>7662145832</v>
      </c>
      <c r="C12397" s="1">
        <v>45249</v>
      </c>
      <c r="D12397" s="1">
        <v>45256</v>
      </c>
      <c r="E12397">
        <v>1</v>
      </c>
      <c r="F12397" t="str">
        <f>"06-I07-05"</f>
        <v>06-I07-05</v>
      </c>
      <c r="G12397">
        <v>2.7919999999999998</v>
      </c>
      <c r="H12397" t="s">
        <v>12</v>
      </c>
      <c r="I12397" t="s">
        <v>10</v>
      </c>
    </row>
    <row r="12398" spans="1:9" x14ac:dyDescent="0.25">
      <c r="A12398" t="str">
        <f t="shared" si="297"/>
        <v>89301000</v>
      </c>
      <c r="B12398" t="str">
        <f>"7662155765"</f>
        <v>7662155765</v>
      </c>
      <c r="C12398" s="1">
        <v>45056</v>
      </c>
      <c r="D12398" s="1">
        <v>45058</v>
      </c>
      <c r="E12398">
        <v>1</v>
      </c>
      <c r="F12398" t="str">
        <f>"08-M03-05"</f>
        <v>08-M03-05</v>
      </c>
      <c r="G12398">
        <v>0.46810000000000002</v>
      </c>
      <c r="H12398" t="s">
        <v>11</v>
      </c>
      <c r="I12398" t="s">
        <v>10</v>
      </c>
    </row>
    <row r="12399" spans="1:9" x14ac:dyDescent="0.25">
      <c r="A12399" t="str">
        <f t="shared" si="297"/>
        <v>89301000</v>
      </c>
      <c r="B12399" t="str">
        <f>"7662205760"</f>
        <v>7662205760</v>
      </c>
      <c r="C12399" s="1">
        <v>45150</v>
      </c>
      <c r="D12399" s="1">
        <v>45152</v>
      </c>
      <c r="E12399">
        <v>1</v>
      </c>
      <c r="F12399" t="str">
        <f>"14-M01-05"</f>
        <v>14-M01-05</v>
      </c>
      <c r="G12399">
        <v>0.56289999999999996</v>
      </c>
      <c r="H12399" t="s">
        <v>13</v>
      </c>
      <c r="I12399" t="s">
        <v>10</v>
      </c>
    </row>
    <row r="12400" spans="1:9" x14ac:dyDescent="0.25">
      <c r="A12400" t="str">
        <f t="shared" si="297"/>
        <v>89301000</v>
      </c>
      <c r="B12400" t="str">
        <f>"7662225329"</f>
        <v>7662225329</v>
      </c>
      <c r="C12400" s="1">
        <v>45092</v>
      </c>
      <c r="D12400" s="1">
        <v>45113</v>
      </c>
      <c r="E12400">
        <v>1</v>
      </c>
      <c r="F12400" t="str">
        <f>"19-K05-02"</f>
        <v>19-K05-02</v>
      </c>
      <c r="G12400">
        <v>1.7688999999999999</v>
      </c>
      <c r="H12400" t="s">
        <v>15</v>
      </c>
      <c r="I12400" t="s">
        <v>10</v>
      </c>
    </row>
    <row r="12401" spans="1:9" x14ac:dyDescent="0.25">
      <c r="A12401" t="str">
        <f t="shared" si="297"/>
        <v>89301000</v>
      </c>
      <c r="B12401" t="str">
        <f>"7662305354"</f>
        <v>7662305354</v>
      </c>
      <c r="C12401" s="1">
        <v>45057</v>
      </c>
      <c r="D12401" s="1">
        <v>45061</v>
      </c>
      <c r="E12401">
        <v>1</v>
      </c>
      <c r="F12401" t="str">
        <f>"08-I03-06"</f>
        <v>08-I03-06</v>
      </c>
      <c r="G12401">
        <v>3.2523</v>
      </c>
      <c r="H12401" t="s">
        <v>9</v>
      </c>
      <c r="I12401" t="s">
        <v>10</v>
      </c>
    </row>
    <row r="12402" spans="1:9" x14ac:dyDescent="0.25">
      <c r="A12402" t="str">
        <f t="shared" si="297"/>
        <v>89301000</v>
      </c>
      <c r="B12402" t="str">
        <f>"7701045319"</f>
        <v>7701045319</v>
      </c>
      <c r="C12402" s="1">
        <v>45027</v>
      </c>
      <c r="D12402" s="1">
        <v>45030</v>
      </c>
      <c r="E12402">
        <v>1</v>
      </c>
      <c r="F12402" t="str">
        <f>"08-I04-03"</f>
        <v>08-I04-03</v>
      </c>
      <c r="G12402">
        <v>1.3045</v>
      </c>
      <c r="H12402" t="s">
        <v>14</v>
      </c>
      <c r="I12402" t="s">
        <v>10</v>
      </c>
    </row>
    <row r="12403" spans="1:9" x14ac:dyDescent="0.25">
      <c r="A12403" t="str">
        <f t="shared" si="297"/>
        <v>89301000</v>
      </c>
      <c r="B12403" t="str">
        <f>"7701185371"</f>
        <v>7701185371</v>
      </c>
      <c r="C12403" s="1">
        <v>45151</v>
      </c>
      <c r="D12403" s="1">
        <v>45155</v>
      </c>
      <c r="E12403">
        <v>1</v>
      </c>
      <c r="F12403" t="str">
        <f>"04-K05-03"</f>
        <v>04-K05-03</v>
      </c>
      <c r="G12403">
        <v>0.74039999999999995</v>
      </c>
      <c r="H12403" t="s">
        <v>11</v>
      </c>
      <c r="I12403" t="s">
        <v>10</v>
      </c>
    </row>
    <row r="12404" spans="1:9" x14ac:dyDescent="0.25">
      <c r="A12404" t="str">
        <f t="shared" si="297"/>
        <v>89301000</v>
      </c>
      <c r="B12404" t="str">
        <f>"7701235333"</f>
        <v>7701235333</v>
      </c>
      <c r="C12404" s="1">
        <v>45244</v>
      </c>
      <c r="D12404" s="1">
        <v>45246</v>
      </c>
      <c r="E12404">
        <v>1</v>
      </c>
      <c r="F12404" t="str">
        <f>"02-K01-02"</f>
        <v>02-K01-02</v>
      </c>
      <c r="G12404">
        <v>0.90510000000000002</v>
      </c>
      <c r="H12404" t="s">
        <v>11</v>
      </c>
      <c r="I12404" t="s">
        <v>10</v>
      </c>
    </row>
    <row r="12405" spans="1:9" x14ac:dyDescent="0.25">
      <c r="A12405" t="str">
        <f t="shared" si="297"/>
        <v>89301000</v>
      </c>
      <c r="B12405" t="str">
        <f>"7702035759"</f>
        <v>7702035759</v>
      </c>
      <c r="C12405" s="1">
        <v>45005</v>
      </c>
      <c r="D12405" s="1">
        <v>45006</v>
      </c>
      <c r="E12405">
        <v>1</v>
      </c>
      <c r="F12405" t="str">
        <f>"02-I13-02"</f>
        <v>02-I13-02</v>
      </c>
      <c r="G12405">
        <v>0.4259</v>
      </c>
      <c r="H12405" t="s">
        <v>11</v>
      </c>
      <c r="I12405" t="s">
        <v>10</v>
      </c>
    </row>
    <row r="12406" spans="1:9" x14ac:dyDescent="0.25">
      <c r="A12406" t="str">
        <f t="shared" si="297"/>
        <v>89301000</v>
      </c>
      <c r="B12406" t="str">
        <f>"7702055757"</f>
        <v>7702055757</v>
      </c>
      <c r="C12406" s="1">
        <v>45224</v>
      </c>
      <c r="D12406" s="1">
        <v>45229</v>
      </c>
      <c r="E12406">
        <v>1</v>
      </c>
      <c r="F12406" t="str">
        <f>"02-I05-02"</f>
        <v>02-I05-02</v>
      </c>
      <c r="G12406">
        <v>1.5121</v>
      </c>
      <c r="H12406" t="s">
        <v>12</v>
      </c>
      <c r="I12406" t="s">
        <v>10</v>
      </c>
    </row>
    <row r="12407" spans="1:9" x14ac:dyDescent="0.25">
      <c r="A12407" t="str">
        <f t="shared" si="297"/>
        <v>89301000</v>
      </c>
      <c r="B12407" t="str">
        <f>"7702075315"</f>
        <v>7702075315</v>
      </c>
      <c r="C12407" s="1">
        <v>44929</v>
      </c>
      <c r="D12407" s="1">
        <v>44932</v>
      </c>
      <c r="E12407">
        <v>1</v>
      </c>
      <c r="F12407" t="str">
        <f>"01-D01-03"</f>
        <v>01-D01-03</v>
      </c>
      <c r="G12407">
        <v>0.21060000000000001</v>
      </c>
      <c r="H12407" t="s">
        <v>11</v>
      </c>
      <c r="I12407" t="s">
        <v>10</v>
      </c>
    </row>
    <row r="12408" spans="1:9" x14ac:dyDescent="0.25">
      <c r="A12408" t="str">
        <f t="shared" si="297"/>
        <v>89301000</v>
      </c>
      <c r="B12408" t="str">
        <f>"7702085325"</f>
        <v>7702085325</v>
      </c>
      <c r="C12408" s="1">
        <v>45171</v>
      </c>
      <c r="D12408" s="1">
        <v>45173</v>
      </c>
      <c r="E12408">
        <v>1</v>
      </c>
      <c r="F12408" t="str">
        <f>"08-I15-03"</f>
        <v>08-I15-03</v>
      </c>
      <c r="G12408">
        <v>0.94059999999999999</v>
      </c>
      <c r="H12408" t="s">
        <v>12</v>
      </c>
      <c r="I12408" t="s">
        <v>10</v>
      </c>
    </row>
    <row r="12409" spans="1:9" x14ac:dyDescent="0.25">
      <c r="A12409" t="str">
        <f t="shared" si="297"/>
        <v>89301000</v>
      </c>
      <c r="B12409" t="str">
        <f>"7702115806"</f>
        <v>7702115806</v>
      </c>
      <c r="C12409" s="1">
        <v>44992</v>
      </c>
      <c r="D12409" s="1">
        <v>44994</v>
      </c>
      <c r="E12409">
        <v>1</v>
      </c>
      <c r="F12409" t="str">
        <f>"08-M03-05"</f>
        <v>08-M03-05</v>
      </c>
      <c r="G12409">
        <v>0.46910000000000002</v>
      </c>
      <c r="H12409" t="s">
        <v>11</v>
      </c>
      <c r="I12409" t="s">
        <v>10</v>
      </c>
    </row>
    <row r="12410" spans="1:9" x14ac:dyDescent="0.25">
      <c r="A12410" t="str">
        <f t="shared" si="297"/>
        <v>89301000</v>
      </c>
      <c r="B12410" t="str">
        <f>"7702125849"</f>
        <v>7702125849</v>
      </c>
      <c r="C12410" s="1">
        <v>45038</v>
      </c>
      <c r="D12410" s="1">
        <v>45040</v>
      </c>
      <c r="E12410">
        <v>1</v>
      </c>
      <c r="F12410" t="str">
        <f>"05-M06-08"</f>
        <v>05-M06-08</v>
      </c>
      <c r="G12410">
        <v>1.4228000000000001</v>
      </c>
      <c r="H12410" t="s">
        <v>12</v>
      </c>
      <c r="I12410" t="s">
        <v>10</v>
      </c>
    </row>
    <row r="12411" spans="1:9" x14ac:dyDescent="0.25">
      <c r="A12411" t="str">
        <f t="shared" si="297"/>
        <v>89301000</v>
      </c>
      <c r="B12411" t="str">
        <f>"7702125849"</f>
        <v>7702125849</v>
      </c>
      <c r="C12411" s="1">
        <v>45077</v>
      </c>
      <c r="D12411" s="1">
        <v>45079</v>
      </c>
      <c r="E12411">
        <v>1</v>
      </c>
      <c r="F12411" t="str">
        <f>"05-I14-04"</f>
        <v>05-I14-04</v>
      </c>
      <c r="G12411">
        <v>5.2220000000000004</v>
      </c>
      <c r="H12411" t="s">
        <v>12</v>
      </c>
      <c r="I12411" t="s">
        <v>10</v>
      </c>
    </row>
    <row r="12412" spans="1:9" x14ac:dyDescent="0.25">
      <c r="A12412" t="str">
        <f t="shared" si="297"/>
        <v>89301000</v>
      </c>
      <c r="B12412" t="str">
        <f>"7702145341"</f>
        <v>7702145341</v>
      </c>
      <c r="C12412" s="1">
        <v>44943</v>
      </c>
      <c r="D12412" s="1">
        <v>44946</v>
      </c>
      <c r="E12412">
        <v>1</v>
      </c>
      <c r="F12412" t="str">
        <f>"10-K15-02"</f>
        <v>10-K15-02</v>
      </c>
      <c r="G12412">
        <v>0.66379999999999995</v>
      </c>
      <c r="H12412" t="s">
        <v>11</v>
      </c>
      <c r="I12412" t="s">
        <v>10</v>
      </c>
    </row>
    <row r="12413" spans="1:9" x14ac:dyDescent="0.25">
      <c r="A12413" t="str">
        <f t="shared" si="297"/>
        <v>89301000</v>
      </c>
      <c r="B12413" t="str">
        <f>"7702145374"</f>
        <v>7702145374</v>
      </c>
      <c r="C12413" s="1">
        <v>45237</v>
      </c>
      <c r="D12413" s="1">
        <v>45244</v>
      </c>
      <c r="E12413">
        <v>1</v>
      </c>
      <c r="F12413" t="str">
        <f>"07-K02-02"</f>
        <v>07-K02-02</v>
      </c>
      <c r="G12413">
        <v>1.4499</v>
      </c>
      <c r="H12413" t="s">
        <v>11</v>
      </c>
      <c r="I12413" t="s">
        <v>10</v>
      </c>
    </row>
    <row r="12414" spans="1:9" x14ac:dyDescent="0.25">
      <c r="A12414" t="str">
        <f t="shared" si="297"/>
        <v>89301000</v>
      </c>
      <c r="B12414" t="str">
        <f>"7702165702"</f>
        <v>7702165702</v>
      </c>
      <c r="C12414" s="1">
        <v>45142</v>
      </c>
      <c r="D12414" s="1">
        <v>45147</v>
      </c>
      <c r="E12414">
        <v>1</v>
      </c>
      <c r="F12414" t="str">
        <f>"04-K14-03"</f>
        <v>04-K14-03</v>
      </c>
      <c r="G12414">
        <v>0.76649999999999996</v>
      </c>
      <c r="H12414" t="s">
        <v>11</v>
      </c>
      <c r="I12414" t="s">
        <v>10</v>
      </c>
    </row>
    <row r="12415" spans="1:9" x14ac:dyDescent="0.25">
      <c r="A12415" t="str">
        <f t="shared" si="297"/>
        <v>89301000</v>
      </c>
      <c r="B12415" t="str">
        <f>"7702237983"</f>
        <v>7702237983</v>
      </c>
      <c r="C12415" s="1">
        <v>45041</v>
      </c>
      <c r="D12415" s="1">
        <v>45044</v>
      </c>
      <c r="E12415">
        <v>1</v>
      </c>
      <c r="F12415" t="str">
        <f>"08-I23-02"</f>
        <v>08-I23-02</v>
      </c>
      <c r="G12415">
        <v>0.91059999999999997</v>
      </c>
      <c r="H12415" t="s">
        <v>12</v>
      </c>
      <c r="I12415" t="s">
        <v>10</v>
      </c>
    </row>
    <row r="12416" spans="1:9" x14ac:dyDescent="0.25">
      <c r="A12416" t="str">
        <f t="shared" si="297"/>
        <v>89301000</v>
      </c>
      <c r="B12416" t="str">
        <f>"7702265802"</f>
        <v>7702265802</v>
      </c>
      <c r="C12416" s="1">
        <v>45008</v>
      </c>
      <c r="D12416" s="1">
        <v>45009</v>
      </c>
      <c r="E12416">
        <v>1</v>
      </c>
      <c r="F12416" t="str">
        <f>"01-D01-03"</f>
        <v>01-D01-03</v>
      </c>
      <c r="G12416">
        <v>0.16200000000000001</v>
      </c>
      <c r="H12416" t="s">
        <v>11</v>
      </c>
      <c r="I12416" t="s">
        <v>10</v>
      </c>
    </row>
    <row r="12417" spans="1:9" x14ac:dyDescent="0.25">
      <c r="A12417" t="str">
        <f t="shared" si="297"/>
        <v>89301000</v>
      </c>
      <c r="B12417" t="str">
        <f>"7702265802"</f>
        <v>7702265802</v>
      </c>
      <c r="C12417" s="1">
        <v>45065</v>
      </c>
      <c r="D12417" s="1">
        <v>45068</v>
      </c>
      <c r="E12417">
        <v>1</v>
      </c>
      <c r="F12417" t="str">
        <f>"01-D01-03"</f>
        <v>01-D01-03</v>
      </c>
      <c r="G12417">
        <v>0.21060000000000001</v>
      </c>
      <c r="H12417" t="s">
        <v>11</v>
      </c>
      <c r="I12417" t="s">
        <v>10</v>
      </c>
    </row>
    <row r="12418" spans="1:9" x14ac:dyDescent="0.25">
      <c r="A12418" t="str">
        <f t="shared" si="297"/>
        <v>89301000</v>
      </c>
      <c r="B12418" t="str">
        <f>"7703035307"</f>
        <v>7703035307</v>
      </c>
      <c r="C12418" s="1">
        <v>45013</v>
      </c>
      <c r="D12418" s="1">
        <v>45016</v>
      </c>
      <c r="E12418">
        <v>1</v>
      </c>
      <c r="F12418" t="str">
        <f>"07-I10-06"</f>
        <v>07-I10-06</v>
      </c>
      <c r="G12418">
        <v>0.98419999999999996</v>
      </c>
      <c r="H12418" t="s">
        <v>12</v>
      </c>
      <c r="I12418" t="s">
        <v>10</v>
      </c>
    </row>
    <row r="12419" spans="1:9" x14ac:dyDescent="0.25">
      <c r="A12419" t="str">
        <f t="shared" si="297"/>
        <v>89301000</v>
      </c>
      <c r="B12419" t="str">
        <f>"7703155350"</f>
        <v>7703155350</v>
      </c>
      <c r="C12419" s="1">
        <v>45095</v>
      </c>
      <c r="D12419" s="1">
        <v>45103</v>
      </c>
      <c r="E12419">
        <v>1</v>
      </c>
      <c r="F12419" t="str">
        <f>"06-I18-05"</f>
        <v>06-I18-05</v>
      </c>
      <c r="G12419">
        <v>0.99080000000000001</v>
      </c>
      <c r="H12419" t="s">
        <v>9</v>
      </c>
      <c r="I12419" t="s">
        <v>10</v>
      </c>
    </row>
    <row r="12420" spans="1:9" x14ac:dyDescent="0.25">
      <c r="A12420" t="str">
        <f t="shared" si="297"/>
        <v>89301000</v>
      </c>
      <c r="B12420" t="str">
        <f>"7703295325"</f>
        <v>7703295325</v>
      </c>
      <c r="C12420" s="1">
        <v>45267</v>
      </c>
      <c r="D12420" s="1">
        <v>45269</v>
      </c>
      <c r="E12420">
        <v>1</v>
      </c>
      <c r="F12420" t="str">
        <f>"06-K11-00"</f>
        <v>06-K11-00</v>
      </c>
      <c r="G12420">
        <v>0.34639999999999999</v>
      </c>
      <c r="H12420" t="s">
        <v>11</v>
      </c>
      <c r="I12420" t="s">
        <v>10</v>
      </c>
    </row>
    <row r="12421" spans="1:9" x14ac:dyDescent="0.25">
      <c r="A12421" t="str">
        <f t="shared" si="297"/>
        <v>89301000</v>
      </c>
      <c r="B12421" t="str">
        <f>"7704085312"</f>
        <v>7704085312</v>
      </c>
      <c r="C12421" s="1">
        <v>45119</v>
      </c>
      <c r="D12421" s="1">
        <v>45126</v>
      </c>
      <c r="E12421">
        <v>1</v>
      </c>
      <c r="F12421" t="str">
        <f>"11-K12-02"</f>
        <v>11-K12-02</v>
      </c>
      <c r="G12421">
        <v>0.58330000000000004</v>
      </c>
      <c r="H12421" t="s">
        <v>11</v>
      </c>
      <c r="I12421" t="s">
        <v>10</v>
      </c>
    </row>
    <row r="12422" spans="1:9" x14ac:dyDescent="0.25">
      <c r="A12422" t="str">
        <f t="shared" si="297"/>
        <v>89301000</v>
      </c>
      <c r="B12422" t="str">
        <f>"7704115320"</f>
        <v>7704115320</v>
      </c>
      <c r="C12422" s="1">
        <v>45209</v>
      </c>
      <c r="D12422" s="1">
        <v>45215</v>
      </c>
      <c r="E12422">
        <v>1</v>
      </c>
      <c r="F12422" t="str">
        <f>"08-I03-06"</f>
        <v>08-I03-06</v>
      </c>
      <c r="G12422">
        <v>3.2523</v>
      </c>
      <c r="H12422" t="s">
        <v>9</v>
      </c>
      <c r="I12422" t="s">
        <v>10</v>
      </c>
    </row>
    <row r="12423" spans="1:9" x14ac:dyDescent="0.25">
      <c r="A12423" t="str">
        <f t="shared" si="297"/>
        <v>89301000</v>
      </c>
      <c r="B12423" t="str">
        <f>"7704175369"</f>
        <v>7704175369</v>
      </c>
      <c r="C12423" s="1">
        <v>45147</v>
      </c>
      <c r="D12423" s="1">
        <v>45149</v>
      </c>
      <c r="E12423">
        <v>1</v>
      </c>
      <c r="F12423" t="str">
        <f>"01-K18-03"</f>
        <v>01-K18-03</v>
      </c>
      <c r="G12423">
        <v>0.93169999999999997</v>
      </c>
      <c r="H12423" t="s">
        <v>11</v>
      </c>
      <c r="I12423" t="s">
        <v>10</v>
      </c>
    </row>
    <row r="12424" spans="1:9" x14ac:dyDescent="0.25">
      <c r="A12424" t="str">
        <f t="shared" si="297"/>
        <v>89301000</v>
      </c>
      <c r="B12424" t="str">
        <f>"7704195378"</f>
        <v>7704195378</v>
      </c>
      <c r="C12424" s="1">
        <v>44987</v>
      </c>
      <c r="D12424" s="1">
        <v>44991</v>
      </c>
      <c r="E12424">
        <v>1</v>
      </c>
      <c r="F12424" t="str">
        <f>"08-K08-00"</f>
        <v>08-K08-00</v>
      </c>
      <c r="G12424">
        <v>0.5272</v>
      </c>
      <c r="H12424" t="s">
        <v>11</v>
      </c>
      <c r="I12424" t="s">
        <v>10</v>
      </c>
    </row>
    <row r="12425" spans="1:9" x14ac:dyDescent="0.25">
      <c r="A12425" t="str">
        <f t="shared" si="297"/>
        <v>89301000</v>
      </c>
      <c r="B12425" t="str">
        <f>"7704245351"</f>
        <v>7704245351</v>
      </c>
      <c r="C12425" s="1">
        <v>44992</v>
      </c>
      <c r="D12425" s="1">
        <v>44994</v>
      </c>
      <c r="E12425">
        <v>1</v>
      </c>
      <c r="F12425" t="str">
        <f>"11-I17-03"</f>
        <v>11-I17-03</v>
      </c>
      <c r="G12425">
        <v>0.45600000000000002</v>
      </c>
      <c r="H12425" t="s">
        <v>11</v>
      </c>
      <c r="I12425" t="s">
        <v>10</v>
      </c>
    </row>
    <row r="12426" spans="1:9" x14ac:dyDescent="0.25">
      <c r="A12426" t="str">
        <f t="shared" si="297"/>
        <v>89301000</v>
      </c>
      <c r="B12426" t="str">
        <f>"7704245406"</f>
        <v>7704245406</v>
      </c>
      <c r="C12426" s="1">
        <v>44964</v>
      </c>
      <c r="D12426" s="1">
        <v>44966</v>
      </c>
      <c r="E12426">
        <v>1</v>
      </c>
      <c r="F12426" t="str">
        <f>"08-M03-02"</f>
        <v>08-M03-02</v>
      </c>
      <c r="G12426">
        <v>0.91359999999999997</v>
      </c>
      <c r="H12426" t="s">
        <v>11</v>
      </c>
      <c r="I12426" t="s">
        <v>10</v>
      </c>
    </row>
    <row r="12427" spans="1:9" x14ac:dyDescent="0.25">
      <c r="A12427" t="str">
        <f t="shared" si="297"/>
        <v>89301000</v>
      </c>
      <c r="B12427" t="str">
        <f>"7705035338"</f>
        <v>7705035338</v>
      </c>
      <c r="C12427" s="1">
        <v>45214</v>
      </c>
      <c r="D12427" s="1">
        <v>45219</v>
      </c>
      <c r="E12427">
        <v>1</v>
      </c>
      <c r="F12427" t="str">
        <f>"06-I16-04"</f>
        <v>06-I16-04</v>
      </c>
      <c r="G12427">
        <v>0.68920000000000003</v>
      </c>
      <c r="H12427" t="s">
        <v>9</v>
      </c>
      <c r="I12427" t="s">
        <v>10</v>
      </c>
    </row>
    <row r="12428" spans="1:9" x14ac:dyDescent="0.25">
      <c r="A12428" t="str">
        <f t="shared" si="297"/>
        <v>89301000</v>
      </c>
      <c r="B12428" t="str">
        <f>"7705065346"</f>
        <v>7705065346</v>
      </c>
      <c r="C12428" s="1">
        <v>45043</v>
      </c>
      <c r="D12428" s="1">
        <v>45046</v>
      </c>
      <c r="E12428">
        <v>1</v>
      </c>
      <c r="F12428" t="str">
        <f>"08-I18-01"</f>
        <v>08-I18-01</v>
      </c>
      <c r="G12428">
        <v>0.87949999999999995</v>
      </c>
      <c r="H12428" t="s">
        <v>12</v>
      </c>
      <c r="I12428" t="s">
        <v>10</v>
      </c>
    </row>
    <row r="12429" spans="1:9" x14ac:dyDescent="0.25">
      <c r="A12429" t="str">
        <f t="shared" si="297"/>
        <v>89301000</v>
      </c>
      <c r="B12429" t="str">
        <f>"7705145811"</f>
        <v>7705145811</v>
      </c>
      <c r="C12429" s="1">
        <v>45280</v>
      </c>
      <c r="D12429" s="1">
        <v>45281</v>
      </c>
      <c r="E12429">
        <v>1</v>
      </c>
      <c r="F12429" t="str">
        <f>"03-K09-01"</f>
        <v>03-K09-01</v>
      </c>
      <c r="G12429">
        <v>0.54100000000000004</v>
      </c>
      <c r="H12429" t="s">
        <v>11</v>
      </c>
      <c r="I12429" t="s">
        <v>10</v>
      </c>
    </row>
    <row r="12430" spans="1:9" x14ac:dyDescent="0.25">
      <c r="A12430" t="str">
        <f t="shared" si="297"/>
        <v>89301000</v>
      </c>
      <c r="B12430" t="str">
        <f>"7705185763"</f>
        <v>7705185763</v>
      </c>
      <c r="C12430" s="1">
        <v>45243</v>
      </c>
      <c r="D12430" s="1">
        <v>45244</v>
      </c>
      <c r="E12430">
        <v>1</v>
      </c>
      <c r="F12430" t="str">
        <f>"01-D01-03"</f>
        <v>01-D01-03</v>
      </c>
      <c r="G12430">
        <v>0.16200000000000001</v>
      </c>
      <c r="H12430" t="s">
        <v>11</v>
      </c>
      <c r="I12430" t="s">
        <v>10</v>
      </c>
    </row>
    <row r="12431" spans="1:9" x14ac:dyDescent="0.25">
      <c r="A12431" t="str">
        <f t="shared" si="297"/>
        <v>89301000</v>
      </c>
      <c r="B12431" t="str">
        <f>"7705225330"</f>
        <v>7705225330</v>
      </c>
      <c r="C12431" s="1">
        <v>45190</v>
      </c>
      <c r="D12431" s="1">
        <v>45191</v>
      </c>
      <c r="E12431">
        <v>1</v>
      </c>
      <c r="F12431" t="str">
        <f>"05-K05-02"</f>
        <v>05-K05-02</v>
      </c>
      <c r="G12431">
        <v>0.91449999999999998</v>
      </c>
      <c r="H12431" t="s">
        <v>11</v>
      </c>
      <c r="I12431" t="s">
        <v>10</v>
      </c>
    </row>
    <row r="12432" spans="1:9" x14ac:dyDescent="0.25">
      <c r="A12432" t="str">
        <f t="shared" si="297"/>
        <v>89301000</v>
      </c>
      <c r="B12432" t="str">
        <f>"7705225330"</f>
        <v>7705225330</v>
      </c>
      <c r="C12432" s="1">
        <v>45244</v>
      </c>
      <c r="D12432" s="1">
        <v>45249</v>
      </c>
      <c r="E12432">
        <v>1</v>
      </c>
      <c r="F12432" t="str">
        <f>"05-I24-04"</f>
        <v>05-I24-04</v>
      </c>
      <c r="G12432">
        <v>2.1032000000000002</v>
      </c>
      <c r="H12432" t="s">
        <v>12</v>
      </c>
      <c r="I12432" t="s">
        <v>10</v>
      </c>
    </row>
    <row r="12433" spans="1:9" x14ac:dyDescent="0.25">
      <c r="A12433" t="str">
        <f t="shared" si="297"/>
        <v>89301000</v>
      </c>
      <c r="B12433" t="str">
        <f>"7705295312"</f>
        <v>7705295312</v>
      </c>
      <c r="C12433" s="1">
        <v>44983</v>
      </c>
      <c r="D12433" s="1">
        <v>44986</v>
      </c>
      <c r="E12433">
        <v>1</v>
      </c>
      <c r="F12433" t="str">
        <f>"07-I10-06"</f>
        <v>07-I10-06</v>
      </c>
      <c r="G12433">
        <v>0.98419999999999996</v>
      </c>
      <c r="H12433" t="s">
        <v>12</v>
      </c>
      <c r="I12433" t="s">
        <v>10</v>
      </c>
    </row>
    <row r="12434" spans="1:9" x14ac:dyDescent="0.25">
      <c r="A12434" t="str">
        <f t="shared" si="297"/>
        <v>89301000</v>
      </c>
      <c r="B12434" t="str">
        <f>"7706105759"</f>
        <v>7706105759</v>
      </c>
      <c r="C12434" s="1">
        <v>45257</v>
      </c>
      <c r="D12434" s="1">
        <v>45259</v>
      </c>
      <c r="E12434">
        <v>1</v>
      </c>
      <c r="F12434" t="str">
        <f>"05-M05-02"</f>
        <v>05-M05-02</v>
      </c>
      <c r="G12434">
        <v>3.5566</v>
      </c>
      <c r="H12434" t="s">
        <v>14</v>
      </c>
      <c r="I12434" t="s">
        <v>10</v>
      </c>
    </row>
    <row r="12435" spans="1:9" x14ac:dyDescent="0.25">
      <c r="A12435" t="str">
        <f t="shared" si="297"/>
        <v>89301000</v>
      </c>
      <c r="B12435" t="str">
        <f>"7706172331"</f>
        <v>7706172331</v>
      </c>
      <c r="C12435" s="1">
        <v>44929</v>
      </c>
      <c r="D12435" s="1">
        <v>44935</v>
      </c>
      <c r="E12435">
        <v>1</v>
      </c>
      <c r="F12435" t="str">
        <f>"06-I21-03"</f>
        <v>06-I21-03</v>
      </c>
      <c r="G12435">
        <v>0.4572</v>
      </c>
      <c r="H12435" t="s">
        <v>12</v>
      </c>
      <c r="I12435" t="s">
        <v>10</v>
      </c>
    </row>
    <row r="12436" spans="1:9" x14ac:dyDescent="0.25">
      <c r="A12436" t="str">
        <f t="shared" si="297"/>
        <v>89301000</v>
      </c>
      <c r="B12436" t="str">
        <f>"7706215341"</f>
        <v>7706215341</v>
      </c>
      <c r="C12436" s="1">
        <v>45236</v>
      </c>
      <c r="D12436" s="1">
        <v>45238</v>
      </c>
      <c r="E12436">
        <v>1</v>
      </c>
      <c r="F12436" t="str">
        <f>"08-M03-05"</f>
        <v>08-M03-05</v>
      </c>
      <c r="G12436">
        <v>0.46810000000000002</v>
      </c>
      <c r="H12436" t="s">
        <v>11</v>
      </c>
      <c r="I12436" t="s">
        <v>10</v>
      </c>
    </row>
    <row r="12437" spans="1:9" x14ac:dyDescent="0.25">
      <c r="A12437" t="str">
        <f t="shared" si="297"/>
        <v>89301000</v>
      </c>
      <c r="B12437" t="str">
        <f>"7707015789"</f>
        <v>7707015789</v>
      </c>
      <c r="C12437" s="1">
        <v>45023</v>
      </c>
      <c r="D12437" s="1">
        <v>45027</v>
      </c>
      <c r="E12437">
        <v>1</v>
      </c>
      <c r="F12437" t="str">
        <f>"05-M06-06"</f>
        <v>05-M06-06</v>
      </c>
      <c r="G12437">
        <v>1.8264</v>
      </c>
      <c r="H12437" t="s">
        <v>12</v>
      </c>
      <c r="I12437" t="s">
        <v>10</v>
      </c>
    </row>
    <row r="12438" spans="1:9" x14ac:dyDescent="0.25">
      <c r="A12438" t="str">
        <f t="shared" si="297"/>
        <v>89301000</v>
      </c>
      <c r="B12438" t="str">
        <f>"7707255820"</f>
        <v>7707255820</v>
      </c>
      <c r="C12438" s="1">
        <v>45077</v>
      </c>
      <c r="D12438" s="1">
        <v>45080</v>
      </c>
      <c r="E12438">
        <v>1</v>
      </c>
      <c r="F12438" t="str">
        <f>"08-I14-02"</f>
        <v>08-I14-02</v>
      </c>
      <c r="G12438">
        <v>1.6909000000000001</v>
      </c>
      <c r="H12438" t="s">
        <v>12</v>
      </c>
      <c r="I12438" t="s">
        <v>10</v>
      </c>
    </row>
    <row r="12439" spans="1:9" x14ac:dyDescent="0.25">
      <c r="A12439" t="str">
        <f t="shared" si="297"/>
        <v>89301000</v>
      </c>
      <c r="B12439" t="str">
        <f>"7707275763"</f>
        <v>7707275763</v>
      </c>
      <c r="C12439" s="1">
        <v>45072</v>
      </c>
      <c r="D12439" s="1">
        <v>45075</v>
      </c>
      <c r="E12439">
        <v>1</v>
      </c>
      <c r="F12439" t="str">
        <f>"02-I06-04"</f>
        <v>02-I06-04</v>
      </c>
      <c r="G12439">
        <v>0.76139999999999997</v>
      </c>
      <c r="H12439" t="s">
        <v>12</v>
      </c>
      <c r="I12439" t="s">
        <v>10</v>
      </c>
    </row>
    <row r="12440" spans="1:9" x14ac:dyDescent="0.25">
      <c r="A12440" t="str">
        <f t="shared" si="297"/>
        <v>89301000</v>
      </c>
      <c r="B12440" t="str">
        <f>"7707275763"</f>
        <v>7707275763</v>
      </c>
      <c r="C12440" s="1">
        <v>45056</v>
      </c>
      <c r="D12440" s="1">
        <v>45057</v>
      </c>
      <c r="E12440">
        <v>1</v>
      </c>
      <c r="F12440" t="str">
        <f>"02-I06-04"</f>
        <v>02-I06-04</v>
      </c>
      <c r="G12440">
        <v>0.76139999999999997</v>
      </c>
      <c r="H12440" t="s">
        <v>12</v>
      </c>
      <c r="I12440" t="s">
        <v>10</v>
      </c>
    </row>
    <row r="12441" spans="1:9" x14ac:dyDescent="0.25">
      <c r="A12441" t="str">
        <f t="shared" si="297"/>
        <v>89301000</v>
      </c>
      <c r="B12441" t="str">
        <f>"7708025325"</f>
        <v>7708025325</v>
      </c>
      <c r="C12441" s="1">
        <v>45021</v>
      </c>
      <c r="D12441" s="1">
        <v>45024</v>
      </c>
      <c r="E12441">
        <v>1</v>
      </c>
      <c r="F12441" t="str">
        <f>"08-M03-05"</f>
        <v>08-M03-05</v>
      </c>
      <c r="G12441">
        <v>0.46810000000000002</v>
      </c>
      <c r="H12441" t="s">
        <v>11</v>
      </c>
      <c r="I12441" t="s">
        <v>10</v>
      </c>
    </row>
    <row r="12442" spans="1:9" x14ac:dyDescent="0.25">
      <c r="A12442" t="str">
        <f t="shared" si="297"/>
        <v>89301000</v>
      </c>
      <c r="B12442" t="str">
        <f>"7708055322"</f>
        <v>7708055322</v>
      </c>
      <c r="C12442" s="1">
        <v>45180</v>
      </c>
      <c r="D12442" s="1">
        <v>45181</v>
      </c>
      <c r="E12442">
        <v>1</v>
      </c>
      <c r="F12442" t="str">
        <f>"08-I16-04"</f>
        <v>08-I16-04</v>
      </c>
      <c r="G12442">
        <v>0.83040000000000003</v>
      </c>
      <c r="H12442" t="s">
        <v>12</v>
      </c>
      <c r="I12442" t="s">
        <v>10</v>
      </c>
    </row>
    <row r="12443" spans="1:9" x14ac:dyDescent="0.25">
      <c r="A12443" t="str">
        <f t="shared" si="297"/>
        <v>89301000</v>
      </c>
      <c r="B12443" t="str">
        <f>"7708082063"</f>
        <v>7708082063</v>
      </c>
      <c r="C12443" s="1">
        <v>45092</v>
      </c>
      <c r="D12443" s="1">
        <v>45104</v>
      </c>
      <c r="E12443">
        <v>1</v>
      </c>
      <c r="F12443" t="str">
        <f>"25-K01-02"</f>
        <v>25-K01-02</v>
      </c>
      <c r="G12443">
        <v>2.6219999999999999</v>
      </c>
      <c r="H12443" t="s">
        <v>14</v>
      </c>
      <c r="I12443" t="s">
        <v>10</v>
      </c>
    </row>
    <row r="12444" spans="1:9" x14ac:dyDescent="0.25">
      <c r="A12444" t="str">
        <f t="shared" si="297"/>
        <v>89301000</v>
      </c>
      <c r="B12444" t="str">
        <f>"7708155312"</f>
        <v>7708155312</v>
      </c>
      <c r="C12444" s="1">
        <v>45140</v>
      </c>
      <c r="D12444" s="1">
        <v>45143</v>
      </c>
      <c r="E12444">
        <v>1</v>
      </c>
      <c r="F12444" t="str">
        <f>"08-I16-04"</f>
        <v>08-I16-04</v>
      </c>
      <c r="G12444">
        <v>0.83040000000000003</v>
      </c>
      <c r="H12444" t="s">
        <v>12</v>
      </c>
      <c r="I12444" t="s">
        <v>10</v>
      </c>
    </row>
    <row r="12445" spans="1:9" x14ac:dyDescent="0.25">
      <c r="A12445" t="str">
        <f t="shared" ref="A12445:A12507" si="298">"89301000"</f>
        <v>89301000</v>
      </c>
      <c r="B12445" t="str">
        <f>"7708184473"</f>
        <v>7708184473</v>
      </c>
      <c r="C12445" s="1">
        <v>45005</v>
      </c>
      <c r="D12445" s="1">
        <v>45007</v>
      </c>
      <c r="E12445">
        <v>1</v>
      </c>
      <c r="F12445" t="str">
        <f>"08-M03-02"</f>
        <v>08-M03-02</v>
      </c>
      <c r="G12445">
        <v>0.91359999999999997</v>
      </c>
      <c r="H12445" t="s">
        <v>11</v>
      </c>
      <c r="I12445" t="s">
        <v>10</v>
      </c>
    </row>
    <row r="12446" spans="1:9" x14ac:dyDescent="0.25">
      <c r="A12446" t="str">
        <f t="shared" si="298"/>
        <v>89301000</v>
      </c>
      <c r="B12446" t="str">
        <f>"7708225305"</f>
        <v>7708225305</v>
      </c>
      <c r="C12446" s="1">
        <v>45070</v>
      </c>
      <c r="D12446" s="1">
        <v>45075</v>
      </c>
      <c r="E12446">
        <v>1</v>
      </c>
      <c r="F12446" t="str">
        <f>"08-K08-00"</f>
        <v>08-K08-00</v>
      </c>
      <c r="G12446">
        <v>0.5272</v>
      </c>
      <c r="H12446" t="s">
        <v>11</v>
      </c>
      <c r="I12446" t="s">
        <v>10</v>
      </c>
    </row>
    <row r="12447" spans="1:9" x14ac:dyDescent="0.25">
      <c r="A12447" t="str">
        <f t="shared" si="298"/>
        <v>89301000</v>
      </c>
      <c r="B12447" t="str">
        <f>"7708265356"</f>
        <v>7708265356</v>
      </c>
      <c r="C12447" s="1">
        <v>45232</v>
      </c>
      <c r="D12447" s="1">
        <v>45235</v>
      </c>
      <c r="E12447">
        <v>1</v>
      </c>
      <c r="F12447" t="str">
        <f>"05-M07-06"</f>
        <v>05-M07-06</v>
      </c>
      <c r="G12447">
        <v>1.2264999999999999</v>
      </c>
      <c r="H12447" t="s">
        <v>12</v>
      </c>
      <c r="I12447" t="s">
        <v>10</v>
      </c>
    </row>
    <row r="12448" spans="1:9" x14ac:dyDescent="0.25">
      <c r="A12448" t="str">
        <f t="shared" si="298"/>
        <v>89301000</v>
      </c>
      <c r="B12448" t="str">
        <f>"7708265774"</f>
        <v>7708265774</v>
      </c>
      <c r="C12448" s="1">
        <v>45260</v>
      </c>
      <c r="D12448" s="1">
        <v>45263</v>
      </c>
      <c r="E12448">
        <v>1</v>
      </c>
      <c r="F12448" t="str">
        <f>"05-I30-01"</f>
        <v>05-I30-01</v>
      </c>
      <c r="G12448">
        <v>0.60350000000000004</v>
      </c>
      <c r="H12448" t="s">
        <v>12</v>
      </c>
      <c r="I12448" t="s">
        <v>10</v>
      </c>
    </row>
    <row r="12449" spans="1:9" x14ac:dyDescent="0.25">
      <c r="A12449" t="str">
        <f t="shared" si="298"/>
        <v>89301000</v>
      </c>
      <c r="B12449" t="str">
        <f>"7709215338"</f>
        <v>7709215338</v>
      </c>
      <c r="C12449" s="1">
        <v>45167</v>
      </c>
      <c r="D12449" s="1">
        <v>45174</v>
      </c>
      <c r="E12449">
        <v>1</v>
      </c>
      <c r="F12449" t="str">
        <f>"08-I15-01"</f>
        <v>08-I15-01</v>
      </c>
      <c r="G12449">
        <v>2.4645000000000001</v>
      </c>
      <c r="H12449" t="s">
        <v>12</v>
      </c>
      <c r="I12449" t="s">
        <v>10</v>
      </c>
    </row>
    <row r="12450" spans="1:9" x14ac:dyDescent="0.25">
      <c r="A12450" t="str">
        <f t="shared" si="298"/>
        <v>89301000</v>
      </c>
      <c r="B12450" t="str">
        <f>"7709244411"</f>
        <v>7709244411</v>
      </c>
      <c r="C12450" s="1">
        <v>45114</v>
      </c>
      <c r="D12450" s="1">
        <v>45117</v>
      </c>
      <c r="E12450">
        <v>1</v>
      </c>
      <c r="F12450" t="str">
        <f>"08-I15-03"</f>
        <v>08-I15-03</v>
      </c>
      <c r="G12450">
        <v>0.94059999999999999</v>
      </c>
      <c r="H12450" t="s">
        <v>12</v>
      </c>
      <c r="I12450" t="s">
        <v>10</v>
      </c>
    </row>
    <row r="12451" spans="1:9" x14ac:dyDescent="0.25">
      <c r="A12451" t="str">
        <f t="shared" si="298"/>
        <v>89301000</v>
      </c>
      <c r="B12451" t="str">
        <f>"7709285320"</f>
        <v>7709285320</v>
      </c>
      <c r="C12451" s="1">
        <v>45153</v>
      </c>
      <c r="D12451" s="1">
        <v>45161</v>
      </c>
      <c r="E12451">
        <v>1</v>
      </c>
      <c r="F12451" t="str">
        <f>"06-K06-01"</f>
        <v>06-K06-01</v>
      </c>
      <c r="G12451">
        <v>1.1567000000000001</v>
      </c>
      <c r="H12451" t="s">
        <v>11</v>
      </c>
      <c r="I12451" t="s">
        <v>10</v>
      </c>
    </row>
    <row r="12452" spans="1:9" x14ac:dyDescent="0.25">
      <c r="A12452" t="str">
        <f t="shared" si="298"/>
        <v>89301000</v>
      </c>
      <c r="B12452" t="str">
        <f>"7709285320"</f>
        <v>7709285320</v>
      </c>
      <c r="C12452" s="1">
        <v>45131</v>
      </c>
      <c r="D12452" s="1">
        <v>45140</v>
      </c>
      <c r="E12452">
        <v>1</v>
      </c>
      <c r="F12452" t="str">
        <f>"06-K02-02"</f>
        <v>06-K02-02</v>
      </c>
      <c r="G12452">
        <v>0.85289999999999999</v>
      </c>
      <c r="H12452" t="s">
        <v>11</v>
      </c>
      <c r="I12452" t="s">
        <v>10</v>
      </c>
    </row>
    <row r="12453" spans="1:9" x14ac:dyDescent="0.25">
      <c r="A12453" t="str">
        <f t="shared" si="298"/>
        <v>89301000</v>
      </c>
      <c r="B12453" t="str">
        <f>"7710155310"</f>
        <v>7710155310</v>
      </c>
      <c r="C12453" s="1">
        <v>45253</v>
      </c>
      <c r="D12453" s="1">
        <v>45255</v>
      </c>
      <c r="E12453">
        <v>1</v>
      </c>
      <c r="F12453" t="str">
        <f>"06-M01-02"</f>
        <v>06-M01-02</v>
      </c>
      <c r="G12453">
        <v>1.2206999999999999</v>
      </c>
      <c r="H12453" t="s">
        <v>11</v>
      </c>
      <c r="I12453" t="s">
        <v>10</v>
      </c>
    </row>
    <row r="12454" spans="1:9" x14ac:dyDescent="0.25">
      <c r="A12454" t="str">
        <f t="shared" si="298"/>
        <v>89301000</v>
      </c>
      <c r="B12454" t="str">
        <f>"7710245345"</f>
        <v>7710245345</v>
      </c>
      <c r="C12454" s="1">
        <v>45229</v>
      </c>
      <c r="D12454" s="1">
        <v>45232</v>
      </c>
      <c r="E12454">
        <v>4</v>
      </c>
      <c r="F12454" t="str">
        <f>"10-K12-03"</f>
        <v>10-K12-03</v>
      </c>
      <c r="G12454">
        <v>0.5091</v>
      </c>
      <c r="H12454" t="s">
        <v>11</v>
      </c>
      <c r="I12454" t="s">
        <v>10</v>
      </c>
    </row>
    <row r="12455" spans="1:9" x14ac:dyDescent="0.25">
      <c r="A12455" t="str">
        <f t="shared" si="298"/>
        <v>89301000</v>
      </c>
      <c r="B12455" t="str">
        <f>"7712045319"</f>
        <v>7712045319</v>
      </c>
      <c r="C12455" s="1">
        <v>45099</v>
      </c>
      <c r="D12455" s="1">
        <v>45105</v>
      </c>
      <c r="E12455">
        <v>1</v>
      </c>
      <c r="F12455" t="str">
        <f>"03-K06-01"</f>
        <v>03-K06-01</v>
      </c>
      <c r="G12455">
        <v>0.4743</v>
      </c>
      <c r="H12455" t="s">
        <v>11</v>
      </c>
      <c r="I12455" t="s">
        <v>10</v>
      </c>
    </row>
    <row r="12456" spans="1:9" x14ac:dyDescent="0.25">
      <c r="A12456" t="str">
        <f t="shared" si="298"/>
        <v>89301000</v>
      </c>
      <c r="B12456" t="str">
        <f>"7712154472"</f>
        <v>7712154472</v>
      </c>
      <c r="C12456" s="1">
        <v>44998</v>
      </c>
      <c r="D12456" s="1">
        <v>45000</v>
      </c>
      <c r="E12456">
        <v>1</v>
      </c>
      <c r="F12456" t="str">
        <f>"03-I14-02"</f>
        <v>03-I14-02</v>
      </c>
      <c r="G12456">
        <v>1.0793999999999999</v>
      </c>
      <c r="H12456" t="s">
        <v>11</v>
      </c>
      <c r="I12456" t="s">
        <v>10</v>
      </c>
    </row>
    <row r="12457" spans="1:9" x14ac:dyDescent="0.25">
      <c r="A12457" t="str">
        <f t="shared" si="298"/>
        <v>89301000</v>
      </c>
      <c r="B12457" t="str">
        <f>"7712225708"</f>
        <v>7712225708</v>
      </c>
      <c r="C12457" s="1">
        <v>45027</v>
      </c>
      <c r="D12457" s="1">
        <v>45032</v>
      </c>
      <c r="E12457">
        <v>1</v>
      </c>
      <c r="F12457" t="str">
        <f>"03-I19-01"</f>
        <v>03-I19-01</v>
      </c>
      <c r="G12457">
        <v>2.5438999999999998</v>
      </c>
      <c r="H12457" t="s">
        <v>11</v>
      </c>
      <c r="I12457" t="s">
        <v>10</v>
      </c>
    </row>
    <row r="12458" spans="1:9" x14ac:dyDescent="0.25">
      <c r="A12458" t="str">
        <f t="shared" si="298"/>
        <v>89301000</v>
      </c>
      <c r="B12458" t="str">
        <f>"7712235707"</f>
        <v>7712235707</v>
      </c>
      <c r="C12458" s="1">
        <v>44977</v>
      </c>
      <c r="D12458" s="1">
        <v>44980</v>
      </c>
      <c r="E12458">
        <v>1</v>
      </c>
      <c r="F12458" t="str">
        <f>"01-D01-03"</f>
        <v>01-D01-03</v>
      </c>
      <c r="G12458">
        <v>0.21060000000000001</v>
      </c>
      <c r="H12458" t="s">
        <v>11</v>
      </c>
      <c r="I12458" t="s">
        <v>10</v>
      </c>
    </row>
    <row r="12459" spans="1:9" x14ac:dyDescent="0.25">
      <c r="A12459" t="str">
        <f t="shared" si="298"/>
        <v>89301000</v>
      </c>
      <c r="B12459" t="str">
        <f>"7751014458"</f>
        <v>7751014458</v>
      </c>
      <c r="C12459" s="1">
        <v>45222</v>
      </c>
      <c r="D12459" s="1">
        <v>45224</v>
      </c>
      <c r="E12459">
        <v>1</v>
      </c>
      <c r="F12459" t="str">
        <f>"11-M05-02"</f>
        <v>11-M05-02</v>
      </c>
      <c r="G12459">
        <v>0.6694</v>
      </c>
      <c r="H12459" t="s">
        <v>12</v>
      </c>
      <c r="I12459" t="s">
        <v>10</v>
      </c>
    </row>
    <row r="12460" spans="1:9" x14ac:dyDescent="0.25">
      <c r="A12460" t="str">
        <f t="shared" si="298"/>
        <v>89301000</v>
      </c>
      <c r="B12460" t="str">
        <f>"7751014469"</f>
        <v>7751014469</v>
      </c>
      <c r="C12460" s="1">
        <v>45082</v>
      </c>
      <c r="D12460" s="1">
        <v>45084</v>
      </c>
      <c r="E12460">
        <v>1</v>
      </c>
      <c r="F12460" t="str">
        <f>"05-I30-02"</f>
        <v>05-I30-02</v>
      </c>
      <c r="G12460">
        <v>0.41699999999999998</v>
      </c>
      <c r="H12460" t="s">
        <v>12</v>
      </c>
      <c r="I12460" t="s">
        <v>10</v>
      </c>
    </row>
    <row r="12461" spans="1:9" x14ac:dyDescent="0.25">
      <c r="A12461" t="str">
        <f t="shared" si="298"/>
        <v>89301000</v>
      </c>
      <c r="B12461" t="str">
        <f>"7751094879"</f>
        <v>7751094879</v>
      </c>
      <c r="C12461" s="1">
        <v>45013</v>
      </c>
      <c r="D12461" s="1">
        <v>45051</v>
      </c>
      <c r="E12461">
        <v>1</v>
      </c>
      <c r="F12461" t="str">
        <f>"19-K08-02"</f>
        <v>19-K08-02</v>
      </c>
      <c r="G12461">
        <v>4.4416000000000002</v>
      </c>
      <c r="H12461" t="s">
        <v>15</v>
      </c>
      <c r="I12461" t="s">
        <v>10</v>
      </c>
    </row>
    <row r="12462" spans="1:9" x14ac:dyDescent="0.25">
      <c r="A12462" t="str">
        <f t="shared" si="298"/>
        <v>89301000</v>
      </c>
      <c r="B12462" t="str">
        <f>"7751155313"</f>
        <v>7751155313</v>
      </c>
      <c r="C12462" s="1">
        <v>44944</v>
      </c>
      <c r="D12462" s="1">
        <v>44945</v>
      </c>
      <c r="E12462">
        <v>5</v>
      </c>
      <c r="F12462" t="str">
        <f>"05-M06-06"</f>
        <v>05-M06-06</v>
      </c>
      <c r="G12462">
        <v>1.8264</v>
      </c>
      <c r="H12462" t="s">
        <v>12</v>
      </c>
      <c r="I12462" t="s">
        <v>10</v>
      </c>
    </row>
    <row r="12463" spans="1:9" x14ac:dyDescent="0.25">
      <c r="A12463" t="str">
        <f t="shared" si="298"/>
        <v>89301000</v>
      </c>
      <c r="B12463" t="str">
        <f>"7751164278"</f>
        <v>7751164278</v>
      </c>
      <c r="C12463" s="1">
        <v>45156</v>
      </c>
      <c r="D12463" s="1">
        <v>45169</v>
      </c>
      <c r="E12463">
        <v>1</v>
      </c>
      <c r="F12463" t="str">
        <f>"08-K13-02"</f>
        <v>08-K13-02</v>
      </c>
      <c r="G12463">
        <v>0.71899999999999997</v>
      </c>
      <c r="H12463" t="s">
        <v>11</v>
      </c>
      <c r="I12463" t="s">
        <v>10</v>
      </c>
    </row>
    <row r="12464" spans="1:9" x14ac:dyDescent="0.25">
      <c r="A12464" t="str">
        <f t="shared" si="298"/>
        <v>89301000</v>
      </c>
      <c r="B12464" t="str">
        <f>"7751164278"</f>
        <v>7751164278</v>
      </c>
      <c r="C12464" s="1">
        <v>45181</v>
      </c>
      <c r="D12464" s="1">
        <v>45208</v>
      </c>
      <c r="E12464">
        <v>1</v>
      </c>
      <c r="F12464" t="str">
        <f>"16-K04-02"</f>
        <v>16-K04-02</v>
      </c>
      <c r="G12464">
        <v>3.0116999999999998</v>
      </c>
      <c r="H12464" t="s">
        <v>11</v>
      </c>
      <c r="I12464" t="s">
        <v>10</v>
      </c>
    </row>
    <row r="12465" spans="1:9" x14ac:dyDescent="0.25">
      <c r="A12465" t="str">
        <f t="shared" si="298"/>
        <v>89301000</v>
      </c>
      <c r="B12465" t="str">
        <f>"7751275345"</f>
        <v>7751275345</v>
      </c>
      <c r="C12465" s="1">
        <v>45208</v>
      </c>
      <c r="D12465" s="1">
        <v>45210</v>
      </c>
      <c r="E12465">
        <v>1</v>
      </c>
      <c r="F12465" t="str">
        <f>"05-M05-02"</f>
        <v>05-M05-02</v>
      </c>
      <c r="G12465">
        <v>3.4817999999999998</v>
      </c>
      <c r="H12465" t="s">
        <v>14</v>
      </c>
      <c r="I12465" t="s">
        <v>10</v>
      </c>
    </row>
    <row r="12466" spans="1:9" x14ac:dyDescent="0.25">
      <c r="A12466" t="str">
        <f t="shared" si="298"/>
        <v>89301000</v>
      </c>
      <c r="B12466" t="str">
        <f>"7751285454"</f>
        <v>7751285454</v>
      </c>
      <c r="C12466" s="1">
        <v>44995</v>
      </c>
      <c r="D12466" s="1">
        <v>44999</v>
      </c>
      <c r="E12466">
        <v>1</v>
      </c>
      <c r="F12466" t="str">
        <f>"14-I01-05"</f>
        <v>14-I01-05</v>
      </c>
      <c r="G12466">
        <v>0.83340000000000003</v>
      </c>
      <c r="H12466" t="s">
        <v>13</v>
      </c>
      <c r="I12466" t="s">
        <v>10</v>
      </c>
    </row>
    <row r="12467" spans="1:9" x14ac:dyDescent="0.25">
      <c r="A12467" t="str">
        <f t="shared" si="298"/>
        <v>89301000</v>
      </c>
      <c r="B12467" t="str">
        <f>"7751315352"</f>
        <v>7751315352</v>
      </c>
      <c r="C12467" s="1">
        <v>44930</v>
      </c>
      <c r="D12467" s="1">
        <v>44933</v>
      </c>
      <c r="E12467">
        <v>1</v>
      </c>
      <c r="F12467" t="str">
        <f>"07-I10-06"</f>
        <v>07-I10-06</v>
      </c>
      <c r="G12467">
        <v>0.98419999999999996</v>
      </c>
      <c r="H12467" t="s">
        <v>12</v>
      </c>
      <c r="I12467" t="s">
        <v>10</v>
      </c>
    </row>
    <row r="12468" spans="1:9" x14ac:dyDescent="0.25">
      <c r="A12468" t="str">
        <f t="shared" si="298"/>
        <v>89301000</v>
      </c>
      <c r="B12468" t="str">
        <f>"7752015304"</f>
        <v>7752015304</v>
      </c>
      <c r="C12468" s="1">
        <v>45156</v>
      </c>
      <c r="D12468" s="1">
        <v>45160</v>
      </c>
      <c r="E12468">
        <v>1</v>
      </c>
      <c r="F12468" t="str">
        <f>"04-K02-04"</f>
        <v>04-K02-04</v>
      </c>
      <c r="G12468">
        <v>0.82099999999999995</v>
      </c>
      <c r="H12468" t="s">
        <v>11</v>
      </c>
      <c r="I12468" t="s">
        <v>10</v>
      </c>
    </row>
    <row r="12469" spans="1:9" x14ac:dyDescent="0.25">
      <c r="A12469" t="str">
        <f t="shared" si="298"/>
        <v>89301000</v>
      </c>
      <c r="B12469" t="str">
        <f>"7752134456"</f>
        <v>7752134456</v>
      </c>
      <c r="C12469" s="1">
        <v>44973</v>
      </c>
      <c r="D12469" s="1">
        <v>44976</v>
      </c>
      <c r="E12469">
        <v>1</v>
      </c>
      <c r="F12469" t="str">
        <f>"08-I22-02"</f>
        <v>08-I22-02</v>
      </c>
      <c r="G12469">
        <v>1.131</v>
      </c>
      <c r="H12469" t="s">
        <v>12</v>
      </c>
      <c r="I12469" t="s">
        <v>10</v>
      </c>
    </row>
    <row r="12470" spans="1:9" x14ac:dyDescent="0.25">
      <c r="A12470" t="str">
        <f t="shared" si="298"/>
        <v>89301000</v>
      </c>
      <c r="B12470" t="str">
        <f>"7752164464"</f>
        <v>7752164464</v>
      </c>
      <c r="C12470" s="1">
        <v>45232</v>
      </c>
      <c r="D12470" s="1">
        <v>45232</v>
      </c>
      <c r="E12470">
        <v>1</v>
      </c>
      <c r="F12470" t="str">
        <f>"05-D01-08"</f>
        <v>05-D01-08</v>
      </c>
      <c r="G12470">
        <v>0.2303</v>
      </c>
      <c r="H12470" t="s">
        <v>11</v>
      </c>
      <c r="I12470" t="s">
        <v>10</v>
      </c>
    </row>
    <row r="12471" spans="1:9" x14ac:dyDescent="0.25">
      <c r="A12471" t="str">
        <f t="shared" si="298"/>
        <v>89301000</v>
      </c>
      <c r="B12471" t="str">
        <f>"7752184484"</f>
        <v>7752184484</v>
      </c>
      <c r="C12471" s="1">
        <v>45006</v>
      </c>
      <c r="D12471" s="1">
        <v>45007</v>
      </c>
      <c r="E12471">
        <v>1</v>
      </c>
      <c r="F12471" t="str">
        <f>"01-D01-03"</f>
        <v>01-D01-03</v>
      </c>
      <c r="G12471">
        <v>0.16200000000000001</v>
      </c>
      <c r="H12471" t="s">
        <v>11</v>
      </c>
      <c r="I12471" t="s">
        <v>10</v>
      </c>
    </row>
    <row r="12472" spans="1:9" x14ac:dyDescent="0.25">
      <c r="A12472" t="str">
        <f t="shared" si="298"/>
        <v>89301000</v>
      </c>
      <c r="B12472" t="str">
        <f>"7752185793"</f>
        <v>7752185793</v>
      </c>
      <c r="C12472" s="1">
        <v>45056</v>
      </c>
      <c r="D12472" s="1">
        <v>45060</v>
      </c>
      <c r="E12472">
        <v>1</v>
      </c>
      <c r="F12472" t="str">
        <f>"13-I11-03"</f>
        <v>13-I11-03</v>
      </c>
      <c r="G12472">
        <v>1.8836999999999999</v>
      </c>
      <c r="H12472" t="s">
        <v>9</v>
      </c>
      <c r="I12472" t="s">
        <v>10</v>
      </c>
    </row>
    <row r="12473" spans="1:9" x14ac:dyDescent="0.25">
      <c r="A12473" t="str">
        <f t="shared" si="298"/>
        <v>89301000</v>
      </c>
      <c r="B12473" t="str">
        <f>"7752185793"</f>
        <v>7752185793</v>
      </c>
      <c r="C12473" s="1">
        <v>44960</v>
      </c>
      <c r="D12473" s="1">
        <v>44961</v>
      </c>
      <c r="E12473">
        <v>1</v>
      </c>
      <c r="F12473" t="str">
        <f>"13-I19-00"</f>
        <v>13-I19-00</v>
      </c>
      <c r="G12473">
        <v>0.28249999999999997</v>
      </c>
      <c r="H12473" t="s">
        <v>11</v>
      </c>
      <c r="I12473" t="s">
        <v>10</v>
      </c>
    </row>
    <row r="12474" spans="1:9" x14ac:dyDescent="0.25">
      <c r="A12474" t="str">
        <f t="shared" si="298"/>
        <v>89301000</v>
      </c>
      <c r="B12474" t="str">
        <f>"7752195715"</f>
        <v>7752195715</v>
      </c>
      <c r="C12474" s="1">
        <v>45139</v>
      </c>
      <c r="D12474" s="1">
        <v>45140</v>
      </c>
      <c r="E12474">
        <v>1</v>
      </c>
      <c r="F12474" t="str">
        <f>"03-K13-02"</f>
        <v>03-K13-02</v>
      </c>
      <c r="G12474">
        <v>0.24440000000000001</v>
      </c>
      <c r="H12474" t="s">
        <v>11</v>
      </c>
      <c r="I12474" t="s">
        <v>10</v>
      </c>
    </row>
    <row r="12475" spans="1:9" x14ac:dyDescent="0.25">
      <c r="A12475" t="str">
        <f t="shared" si="298"/>
        <v>89301000</v>
      </c>
      <c r="B12475" t="str">
        <f>"7752234248"</f>
        <v>7752234248</v>
      </c>
      <c r="C12475" s="1">
        <v>45271</v>
      </c>
      <c r="D12475" s="1">
        <v>45274</v>
      </c>
      <c r="E12475">
        <v>1</v>
      </c>
      <c r="F12475" t="str">
        <f>"13-I14-03"</f>
        <v>13-I14-03</v>
      </c>
      <c r="G12475">
        <v>0.87760000000000005</v>
      </c>
      <c r="H12475" t="s">
        <v>9</v>
      </c>
      <c r="I12475" t="s">
        <v>10</v>
      </c>
    </row>
    <row r="12476" spans="1:9" x14ac:dyDescent="0.25">
      <c r="A12476" t="str">
        <f t="shared" si="298"/>
        <v>89301000</v>
      </c>
      <c r="B12476" t="str">
        <f>"7753014489"</f>
        <v>7753014489</v>
      </c>
      <c r="C12476" s="1">
        <v>44948</v>
      </c>
      <c r="D12476" s="1">
        <v>44951</v>
      </c>
      <c r="E12476">
        <v>1</v>
      </c>
      <c r="F12476" t="str">
        <f>"03-K03-02"</f>
        <v>03-K03-02</v>
      </c>
      <c r="G12476">
        <v>0.51949999999999996</v>
      </c>
      <c r="H12476" t="s">
        <v>11</v>
      </c>
      <c r="I12476" t="s">
        <v>10</v>
      </c>
    </row>
    <row r="12477" spans="1:9" x14ac:dyDescent="0.25">
      <c r="A12477" t="str">
        <f t="shared" si="298"/>
        <v>89301000</v>
      </c>
      <c r="B12477" t="str">
        <f>"7753034465"</f>
        <v>7753034465</v>
      </c>
      <c r="C12477" s="1">
        <v>45176</v>
      </c>
      <c r="D12477" s="1">
        <v>45177</v>
      </c>
      <c r="E12477">
        <v>1</v>
      </c>
      <c r="F12477" t="str">
        <f>"04-K03-02"</f>
        <v>04-K03-02</v>
      </c>
      <c r="G12477">
        <v>0.53</v>
      </c>
      <c r="H12477" t="s">
        <v>11</v>
      </c>
      <c r="I12477" t="s">
        <v>10</v>
      </c>
    </row>
    <row r="12478" spans="1:9" x14ac:dyDescent="0.25">
      <c r="A12478" t="str">
        <f t="shared" si="298"/>
        <v>89301000</v>
      </c>
      <c r="B12478" t="str">
        <f>"7753044475"</f>
        <v>7753044475</v>
      </c>
      <c r="C12478" s="1">
        <v>45049</v>
      </c>
      <c r="D12478" s="1">
        <v>45053</v>
      </c>
      <c r="E12478">
        <v>1</v>
      </c>
      <c r="F12478" t="str">
        <f>"13-I11-03"</f>
        <v>13-I11-03</v>
      </c>
      <c r="G12478">
        <v>1.4332</v>
      </c>
      <c r="H12478" t="s">
        <v>9</v>
      </c>
      <c r="I12478" t="s">
        <v>10</v>
      </c>
    </row>
    <row r="12479" spans="1:9" x14ac:dyDescent="0.25">
      <c r="A12479" t="str">
        <f t="shared" si="298"/>
        <v>89301000</v>
      </c>
      <c r="B12479" t="str">
        <f>"7753045355"</f>
        <v>7753045355</v>
      </c>
      <c r="C12479" s="1">
        <v>44987</v>
      </c>
      <c r="D12479" s="1">
        <v>44991</v>
      </c>
      <c r="E12479">
        <v>1</v>
      </c>
      <c r="F12479" t="str">
        <f>"06-I17-02"</f>
        <v>06-I17-02</v>
      </c>
      <c r="G12479">
        <v>1.0106999999999999</v>
      </c>
      <c r="H12479" t="s">
        <v>12</v>
      </c>
      <c r="I12479" t="s">
        <v>10</v>
      </c>
    </row>
    <row r="12480" spans="1:9" x14ac:dyDescent="0.25">
      <c r="A12480" t="str">
        <f t="shared" si="298"/>
        <v>89301000</v>
      </c>
      <c r="B12480" t="str">
        <f>"7753095328"</f>
        <v>7753095328</v>
      </c>
      <c r="C12480" s="1">
        <v>45000</v>
      </c>
      <c r="D12480" s="1">
        <v>45003</v>
      </c>
      <c r="E12480">
        <v>1</v>
      </c>
      <c r="F12480" t="str">
        <f>"08-M03-04"</f>
        <v>08-M03-04</v>
      </c>
      <c r="G12480">
        <v>0.87760000000000005</v>
      </c>
      <c r="H12480" t="s">
        <v>11</v>
      </c>
      <c r="I12480" t="s">
        <v>10</v>
      </c>
    </row>
    <row r="12481" spans="1:9" x14ac:dyDescent="0.25">
      <c r="A12481" t="str">
        <f t="shared" si="298"/>
        <v>89301000</v>
      </c>
      <c r="B12481" t="str">
        <f>"7753115326"</f>
        <v>7753115326</v>
      </c>
      <c r="C12481" s="1">
        <v>45034</v>
      </c>
      <c r="D12481" s="1">
        <v>45036</v>
      </c>
      <c r="E12481">
        <v>1</v>
      </c>
      <c r="F12481" t="str">
        <f>"11-I14-02"</f>
        <v>11-I14-02</v>
      </c>
      <c r="G12481">
        <v>0.61839999999999995</v>
      </c>
      <c r="H12481" t="s">
        <v>9</v>
      </c>
      <c r="I12481" t="s">
        <v>10</v>
      </c>
    </row>
    <row r="12482" spans="1:9" x14ac:dyDescent="0.25">
      <c r="A12482" t="str">
        <f t="shared" si="298"/>
        <v>89301000</v>
      </c>
      <c r="B12482" t="str">
        <f>"7753155707"</f>
        <v>7753155707</v>
      </c>
      <c r="C12482" s="1">
        <v>45138</v>
      </c>
      <c r="D12482" s="1">
        <v>45139</v>
      </c>
      <c r="E12482">
        <v>1</v>
      </c>
      <c r="F12482" t="str">
        <f>"13-I19-00"</f>
        <v>13-I19-00</v>
      </c>
      <c r="G12482">
        <v>0.28249999999999997</v>
      </c>
      <c r="H12482" t="s">
        <v>11</v>
      </c>
      <c r="I12482" t="s">
        <v>10</v>
      </c>
    </row>
    <row r="12483" spans="1:9" x14ac:dyDescent="0.25">
      <c r="A12483" t="str">
        <f t="shared" si="298"/>
        <v>89301000</v>
      </c>
      <c r="B12483" t="str">
        <f>"7753165354"</f>
        <v>7753165354</v>
      </c>
      <c r="C12483" s="1">
        <v>45252</v>
      </c>
      <c r="D12483" s="1">
        <v>45272</v>
      </c>
      <c r="E12483">
        <v>1</v>
      </c>
      <c r="F12483" t="str">
        <f>"19-K06-02"</f>
        <v>19-K06-02</v>
      </c>
      <c r="G12483">
        <v>2.2334999999999998</v>
      </c>
      <c r="H12483" t="s">
        <v>15</v>
      </c>
      <c r="I12483" t="s">
        <v>10</v>
      </c>
    </row>
    <row r="12484" spans="1:9" x14ac:dyDescent="0.25">
      <c r="A12484" t="str">
        <f t="shared" si="298"/>
        <v>89301000</v>
      </c>
      <c r="B12484" t="str">
        <f>"7753165354"</f>
        <v>7753165354</v>
      </c>
      <c r="C12484" s="1">
        <v>44956</v>
      </c>
      <c r="D12484" s="1">
        <v>44981</v>
      </c>
      <c r="E12484">
        <v>1</v>
      </c>
      <c r="F12484" t="str">
        <f>"19-K06-02"</f>
        <v>19-K06-02</v>
      </c>
      <c r="G12484">
        <v>2.2334999999999998</v>
      </c>
      <c r="H12484" t="s">
        <v>15</v>
      </c>
      <c r="I12484" t="s">
        <v>10</v>
      </c>
    </row>
    <row r="12485" spans="1:9" x14ac:dyDescent="0.25">
      <c r="A12485" t="str">
        <f t="shared" si="298"/>
        <v>89301000</v>
      </c>
      <c r="B12485" t="str">
        <f>"7753225337"</f>
        <v>7753225337</v>
      </c>
      <c r="C12485" s="1">
        <v>45120</v>
      </c>
      <c r="D12485" s="1">
        <v>45122</v>
      </c>
      <c r="E12485">
        <v>1</v>
      </c>
      <c r="F12485" t="str">
        <f>"08-M03-05"</f>
        <v>08-M03-05</v>
      </c>
      <c r="G12485">
        <v>0.46810000000000002</v>
      </c>
      <c r="H12485" t="s">
        <v>11</v>
      </c>
      <c r="I12485" t="s">
        <v>10</v>
      </c>
    </row>
    <row r="12486" spans="1:9" x14ac:dyDescent="0.25">
      <c r="A12486" t="str">
        <f t="shared" si="298"/>
        <v>89301000</v>
      </c>
      <c r="B12486" t="str">
        <f>"7753255796"</f>
        <v>7753255796</v>
      </c>
      <c r="C12486" s="1">
        <v>44931</v>
      </c>
      <c r="D12486" s="1">
        <v>44935</v>
      </c>
      <c r="E12486">
        <v>1</v>
      </c>
      <c r="F12486" t="str">
        <f>"13-I08-03"</f>
        <v>13-I08-03</v>
      </c>
      <c r="G12486">
        <v>1.3751</v>
      </c>
      <c r="H12486" t="s">
        <v>14</v>
      </c>
      <c r="I12486" t="s">
        <v>10</v>
      </c>
    </row>
    <row r="12487" spans="1:9" x14ac:dyDescent="0.25">
      <c r="A12487" t="str">
        <f t="shared" si="298"/>
        <v>89301000</v>
      </c>
      <c r="B12487" t="str">
        <f>"7753305362"</f>
        <v>7753305362</v>
      </c>
      <c r="C12487" s="1">
        <v>45180</v>
      </c>
      <c r="D12487" s="1">
        <v>45183</v>
      </c>
      <c r="E12487">
        <v>1</v>
      </c>
      <c r="F12487" t="str">
        <f>"05-M07-04"</f>
        <v>05-M07-04</v>
      </c>
      <c r="G12487">
        <v>1.7763</v>
      </c>
      <c r="H12487" t="s">
        <v>12</v>
      </c>
      <c r="I12487" t="s">
        <v>10</v>
      </c>
    </row>
    <row r="12488" spans="1:9" x14ac:dyDescent="0.25">
      <c r="A12488" t="str">
        <f t="shared" si="298"/>
        <v>89301000</v>
      </c>
      <c r="B12488" t="str">
        <f>"7753318738"</f>
        <v>7753318738</v>
      </c>
      <c r="C12488" s="1">
        <v>45162</v>
      </c>
      <c r="D12488" s="1">
        <v>45166</v>
      </c>
      <c r="E12488">
        <v>1</v>
      </c>
      <c r="F12488" t="str">
        <f>"10-I13-02"</f>
        <v>10-I13-02</v>
      </c>
      <c r="G12488">
        <v>1.1124000000000001</v>
      </c>
      <c r="H12488" t="s">
        <v>9</v>
      </c>
      <c r="I12488" t="s">
        <v>10</v>
      </c>
    </row>
    <row r="12489" spans="1:9" x14ac:dyDescent="0.25">
      <c r="A12489" t="str">
        <f t="shared" si="298"/>
        <v>89301000</v>
      </c>
      <c r="B12489" t="str">
        <f>"7753318738"</f>
        <v>7753318738</v>
      </c>
      <c r="C12489" s="1">
        <v>45250</v>
      </c>
      <c r="D12489" s="1">
        <v>45258</v>
      </c>
      <c r="E12489">
        <v>1</v>
      </c>
      <c r="F12489" t="str">
        <f>"10-R02-01"</f>
        <v>10-R02-01</v>
      </c>
      <c r="G12489">
        <v>0.92279999999999995</v>
      </c>
      <c r="H12489" t="s">
        <v>9</v>
      </c>
      <c r="I12489" t="s">
        <v>10</v>
      </c>
    </row>
    <row r="12490" spans="1:9" x14ac:dyDescent="0.25">
      <c r="A12490" t="str">
        <f t="shared" si="298"/>
        <v>89301000</v>
      </c>
      <c r="B12490" t="str">
        <f>"7753318738"</f>
        <v>7753318738</v>
      </c>
      <c r="C12490" s="1">
        <v>45035</v>
      </c>
      <c r="D12490" s="1">
        <v>45042</v>
      </c>
      <c r="E12490">
        <v>1</v>
      </c>
      <c r="F12490" t="str">
        <f>"01-C02-02"</f>
        <v>01-C02-02</v>
      </c>
      <c r="G12490">
        <v>1.6685000000000001</v>
      </c>
      <c r="H12490" t="s">
        <v>11</v>
      </c>
      <c r="I12490" t="s">
        <v>10</v>
      </c>
    </row>
    <row r="12491" spans="1:9" x14ac:dyDescent="0.25">
      <c r="A12491" t="str">
        <f t="shared" si="298"/>
        <v>89301000</v>
      </c>
      <c r="B12491" t="str">
        <f>"7754104490"</f>
        <v>7754104490</v>
      </c>
      <c r="C12491" s="1">
        <v>44944</v>
      </c>
      <c r="D12491" s="1">
        <v>44948</v>
      </c>
      <c r="E12491">
        <v>1</v>
      </c>
      <c r="F12491" t="str">
        <f>"03-I17-00"</f>
        <v>03-I17-00</v>
      </c>
      <c r="G12491">
        <v>0.83489999999999998</v>
      </c>
      <c r="H12491" t="s">
        <v>9</v>
      </c>
      <c r="I12491" t="s">
        <v>10</v>
      </c>
    </row>
    <row r="12492" spans="1:9" x14ac:dyDescent="0.25">
      <c r="A12492" t="str">
        <f t="shared" si="298"/>
        <v>89301000</v>
      </c>
      <c r="B12492" t="str">
        <f>"7754144486"</f>
        <v>7754144486</v>
      </c>
      <c r="C12492" s="1">
        <v>44959</v>
      </c>
      <c r="D12492" s="1">
        <v>44961</v>
      </c>
      <c r="E12492">
        <v>1</v>
      </c>
      <c r="F12492" t="str">
        <f>"08-I03-08"</f>
        <v>08-I03-08</v>
      </c>
      <c r="G12492">
        <v>1.9455</v>
      </c>
      <c r="H12492" t="s">
        <v>9</v>
      </c>
      <c r="I12492" t="s">
        <v>10</v>
      </c>
    </row>
    <row r="12493" spans="1:9" x14ac:dyDescent="0.25">
      <c r="A12493" t="str">
        <f t="shared" si="298"/>
        <v>89301000</v>
      </c>
      <c r="B12493" t="str">
        <f>"7754185318"</f>
        <v>7754185318</v>
      </c>
      <c r="C12493" s="1">
        <v>45071</v>
      </c>
      <c r="D12493" s="1">
        <v>45072</v>
      </c>
      <c r="E12493">
        <v>1</v>
      </c>
      <c r="F12493" t="str">
        <f>"13-I19-00"</f>
        <v>13-I19-00</v>
      </c>
      <c r="G12493">
        <v>0.28249999999999997</v>
      </c>
      <c r="H12493" t="s">
        <v>11</v>
      </c>
      <c r="I12493" t="s">
        <v>10</v>
      </c>
    </row>
    <row r="12494" spans="1:9" x14ac:dyDescent="0.25">
      <c r="A12494" t="str">
        <f t="shared" si="298"/>
        <v>89301000</v>
      </c>
      <c r="B12494" t="str">
        <f>"7754185318"</f>
        <v>7754185318</v>
      </c>
      <c r="C12494" s="1">
        <v>44942</v>
      </c>
      <c r="D12494" s="1">
        <v>44949</v>
      </c>
      <c r="E12494">
        <v>1</v>
      </c>
      <c r="F12494" t="str">
        <f>"04-K04-01"</f>
        <v>04-K04-01</v>
      </c>
      <c r="G12494">
        <v>1.022</v>
      </c>
      <c r="H12494" t="s">
        <v>11</v>
      </c>
      <c r="I12494" t="s">
        <v>10</v>
      </c>
    </row>
    <row r="12495" spans="1:9" x14ac:dyDescent="0.25">
      <c r="A12495" t="str">
        <f t="shared" si="298"/>
        <v>89301000</v>
      </c>
      <c r="B12495" t="str">
        <f>"7754185780"</f>
        <v>7754185780</v>
      </c>
      <c r="C12495" s="1">
        <v>45236</v>
      </c>
      <c r="D12495" s="1">
        <v>45238</v>
      </c>
      <c r="E12495">
        <v>1</v>
      </c>
      <c r="F12495" t="str">
        <f>"11-K03-02"</f>
        <v>11-K03-02</v>
      </c>
      <c r="G12495">
        <v>0.622</v>
      </c>
      <c r="H12495" t="s">
        <v>11</v>
      </c>
      <c r="I12495" t="s">
        <v>10</v>
      </c>
    </row>
    <row r="12496" spans="1:9" x14ac:dyDescent="0.25">
      <c r="A12496" t="str">
        <f t="shared" si="298"/>
        <v>89301000</v>
      </c>
      <c r="B12496" t="str">
        <f>"7754195317"</f>
        <v>7754195317</v>
      </c>
      <c r="C12496" s="1">
        <v>45204</v>
      </c>
      <c r="D12496" s="1">
        <v>45206</v>
      </c>
      <c r="E12496">
        <v>1</v>
      </c>
      <c r="F12496" t="str">
        <f>"05-I30-01"</f>
        <v>05-I30-01</v>
      </c>
      <c r="G12496">
        <v>0.60309999999999997</v>
      </c>
      <c r="H12496" t="s">
        <v>12</v>
      </c>
      <c r="I12496" t="s">
        <v>10</v>
      </c>
    </row>
    <row r="12497" spans="1:9" x14ac:dyDescent="0.25">
      <c r="A12497" t="str">
        <f t="shared" si="298"/>
        <v>89301000</v>
      </c>
      <c r="B12497" t="str">
        <f>"7754254464"</f>
        <v>7754254464</v>
      </c>
      <c r="C12497" s="1">
        <v>45203</v>
      </c>
      <c r="D12497" s="1">
        <v>45208</v>
      </c>
      <c r="E12497">
        <v>1</v>
      </c>
      <c r="F12497" t="str">
        <f>"03-I19-02"</f>
        <v>03-I19-02</v>
      </c>
      <c r="G12497">
        <v>0.71340000000000003</v>
      </c>
      <c r="H12497" t="s">
        <v>11</v>
      </c>
      <c r="I12497" t="s">
        <v>10</v>
      </c>
    </row>
    <row r="12498" spans="1:9" x14ac:dyDescent="0.25">
      <c r="A12498" t="str">
        <f t="shared" si="298"/>
        <v>89301000</v>
      </c>
      <c r="B12498" t="str">
        <f>"7754254464"</f>
        <v>7754254464</v>
      </c>
      <c r="C12498" s="1">
        <v>45133</v>
      </c>
      <c r="D12498" s="1">
        <v>45171</v>
      </c>
      <c r="E12498">
        <v>1</v>
      </c>
      <c r="F12498" t="str">
        <f>"03-I19-01"</f>
        <v>03-I19-01</v>
      </c>
      <c r="G12498">
        <v>5.6824000000000003</v>
      </c>
      <c r="H12498" t="s">
        <v>11</v>
      </c>
      <c r="I12498" t="s">
        <v>10</v>
      </c>
    </row>
    <row r="12499" spans="1:9" x14ac:dyDescent="0.25">
      <c r="A12499" t="str">
        <f t="shared" si="298"/>
        <v>89301000</v>
      </c>
      <c r="B12499" t="str">
        <f>"7755015411"</f>
        <v>7755015411</v>
      </c>
      <c r="C12499" s="1">
        <v>45077</v>
      </c>
      <c r="D12499" s="1">
        <v>45080</v>
      </c>
      <c r="E12499">
        <v>1</v>
      </c>
      <c r="F12499" t="str">
        <f>"08-M03-04"</f>
        <v>08-M03-04</v>
      </c>
      <c r="G12499">
        <v>0.87760000000000005</v>
      </c>
      <c r="H12499" t="s">
        <v>11</v>
      </c>
      <c r="I12499" t="s">
        <v>10</v>
      </c>
    </row>
    <row r="12500" spans="1:9" x14ac:dyDescent="0.25">
      <c r="A12500" t="str">
        <f t="shared" si="298"/>
        <v>89301000</v>
      </c>
      <c r="B12500" t="str">
        <f>"7755025311"</f>
        <v>7755025311</v>
      </c>
      <c r="C12500" s="1">
        <v>45077</v>
      </c>
      <c r="D12500" s="1">
        <v>45080</v>
      </c>
      <c r="E12500">
        <v>1</v>
      </c>
      <c r="F12500" t="str">
        <f>"13-I14-03"</f>
        <v>13-I14-03</v>
      </c>
      <c r="G12500">
        <v>0.87760000000000005</v>
      </c>
      <c r="H12500" t="s">
        <v>9</v>
      </c>
      <c r="I12500" t="s">
        <v>10</v>
      </c>
    </row>
    <row r="12501" spans="1:9" x14ac:dyDescent="0.25">
      <c r="A12501" t="str">
        <f t="shared" si="298"/>
        <v>89301000</v>
      </c>
      <c r="B12501" t="str">
        <f>"7755025311"</f>
        <v>7755025311</v>
      </c>
      <c r="C12501" s="1">
        <v>45118</v>
      </c>
      <c r="D12501" s="1">
        <v>45127</v>
      </c>
      <c r="E12501">
        <v>1</v>
      </c>
      <c r="F12501" t="str">
        <f>"06-I02-01"</f>
        <v>06-I02-01</v>
      </c>
      <c r="G12501">
        <v>6.2469000000000001</v>
      </c>
      <c r="H12501" t="s">
        <v>12</v>
      </c>
      <c r="I12501" t="s">
        <v>10</v>
      </c>
    </row>
    <row r="12502" spans="1:9" x14ac:dyDescent="0.25">
      <c r="A12502" t="str">
        <f t="shared" si="298"/>
        <v>89301000</v>
      </c>
      <c r="B12502" t="str">
        <f>"7755025333"</f>
        <v>7755025333</v>
      </c>
      <c r="C12502" s="1">
        <v>45239</v>
      </c>
      <c r="D12502" s="1">
        <v>45241</v>
      </c>
      <c r="E12502">
        <v>1</v>
      </c>
      <c r="F12502" t="str">
        <f>"05-I30-01"</f>
        <v>05-I30-01</v>
      </c>
      <c r="G12502">
        <v>0.60309999999999997</v>
      </c>
      <c r="H12502" t="s">
        <v>12</v>
      </c>
      <c r="I12502" t="s">
        <v>10</v>
      </c>
    </row>
    <row r="12503" spans="1:9" x14ac:dyDescent="0.25">
      <c r="A12503" t="str">
        <f t="shared" si="298"/>
        <v>89301000</v>
      </c>
      <c r="B12503" t="str">
        <f>"7755055154"</f>
        <v>7755055154</v>
      </c>
      <c r="C12503" s="1">
        <v>45231</v>
      </c>
      <c r="D12503" s="1">
        <v>45239</v>
      </c>
      <c r="E12503">
        <v>1</v>
      </c>
      <c r="F12503" t="str">
        <f>"11-K01-04"</f>
        <v>11-K01-04</v>
      </c>
      <c r="G12503">
        <v>0.57130000000000003</v>
      </c>
      <c r="H12503" t="s">
        <v>11</v>
      </c>
      <c r="I12503" t="s">
        <v>10</v>
      </c>
    </row>
    <row r="12504" spans="1:9" x14ac:dyDescent="0.25">
      <c r="A12504" t="str">
        <f t="shared" si="298"/>
        <v>89301000</v>
      </c>
      <c r="B12504" t="str">
        <f>"7755055154"</f>
        <v>7755055154</v>
      </c>
      <c r="C12504" s="1">
        <v>45208</v>
      </c>
      <c r="D12504" s="1">
        <v>45210</v>
      </c>
      <c r="E12504">
        <v>1</v>
      </c>
      <c r="F12504" t="str">
        <f>"08-C04-02"</f>
        <v>08-C04-02</v>
      </c>
      <c r="G12504">
        <v>0.28699999999999998</v>
      </c>
      <c r="H12504" t="s">
        <v>11</v>
      </c>
      <c r="I12504" t="s">
        <v>10</v>
      </c>
    </row>
    <row r="12505" spans="1:9" x14ac:dyDescent="0.25">
      <c r="A12505" t="str">
        <f t="shared" si="298"/>
        <v>89301000</v>
      </c>
      <c r="B12505" t="str">
        <f>"7755055154"</f>
        <v>7755055154</v>
      </c>
      <c r="C12505" s="1">
        <v>45125</v>
      </c>
      <c r="D12505" s="1">
        <v>45132</v>
      </c>
      <c r="E12505">
        <v>1</v>
      </c>
      <c r="F12505" t="str">
        <f>"08-K01-03"</f>
        <v>08-K01-03</v>
      </c>
      <c r="G12505">
        <v>0.59189999999999998</v>
      </c>
      <c r="H12505" t="s">
        <v>11</v>
      </c>
      <c r="I12505" t="s">
        <v>10</v>
      </c>
    </row>
    <row r="12506" spans="1:9" x14ac:dyDescent="0.25">
      <c r="A12506" t="str">
        <f t="shared" si="298"/>
        <v>89301000</v>
      </c>
      <c r="B12506" t="str">
        <f>"7755055154"</f>
        <v>7755055154</v>
      </c>
      <c r="C12506" s="1">
        <v>45139</v>
      </c>
      <c r="D12506" s="1">
        <v>45140</v>
      </c>
      <c r="E12506">
        <v>1</v>
      </c>
      <c r="F12506" t="str">
        <f>"08-C04-02"</f>
        <v>08-C04-02</v>
      </c>
      <c r="G12506">
        <v>0.28699999999999998</v>
      </c>
      <c r="H12506" t="s">
        <v>11</v>
      </c>
      <c r="I12506" t="s">
        <v>10</v>
      </c>
    </row>
    <row r="12507" spans="1:9" x14ac:dyDescent="0.25">
      <c r="A12507" t="str">
        <f t="shared" si="298"/>
        <v>89301000</v>
      </c>
      <c r="B12507" t="str">
        <f>"7755144463"</f>
        <v>7755144463</v>
      </c>
      <c r="C12507" s="1">
        <v>45118</v>
      </c>
      <c r="D12507" s="1">
        <v>45138</v>
      </c>
      <c r="E12507">
        <v>1</v>
      </c>
      <c r="F12507" t="str">
        <f>"19-K05-02"</f>
        <v>19-K05-02</v>
      </c>
      <c r="G12507">
        <v>1.7688999999999999</v>
      </c>
      <c r="H12507" t="s">
        <v>15</v>
      </c>
      <c r="I12507" t="s">
        <v>10</v>
      </c>
    </row>
    <row r="12508" spans="1:9" x14ac:dyDescent="0.25">
      <c r="A12508" t="str">
        <f t="shared" ref="A12508:A12571" si="299">"89301000"</f>
        <v>89301000</v>
      </c>
      <c r="B12508" t="str">
        <f>"7755235312"</f>
        <v>7755235312</v>
      </c>
      <c r="C12508" s="1">
        <v>44969</v>
      </c>
      <c r="D12508" s="1">
        <v>44970</v>
      </c>
      <c r="E12508">
        <v>1</v>
      </c>
      <c r="F12508" t="str">
        <f>"14-I08-03"</f>
        <v>14-I08-03</v>
      </c>
      <c r="G12508">
        <v>0.29070000000000001</v>
      </c>
      <c r="H12508" t="s">
        <v>11</v>
      </c>
      <c r="I12508" t="s">
        <v>10</v>
      </c>
    </row>
    <row r="12509" spans="1:9" x14ac:dyDescent="0.25">
      <c r="A12509" t="str">
        <f t="shared" si="299"/>
        <v>89301000</v>
      </c>
      <c r="B12509" t="str">
        <f>"7755265309"</f>
        <v>7755265309</v>
      </c>
      <c r="C12509" s="1">
        <v>45251</v>
      </c>
      <c r="D12509" s="1">
        <v>45254</v>
      </c>
      <c r="E12509">
        <v>1</v>
      </c>
      <c r="F12509" t="str">
        <f>"06-I22-01"</f>
        <v>06-I22-01</v>
      </c>
      <c r="G12509">
        <v>0.68120000000000003</v>
      </c>
      <c r="H12509" t="s">
        <v>12</v>
      </c>
      <c r="I12509" t="s">
        <v>10</v>
      </c>
    </row>
    <row r="12510" spans="1:9" x14ac:dyDescent="0.25">
      <c r="A12510" t="str">
        <f t="shared" si="299"/>
        <v>89301000</v>
      </c>
      <c r="B12510" t="str">
        <f>"7755265441"</f>
        <v>7755265441</v>
      </c>
      <c r="C12510" s="1">
        <v>45257</v>
      </c>
      <c r="D12510" s="1">
        <v>45259</v>
      </c>
      <c r="E12510">
        <v>1</v>
      </c>
      <c r="F12510" t="str">
        <f>"08-M03-05"</f>
        <v>08-M03-05</v>
      </c>
      <c r="G12510">
        <v>0.46810000000000002</v>
      </c>
      <c r="H12510" t="s">
        <v>11</v>
      </c>
      <c r="I12510" t="s">
        <v>10</v>
      </c>
    </row>
    <row r="12511" spans="1:9" x14ac:dyDescent="0.25">
      <c r="A12511" t="str">
        <f t="shared" si="299"/>
        <v>89301000</v>
      </c>
      <c r="B12511" t="str">
        <f>"7756074821"</f>
        <v>7756074821</v>
      </c>
      <c r="C12511" s="1">
        <v>45175</v>
      </c>
      <c r="D12511" s="1">
        <v>45176</v>
      </c>
      <c r="E12511">
        <v>1</v>
      </c>
      <c r="F12511" t="str">
        <f>"13-I19-00"</f>
        <v>13-I19-00</v>
      </c>
      <c r="G12511">
        <v>0.28249999999999997</v>
      </c>
      <c r="H12511" t="s">
        <v>11</v>
      </c>
      <c r="I12511" t="s">
        <v>10</v>
      </c>
    </row>
    <row r="12512" spans="1:9" x14ac:dyDescent="0.25">
      <c r="A12512" t="str">
        <f t="shared" si="299"/>
        <v>89301000</v>
      </c>
      <c r="B12512" t="str">
        <f>"7756155341"</f>
        <v>7756155341</v>
      </c>
      <c r="C12512" s="1">
        <v>44999</v>
      </c>
      <c r="D12512" s="1">
        <v>45003</v>
      </c>
      <c r="E12512">
        <v>1</v>
      </c>
      <c r="F12512" t="str">
        <f>"07-I10-06"</f>
        <v>07-I10-06</v>
      </c>
      <c r="G12512">
        <v>0.98419999999999996</v>
      </c>
      <c r="H12512" t="s">
        <v>12</v>
      </c>
      <c r="I12512" t="s">
        <v>10</v>
      </c>
    </row>
    <row r="12513" spans="1:9" x14ac:dyDescent="0.25">
      <c r="A12513" t="str">
        <f t="shared" si="299"/>
        <v>89301000</v>
      </c>
      <c r="B12513" t="str">
        <f>"7756165329"</f>
        <v>7756165329</v>
      </c>
      <c r="C12513" s="1">
        <v>44978</v>
      </c>
      <c r="D12513" s="1">
        <v>44983</v>
      </c>
      <c r="E12513">
        <v>1</v>
      </c>
      <c r="F12513" t="str">
        <f>"13-I11-03"</f>
        <v>13-I11-03</v>
      </c>
      <c r="G12513">
        <v>1.4332</v>
      </c>
      <c r="H12513" t="s">
        <v>9</v>
      </c>
      <c r="I12513" t="s">
        <v>10</v>
      </c>
    </row>
    <row r="12514" spans="1:9" x14ac:dyDescent="0.25">
      <c r="A12514" t="str">
        <f t="shared" si="299"/>
        <v>89301000</v>
      </c>
      <c r="B12514" t="str">
        <f>"7756174987"</f>
        <v>7756174987</v>
      </c>
      <c r="C12514" s="1">
        <v>44960</v>
      </c>
      <c r="D12514" s="1">
        <v>44964</v>
      </c>
      <c r="E12514">
        <v>1</v>
      </c>
      <c r="F12514" t="str">
        <f>"08-K02-02"</f>
        <v>08-K02-02</v>
      </c>
      <c r="G12514">
        <v>0.81369999999999998</v>
      </c>
      <c r="H12514" t="s">
        <v>11</v>
      </c>
      <c r="I12514" t="s">
        <v>10</v>
      </c>
    </row>
    <row r="12515" spans="1:9" x14ac:dyDescent="0.25">
      <c r="A12515" t="str">
        <f t="shared" si="299"/>
        <v>89301000</v>
      </c>
      <c r="B12515" t="str">
        <f>"7756215357"</f>
        <v>7756215357</v>
      </c>
      <c r="C12515" s="1">
        <v>45015</v>
      </c>
      <c r="D12515" s="1">
        <v>45019</v>
      </c>
      <c r="E12515">
        <v>1</v>
      </c>
      <c r="F12515" t="str">
        <f>"23-I08-00"</f>
        <v>23-I08-00</v>
      </c>
      <c r="G12515">
        <v>0.81740000000000002</v>
      </c>
      <c r="H12515" t="s">
        <v>9</v>
      </c>
      <c r="I12515" t="s">
        <v>10</v>
      </c>
    </row>
    <row r="12516" spans="1:9" x14ac:dyDescent="0.25">
      <c r="A12516" t="str">
        <f t="shared" si="299"/>
        <v>89301000</v>
      </c>
      <c r="B12516" t="str">
        <f>"7756294458"</f>
        <v>7756294458</v>
      </c>
      <c r="C12516" s="1">
        <v>45005</v>
      </c>
      <c r="D12516" s="1">
        <v>45007</v>
      </c>
      <c r="E12516">
        <v>1</v>
      </c>
      <c r="F12516" t="str">
        <f>"08-I32-00"</f>
        <v>08-I32-00</v>
      </c>
      <c r="G12516">
        <v>0.4093</v>
      </c>
      <c r="H12516" t="s">
        <v>11</v>
      </c>
      <c r="I12516" t="s">
        <v>10</v>
      </c>
    </row>
    <row r="12517" spans="1:9" x14ac:dyDescent="0.25">
      <c r="A12517" t="str">
        <f t="shared" si="299"/>
        <v>89301000</v>
      </c>
      <c r="B12517" t="str">
        <f>"7757025353"</f>
        <v>7757025353</v>
      </c>
      <c r="C12517" s="1">
        <v>45012</v>
      </c>
      <c r="D12517" s="1">
        <v>45019</v>
      </c>
      <c r="E12517">
        <v>1</v>
      </c>
      <c r="F12517" t="str">
        <f>"04-K14-02"</f>
        <v>04-K14-02</v>
      </c>
      <c r="G12517">
        <v>1.1142000000000001</v>
      </c>
      <c r="H12517" t="s">
        <v>11</v>
      </c>
      <c r="I12517" t="s">
        <v>10</v>
      </c>
    </row>
    <row r="12518" spans="1:9" x14ac:dyDescent="0.25">
      <c r="A12518" t="str">
        <f t="shared" si="299"/>
        <v>89301000</v>
      </c>
      <c r="B12518" t="str">
        <f>"7757044614"</f>
        <v>7757044614</v>
      </c>
      <c r="C12518" s="1">
        <v>45222</v>
      </c>
      <c r="D12518" s="1">
        <v>45223</v>
      </c>
      <c r="E12518">
        <v>1</v>
      </c>
      <c r="F12518" t="str">
        <f>"13-I19-00"</f>
        <v>13-I19-00</v>
      </c>
      <c r="G12518">
        <v>0.28249999999999997</v>
      </c>
      <c r="H12518" t="s">
        <v>11</v>
      </c>
      <c r="I12518" t="s">
        <v>10</v>
      </c>
    </row>
    <row r="12519" spans="1:9" x14ac:dyDescent="0.25">
      <c r="A12519" t="str">
        <f t="shared" si="299"/>
        <v>89301000</v>
      </c>
      <c r="B12519" t="str">
        <f>"7757064260"</f>
        <v>7757064260</v>
      </c>
      <c r="C12519" s="1">
        <v>44973</v>
      </c>
      <c r="D12519" s="1">
        <v>44976</v>
      </c>
      <c r="E12519">
        <v>1</v>
      </c>
      <c r="F12519" t="str">
        <f>"08-M03-05"</f>
        <v>08-M03-05</v>
      </c>
      <c r="G12519">
        <v>0.46810000000000002</v>
      </c>
      <c r="H12519" t="s">
        <v>11</v>
      </c>
      <c r="I12519" t="s">
        <v>10</v>
      </c>
    </row>
    <row r="12520" spans="1:9" x14ac:dyDescent="0.25">
      <c r="A12520" t="str">
        <f t="shared" si="299"/>
        <v>89301000</v>
      </c>
      <c r="B12520" t="str">
        <f>"7757174491"</f>
        <v>7757174491</v>
      </c>
      <c r="C12520" s="1">
        <v>44930</v>
      </c>
      <c r="D12520" s="1">
        <v>44933</v>
      </c>
      <c r="E12520">
        <v>1</v>
      </c>
      <c r="F12520" t="str">
        <f>"09-I09-04"</f>
        <v>09-I09-04</v>
      </c>
      <c r="G12520">
        <v>1.0166999999999999</v>
      </c>
      <c r="H12520" t="s">
        <v>12</v>
      </c>
      <c r="I12520" t="s">
        <v>10</v>
      </c>
    </row>
    <row r="12521" spans="1:9" x14ac:dyDescent="0.25">
      <c r="A12521" t="str">
        <f t="shared" si="299"/>
        <v>89301000</v>
      </c>
      <c r="B12521" t="str">
        <f>"7757195347"</f>
        <v>7757195347</v>
      </c>
      <c r="C12521" s="1">
        <v>44957</v>
      </c>
      <c r="D12521" s="1">
        <v>44959</v>
      </c>
      <c r="E12521">
        <v>1</v>
      </c>
      <c r="F12521" t="str">
        <f>"05-M05-02"</f>
        <v>05-M05-02</v>
      </c>
      <c r="G12521">
        <v>3.4817999999999998</v>
      </c>
      <c r="H12521" t="s">
        <v>14</v>
      </c>
      <c r="I12521" t="s">
        <v>10</v>
      </c>
    </row>
    <row r="12522" spans="1:9" x14ac:dyDescent="0.25">
      <c r="A12522" t="str">
        <f t="shared" si="299"/>
        <v>89301000</v>
      </c>
      <c r="B12522" t="str">
        <f>"7757225355"</f>
        <v>7757225355</v>
      </c>
      <c r="C12522" s="1">
        <v>45117</v>
      </c>
      <c r="D12522" s="1">
        <v>45118</v>
      </c>
      <c r="E12522">
        <v>1</v>
      </c>
      <c r="F12522" t="str">
        <f>"08-I17-02"</f>
        <v>08-I17-02</v>
      </c>
      <c r="G12522">
        <v>0.89680000000000004</v>
      </c>
      <c r="H12522" t="s">
        <v>11</v>
      </c>
      <c r="I12522" t="s">
        <v>10</v>
      </c>
    </row>
    <row r="12523" spans="1:9" x14ac:dyDescent="0.25">
      <c r="A12523" t="str">
        <f t="shared" si="299"/>
        <v>89301000</v>
      </c>
      <c r="B12523" t="str">
        <f>"7757235783"</f>
        <v>7757235783</v>
      </c>
      <c r="C12523" s="1">
        <v>45179</v>
      </c>
      <c r="D12523" s="1">
        <v>45181</v>
      </c>
      <c r="E12523">
        <v>1</v>
      </c>
      <c r="F12523" t="str">
        <f>"03-I14-02"</f>
        <v>03-I14-02</v>
      </c>
      <c r="G12523">
        <v>1.0793999999999999</v>
      </c>
      <c r="H12523" t="s">
        <v>11</v>
      </c>
      <c r="I12523" t="s">
        <v>10</v>
      </c>
    </row>
    <row r="12524" spans="1:9" x14ac:dyDescent="0.25">
      <c r="A12524" t="str">
        <f t="shared" si="299"/>
        <v>89301000</v>
      </c>
      <c r="B12524" t="str">
        <f>"7757241250"</f>
        <v>7757241250</v>
      </c>
      <c r="C12524" s="1">
        <v>44963</v>
      </c>
      <c r="D12524" s="1">
        <v>44965</v>
      </c>
      <c r="E12524">
        <v>1</v>
      </c>
      <c r="F12524" t="str">
        <f>"08-I32-00"</f>
        <v>08-I32-00</v>
      </c>
      <c r="G12524">
        <v>0.40870000000000001</v>
      </c>
      <c r="H12524" t="s">
        <v>11</v>
      </c>
      <c r="I12524" t="s">
        <v>10</v>
      </c>
    </row>
    <row r="12525" spans="1:9" x14ac:dyDescent="0.25">
      <c r="A12525" t="str">
        <f t="shared" si="299"/>
        <v>89301000</v>
      </c>
      <c r="B12525" t="str">
        <f>"7757285844"</f>
        <v>7757285844</v>
      </c>
      <c r="C12525" s="1">
        <v>45176</v>
      </c>
      <c r="D12525" s="1">
        <v>45179</v>
      </c>
      <c r="E12525">
        <v>1</v>
      </c>
      <c r="F12525" t="str">
        <f>"23-I06-01"</f>
        <v>23-I06-01</v>
      </c>
      <c r="G12525">
        <v>1.2692000000000001</v>
      </c>
      <c r="H12525" t="s">
        <v>9</v>
      </c>
      <c r="I12525" t="s">
        <v>10</v>
      </c>
    </row>
    <row r="12526" spans="1:9" x14ac:dyDescent="0.25">
      <c r="A12526" t="str">
        <f t="shared" si="299"/>
        <v>89301000</v>
      </c>
      <c r="B12526" t="str">
        <f>"7758075765"</f>
        <v>7758075765</v>
      </c>
      <c r="C12526" s="1">
        <v>44924</v>
      </c>
      <c r="D12526" s="1">
        <v>44931</v>
      </c>
      <c r="E12526">
        <v>7</v>
      </c>
      <c r="F12526" t="str">
        <f>"06-K14-01"</f>
        <v>06-K14-01</v>
      </c>
      <c r="G12526">
        <v>1.2667999999999999</v>
      </c>
      <c r="H12526" t="s">
        <v>11</v>
      </c>
      <c r="I12526" t="s">
        <v>10</v>
      </c>
    </row>
    <row r="12527" spans="1:9" x14ac:dyDescent="0.25">
      <c r="A12527" t="str">
        <f t="shared" si="299"/>
        <v>89301000</v>
      </c>
      <c r="B12527" t="str">
        <f>"7758225849"</f>
        <v>7758225849</v>
      </c>
      <c r="C12527" s="1">
        <v>44984</v>
      </c>
      <c r="D12527" s="1">
        <v>44986</v>
      </c>
      <c r="E12527">
        <v>1</v>
      </c>
      <c r="F12527" t="str">
        <f>"09-I13-04"</f>
        <v>09-I13-04</v>
      </c>
      <c r="G12527">
        <v>0.54139999999999999</v>
      </c>
      <c r="H12527" t="s">
        <v>11</v>
      </c>
      <c r="I12527" t="s">
        <v>10</v>
      </c>
    </row>
    <row r="12528" spans="1:9" x14ac:dyDescent="0.25">
      <c r="A12528" t="str">
        <f t="shared" si="299"/>
        <v>89301000</v>
      </c>
      <c r="B12528" t="str">
        <f>"7758225849"</f>
        <v>7758225849</v>
      </c>
      <c r="C12528" s="1">
        <v>45183</v>
      </c>
      <c r="D12528" s="1">
        <v>45187</v>
      </c>
      <c r="E12528">
        <v>1</v>
      </c>
      <c r="F12528" t="str">
        <f>"09-I13-04"</f>
        <v>09-I13-04</v>
      </c>
      <c r="G12528">
        <v>0.54139999999999999</v>
      </c>
      <c r="H12528" t="s">
        <v>11</v>
      </c>
      <c r="I12528" t="s">
        <v>10</v>
      </c>
    </row>
    <row r="12529" spans="1:9" x14ac:dyDescent="0.25">
      <c r="A12529" t="str">
        <f t="shared" si="299"/>
        <v>89301000</v>
      </c>
      <c r="B12529" t="str">
        <f>"7758235320"</f>
        <v>7758235320</v>
      </c>
      <c r="C12529" s="1">
        <v>45001</v>
      </c>
      <c r="D12529" s="1">
        <v>45002</v>
      </c>
      <c r="E12529">
        <v>1</v>
      </c>
      <c r="F12529" t="str">
        <f>"06-I21-03"</f>
        <v>06-I21-03</v>
      </c>
      <c r="G12529">
        <v>0.4572</v>
      </c>
      <c r="H12529" t="s">
        <v>12</v>
      </c>
      <c r="I12529" t="s">
        <v>10</v>
      </c>
    </row>
    <row r="12530" spans="1:9" x14ac:dyDescent="0.25">
      <c r="A12530" t="str">
        <f t="shared" si="299"/>
        <v>89301000</v>
      </c>
      <c r="B12530" t="str">
        <f>"7758255340"</f>
        <v>7758255340</v>
      </c>
      <c r="C12530" s="1">
        <v>45106</v>
      </c>
      <c r="D12530" s="1">
        <v>45107</v>
      </c>
      <c r="E12530">
        <v>1</v>
      </c>
      <c r="F12530" t="str">
        <f>"07-K11-03"</f>
        <v>07-K11-03</v>
      </c>
      <c r="G12530">
        <v>0.4602</v>
      </c>
      <c r="H12530" t="s">
        <v>11</v>
      </c>
      <c r="I12530" t="s">
        <v>10</v>
      </c>
    </row>
    <row r="12531" spans="1:9" x14ac:dyDescent="0.25">
      <c r="A12531" t="str">
        <f t="shared" si="299"/>
        <v>89301000</v>
      </c>
      <c r="B12531" t="str">
        <f>"7758295336"</f>
        <v>7758295336</v>
      </c>
      <c r="C12531" s="1">
        <v>44964</v>
      </c>
      <c r="D12531" s="1">
        <v>44967</v>
      </c>
      <c r="E12531">
        <v>1</v>
      </c>
      <c r="F12531" t="str">
        <f>"09-K04-02"</f>
        <v>09-K04-02</v>
      </c>
      <c r="G12531">
        <v>0.64849999999999997</v>
      </c>
      <c r="H12531" t="s">
        <v>11</v>
      </c>
      <c r="I12531" t="s">
        <v>10</v>
      </c>
    </row>
    <row r="12532" spans="1:9" x14ac:dyDescent="0.25">
      <c r="A12532" t="str">
        <f t="shared" si="299"/>
        <v>89301000</v>
      </c>
      <c r="B12532" t="str">
        <f>"7759015341"</f>
        <v>7759015341</v>
      </c>
      <c r="C12532" s="1">
        <v>45014</v>
      </c>
      <c r="D12532" s="1">
        <v>45015</v>
      </c>
      <c r="E12532">
        <v>1</v>
      </c>
      <c r="F12532" t="str">
        <f>"06-M01-02"</f>
        <v>06-M01-02</v>
      </c>
      <c r="G12532">
        <v>1.5118</v>
      </c>
      <c r="H12532" t="s">
        <v>11</v>
      </c>
      <c r="I12532" t="s">
        <v>10</v>
      </c>
    </row>
    <row r="12533" spans="1:9" x14ac:dyDescent="0.25">
      <c r="A12533" t="str">
        <f t="shared" si="299"/>
        <v>89301000</v>
      </c>
      <c r="B12533" t="str">
        <f>"7759015341"</f>
        <v>7759015341</v>
      </c>
      <c r="C12533" s="1">
        <v>45118</v>
      </c>
      <c r="D12533" s="1">
        <v>45125</v>
      </c>
      <c r="E12533">
        <v>1</v>
      </c>
      <c r="F12533" t="str">
        <f>"06-I07-05"</f>
        <v>06-I07-05</v>
      </c>
      <c r="G12533">
        <v>2.7919999999999998</v>
      </c>
      <c r="H12533" t="s">
        <v>12</v>
      </c>
      <c r="I12533" t="s">
        <v>10</v>
      </c>
    </row>
    <row r="12534" spans="1:9" x14ac:dyDescent="0.25">
      <c r="A12534" t="str">
        <f t="shared" si="299"/>
        <v>89301000</v>
      </c>
      <c r="B12534" t="str">
        <f>"7759015352"</f>
        <v>7759015352</v>
      </c>
      <c r="C12534" s="1">
        <v>45006</v>
      </c>
      <c r="D12534" s="1">
        <v>45012</v>
      </c>
      <c r="E12534">
        <v>1</v>
      </c>
      <c r="F12534" t="str">
        <f>"09-K04-02"</f>
        <v>09-K04-02</v>
      </c>
      <c r="G12534">
        <v>0.64849999999999997</v>
      </c>
      <c r="H12534" t="s">
        <v>11</v>
      </c>
      <c r="I12534" t="s">
        <v>10</v>
      </c>
    </row>
    <row r="12535" spans="1:9" x14ac:dyDescent="0.25">
      <c r="A12535" t="str">
        <f t="shared" si="299"/>
        <v>89301000</v>
      </c>
      <c r="B12535" t="str">
        <f>"7759075346"</f>
        <v>7759075346</v>
      </c>
      <c r="C12535" s="1">
        <v>45012</v>
      </c>
      <c r="D12535" s="1">
        <v>45022</v>
      </c>
      <c r="E12535">
        <v>1</v>
      </c>
      <c r="F12535" t="str">
        <f>"24-M06-02"</f>
        <v>24-M06-02</v>
      </c>
      <c r="G12535">
        <v>1.07</v>
      </c>
      <c r="H12535" t="s">
        <v>11</v>
      </c>
      <c r="I12535" t="s">
        <v>10</v>
      </c>
    </row>
    <row r="12536" spans="1:9" x14ac:dyDescent="0.25">
      <c r="A12536" t="str">
        <f t="shared" si="299"/>
        <v>89301000</v>
      </c>
      <c r="B12536" t="str">
        <f>"7759075346"</f>
        <v>7759075346</v>
      </c>
      <c r="C12536" s="1">
        <v>45004</v>
      </c>
      <c r="D12536" s="1">
        <v>45006</v>
      </c>
      <c r="E12536">
        <v>1</v>
      </c>
      <c r="F12536" t="str">
        <f>"08-I26-03"</f>
        <v>08-I26-03</v>
      </c>
      <c r="G12536">
        <v>0.47699999999999998</v>
      </c>
      <c r="H12536" t="s">
        <v>11</v>
      </c>
      <c r="I12536" t="s">
        <v>10</v>
      </c>
    </row>
    <row r="12537" spans="1:9" x14ac:dyDescent="0.25">
      <c r="A12537" t="str">
        <f t="shared" si="299"/>
        <v>89301000</v>
      </c>
      <c r="B12537" t="str">
        <f>"7759095751"</f>
        <v>7759095751</v>
      </c>
      <c r="C12537" s="1">
        <v>44927</v>
      </c>
      <c r="D12537" s="1">
        <v>44931</v>
      </c>
      <c r="E12537">
        <v>1</v>
      </c>
      <c r="F12537" t="str">
        <f>"07-I10-06"</f>
        <v>07-I10-06</v>
      </c>
      <c r="G12537">
        <v>0.98419999999999996</v>
      </c>
      <c r="H12537" t="s">
        <v>12</v>
      </c>
      <c r="I12537" t="s">
        <v>10</v>
      </c>
    </row>
    <row r="12538" spans="1:9" x14ac:dyDescent="0.25">
      <c r="A12538" t="str">
        <f t="shared" si="299"/>
        <v>89301000</v>
      </c>
      <c r="B12538" t="str">
        <f>"7759145757"</f>
        <v>7759145757</v>
      </c>
      <c r="C12538" s="1">
        <v>45215</v>
      </c>
      <c r="D12538" s="1">
        <v>45217</v>
      </c>
      <c r="E12538">
        <v>1</v>
      </c>
      <c r="F12538" t="str">
        <f>"09-I09-02"</f>
        <v>09-I09-02</v>
      </c>
      <c r="G12538">
        <v>0.76900000000000002</v>
      </c>
      <c r="H12538" t="s">
        <v>12</v>
      </c>
      <c r="I12538" t="s">
        <v>10</v>
      </c>
    </row>
    <row r="12539" spans="1:9" x14ac:dyDescent="0.25">
      <c r="A12539" t="str">
        <f t="shared" si="299"/>
        <v>89301000</v>
      </c>
      <c r="B12539" t="str">
        <f>"7759145768"</f>
        <v>7759145768</v>
      </c>
      <c r="C12539" s="1">
        <v>45165</v>
      </c>
      <c r="D12539" s="1">
        <v>45167</v>
      </c>
      <c r="E12539">
        <v>1</v>
      </c>
      <c r="F12539" t="str">
        <f>"08-M03-05"</f>
        <v>08-M03-05</v>
      </c>
      <c r="G12539">
        <v>0.46910000000000002</v>
      </c>
      <c r="H12539" t="s">
        <v>11</v>
      </c>
      <c r="I12539" t="s">
        <v>10</v>
      </c>
    </row>
    <row r="12540" spans="1:9" x14ac:dyDescent="0.25">
      <c r="A12540" t="str">
        <f t="shared" si="299"/>
        <v>89301000</v>
      </c>
      <c r="B12540" t="str">
        <f>"7760035316"</f>
        <v>7760035316</v>
      </c>
      <c r="C12540" s="1">
        <v>45224</v>
      </c>
      <c r="D12540" s="1">
        <v>45232</v>
      </c>
      <c r="E12540">
        <v>1</v>
      </c>
      <c r="F12540" t="str">
        <f>"06-I12-03"</f>
        <v>06-I12-03</v>
      </c>
      <c r="G12540">
        <v>1.9540999999999999</v>
      </c>
      <c r="H12540" t="s">
        <v>11</v>
      </c>
      <c r="I12540" t="s">
        <v>10</v>
      </c>
    </row>
    <row r="12541" spans="1:9" x14ac:dyDescent="0.25">
      <c r="A12541" t="str">
        <f t="shared" si="299"/>
        <v>89301000</v>
      </c>
      <c r="B12541" t="str">
        <f>"7760055325"</f>
        <v>7760055325</v>
      </c>
      <c r="C12541" s="1">
        <v>45254</v>
      </c>
      <c r="D12541" s="1">
        <v>45258</v>
      </c>
      <c r="E12541">
        <v>1</v>
      </c>
      <c r="F12541" t="str">
        <f>"01-K03-08"</f>
        <v>01-K03-08</v>
      </c>
      <c r="G12541">
        <v>0.38429999999999997</v>
      </c>
      <c r="H12541" t="s">
        <v>11</v>
      </c>
      <c r="I12541" t="s">
        <v>10</v>
      </c>
    </row>
    <row r="12542" spans="1:9" x14ac:dyDescent="0.25">
      <c r="A12542" t="str">
        <f t="shared" si="299"/>
        <v>89301000</v>
      </c>
      <c r="B12542" t="str">
        <f>"7760084266"</f>
        <v>7760084266</v>
      </c>
      <c r="C12542" s="1">
        <v>45250</v>
      </c>
      <c r="D12542" s="1">
        <v>45251</v>
      </c>
      <c r="E12542">
        <v>1</v>
      </c>
      <c r="F12542" t="str">
        <f>"08-I16-03"</f>
        <v>08-I16-03</v>
      </c>
      <c r="G12542">
        <v>1.3762000000000001</v>
      </c>
      <c r="H12542" t="s">
        <v>12</v>
      </c>
      <c r="I12542" t="s">
        <v>10</v>
      </c>
    </row>
    <row r="12543" spans="1:9" x14ac:dyDescent="0.25">
      <c r="A12543" t="str">
        <f t="shared" si="299"/>
        <v>89301000</v>
      </c>
      <c r="B12543" t="str">
        <f>"7760105320"</f>
        <v>7760105320</v>
      </c>
      <c r="C12543" s="1">
        <v>44942</v>
      </c>
      <c r="D12543" s="1">
        <v>44945</v>
      </c>
      <c r="E12543">
        <v>1</v>
      </c>
      <c r="F12543" t="str">
        <f>"08-K08-00"</f>
        <v>08-K08-00</v>
      </c>
      <c r="G12543">
        <v>0.5272</v>
      </c>
      <c r="H12543" t="s">
        <v>11</v>
      </c>
      <c r="I12543" t="s">
        <v>10</v>
      </c>
    </row>
    <row r="12544" spans="1:9" x14ac:dyDescent="0.25">
      <c r="A12544" t="str">
        <f t="shared" si="299"/>
        <v>89301000</v>
      </c>
      <c r="B12544" t="str">
        <f>"7760124482"</f>
        <v>7760124482</v>
      </c>
      <c r="C12544" s="1">
        <v>45274</v>
      </c>
      <c r="D12544" s="1">
        <v>45275</v>
      </c>
      <c r="E12544">
        <v>1</v>
      </c>
      <c r="F12544" t="str">
        <f>"02-I06-03"</f>
        <v>02-I06-03</v>
      </c>
      <c r="G12544">
        <v>0.99260000000000004</v>
      </c>
      <c r="H12544" t="s">
        <v>12</v>
      </c>
      <c r="I12544" t="s">
        <v>10</v>
      </c>
    </row>
    <row r="12545" spans="1:9" x14ac:dyDescent="0.25">
      <c r="A12545" t="str">
        <f t="shared" si="299"/>
        <v>89301000</v>
      </c>
      <c r="B12545" t="str">
        <f>"7760229950"</f>
        <v>7760229950</v>
      </c>
      <c r="C12545" s="1">
        <v>45061</v>
      </c>
      <c r="D12545" s="1">
        <v>45063</v>
      </c>
      <c r="E12545">
        <v>1</v>
      </c>
      <c r="F12545" t="str">
        <f>"09-I13-04"</f>
        <v>09-I13-04</v>
      </c>
      <c r="G12545">
        <v>0.54139999999999999</v>
      </c>
      <c r="H12545" t="s">
        <v>11</v>
      </c>
      <c r="I12545" t="s">
        <v>10</v>
      </c>
    </row>
    <row r="12546" spans="1:9" x14ac:dyDescent="0.25">
      <c r="A12546" t="str">
        <f t="shared" si="299"/>
        <v>89301000</v>
      </c>
      <c r="B12546" t="str">
        <f>"7760265348"</f>
        <v>7760265348</v>
      </c>
      <c r="C12546" s="1">
        <v>45002</v>
      </c>
      <c r="D12546" s="1">
        <v>45009</v>
      </c>
      <c r="E12546">
        <v>5</v>
      </c>
      <c r="F12546" t="str">
        <f>"08-K08-00"</f>
        <v>08-K08-00</v>
      </c>
      <c r="G12546">
        <v>0.52949999999999997</v>
      </c>
      <c r="H12546" t="s">
        <v>11</v>
      </c>
      <c r="I12546" t="s">
        <v>10</v>
      </c>
    </row>
    <row r="12547" spans="1:9" x14ac:dyDescent="0.25">
      <c r="A12547" t="str">
        <f t="shared" si="299"/>
        <v>89301000</v>
      </c>
      <c r="B12547" t="str">
        <f>"7760271288"</f>
        <v>7760271288</v>
      </c>
      <c r="C12547" s="1">
        <v>45119</v>
      </c>
      <c r="D12547" s="1">
        <v>45120</v>
      </c>
      <c r="E12547">
        <v>1</v>
      </c>
      <c r="F12547" t="str">
        <f>"13-I19-00"</f>
        <v>13-I19-00</v>
      </c>
      <c r="G12547">
        <v>0.28249999999999997</v>
      </c>
      <c r="H12547" t="s">
        <v>11</v>
      </c>
      <c r="I12547" t="s">
        <v>10</v>
      </c>
    </row>
    <row r="12548" spans="1:9" x14ac:dyDescent="0.25">
      <c r="A12548" t="str">
        <f t="shared" si="299"/>
        <v>89301000</v>
      </c>
      <c r="B12548" t="str">
        <f>"7760271288"</f>
        <v>7760271288</v>
      </c>
      <c r="C12548" s="1">
        <v>45189</v>
      </c>
      <c r="D12548" s="1">
        <v>45193</v>
      </c>
      <c r="E12548">
        <v>1</v>
      </c>
      <c r="F12548" t="str">
        <f>"13-I04-01"</f>
        <v>13-I04-01</v>
      </c>
      <c r="G12548">
        <v>2.8856000000000002</v>
      </c>
      <c r="H12548" t="s">
        <v>14</v>
      </c>
      <c r="I12548" t="s">
        <v>10</v>
      </c>
    </row>
    <row r="12549" spans="1:9" x14ac:dyDescent="0.25">
      <c r="A12549" t="str">
        <f t="shared" si="299"/>
        <v>89301000</v>
      </c>
      <c r="B12549" t="str">
        <f>"7760274478"</f>
        <v>7760274478</v>
      </c>
      <c r="C12549" s="1">
        <v>45278</v>
      </c>
      <c r="D12549" s="1">
        <v>45280</v>
      </c>
      <c r="E12549">
        <v>1</v>
      </c>
      <c r="F12549" t="str">
        <f>"11-M05-02"</f>
        <v>11-M05-02</v>
      </c>
      <c r="G12549">
        <v>0.6694</v>
      </c>
      <c r="H12549" t="s">
        <v>12</v>
      </c>
      <c r="I12549" t="s">
        <v>10</v>
      </c>
    </row>
    <row r="12550" spans="1:9" x14ac:dyDescent="0.25">
      <c r="A12550" t="str">
        <f t="shared" si="299"/>
        <v>89301000</v>
      </c>
      <c r="B12550" t="str">
        <f>"7760304464"</f>
        <v>7760304464</v>
      </c>
      <c r="C12550" s="1">
        <v>45224</v>
      </c>
      <c r="D12550" s="1">
        <v>45231</v>
      </c>
      <c r="E12550">
        <v>1</v>
      </c>
      <c r="F12550" t="str">
        <f>"16-I04-01"</f>
        <v>16-I04-01</v>
      </c>
      <c r="G12550">
        <v>0.96260000000000001</v>
      </c>
      <c r="H12550" t="s">
        <v>12</v>
      </c>
      <c r="I12550" t="s">
        <v>10</v>
      </c>
    </row>
    <row r="12551" spans="1:9" x14ac:dyDescent="0.25">
      <c r="A12551" t="str">
        <f t="shared" si="299"/>
        <v>89301000</v>
      </c>
      <c r="B12551" t="str">
        <f>"7760304464"</f>
        <v>7760304464</v>
      </c>
      <c r="C12551" s="1">
        <v>45205</v>
      </c>
      <c r="D12551" s="1">
        <v>45215</v>
      </c>
      <c r="E12551">
        <v>1</v>
      </c>
      <c r="F12551" t="str">
        <f>"09-I13-01"</f>
        <v>09-I13-01</v>
      </c>
      <c r="G12551">
        <v>2.8174999999999999</v>
      </c>
      <c r="H12551" t="s">
        <v>11</v>
      </c>
      <c r="I12551" t="s">
        <v>10</v>
      </c>
    </row>
    <row r="12552" spans="1:9" x14ac:dyDescent="0.25">
      <c r="A12552" t="str">
        <f t="shared" si="299"/>
        <v>89301000</v>
      </c>
      <c r="B12552" t="str">
        <f>"7761035304"</f>
        <v>7761035304</v>
      </c>
      <c r="C12552" s="1">
        <v>45012</v>
      </c>
      <c r="D12552" s="1">
        <v>45014</v>
      </c>
      <c r="E12552">
        <v>1</v>
      </c>
      <c r="F12552" t="str">
        <f>"08-I31-04"</f>
        <v>08-I31-04</v>
      </c>
      <c r="G12552">
        <v>0.4894</v>
      </c>
      <c r="H12552" t="s">
        <v>11</v>
      </c>
      <c r="I12552" t="s">
        <v>10</v>
      </c>
    </row>
    <row r="12553" spans="1:9" x14ac:dyDescent="0.25">
      <c r="A12553" t="str">
        <f t="shared" si="299"/>
        <v>89301000</v>
      </c>
      <c r="B12553" t="str">
        <f>"7761045314"</f>
        <v>7761045314</v>
      </c>
      <c r="C12553" s="1">
        <v>45067</v>
      </c>
      <c r="D12553" s="1">
        <v>45071</v>
      </c>
      <c r="E12553">
        <v>1</v>
      </c>
      <c r="F12553" t="str">
        <f>"13-I11-03"</f>
        <v>13-I11-03</v>
      </c>
      <c r="G12553">
        <v>1.4332</v>
      </c>
      <c r="H12553" t="s">
        <v>9</v>
      </c>
      <c r="I12553" t="s">
        <v>10</v>
      </c>
    </row>
    <row r="12554" spans="1:9" x14ac:dyDescent="0.25">
      <c r="A12554" t="str">
        <f t="shared" si="299"/>
        <v>89301000</v>
      </c>
      <c r="B12554" t="str">
        <f>"7761054455"</f>
        <v>7761054455</v>
      </c>
      <c r="C12554" s="1">
        <v>45001</v>
      </c>
      <c r="D12554" s="1">
        <v>45005</v>
      </c>
      <c r="E12554">
        <v>1</v>
      </c>
      <c r="F12554" t="str">
        <f>"03-I12-04"</f>
        <v>03-I12-04</v>
      </c>
      <c r="G12554">
        <v>0.87470000000000003</v>
      </c>
      <c r="H12554" t="s">
        <v>12</v>
      </c>
      <c r="I12554" t="s">
        <v>10</v>
      </c>
    </row>
    <row r="12555" spans="1:9" x14ac:dyDescent="0.25">
      <c r="A12555" t="str">
        <f t="shared" si="299"/>
        <v>89301000</v>
      </c>
      <c r="B12555" t="str">
        <f>"7761054455"</f>
        <v>7761054455</v>
      </c>
      <c r="C12555" s="1">
        <v>45054</v>
      </c>
      <c r="D12555" s="1">
        <v>45058</v>
      </c>
      <c r="E12555">
        <v>1</v>
      </c>
      <c r="F12555" t="str">
        <f>"03-I07-03"</f>
        <v>03-I07-03</v>
      </c>
      <c r="G12555">
        <v>1.9384999999999999</v>
      </c>
      <c r="H12555" t="s">
        <v>12</v>
      </c>
      <c r="I12555" t="s">
        <v>10</v>
      </c>
    </row>
    <row r="12556" spans="1:9" x14ac:dyDescent="0.25">
      <c r="A12556" t="str">
        <f t="shared" si="299"/>
        <v>89301000</v>
      </c>
      <c r="B12556" t="str">
        <f>"7761055302"</f>
        <v>7761055302</v>
      </c>
      <c r="C12556" s="1">
        <v>45081</v>
      </c>
      <c r="D12556" s="1">
        <v>45086</v>
      </c>
      <c r="E12556">
        <v>1</v>
      </c>
      <c r="F12556" t="str">
        <f>"10-I13-02"</f>
        <v>10-I13-02</v>
      </c>
      <c r="G12556">
        <v>1.1124000000000001</v>
      </c>
      <c r="H12556" t="s">
        <v>9</v>
      </c>
      <c r="I12556" t="s">
        <v>10</v>
      </c>
    </row>
    <row r="12557" spans="1:9" x14ac:dyDescent="0.25">
      <c r="A12557" t="str">
        <f t="shared" si="299"/>
        <v>89301000</v>
      </c>
      <c r="B12557" t="str">
        <f>"7762018924"</f>
        <v>7762018924</v>
      </c>
      <c r="C12557" s="1">
        <v>45090</v>
      </c>
      <c r="D12557" s="1">
        <v>45092</v>
      </c>
      <c r="E12557">
        <v>1</v>
      </c>
      <c r="F12557" t="str">
        <f>"11-M05-02"</f>
        <v>11-M05-02</v>
      </c>
      <c r="G12557">
        <v>0.6694</v>
      </c>
      <c r="H12557" t="s">
        <v>12</v>
      </c>
      <c r="I12557" t="s">
        <v>10</v>
      </c>
    </row>
    <row r="12558" spans="1:9" x14ac:dyDescent="0.25">
      <c r="A12558" t="str">
        <f t="shared" si="299"/>
        <v>89301000</v>
      </c>
      <c r="B12558" t="str">
        <f>"7762031332"</f>
        <v>7762031332</v>
      </c>
      <c r="C12558" s="1">
        <v>45064</v>
      </c>
      <c r="D12558" s="1">
        <v>45067</v>
      </c>
      <c r="E12558">
        <v>1</v>
      </c>
      <c r="F12558" t="str">
        <f>"03-I12-02"</f>
        <v>03-I12-02</v>
      </c>
      <c r="G12558">
        <v>1.3028</v>
      </c>
      <c r="H12558" t="s">
        <v>12</v>
      </c>
      <c r="I12558" t="s">
        <v>10</v>
      </c>
    </row>
    <row r="12559" spans="1:9" x14ac:dyDescent="0.25">
      <c r="A12559" t="str">
        <f t="shared" si="299"/>
        <v>89301000</v>
      </c>
      <c r="B12559" t="str">
        <f>"7762104867"</f>
        <v>7762104867</v>
      </c>
      <c r="C12559" s="1">
        <v>45208</v>
      </c>
      <c r="D12559" s="1">
        <v>45211</v>
      </c>
      <c r="E12559">
        <v>1</v>
      </c>
      <c r="F12559" t="str">
        <f>"08-M03-05"</f>
        <v>08-M03-05</v>
      </c>
      <c r="G12559">
        <v>0.46810000000000002</v>
      </c>
      <c r="H12559" t="s">
        <v>11</v>
      </c>
      <c r="I12559" t="s">
        <v>10</v>
      </c>
    </row>
    <row r="12560" spans="1:9" x14ac:dyDescent="0.25">
      <c r="A12560" t="str">
        <f t="shared" si="299"/>
        <v>89301000</v>
      </c>
      <c r="B12560" t="str">
        <f>"7762105318"</f>
        <v>7762105318</v>
      </c>
      <c r="C12560" s="1">
        <v>45055</v>
      </c>
      <c r="D12560" s="1">
        <v>45058</v>
      </c>
      <c r="E12560">
        <v>1</v>
      </c>
      <c r="F12560" t="str">
        <f>"08-K08-00"</f>
        <v>08-K08-00</v>
      </c>
      <c r="G12560">
        <v>0.5272</v>
      </c>
      <c r="H12560" t="s">
        <v>11</v>
      </c>
      <c r="I12560" t="s">
        <v>10</v>
      </c>
    </row>
    <row r="12561" spans="1:9" x14ac:dyDescent="0.25">
      <c r="A12561" t="str">
        <f t="shared" si="299"/>
        <v>89301000</v>
      </c>
      <c r="B12561" t="str">
        <f>"7762125756"</f>
        <v>7762125756</v>
      </c>
      <c r="C12561" s="1">
        <v>45253</v>
      </c>
      <c r="D12561" s="1">
        <v>45254</v>
      </c>
      <c r="E12561">
        <v>1</v>
      </c>
      <c r="F12561" t="str">
        <f>"09-I04-02"</f>
        <v>09-I04-02</v>
      </c>
      <c r="G12561">
        <v>1.0899000000000001</v>
      </c>
      <c r="H12561" t="s">
        <v>12</v>
      </c>
      <c r="I12561" t="s">
        <v>10</v>
      </c>
    </row>
    <row r="12562" spans="1:9" x14ac:dyDescent="0.25">
      <c r="A12562" t="str">
        <f t="shared" si="299"/>
        <v>89301000</v>
      </c>
      <c r="B12562" t="str">
        <f>"7762205363"</f>
        <v>7762205363</v>
      </c>
      <c r="C12562" s="1">
        <v>45181</v>
      </c>
      <c r="D12562" s="1">
        <v>45184</v>
      </c>
      <c r="E12562">
        <v>1</v>
      </c>
      <c r="F12562" t="str">
        <f>"09-I07-01"</f>
        <v>09-I07-01</v>
      </c>
      <c r="G12562">
        <v>1.6956</v>
      </c>
      <c r="H12562" t="s">
        <v>14</v>
      </c>
      <c r="I12562" t="s">
        <v>10</v>
      </c>
    </row>
    <row r="12563" spans="1:9" x14ac:dyDescent="0.25">
      <c r="A12563" t="str">
        <f t="shared" si="299"/>
        <v>89301000</v>
      </c>
      <c r="B12563" t="str">
        <f>"7762205363"</f>
        <v>7762205363</v>
      </c>
      <c r="C12563" s="1">
        <v>45198</v>
      </c>
      <c r="D12563" s="1">
        <v>45199</v>
      </c>
      <c r="E12563">
        <v>1</v>
      </c>
      <c r="F12563" t="str">
        <f>"09-I13-02"</f>
        <v>09-I13-02</v>
      </c>
      <c r="G12563">
        <v>0.65049999999999997</v>
      </c>
      <c r="H12563" t="s">
        <v>11</v>
      </c>
      <c r="I12563" t="s">
        <v>10</v>
      </c>
    </row>
    <row r="12564" spans="1:9" x14ac:dyDescent="0.25">
      <c r="A12564" t="str">
        <f t="shared" si="299"/>
        <v>89301000</v>
      </c>
      <c r="B12564" t="str">
        <f>"7762235327"</f>
        <v>7762235327</v>
      </c>
      <c r="C12564" s="1">
        <v>45279</v>
      </c>
      <c r="D12564" s="1">
        <v>45282</v>
      </c>
      <c r="E12564">
        <v>1</v>
      </c>
      <c r="F12564" t="str">
        <f>"14-M01-05"</f>
        <v>14-M01-05</v>
      </c>
      <c r="G12564">
        <v>0.56289999999999996</v>
      </c>
      <c r="H12564" t="s">
        <v>13</v>
      </c>
      <c r="I12564" t="s">
        <v>10</v>
      </c>
    </row>
    <row r="12565" spans="1:9" x14ac:dyDescent="0.25">
      <c r="A12565" t="str">
        <f t="shared" si="299"/>
        <v>89301000</v>
      </c>
      <c r="B12565" t="str">
        <f>"7762265676"</f>
        <v>7762265676</v>
      </c>
      <c r="C12565" s="1">
        <v>45048</v>
      </c>
      <c r="D12565" s="1">
        <v>45052</v>
      </c>
      <c r="E12565">
        <v>1</v>
      </c>
      <c r="F12565" t="str">
        <f>"03-I18-03"</f>
        <v>03-I18-03</v>
      </c>
      <c r="G12565">
        <v>0.83940000000000003</v>
      </c>
      <c r="H12565" t="s">
        <v>9</v>
      </c>
      <c r="I12565" t="s">
        <v>10</v>
      </c>
    </row>
    <row r="12566" spans="1:9" x14ac:dyDescent="0.25">
      <c r="A12566" t="str">
        <f t="shared" si="299"/>
        <v>89301000</v>
      </c>
      <c r="B12566" t="str">
        <f>"7801025375"</f>
        <v>7801025375</v>
      </c>
      <c r="C12566" s="1">
        <v>45195</v>
      </c>
      <c r="D12566" s="1">
        <v>45197</v>
      </c>
      <c r="E12566">
        <v>1</v>
      </c>
      <c r="F12566" t="str">
        <f>"08-I04-03"</f>
        <v>08-I04-03</v>
      </c>
      <c r="G12566">
        <v>1.3045</v>
      </c>
      <c r="H12566" t="s">
        <v>14</v>
      </c>
      <c r="I12566" t="s">
        <v>10</v>
      </c>
    </row>
    <row r="12567" spans="1:9" x14ac:dyDescent="0.25">
      <c r="A12567" t="str">
        <f t="shared" si="299"/>
        <v>89301000</v>
      </c>
      <c r="B12567" t="str">
        <f>"7801035264"</f>
        <v>7801035264</v>
      </c>
      <c r="C12567" s="1">
        <v>44928</v>
      </c>
      <c r="D12567" s="1">
        <v>44946</v>
      </c>
      <c r="E12567">
        <v>1</v>
      </c>
      <c r="F12567" t="str">
        <f>"24-M07-01"</f>
        <v>24-M07-01</v>
      </c>
      <c r="G12567">
        <v>1.7825</v>
      </c>
      <c r="H12567" t="s">
        <v>11</v>
      </c>
      <c r="I12567" t="s">
        <v>10</v>
      </c>
    </row>
    <row r="12568" spans="1:9" x14ac:dyDescent="0.25">
      <c r="A12568" t="str">
        <f t="shared" si="299"/>
        <v>89301000</v>
      </c>
      <c r="B12568" t="str">
        <f>"7801105323"</f>
        <v>7801105323</v>
      </c>
      <c r="C12568" s="1">
        <v>45119</v>
      </c>
      <c r="D12568" s="1">
        <v>45121</v>
      </c>
      <c r="E12568">
        <v>1</v>
      </c>
      <c r="F12568" t="str">
        <f>"23-K04-02"</f>
        <v>23-K04-02</v>
      </c>
      <c r="G12568">
        <v>0.38150000000000001</v>
      </c>
      <c r="H12568" t="s">
        <v>11</v>
      </c>
      <c r="I12568" t="s">
        <v>10</v>
      </c>
    </row>
    <row r="12569" spans="1:9" x14ac:dyDescent="0.25">
      <c r="A12569" t="str">
        <f t="shared" si="299"/>
        <v>89301000</v>
      </c>
      <c r="B12569" t="str">
        <f>"7801124463"</f>
        <v>7801124463</v>
      </c>
      <c r="C12569" s="1">
        <v>45098</v>
      </c>
      <c r="D12569" s="1">
        <v>45100</v>
      </c>
      <c r="E12569">
        <v>1</v>
      </c>
      <c r="F12569" t="str">
        <f>"08-I23-02"</f>
        <v>08-I23-02</v>
      </c>
      <c r="G12569">
        <v>0.91059999999999997</v>
      </c>
      <c r="H12569" t="s">
        <v>12</v>
      </c>
      <c r="I12569" t="s">
        <v>10</v>
      </c>
    </row>
    <row r="12570" spans="1:9" x14ac:dyDescent="0.25">
      <c r="A12570" t="str">
        <f t="shared" si="299"/>
        <v>89301000</v>
      </c>
      <c r="B12570" t="str">
        <f>"7801135309"</f>
        <v>7801135309</v>
      </c>
      <c r="C12570" s="1">
        <v>45208</v>
      </c>
      <c r="D12570" s="1">
        <v>45210</v>
      </c>
      <c r="E12570">
        <v>1</v>
      </c>
      <c r="F12570" t="str">
        <f>"16-K02-02"</f>
        <v>16-K02-02</v>
      </c>
      <c r="G12570">
        <v>0.76349999999999996</v>
      </c>
      <c r="H12570" t="s">
        <v>11</v>
      </c>
      <c r="I12570" t="s">
        <v>10</v>
      </c>
    </row>
    <row r="12571" spans="1:9" x14ac:dyDescent="0.25">
      <c r="A12571" t="str">
        <f t="shared" si="299"/>
        <v>89301000</v>
      </c>
      <c r="B12571" t="str">
        <f>"7801205302"</f>
        <v>7801205302</v>
      </c>
      <c r="C12571" s="1">
        <v>45028</v>
      </c>
      <c r="D12571" s="1">
        <v>45040</v>
      </c>
      <c r="E12571">
        <v>5</v>
      </c>
      <c r="F12571" t="str">
        <f>"05-I12-01"</f>
        <v>05-I12-01</v>
      </c>
      <c r="G12571">
        <v>9.9133999999999993</v>
      </c>
      <c r="H12571" t="s">
        <v>14</v>
      </c>
      <c r="I12571" t="s">
        <v>10</v>
      </c>
    </row>
    <row r="12572" spans="1:9" x14ac:dyDescent="0.25">
      <c r="A12572" t="str">
        <f t="shared" ref="A12572:A12635" si="300">"89301000"</f>
        <v>89301000</v>
      </c>
      <c r="B12572" t="str">
        <f>"7801225388"</f>
        <v>7801225388</v>
      </c>
      <c r="C12572" s="1">
        <v>45194</v>
      </c>
      <c r="D12572" s="1">
        <v>45195</v>
      </c>
      <c r="E12572">
        <v>1</v>
      </c>
      <c r="F12572" t="str">
        <f>"01-I14-01"</f>
        <v>01-I14-01</v>
      </c>
      <c r="G12572">
        <v>1.2322</v>
      </c>
      <c r="H12572" t="s">
        <v>12</v>
      </c>
      <c r="I12572" t="s">
        <v>10</v>
      </c>
    </row>
    <row r="12573" spans="1:9" x14ac:dyDescent="0.25">
      <c r="A12573" t="str">
        <f t="shared" si="300"/>
        <v>89301000</v>
      </c>
      <c r="B12573" t="str">
        <f>"7801245826"</f>
        <v>7801245826</v>
      </c>
      <c r="C12573" s="1">
        <v>44958</v>
      </c>
      <c r="D12573" s="1">
        <v>44960</v>
      </c>
      <c r="E12573">
        <v>1</v>
      </c>
      <c r="F12573" t="str">
        <f>"08-M03-05"</f>
        <v>08-M03-05</v>
      </c>
      <c r="G12573">
        <v>0.46810000000000002</v>
      </c>
      <c r="H12573" t="s">
        <v>11</v>
      </c>
      <c r="I12573" t="s">
        <v>10</v>
      </c>
    </row>
    <row r="12574" spans="1:9" x14ac:dyDescent="0.25">
      <c r="A12574" t="str">
        <f t="shared" si="300"/>
        <v>89301000</v>
      </c>
      <c r="B12574" t="str">
        <f>"7802055261"</f>
        <v>7802055261</v>
      </c>
      <c r="C12574" s="1">
        <v>45036</v>
      </c>
      <c r="D12574" s="1">
        <v>45038</v>
      </c>
      <c r="E12574">
        <v>1</v>
      </c>
      <c r="F12574" t="str">
        <f>"08-I19-03"</f>
        <v>08-I19-03</v>
      </c>
      <c r="G12574">
        <v>0.59130000000000005</v>
      </c>
      <c r="H12574" t="s">
        <v>12</v>
      </c>
      <c r="I12574" t="s">
        <v>10</v>
      </c>
    </row>
    <row r="12575" spans="1:9" x14ac:dyDescent="0.25">
      <c r="A12575" t="str">
        <f t="shared" si="300"/>
        <v>89301000</v>
      </c>
      <c r="B12575" t="str">
        <f>"7802175095"</f>
        <v>7802175095</v>
      </c>
      <c r="C12575" s="1">
        <v>44991</v>
      </c>
      <c r="D12575" s="1">
        <v>44999</v>
      </c>
      <c r="E12575">
        <v>1</v>
      </c>
      <c r="F12575" t="str">
        <f>"12-I02-01"</f>
        <v>12-I02-01</v>
      </c>
      <c r="G12575">
        <v>3.3855</v>
      </c>
      <c r="H12575" t="s">
        <v>9</v>
      </c>
      <c r="I12575" t="s">
        <v>10</v>
      </c>
    </row>
    <row r="12576" spans="1:9" x14ac:dyDescent="0.25">
      <c r="A12576" t="str">
        <f t="shared" si="300"/>
        <v>89301000</v>
      </c>
      <c r="B12576" t="str">
        <f>"7802245352"</f>
        <v>7802245352</v>
      </c>
      <c r="C12576" s="1">
        <v>45084</v>
      </c>
      <c r="D12576" s="1">
        <v>45086</v>
      </c>
      <c r="E12576">
        <v>1</v>
      </c>
      <c r="F12576" t="str">
        <f>"01-D01-03"</f>
        <v>01-D01-03</v>
      </c>
      <c r="G12576">
        <v>0.16200000000000001</v>
      </c>
      <c r="H12576" t="s">
        <v>11</v>
      </c>
      <c r="I12576" t="s">
        <v>10</v>
      </c>
    </row>
    <row r="12577" spans="1:9" x14ac:dyDescent="0.25">
      <c r="A12577" t="str">
        <f t="shared" si="300"/>
        <v>89301000</v>
      </c>
      <c r="B12577" t="str">
        <f>"7803025681"</f>
        <v>7803025681</v>
      </c>
      <c r="C12577" s="1">
        <v>45005</v>
      </c>
      <c r="D12577" s="1">
        <v>45007</v>
      </c>
      <c r="E12577">
        <v>1</v>
      </c>
      <c r="F12577" t="str">
        <f>"08-I31-04"</f>
        <v>08-I31-04</v>
      </c>
      <c r="G12577">
        <v>0.4894</v>
      </c>
      <c r="H12577" t="s">
        <v>11</v>
      </c>
      <c r="I12577" t="s">
        <v>10</v>
      </c>
    </row>
    <row r="12578" spans="1:9" x14ac:dyDescent="0.25">
      <c r="A12578" t="str">
        <f t="shared" si="300"/>
        <v>89301000</v>
      </c>
      <c r="B12578" t="str">
        <f>"7803055348"</f>
        <v>7803055348</v>
      </c>
      <c r="C12578" s="1">
        <v>45106</v>
      </c>
      <c r="D12578" s="1">
        <v>45114</v>
      </c>
      <c r="E12578">
        <v>1</v>
      </c>
      <c r="F12578" t="str">
        <f>"20-K03-03"</f>
        <v>20-K03-03</v>
      </c>
      <c r="G12578">
        <v>0.94020000000000004</v>
      </c>
      <c r="H12578" t="s">
        <v>11</v>
      </c>
      <c r="I12578" t="s">
        <v>10</v>
      </c>
    </row>
    <row r="12579" spans="1:9" x14ac:dyDescent="0.25">
      <c r="A12579" t="str">
        <f t="shared" si="300"/>
        <v>89301000</v>
      </c>
      <c r="B12579" t="str">
        <f>"7803115331"</f>
        <v>7803115331</v>
      </c>
      <c r="C12579" s="1">
        <v>45170</v>
      </c>
      <c r="D12579" s="1">
        <v>45171</v>
      </c>
      <c r="E12579">
        <v>1</v>
      </c>
      <c r="F12579" t="str">
        <f>"12-I08-03"</f>
        <v>12-I08-03</v>
      </c>
      <c r="G12579">
        <v>0.71730000000000005</v>
      </c>
      <c r="H12579" t="s">
        <v>11</v>
      </c>
      <c r="I12579" t="s">
        <v>10</v>
      </c>
    </row>
    <row r="12580" spans="1:9" x14ac:dyDescent="0.25">
      <c r="A12580" t="str">
        <f t="shared" si="300"/>
        <v>89301000</v>
      </c>
      <c r="B12580" t="str">
        <f>"7803134460"</f>
        <v>7803134460</v>
      </c>
      <c r="C12580" s="1">
        <v>45100</v>
      </c>
      <c r="D12580" s="1">
        <v>45103</v>
      </c>
      <c r="E12580">
        <v>1</v>
      </c>
      <c r="F12580" t="str">
        <f>"10-K15-02"</f>
        <v>10-K15-02</v>
      </c>
      <c r="G12580">
        <v>0.66379999999999995</v>
      </c>
      <c r="H12580" t="s">
        <v>11</v>
      </c>
      <c r="I12580" t="s">
        <v>10</v>
      </c>
    </row>
    <row r="12581" spans="1:9" x14ac:dyDescent="0.25">
      <c r="A12581" t="str">
        <f t="shared" si="300"/>
        <v>89301000</v>
      </c>
      <c r="B12581" t="str">
        <f>"7803195818"</f>
        <v>7803195818</v>
      </c>
      <c r="C12581" s="1">
        <v>44957</v>
      </c>
      <c r="D12581" s="1">
        <v>44963</v>
      </c>
      <c r="E12581">
        <v>1</v>
      </c>
      <c r="F12581" t="str">
        <f>"10-R02-02"</f>
        <v>10-R02-02</v>
      </c>
      <c r="G12581">
        <v>0.66300000000000003</v>
      </c>
      <c r="H12581" t="s">
        <v>9</v>
      </c>
      <c r="I12581" t="s">
        <v>10</v>
      </c>
    </row>
    <row r="12582" spans="1:9" x14ac:dyDescent="0.25">
      <c r="A12582" t="str">
        <f t="shared" si="300"/>
        <v>89301000</v>
      </c>
      <c r="B12582" t="str">
        <f>"7803225331"</f>
        <v>7803225331</v>
      </c>
      <c r="C12582" s="1">
        <v>45246</v>
      </c>
      <c r="D12582" s="1">
        <v>45249</v>
      </c>
      <c r="E12582">
        <v>1</v>
      </c>
      <c r="F12582" t="str">
        <f>"08-I03-08"</f>
        <v>08-I03-08</v>
      </c>
      <c r="G12582">
        <v>1.9455</v>
      </c>
      <c r="H12582" t="s">
        <v>9</v>
      </c>
      <c r="I12582" t="s">
        <v>10</v>
      </c>
    </row>
    <row r="12583" spans="1:9" x14ac:dyDescent="0.25">
      <c r="A12583" t="str">
        <f t="shared" si="300"/>
        <v>89301000</v>
      </c>
      <c r="B12583" t="str">
        <f>"7803240665"</f>
        <v>7803240665</v>
      </c>
      <c r="C12583" s="1">
        <v>45241</v>
      </c>
      <c r="D12583" s="1">
        <v>45244</v>
      </c>
      <c r="E12583">
        <v>1</v>
      </c>
      <c r="F12583" t="str">
        <f>"08-I13-06"</f>
        <v>08-I13-06</v>
      </c>
      <c r="G12583">
        <v>1.9452</v>
      </c>
      <c r="H12583" t="s">
        <v>12</v>
      </c>
      <c r="I12583" t="s">
        <v>10</v>
      </c>
    </row>
    <row r="12584" spans="1:9" x14ac:dyDescent="0.25">
      <c r="A12584" t="str">
        <f t="shared" si="300"/>
        <v>89301000</v>
      </c>
      <c r="B12584" t="str">
        <f>"7803315850"</f>
        <v>7803315850</v>
      </c>
      <c r="C12584" s="1">
        <v>45222</v>
      </c>
      <c r="D12584" s="1">
        <v>45250</v>
      </c>
      <c r="E12584">
        <v>4</v>
      </c>
      <c r="F12584" t="str">
        <f>"25-I02-02"</f>
        <v>25-I02-02</v>
      </c>
      <c r="G12584">
        <v>5.7720000000000002</v>
      </c>
      <c r="H12584" t="s">
        <v>14</v>
      </c>
      <c r="I12584" t="s">
        <v>10</v>
      </c>
    </row>
    <row r="12585" spans="1:9" x14ac:dyDescent="0.25">
      <c r="A12585" t="str">
        <f t="shared" si="300"/>
        <v>89301000</v>
      </c>
      <c r="B12585" t="str">
        <f>"7804065676"</f>
        <v>7804065676</v>
      </c>
      <c r="C12585" s="1">
        <v>44988</v>
      </c>
      <c r="D12585" s="1">
        <v>44991</v>
      </c>
      <c r="E12585">
        <v>1</v>
      </c>
      <c r="F12585" t="str">
        <f>"05-I14-04"</f>
        <v>05-I14-04</v>
      </c>
      <c r="G12585">
        <v>5.2220000000000004</v>
      </c>
      <c r="H12585" t="s">
        <v>12</v>
      </c>
      <c r="I12585" t="s">
        <v>10</v>
      </c>
    </row>
    <row r="12586" spans="1:9" x14ac:dyDescent="0.25">
      <c r="A12586" t="str">
        <f t="shared" si="300"/>
        <v>89301000</v>
      </c>
      <c r="B12586" t="str">
        <f>"7804065676"</f>
        <v>7804065676</v>
      </c>
      <c r="C12586" s="1">
        <v>45032</v>
      </c>
      <c r="D12586" s="1">
        <v>45034</v>
      </c>
      <c r="E12586">
        <v>1</v>
      </c>
      <c r="F12586" t="str">
        <f>"01-K16-06"</f>
        <v>01-K16-06</v>
      </c>
      <c r="G12586">
        <v>0.2727</v>
      </c>
      <c r="H12586" t="s">
        <v>11</v>
      </c>
      <c r="I12586" t="s">
        <v>10</v>
      </c>
    </row>
    <row r="12587" spans="1:9" x14ac:dyDescent="0.25">
      <c r="A12587" t="str">
        <f t="shared" si="300"/>
        <v>89301000</v>
      </c>
      <c r="B12587" t="str">
        <f>"7804075411"</f>
        <v>7804075411</v>
      </c>
      <c r="C12587" s="1">
        <v>45067</v>
      </c>
      <c r="D12587" s="1">
        <v>45079</v>
      </c>
      <c r="E12587">
        <v>1</v>
      </c>
      <c r="F12587" t="str">
        <f>"19-K04-02"</f>
        <v>19-K04-02</v>
      </c>
      <c r="G12587">
        <v>1.3379000000000001</v>
      </c>
      <c r="H12587" t="s">
        <v>15</v>
      </c>
      <c r="I12587" t="s">
        <v>10</v>
      </c>
    </row>
    <row r="12588" spans="1:9" x14ac:dyDescent="0.25">
      <c r="A12588" t="str">
        <f t="shared" si="300"/>
        <v>89301000</v>
      </c>
      <c r="B12588" t="str">
        <f>"7804075411"</f>
        <v>7804075411</v>
      </c>
      <c r="C12588" s="1">
        <v>45273</v>
      </c>
      <c r="D12588" s="1">
        <v>45281</v>
      </c>
      <c r="E12588">
        <v>1</v>
      </c>
      <c r="F12588" t="str">
        <f>"19-K03-03"</f>
        <v>19-K03-03</v>
      </c>
      <c r="G12588">
        <v>0.90410000000000001</v>
      </c>
      <c r="H12588" t="s">
        <v>15</v>
      </c>
      <c r="I12588" t="s">
        <v>10</v>
      </c>
    </row>
    <row r="12589" spans="1:9" x14ac:dyDescent="0.25">
      <c r="A12589" t="str">
        <f t="shared" si="300"/>
        <v>89301000</v>
      </c>
      <c r="B12589" t="str">
        <f>"7804085707"</f>
        <v>7804085707</v>
      </c>
      <c r="C12589" s="1">
        <v>45272</v>
      </c>
      <c r="D12589" s="1">
        <v>45280</v>
      </c>
      <c r="E12589">
        <v>1</v>
      </c>
      <c r="F12589" t="str">
        <f>"04-I09-01"</f>
        <v>04-I09-01</v>
      </c>
      <c r="G12589">
        <v>2.6951000000000001</v>
      </c>
      <c r="H12589" t="s">
        <v>11</v>
      </c>
      <c r="I12589" t="s">
        <v>10</v>
      </c>
    </row>
    <row r="12590" spans="1:9" x14ac:dyDescent="0.25">
      <c r="A12590" t="str">
        <f t="shared" si="300"/>
        <v>89301000</v>
      </c>
      <c r="B12590" t="str">
        <f>"7804085707"</f>
        <v>7804085707</v>
      </c>
      <c r="C12590" s="1">
        <v>45260</v>
      </c>
      <c r="D12590" s="1">
        <v>45267</v>
      </c>
      <c r="E12590">
        <v>1</v>
      </c>
      <c r="F12590" t="str">
        <f>"04-K09-02"</f>
        <v>04-K09-02</v>
      </c>
      <c r="G12590">
        <v>1.1033999999999999</v>
      </c>
      <c r="H12590" t="s">
        <v>11</v>
      </c>
      <c r="I12590" t="s">
        <v>10</v>
      </c>
    </row>
    <row r="12591" spans="1:9" x14ac:dyDescent="0.25">
      <c r="A12591" t="str">
        <f t="shared" si="300"/>
        <v>89301000</v>
      </c>
      <c r="B12591" t="str">
        <f>"7804085707"</f>
        <v>7804085707</v>
      </c>
      <c r="C12591" s="1">
        <v>45151</v>
      </c>
      <c r="D12591" s="1">
        <v>45153</v>
      </c>
      <c r="E12591">
        <v>5</v>
      </c>
      <c r="F12591" t="str">
        <f>"05-K02-01"</f>
        <v>05-K02-01</v>
      </c>
      <c r="G12591">
        <v>1.7470000000000001</v>
      </c>
      <c r="H12591" t="s">
        <v>11</v>
      </c>
      <c r="I12591" t="s">
        <v>10</v>
      </c>
    </row>
    <row r="12592" spans="1:9" x14ac:dyDescent="0.25">
      <c r="A12592" t="str">
        <f t="shared" si="300"/>
        <v>89301000</v>
      </c>
      <c r="B12592" t="str">
        <f>"7804095805"</f>
        <v>7804095805</v>
      </c>
      <c r="C12592" s="1">
        <v>45061</v>
      </c>
      <c r="D12592" s="1">
        <v>45068</v>
      </c>
      <c r="E12592">
        <v>1</v>
      </c>
      <c r="F12592" t="str">
        <f>"02-K01-02"</f>
        <v>02-K01-02</v>
      </c>
      <c r="G12592">
        <v>0.91149999999999998</v>
      </c>
      <c r="H12592" t="s">
        <v>11</v>
      </c>
      <c r="I12592" t="s">
        <v>10</v>
      </c>
    </row>
    <row r="12593" spans="1:9" x14ac:dyDescent="0.25">
      <c r="A12593" t="str">
        <f t="shared" si="300"/>
        <v>89301000</v>
      </c>
      <c r="B12593" t="str">
        <f>"7804195795"</f>
        <v>7804195795</v>
      </c>
      <c r="C12593" s="1">
        <v>45035</v>
      </c>
      <c r="D12593" s="1">
        <v>45037</v>
      </c>
      <c r="E12593">
        <v>1</v>
      </c>
      <c r="F12593" t="str">
        <f>"11-M05-01"</f>
        <v>11-M05-01</v>
      </c>
      <c r="G12593">
        <v>0.83750000000000002</v>
      </c>
      <c r="H12593" t="s">
        <v>12</v>
      </c>
      <c r="I12593" t="s">
        <v>10</v>
      </c>
    </row>
    <row r="12594" spans="1:9" x14ac:dyDescent="0.25">
      <c r="A12594" t="str">
        <f t="shared" si="300"/>
        <v>89301000</v>
      </c>
      <c r="B12594" t="str">
        <f>"7805214615"</f>
        <v>7805214615</v>
      </c>
      <c r="C12594" s="1">
        <v>45170</v>
      </c>
      <c r="D12594" s="1">
        <v>45170</v>
      </c>
      <c r="E12594">
        <v>1</v>
      </c>
      <c r="F12594" t="str">
        <f>"05-D01-08"</f>
        <v>05-D01-08</v>
      </c>
      <c r="G12594">
        <v>0.2303</v>
      </c>
      <c r="H12594" t="s">
        <v>11</v>
      </c>
      <c r="I12594" t="s">
        <v>10</v>
      </c>
    </row>
    <row r="12595" spans="1:9" x14ac:dyDescent="0.25">
      <c r="A12595" t="str">
        <f t="shared" si="300"/>
        <v>89301000</v>
      </c>
      <c r="B12595" t="str">
        <f>"7805245756"</f>
        <v>7805245756</v>
      </c>
      <c r="C12595" s="1">
        <v>45239</v>
      </c>
      <c r="D12595" s="1">
        <v>45241</v>
      </c>
      <c r="E12595">
        <v>1</v>
      </c>
      <c r="F12595" t="str">
        <f>"08-M03-05"</f>
        <v>08-M03-05</v>
      </c>
      <c r="G12595">
        <v>0.46810000000000002</v>
      </c>
      <c r="H12595" t="s">
        <v>11</v>
      </c>
      <c r="I12595" t="s">
        <v>10</v>
      </c>
    </row>
    <row r="12596" spans="1:9" x14ac:dyDescent="0.25">
      <c r="A12596" t="str">
        <f t="shared" si="300"/>
        <v>89301000</v>
      </c>
      <c r="B12596" t="str">
        <f>"7806024457"</f>
        <v>7806024457</v>
      </c>
      <c r="C12596" s="1">
        <v>45110</v>
      </c>
      <c r="D12596" s="1">
        <v>45112</v>
      </c>
      <c r="E12596">
        <v>1</v>
      </c>
      <c r="F12596" t="str">
        <f>"05-I30-02"</f>
        <v>05-I30-02</v>
      </c>
      <c r="G12596">
        <v>0.41699999999999998</v>
      </c>
      <c r="H12596" t="s">
        <v>12</v>
      </c>
      <c r="I12596" t="s">
        <v>10</v>
      </c>
    </row>
    <row r="12597" spans="1:9" x14ac:dyDescent="0.25">
      <c r="A12597" t="str">
        <f t="shared" si="300"/>
        <v>89301000</v>
      </c>
      <c r="B12597" t="str">
        <f>"7806035556"</f>
        <v>7806035556</v>
      </c>
      <c r="C12597" s="1">
        <v>45186</v>
      </c>
      <c r="D12597" s="1">
        <v>45190</v>
      </c>
      <c r="E12597">
        <v>1</v>
      </c>
      <c r="F12597" t="str">
        <f>"10-I13-02"</f>
        <v>10-I13-02</v>
      </c>
      <c r="G12597">
        <v>1.1124000000000001</v>
      </c>
      <c r="H12597" t="s">
        <v>9</v>
      </c>
      <c r="I12597" t="s">
        <v>10</v>
      </c>
    </row>
    <row r="12598" spans="1:9" x14ac:dyDescent="0.25">
      <c r="A12598" t="str">
        <f t="shared" si="300"/>
        <v>89301000</v>
      </c>
      <c r="B12598" t="str">
        <f>"7806035556"</f>
        <v>7806035556</v>
      </c>
      <c r="C12598" s="1">
        <v>45264</v>
      </c>
      <c r="D12598" s="1">
        <v>45269</v>
      </c>
      <c r="E12598">
        <v>1</v>
      </c>
      <c r="F12598" t="str">
        <f>"04-I05-03"</f>
        <v>04-I05-03</v>
      </c>
      <c r="G12598">
        <v>2.1093999999999999</v>
      </c>
      <c r="H12598" t="s">
        <v>14</v>
      </c>
      <c r="I12598" t="s">
        <v>10</v>
      </c>
    </row>
    <row r="12599" spans="1:9" x14ac:dyDescent="0.25">
      <c r="A12599" t="str">
        <f t="shared" si="300"/>
        <v>89301000</v>
      </c>
      <c r="B12599" t="str">
        <f>"7806035556"</f>
        <v>7806035556</v>
      </c>
      <c r="C12599" s="1">
        <v>45149</v>
      </c>
      <c r="D12599" s="1">
        <v>45156</v>
      </c>
      <c r="E12599">
        <v>1</v>
      </c>
      <c r="F12599" t="str">
        <f>"11-K02-03"</f>
        <v>11-K02-03</v>
      </c>
      <c r="G12599">
        <v>0.86360000000000003</v>
      </c>
      <c r="H12599" t="s">
        <v>11</v>
      </c>
      <c r="I12599" t="s">
        <v>10</v>
      </c>
    </row>
    <row r="12600" spans="1:9" x14ac:dyDescent="0.25">
      <c r="A12600" t="str">
        <f t="shared" si="300"/>
        <v>89301000</v>
      </c>
      <c r="B12600" t="str">
        <f>"7806145446"</f>
        <v>7806145446</v>
      </c>
      <c r="C12600" s="1">
        <v>45066</v>
      </c>
      <c r="D12600" s="1">
        <v>45067</v>
      </c>
      <c r="E12600">
        <v>1</v>
      </c>
      <c r="F12600" t="str">
        <f>"09-K13-02"</f>
        <v>09-K13-02</v>
      </c>
      <c r="G12600">
        <v>0.31409999999999999</v>
      </c>
      <c r="H12600" t="s">
        <v>11</v>
      </c>
      <c r="I12600" t="s">
        <v>10</v>
      </c>
    </row>
    <row r="12601" spans="1:9" x14ac:dyDescent="0.25">
      <c r="A12601" t="str">
        <f t="shared" si="300"/>
        <v>89301000</v>
      </c>
      <c r="B12601" t="str">
        <f>"7806185343"</f>
        <v>7806185343</v>
      </c>
      <c r="C12601" s="1">
        <v>45056</v>
      </c>
      <c r="D12601" s="1">
        <v>45059</v>
      </c>
      <c r="E12601">
        <v>1</v>
      </c>
      <c r="F12601" t="str">
        <f>"03-I19-03"</f>
        <v>03-I19-03</v>
      </c>
      <c r="G12601">
        <v>0.53249999999999997</v>
      </c>
      <c r="H12601" t="s">
        <v>11</v>
      </c>
      <c r="I12601" t="s">
        <v>10</v>
      </c>
    </row>
    <row r="12602" spans="1:9" x14ac:dyDescent="0.25">
      <c r="A12602" t="str">
        <f t="shared" si="300"/>
        <v>89301000</v>
      </c>
      <c r="B12602" t="str">
        <f>"7806225317"</f>
        <v>7806225317</v>
      </c>
      <c r="C12602" s="1">
        <v>44993</v>
      </c>
      <c r="D12602" s="1">
        <v>44995</v>
      </c>
      <c r="E12602">
        <v>1</v>
      </c>
      <c r="F12602" t="str">
        <f>"01-K07-03"</f>
        <v>01-K07-03</v>
      </c>
      <c r="G12602">
        <v>0.48680000000000001</v>
      </c>
      <c r="H12602" t="s">
        <v>11</v>
      </c>
      <c r="I12602" t="s">
        <v>10</v>
      </c>
    </row>
    <row r="12603" spans="1:9" x14ac:dyDescent="0.25">
      <c r="A12603" t="str">
        <f t="shared" si="300"/>
        <v>89301000</v>
      </c>
      <c r="B12603" t="str">
        <f>"7806245755"</f>
        <v>7806245755</v>
      </c>
      <c r="C12603" s="1">
        <v>45034</v>
      </c>
      <c r="D12603" s="1">
        <v>45035</v>
      </c>
      <c r="E12603">
        <v>1</v>
      </c>
      <c r="F12603" t="str">
        <f>"01-D01-03"</f>
        <v>01-D01-03</v>
      </c>
      <c r="G12603">
        <v>0.16200000000000001</v>
      </c>
      <c r="H12603" t="s">
        <v>11</v>
      </c>
      <c r="I12603" t="s">
        <v>10</v>
      </c>
    </row>
    <row r="12604" spans="1:9" x14ac:dyDescent="0.25">
      <c r="A12604" t="str">
        <f t="shared" si="300"/>
        <v>89301000</v>
      </c>
      <c r="B12604" t="str">
        <f>"7806245755"</f>
        <v>7806245755</v>
      </c>
      <c r="C12604" s="1">
        <v>45079</v>
      </c>
      <c r="D12604" s="1">
        <v>45082</v>
      </c>
      <c r="E12604">
        <v>1</v>
      </c>
      <c r="F12604" t="str">
        <f>"01-D01-03"</f>
        <v>01-D01-03</v>
      </c>
      <c r="G12604">
        <v>0.21060000000000001</v>
      </c>
      <c r="H12604" t="s">
        <v>11</v>
      </c>
      <c r="I12604" t="s">
        <v>10</v>
      </c>
    </row>
    <row r="12605" spans="1:9" x14ac:dyDescent="0.25">
      <c r="A12605" t="str">
        <f t="shared" si="300"/>
        <v>89301000</v>
      </c>
      <c r="B12605" t="str">
        <f>"7806295343"</f>
        <v>7806295343</v>
      </c>
      <c r="C12605" s="1">
        <v>45272</v>
      </c>
      <c r="D12605" s="1">
        <v>45274</v>
      </c>
      <c r="E12605">
        <v>1</v>
      </c>
      <c r="F12605" t="str">
        <f>"08-M03-05"</f>
        <v>08-M03-05</v>
      </c>
      <c r="G12605">
        <v>0.46810000000000002</v>
      </c>
      <c r="H12605" t="s">
        <v>11</v>
      </c>
      <c r="I12605" t="s">
        <v>10</v>
      </c>
    </row>
    <row r="12606" spans="1:9" x14ac:dyDescent="0.25">
      <c r="A12606" t="str">
        <f t="shared" si="300"/>
        <v>89301000</v>
      </c>
      <c r="B12606" t="str">
        <f>"7807034950"</f>
        <v>7807034950</v>
      </c>
      <c r="C12606" s="1">
        <v>44956</v>
      </c>
      <c r="D12606" s="1">
        <v>44970</v>
      </c>
      <c r="E12606">
        <v>1</v>
      </c>
      <c r="F12606" t="str">
        <f>"01-D01-02"</f>
        <v>01-D01-02</v>
      </c>
      <c r="G12606">
        <v>0.91449999999999998</v>
      </c>
      <c r="H12606" t="s">
        <v>11</v>
      </c>
      <c r="I12606" t="s">
        <v>10</v>
      </c>
    </row>
    <row r="12607" spans="1:9" x14ac:dyDescent="0.25">
      <c r="A12607" t="str">
        <f t="shared" si="300"/>
        <v>89301000</v>
      </c>
      <c r="B12607" t="str">
        <f>"7807034950"</f>
        <v>7807034950</v>
      </c>
      <c r="C12607" s="1">
        <v>45226</v>
      </c>
      <c r="D12607" s="1">
        <v>45254</v>
      </c>
      <c r="E12607">
        <v>1</v>
      </c>
      <c r="F12607" t="str">
        <f>"20-K07-02"</f>
        <v>20-K07-02</v>
      </c>
      <c r="G12607">
        <v>2.5350000000000001</v>
      </c>
      <c r="H12607" t="s">
        <v>11</v>
      </c>
      <c r="I12607" t="s">
        <v>10</v>
      </c>
    </row>
    <row r="12608" spans="1:9" x14ac:dyDescent="0.25">
      <c r="A12608" t="str">
        <f t="shared" si="300"/>
        <v>89301000</v>
      </c>
      <c r="B12608" t="str">
        <f>"7807095318"</f>
        <v>7807095318</v>
      </c>
      <c r="C12608" s="1">
        <v>45089</v>
      </c>
      <c r="D12608" s="1">
        <v>45090</v>
      </c>
      <c r="E12608">
        <v>1</v>
      </c>
      <c r="F12608" t="str">
        <f>"08-I16-04"</f>
        <v>08-I16-04</v>
      </c>
      <c r="G12608">
        <v>0.83040000000000003</v>
      </c>
      <c r="H12608" t="s">
        <v>12</v>
      </c>
      <c r="I12608" t="s">
        <v>10</v>
      </c>
    </row>
    <row r="12609" spans="1:9" x14ac:dyDescent="0.25">
      <c r="A12609" t="str">
        <f t="shared" si="300"/>
        <v>89301000</v>
      </c>
      <c r="B12609" t="str">
        <f>"7807095318"</f>
        <v>7807095318</v>
      </c>
      <c r="C12609" s="1">
        <v>45146</v>
      </c>
      <c r="D12609" s="1">
        <v>45149</v>
      </c>
      <c r="E12609">
        <v>1</v>
      </c>
      <c r="F12609" t="str">
        <f>"08-I32-00"</f>
        <v>08-I32-00</v>
      </c>
      <c r="G12609">
        <v>0.4093</v>
      </c>
      <c r="H12609" t="s">
        <v>11</v>
      </c>
      <c r="I12609" t="s">
        <v>10</v>
      </c>
    </row>
    <row r="12610" spans="1:9" x14ac:dyDescent="0.25">
      <c r="A12610" t="str">
        <f t="shared" si="300"/>
        <v>89301000</v>
      </c>
      <c r="B12610" t="str">
        <f>"7807104470"</f>
        <v>7807104470</v>
      </c>
      <c r="C12610" s="1">
        <v>45224</v>
      </c>
      <c r="D12610" s="1">
        <v>45227</v>
      </c>
      <c r="E12610">
        <v>1</v>
      </c>
      <c r="F12610" t="str">
        <f>"07-I10-06"</f>
        <v>07-I10-06</v>
      </c>
      <c r="G12610">
        <v>0.98419999999999996</v>
      </c>
      <c r="H12610" t="s">
        <v>12</v>
      </c>
      <c r="I12610" t="s">
        <v>10</v>
      </c>
    </row>
    <row r="12611" spans="1:9" x14ac:dyDescent="0.25">
      <c r="A12611" t="str">
        <f t="shared" si="300"/>
        <v>89301000</v>
      </c>
      <c r="B12611" t="str">
        <f>"7807125326"</f>
        <v>7807125326</v>
      </c>
      <c r="C12611" s="1">
        <v>45181</v>
      </c>
      <c r="D12611" s="1">
        <v>45183</v>
      </c>
      <c r="E12611">
        <v>1</v>
      </c>
      <c r="F12611" t="str">
        <f>"04-K05-03"</f>
        <v>04-K05-03</v>
      </c>
      <c r="G12611">
        <v>0.74039999999999995</v>
      </c>
      <c r="H12611" t="s">
        <v>11</v>
      </c>
      <c r="I12611" t="s">
        <v>10</v>
      </c>
    </row>
    <row r="12612" spans="1:9" x14ac:dyDescent="0.25">
      <c r="A12612" t="str">
        <f t="shared" si="300"/>
        <v>89301000</v>
      </c>
      <c r="B12612" t="str">
        <f>"7807164948"</f>
        <v>7807164948</v>
      </c>
      <c r="C12612" s="1">
        <v>45289</v>
      </c>
      <c r="D12612" s="1">
        <v>45290</v>
      </c>
      <c r="E12612">
        <v>1</v>
      </c>
      <c r="F12612" t="str">
        <f>"08-I19-03"</f>
        <v>08-I19-03</v>
      </c>
      <c r="G12612">
        <v>0.59130000000000005</v>
      </c>
      <c r="H12612" t="s">
        <v>12</v>
      </c>
      <c r="I12612" t="s">
        <v>10</v>
      </c>
    </row>
    <row r="12613" spans="1:9" x14ac:dyDescent="0.25">
      <c r="A12613" t="str">
        <f t="shared" si="300"/>
        <v>89301000</v>
      </c>
      <c r="B12613" t="str">
        <f>"7807195352"</f>
        <v>7807195352</v>
      </c>
      <c r="C12613" s="1">
        <v>45154</v>
      </c>
      <c r="D12613" s="1">
        <v>45155</v>
      </c>
      <c r="E12613">
        <v>1</v>
      </c>
      <c r="F12613" t="str">
        <f>"01-D01-03"</f>
        <v>01-D01-03</v>
      </c>
      <c r="G12613">
        <v>0.16200000000000001</v>
      </c>
      <c r="H12613" t="s">
        <v>11</v>
      </c>
      <c r="I12613" t="s">
        <v>10</v>
      </c>
    </row>
    <row r="12614" spans="1:9" x14ac:dyDescent="0.25">
      <c r="A12614" t="str">
        <f t="shared" si="300"/>
        <v>89301000</v>
      </c>
      <c r="B12614" t="str">
        <f>"7807215317"</f>
        <v>7807215317</v>
      </c>
      <c r="C12614" s="1">
        <v>45162</v>
      </c>
      <c r="D12614" s="1">
        <v>45165</v>
      </c>
      <c r="E12614">
        <v>1</v>
      </c>
      <c r="F12614" t="str">
        <f>"08-M03-04"</f>
        <v>08-M03-04</v>
      </c>
      <c r="G12614">
        <v>0.87760000000000005</v>
      </c>
      <c r="H12614" t="s">
        <v>11</v>
      </c>
      <c r="I12614" t="s">
        <v>10</v>
      </c>
    </row>
    <row r="12615" spans="1:9" x14ac:dyDescent="0.25">
      <c r="A12615" t="str">
        <f t="shared" si="300"/>
        <v>89301000</v>
      </c>
      <c r="B12615" t="str">
        <f>"7808055332"</f>
        <v>7808055332</v>
      </c>
      <c r="C12615" s="1">
        <v>44934</v>
      </c>
      <c r="D12615" s="1">
        <v>44936</v>
      </c>
      <c r="E12615">
        <v>1</v>
      </c>
      <c r="F12615" t="str">
        <f>"05-I29-03"</f>
        <v>05-I29-03</v>
      </c>
      <c r="G12615">
        <v>1.0078</v>
      </c>
      <c r="H12615" t="s">
        <v>12</v>
      </c>
      <c r="I12615" t="s">
        <v>10</v>
      </c>
    </row>
    <row r="12616" spans="1:9" x14ac:dyDescent="0.25">
      <c r="A12616" t="str">
        <f t="shared" si="300"/>
        <v>89301000</v>
      </c>
      <c r="B12616" t="str">
        <f>"7808174462"</f>
        <v>7808174462</v>
      </c>
      <c r="C12616" s="1">
        <v>45032</v>
      </c>
      <c r="D12616" s="1">
        <v>45036</v>
      </c>
      <c r="E12616">
        <v>1</v>
      </c>
      <c r="F12616" t="str">
        <f>"08-I04-03"</f>
        <v>08-I04-03</v>
      </c>
      <c r="G12616">
        <v>1.3045</v>
      </c>
      <c r="H12616" t="s">
        <v>14</v>
      </c>
      <c r="I12616" t="s">
        <v>10</v>
      </c>
    </row>
    <row r="12617" spans="1:9" x14ac:dyDescent="0.25">
      <c r="A12617" t="str">
        <f t="shared" si="300"/>
        <v>89301000</v>
      </c>
      <c r="B12617" t="str">
        <f>"7808234676"</f>
        <v>7808234676</v>
      </c>
      <c r="C12617" s="1">
        <v>45044</v>
      </c>
      <c r="D12617" s="1">
        <v>45048</v>
      </c>
      <c r="E12617">
        <v>1</v>
      </c>
      <c r="F12617" t="str">
        <f>"08-I04-03"</f>
        <v>08-I04-03</v>
      </c>
      <c r="G12617">
        <v>1.3045</v>
      </c>
      <c r="H12617" t="s">
        <v>14</v>
      </c>
      <c r="I12617" t="s">
        <v>10</v>
      </c>
    </row>
    <row r="12618" spans="1:9" x14ac:dyDescent="0.25">
      <c r="A12618" t="str">
        <f t="shared" si="300"/>
        <v>89301000</v>
      </c>
      <c r="B12618" t="str">
        <f>"7808275761"</f>
        <v>7808275761</v>
      </c>
      <c r="C12618" s="1">
        <v>45237</v>
      </c>
      <c r="D12618" s="1">
        <v>45243</v>
      </c>
      <c r="E12618">
        <v>1</v>
      </c>
      <c r="F12618" t="str">
        <f>"11-M03-02"</f>
        <v>11-M03-02</v>
      </c>
      <c r="G12618">
        <v>1.4410000000000001</v>
      </c>
      <c r="H12618" t="s">
        <v>12</v>
      </c>
      <c r="I12618" t="s">
        <v>10</v>
      </c>
    </row>
    <row r="12619" spans="1:9" x14ac:dyDescent="0.25">
      <c r="A12619" t="str">
        <f t="shared" si="300"/>
        <v>89301000</v>
      </c>
      <c r="B12619" t="str">
        <f>"7808285386"</f>
        <v>7808285386</v>
      </c>
      <c r="C12619" s="1">
        <v>45183</v>
      </c>
      <c r="D12619" s="1">
        <v>45219</v>
      </c>
      <c r="E12619">
        <v>1</v>
      </c>
      <c r="F12619" t="str">
        <f>"08-I30-02"</f>
        <v>08-I30-02</v>
      </c>
      <c r="G12619">
        <v>2.617</v>
      </c>
      <c r="H12619" t="s">
        <v>11</v>
      </c>
      <c r="I12619" t="s">
        <v>10</v>
      </c>
    </row>
    <row r="12620" spans="1:9" x14ac:dyDescent="0.25">
      <c r="A12620" t="str">
        <f t="shared" si="300"/>
        <v>89301000</v>
      </c>
      <c r="B12620" t="str">
        <f>"7808285386"</f>
        <v>7808285386</v>
      </c>
      <c r="C12620" s="1">
        <v>45070</v>
      </c>
      <c r="D12620" s="1">
        <v>45086</v>
      </c>
      <c r="E12620">
        <v>1</v>
      </c>
      <c r="F12620" t="str">
        <f>"08-I14-01"</f>
        <v>08-I14-01</v>
      </c>
      <c r="G12620">
        <v>3.5514999999999999</v>
      </c>
      <c r="H12620" t="s">
        <v>12</v>
      </c>
      <c r="I12620" t="s">
        <v>10</v>
      </c>
    </row>
    <row r="12621" spans="1:9" x14ac:dyDescent="0.25">
      <c r="A12621" t="str">
        <f t="shared" si="300"/>
        <v>89301000</v>
      </c>
      <c r="B12621" t="str">
        <f>"7809155310"</f>
        <v>7809155310</v>
      </c>
      <c r="C12621" s="1">
        <v>44956</v>
      </c>
      <c r="D12621" s="1">
        <v>44958</v>
      </c>
      <c r="E12621">
        <v>1</v>
      </c>
      <c r="F12621" t="str">
        <f>"08-M03-04"</f>
        <v>08-M03-04</v>
      </c>
      <c r="G12621">
        <v>0.87760000000000005</v>
      </c>
      <c r="H12621" t="s">
        <v>11</v>
      </c>
      <c r="I12621" t="s">
        <v>10</v>
      </c>
    </row>
    <row r="12622" spans="1:9" x14ac:dyDescent="0.25">
      <c r="A12622" t="str">
        <f t="shared" si="300"/>
        <v>89301000</v>
      </c>
      <c r="B12622" t="str">
        <f>"7809255685"</f>
        <v>7809255685</v>
      </c>
      <c r="C12622" s="1">
        <v>44935</v>
      </c>
      <c r="D12622" s="1">
        <v>44937</v>
      </c>
      <c r="E12622">
        <v>1</v>
      </c>
      <c r="F12622" t="str">
        <f>"05-I30-02"</f>
        <v>05-I30-02</v>
      </c>
      <c r="G12622">
        <v>0.41699999999999998</v>
      </c>
      <c r="H12622" t="s">
        <v>12</v>
      </c>
      <c r="I12622" t="s">
        <v>10</v>
      </c>
    </row>
    <row r="12623" spans="1:9" x14ac:dyDescent="0.25">
      <c r="A12623" t="str">
        <f t="shared" si="300"/>
        <v>89301000</v>
      </c>
      <c r="B12623" t="str">
        <f>"7809295384"</f>
        <v>7809295384</v>
      </c>
      <c r="C12623" s="1">
        <v>45011</v>
      </c>
      <c r="D12623" s="1">
        <v>45014</v>
      </c>
      <c r="E12623">
        <v>1</v>
      </c>
      <c r="F12623" t="str">
        <f>"08-I17-02"</f>
        <v>08-I17-02</v>
      </c>
      <c r="G12623">
        <v>0.89680000000000004</v>
      </c>
      <c r="H12623" t="s">
        <v>11</v>
      </c>
      <c r="I12623" t="s">
        <v>10</v>
      </c>
    </row>
    <row r="12624" spans="1:9" x14ac:dyDescent="0.25">
      <c r="A12624" t="str">
        <f t="shared" si="300"/>
        <v>89301000</v>
      </c>
      <c r="B12624" t="str">
        <f>"7810045353"</f>
        <v>7810045353</v>
      </c>
      <c r="C12624" s="1">
        <v>45083</v>
      </c>
      <c r="D12624" s="1">
        <v>45089</v>
      </c>
      <c r="E12624">
        <v>1</v>
      </c>
      <c r="F12624" t="str">
        <f>"03-K04-01"</f>
        <v>03-K04-01</v>
      </c>
      <c r="G12624">
        <v>0.46479999999999999</v>
      </c>
      <c r="H12624" t="s">
        <v>11</v>
      </c>
      <c r="I12624" t="s">
        <v>10</v>
      </c>
    </row>
    <row r="12625" spans="1:9" x14ac:dyDescent="0.25">
      <c r="A12625" t="str">
        <f t="shared" si="300"/>
        <v>89301000</v>
      </c>
      <c r="B12625" t="str">
        <f>"7810095315"</f>
        <v>7810095315</v>
      </c>
      <c r="C12625" s="1">
        <v>44938</v>
      </c>
      <c r="D12625" s="1">
        <v>44939</v>
      </c>
      <c r="E12625">
        <v>1</v>
      </c>
      <c r="F12625" t="str">
        <f>"01-K16-06"</f>
        <v>01-K16-06</v>
      </c>
      <c r="G12625">
        <v>0.27150000000000002</v>
      </c>
      <c r="H12625" t="s">
        <v>11</v>
      </c>
      <c r="I12625" t="s">
        <v>10</v>
      </c>
    </row>
    <row r="12626" spans="1:9" x14ac:dyDescent="0.25">
      <c r="A12626" t="str">
        <f t="shared" si="300"/>
        <v>89301000</v>
      </c>
      <c r="B12626" t="str">
        <f>"7810105820"</f>
        <v>7810105820</v>
      </c>
      <c r="C12626" s="1">
        <v>44951</v>
      </c>
      <c r="D12626" s="1">
        <v>44960</v>
      </c>
      <c r="E12626">
        <v>1</v>
      </c>
      <c r="F12626" t="str">
        <f>"08-I04-01"</f>
        <v>08-I04-01</v>
      </c>
      <c r="G12626">
        <v>2.7970000000000002</v>
      </c>
      <c r="H12626" t="s">
        <v>14</v>
      </c>
      <c r="I12626" t="s">
        <v>10</v>
      </c>
    </row>
    <row r="12627" spans="1:9" x14ac:dyDescent="0.25">
      <c r="A12627" t="str">
        <f t="shared" si="300"/>
        <v>89301000</v>
      </c>
      <c r="B12627" t="str">
        <f>"7810105820"</f>
        <v>7810105820</v>
      </c>
      <c r="C12627" s="1">
        <v>44978</v>
      </c>
      <c r="D12627" s="1">
        <v>44985</v>
      </c>
      <c r="E12627">
        <v>1</v>
      </c>
      <c r="F12627" t="str">
        <f>"08-I04-01"</f>
        <v>08-I04-01</v>
      </c>
      <c r="G12627">
        <v>2.7970000000000002</v>
      </c>
      <c r="H12627" t="s">
        <v>14</v>
      </c>
      <c r="I12627" t="s">
        <v>10</v>
      </c>
    </row>
    <row r="12628" spans="1:9" x14ac:dyDescent="0.25">
      <c r="A12628" t="str">
        <f t="shared" si="300"/>
        <v>89301000</v>
      </c>
      <c r="B12628" t="str">
        <f>"7810105820"</f>
        <v>7810105820</v>
      </c>
      <c r="C12628" s="1">
        <v>45019</v>
      </c>
      <c r="D12628" s="1">
        <v>45029</v>
      </c>
      <c r="E12628">
        <v>1</v>
      </c>
      <c r="F12628" t="str">
        <f>"04-I05-03"</f>
        <v>04-I05-03</v>
      </c>
      <c r="G12628">
        <v>2.1093999999999999</v>
      </c>
      <c r="H12628" t="s">
        <v>14</v>
      </c>
      <c r="I12628" t="s">
        <v>10</v>
      </c>
    </row>
    <row r="12629" spans="1:9" x14ac:dyDescent="0.25">
      <c r="A12629" t="str">
        <f t="shared" si="300"/>
        <v>89301000</v>
      </c>
      <c r="B12629" t="str">
        <f>"7810123497"</f>
        <v>7810123497</v>
      </c>
      <c r="C12629" s="1">
        <v>45193</v>
      </c>
      <c r="D12629" s="1">
        <v>45197</v>
      </c>
      <c r="E12629">
        <v>1</v>
      </c>
      <c r="F12629" t="str">
        <f>"07-I10-06"</f>
        <v>07-I10-06</v>
      </c>
      <c r="G12629">
        <v>0.98419999999999996</v>
      </c>
      <c r="H12629" t="s">
        <v>12</v>
      </c>
      <c r="I12629" t="s">
        <v>10</v>
      </c>
    </row>
    <row r="12630" spans="1:9" x14ac:dyDescent="0.25">
      <c r="A12630" t="str">
        <f t="shared" si="300"/>
        <v>89301000</v>
      </c>
      <c r="B12630" t="str">
        <f>"7810165308"</f>
        <v>7810165308</v>
      </c>
      <c r="C12630" s="1">
        <v>45038</v>
      </c>
      <c r="D12630" s="1">
        <v>45040</v>
      </c>
      <c r="E12630">
        <v>1</v>
      </c>
      <c r="F12630" t="str">
        <f>"08-I15-03"</f>
        <v>08-I15-03</v>
      </c>
      <c r="G12630">
        <v>0.94059999999999999</v>
      </c>
      <c r="H12630" t="s">
        <v>12</v>
      </c>
      <c r="I12630" t="s">
        <v>16</v>
      </c>
    </row>
    <row r="12631" spans="1:9" x14ac:dyDescent="0.25">
      <c r="A12631" t="str">
        <f t="shared" si="300"/>
        <v>89301000</v>
      </c>
      <c r="B12631" t="str">
        <f>"7810175329"</f>
        <v>7810175329</v>
      </c>
      <c r="C12631" s="1">
        <v>44983</v>
      </c>
      <c r="D12631" s="1">
        <v>44984</v>
      </c>
      <c r="E12631">
        <v>1</v>
      </c>
      <c r="F12631" t="str">
        <f>"01-K16-06"</f>
        <v>01-K16-06</v>
      </c>
      <c r="G12631">
        <v>0.27450000000000002</v>
      </c>
      <c r="H12631" t="s">
        <v>11</v>
      </c>
      <c r="I12631" t="s">
        <v>10</v>
      </c>
    </row>
    <row r="12632" spans="1:9" x14ac:dyDescent="0.25">
      <c r="A12632" t="str">
        <f t="shared" si="300"/>
        <v>89301000</v>
      </c>
      <c r="B12632" t="str">
        <f>"7810195327"</f>
        <v>7810195327</v>
      </c>
      <c r="C12632" s="1">
        <v>45131</v>
      </c>
      <c r="D12632" s="1">
        <v>45132</v>
      </c>
      <c r="E12632">
        <v>1</v>
      </c>
      <c r="F12632" t="str">
        <f>"01-D01-03"</f>
        <v>01-D01-03</v>
      </c>
      <c r="G12632">
        <v>0.16200000000000001</v>
      </c>
      <c r="H12632" t="s">
        <v>11</v>
      </c>
      <c r="I12632" t="s">
        <v>10</v>
      </c>
    </row>
    <row r="12633" spans="1:9" x14ac:dyDescent="0.25">
      <c r="A12633" t="str">
        <f t="shared" si="300"/>
        <v>89301000</v>
      </c>
      <c r="B12633" t="str">
        <f>"7810245817"</f>
        <v>7810245817</v>
      </c>
      <c r="C12633" s="1">
        <v>45175</v>
      </c>
      <c r="D12633" s="1">
        <v>45175</v>
      </c>
      <c r="E12633">
        <v>7</v>
      </c>
      <c r="F12633" t="str">
        <f>"18-K01-04"</f>
        <v>18-K01-04</v>
      </c>
      <c r="G12633">
        <v>0.77090000000000003</v>
      </c>
      <c r="H12633" t="s">
        <v>11</v>
      </c>
      <c r="I12633" t="s">
        <v>10</v>
      </c>
    </row>
    <row r="12634" spans="1:9" x14ac:dyDescent="0.25">
      <c r="A12634" t="str">
        <f t="shared" si="300"/>
        <v>89301000</v>
      </c>
      <c r="B12634" t="str">
        <f>"7810255761"</f>
        <v>7810255761</v>
      </c>
      <c r="C12634" s="1">
        <v>45182</v>
      </c>
      <c r="D12634" s="1">
        <v>45187</v>
      </c>
      <c r="E12634">
        <v>1</v>
      </c>
      <c r="F12634" t="str">
        <f>"04-K02-03"</f>
        <v>04-K02-03</v>
      </c>
      <c r="G12634">
        <v>1.298</v>
      </c>
      <c r="H12634" t="s">
        <v>11</v>
      </c>
      <c r="I12634" t="s">
        <v>10</v>
      </c>
    </row>
    <row r="12635" spans="1:9" x14ac:dyDescent="0.25">
      <c r="A12635" t="str">
        <f t="shared" si="300"/>
        <v>89301000</v>
      </c>
      <c r="B12635" t="str">
        <f>"7810255761"</f>
        <v>7810255761</v>
      </c>
      <c r="C12635" s="1">
        <v>45253</v>
      </c>
      <c r="D12635" s="1">
        <v>45259</v>
      </c>
      <c r="E12635">
        <v>1</v>
      </c>
      <c r="F12635" t="str">
        <f>"09-K14-02"</f>
        <v>09-K14-02</v>
      </c>
      <c r="G12635">
        <v>0.5</v>
      </c>
      <c r="H12635" t="s">
        <v>11</v>
      </c>
      <c r="I12635" t="s">
        <v>10</v>
      </c>
    </row>
    <row r="12636" spans="1:9" x14ac:dyDescent="0.25">
      <c r="A12636" t="str">
        <f t="shared" ref="A12636:A12698" si="301">"89301000"</f>
        <v>89301000</v>
      </c>
      <c r="B12636" t="str">
        <f>"7810305327"</f>
        <v>7810305327</v>
      </c>
      <c r="C12636" s="1">
        <v>45274</v>
      </c>
      <c r="D12636" s="1">
        <v>45276</v>
      </c>
      <c r="E12636">
        <v>1</v>
      </c>
      <c r="F12636" t="str">
        <f>"08-I32-00"</f>
        <v>08-I32-00</v>
      </c>
      <c r="G12636">
        <v>0.4093</v>
      </c>
      <c r="H12636" t="s">
        <v>11</v>
      </c>
      <c r="I12636" t="s">
        <v>10</v>
      </c>
    </row>
    <row r="12637" spans="1:9" x14ac:dyDescent="0.25">
      <c r="A12637" t="str">
        <f t="shared" si="301"/>
        <v>89301000</v>
      </c>
      <c r="B12637" t="str">
        <f>"7811145320"</f>
        <v>7811145320</v>
      </c>
      <c r="C12637" s="1">
        <v>45036</v>
      </c>
      <c r="D12637" s="1">
        <v>45037</v>
      </c>
      <c r="E12637">
        <v>1</v>
      </c>
      <c r="F12637" t="str">
        <f>"01-K01-02"</f>
        <v>01-K01-02</v>
      </c>
      <c r="G12637">
        <v>0.442</v>
      </c>
      <c r="H12637" t="s">
        <v>11</v>
      </c>
      <c r="I12637" t="s">
        <v>10</v>
      </c>
    </row>
    <row r="12638" spans="1:9" x14ac:dyDescent="0.25">
      <c r="A12638" t="str">
        <f t="shared" si="301"/>
        <v>89301000</v>
      </c>
      <c r="B12638" t="str">
        <f>"7811145320"</f>
        <v>7811145320</v>
      </c>
      <c r="C12638" s="1">
        <v>45050</v>
      </c>
      <c r="D12638" s="1">
        <v>45051</v>
      </c>
      <c r="E12638">
        <v>1</v>
      </c>
      <c r="F12638" t="str">
        <f>"01-K01-02"</f>
        <v>01-K01-02</v>
      </c>
      <c r="G12638">
        <v>0.442</v>
      </c>
      <c r="H12638" t="s">
        <v>11</v>
      </c>
      <c r="I12638" t="s">
        <v>10</v>
      </c>
    </row>
    <row r="12639" spans="1:9" x14ac:dyDescent="0.25">
      <c r="A12639" t="str">
        <f t="shared" si="301"/>
        <v>89301000</v>
      </c>
      <c r="B12639" t="str">
        <f>"7811145320"</f>
        <v>7811145320</v>
      </c>
      <c r="C12639" s="1">
        <v>45100</v>
      </c>
      <c r="D12639" s="1">
        <v>45103</v>
      </c>
      <c r="E12639">
        <v>1</v>
      </c>
      <c r="F12639" t="str">
        <f>"01-K01-02"</f>
        <v>01-K01-02</v>
      </c>
      <c r="G12639">
        <v>0.442</v>
      </c>
      <c r="H12639" t="s">
        <v>11</v>
      </c>
      <c r="I12639" t="s">
        <v>10</v>
      </c>
    </row>
    <row r="12640" spans="1:9" x14ac:dyDescent="0.25">
      <c r="A12640" t="str">
        <f t="shared" si="301"/>
        <v>89301000</v>
      </c>
      <c r="B12640" t="str">
        <f>"7812094884"</f>
        <v>7812094884</v>
      </c>
      <c r="C12640" s="1">
        <v>45015</v>
      </c>
      <c r="D12640" s="1">
        <v>45019</v>
      </c>
      <c r="E12640">
        <v>1</v>
      </c>
      <c r="F12640" t="str">
        <f>"05-M08-00"</f>
        <v>05-M08-00</v>
      </c>
      <c r="G12640">
        <v>2.2810000000000001</v>
      </c>
      <c r="H12640" t="s">
        <v>12</v>
      </c>
      <c r="I12640" t="s">
        <v>10</v>
      </c>
    </row>
    <row r="12641" spans="1:9" x14ac:dyDescent="0.25">
      <c r="A12641" t="str">
        <f t="shared" si="301"/>
        <v>89301000</v>
      </c>
      <c r="B12641" t="str">
        <f>"7812095335"</f>
        <v>7812095335</v>
      </c>
      <c r="C12641" s="1">
        <v>45202</v>
      </c>
      <c r="D12641" s="1">
        <v>45205</v>
      </c>
      <c r="E12641">
        <v>1</v>
      </c>
      <c r="F12641" t="str">
        <f>"08-I17-02"</f>
        <v>08-I17-02</v>
      </c>
      <c r="G12641">
        <v>0.89680000000000004</v>
      </c>
      <c r="H12641" t="s">
        <v>11</v>
      </c>
      <c r="I12641" t="s">
        <v>10</v>
      </c>
    </row>
    <row r="12642" spans="1:9" x14ac:dyDescent="0.25">
      <c r="A12642" t="str">
        <f t="shared" si="301"/>
        <v>89301000</v>
      </c>
      <c r="B12642" t="str">
        <f>"7812125310"</f>
        <v>7812125310</v>
      </c>
      <c r="C12642" s="1">
        <v>44993</v>
      </c>
      <c r="D12642" s="1">
        <v>45014</v>
      </c>
      <c r="E12642">
        <v>1</v>
      </c>
      <c r="F12642" t="str">
        <f>"19-K05-02"</f>
        <v>19-K05-02</v>
      </c>
      <c r="G12642">
        <v>1.7688999999999999</v>
      </c>
      <c r="H12642" t="s">
        <v>15</v>
      </c>
      <c r="I12642" t="s">
        <v>10</v>
      </c>
    </row>
    <row r="12643" spans="1:9" x14ac:dyDescent="0.25">
      <c r="A12643" t="str">
        <f t="shared" si="301"/>
        <v>89301000</v>
      </c>
      <c r="B12643" t="str">
        <f>"7812224464"</f>
        <v>7812224464</v>
      </c>
      <c r="C12643" s="1">
        <v>45215</v>
      </c>
      <c r="D12643" s="1">
        <v>45223</v>
      </c>
      <c r="E12643">
        <v>1</v>
      </c>
      <c r="F12643" t="str">
        <f>"05-I16-06"</f>
        <v>05-I16-06</v>
      </c>
      <c r="G12643">
        <v>5.6303000000000001</v>
      </c>
      <c r="H12643" t="s">
        <v>14</v>
      </c>
      <c r="I12643" t="s">
        <v>10</v>
      </c>
    </row>
    <row r="12644" spans="1:9" x14ac:dyDescent="0.25">
      <c r="A12644" t="str">
        <f t="shared" si="301"/>
        <v>89301000</v>
      </c>
      <c r="B12644" t="str">
        <f>"7812224464"</f>
        <v>7812224464</v>
      </c>
      <c r="C12644" s="1">
        <v>45161</v>
      </c>
      <c r="D12644" s="1">
        <v>45162</v>
      </c>
      <c r="E12644">
        <v>1</v>
      </c>
      <c r="F12644" t="str">
        <f>"05-D01-08"</f>
        <v>05-D01-08</v>
      </c>
      <c r="G12644">
        <v>0.43159999999999998</v>
      </c>
      <c r="H12644" t="s">
        <v>11</v>
      </c>
      <c r="I12644" t="s">
        <v>10</v>
      </c>
    </row>
    <row r="12645" spans="1:9" x14ac:dyDescent="0.25">
      <c r="A12645" t="str">
        <f t="shared" si="301"/>
        <v>89301000</v>
      </c>
      <c r="B12645" t="str">
        <f>"7812255308"</f>
        <v>7812255308</v>
      </c>
      <c r="C12645" s="1">
        <v>44975</v>
      </c>
      <c r="D12645" s="1">
        <v>44977</v>
      </c>
      <c r="E12645">
        <v>1</v>
      </c>
      <c r="F12645" t="str">
        <f>"08-I16-02"</f>
        <v>08-I16-02</v>
      </c>
      <c r="G12645">
        <v>1.8476999999999999</v>
      </c>
      <c r="H12645" t="s">
        <v>12</v>
      </c>
      <c r="I12645" t="s">
        <v>10</v>
      </c>
    </row>
    <row r="12646" spans="1:9" x14ac:dyDescent="0.25">
      <c r="A12646" t="str">
        <f t="shared" si="301"/>
        <v>89301000</v>
      </c>
      <c r="B12646" t="str">
        <f>"7851025765"</f>
        <v>7851025765</v>
      </c>
      <c r="C12646" s="1">
        <v>44944</v>
      </c>
      <c r="D12646" s="1">
        <v>44945</v>
      </c>
      <c r="E12646">
        <v>1</v>
      </c>
      <c r="F12646" t="str">
        <f>"05-M05-03"</f>
        <v>05-M05-03</v>
      </c>
      <c r="G12646">
        <v>2.0312999999999999</v>
      </c>
      <c r="H12646" t="s">
        <v>14</v>
      </c>
      <c r="I12646" t="s">
        <v>10</v>
      </c>
    </row>
    <row r="12647" spans="1:9" x14ac:dyDescent="0.25">
      <c r="A12647" t="str">
        <f t="shared" si="301"/>
        <v>89301000</v>
      </c>
      <c r="B12647" t="str">
        <f>"7851035357"</f>
        <v>7851035357</v>
      </c>
      <c r="C12647" s="1">
        <v>45015</v>
      </c>
      <c r="D12647" s="1">
        <v>45019</v>
      </c>
      <c r="E12647">
        <v>1</v>
      </c>
      <c r="F12647" t="str">
        <f>"13-I11-03"</f>
        <v>13-I11-03</v>
      </c>
      <c r="G12647">
        <v>1.4332</v>
      </c>
      <c r="H12647" t="s">
        <v>9</v>
      </c>
      <c r="I12647" t="s">
        <v>10</v>
      </c>
    </row>
    <row r="12648" spans="1:9" x14ac:dyDescent="0.25">
      <c r="A12648" t="str">
        <f t="shared" si="301"/>
        <v>89301000</v>
      </c>
      <c r="B12648" t="str">
        <f>"7851045356"</f>
        <v>7851045356</v>
      </c>
      <c r="C12648" s="1">
        <v>45210</v>
      </c>
      <c r="D12648" s="1">
        <v>45215</v>
      </c>
      <c r="E12648">
        <v>1</v>
      </c>
      <c r="F12648" t="str">
        <f>"13-I04-01"</f>
        <v>13-I04-01</v>
      </c>
      <c r="G12648">
        <v>2.8856000000000002</v>
      </c>
      <c r="H12648" t="s">
        <v>14</v>
      </c>
      <c r="I12648" t="s">
        <v>10</v>
      </c>
    </row>
    <row r="12649" spans="1:9" x14ac:dyDescent="0.25">
      <c r="A12649" t="str">
        <f t="shared" si="301"/>
        <v>89301000</v>
      </c>
      <c r="B12649" t="str">
        <f>"7851075375"</f>
        <v>7851075375</v>
      </c>
      <c r="C12649" s="1">
        <v>45104</v>
      </c>
      <c r="D12649" s="1">
        <v>45107</v>
      </c>
      <c r="E12649">
        <v>1</v>
      </c>
      <c r="F12649" t="str">
        <f>"06-I22-02"</f>
        <v>06-I22-02</v>
      </c>
      <c r="G12649">
        <v>0.41810000000000003</v>
      </c>
      <c r="H12649" t="s">
        <v>12</v>
      </c>
      <c r="I12649" t="s">
        <v>10</v>
      </c>
    </row>
    <row r="12650" spans="1:9" x14ac:dyDescent="0.25">
      <c r="A12650" t="str">
        <f t="shared" si="301"/>
        <v>89301000</v>
      </c>
      <c r="B12650" t="str">
        <f>"7851084670"</f>
        <v>7851084670</v>
      </c>
      <c r="C12650" s="1">
        <v>45270</v>
      </c>
      <c r="D12650" s="1">
        <v>45271</v>
      </c>
      <c r="E12650">
        <v>1</v>
      </c>
      <c r="F12650" t="str">
        <f>"10-K05-02"</f>
        <v>10-K05-02</v>
      </c>
      <c r="G12650">
        <v>0.4597</v>
      </c>
      <c r="H12650" t="s">
        <v>11</v>
      </c>
      <c r="I12650" t="s">
        <v>10</v>
      </c>
    </row>
    <row r="12651" spans="1:9" x14ac:dyDescent="0.25">
      <c r="A12651" t="str">
        <f t="shared" si="301"/>
        <v>89301000</v>
      </c>
      <c r="B12651" t="str">
        <f>"7851104459"</f>
        <v>7851104459</v>
      </c>
      <c r="C12651" s="1">
        <v>44957</v>
      </c>
      <c r="D12651" s="1">
        <v>44960</v>
      </c>
      <c r="E12651">
        <v>1</v>
      </c>
      <c r="F12651" t="str">
        <f>"13-I11-03"</f>
        <v>13-I11-03</v>
      </c>
      <c r="G12651">
        <v>1.4332</v>
      </c>
      <c r="H12651" t="s">
        <v>9</v>
      </c>
      <c r="I12651" t="s">
        <v>10</v>
      </c>
    </row>
    <row r="12652" spans="1:9" x14ac:dyDescent="0.25">
      <c r="A12652" t="str">
        <f t="shared" si="301"/>
        <v>89301000</v>
      </c>
      <c r="B12652" t="str">
        <f>"7851135325"</f>
        <v>7851135325</v>
      </c>
      <c r="C12652" s="1">
        <v>45278</v>
      </c>
      <c r="D12652" s="1">
        <v>45279</v>
      </c>
      <c r="E12652">
        <v>1</v>
      </c>
      <c r="F12652" t="str">
        <f>"01-I03-02"</f>
        <v>01-I03-02</v>
      </c>
      <c r="G12652">
        <v>7.0559000000000003</v>
      </c>
      <c r="H12652" t="s">
        <v>14</v>
      </c>
      <c r="I12652" t="s">
        <v>10</v>
      </c>
    </row>
    <row r="12653" spans="1:9" x14ac:dyDescent="0.25">
      <c r="A12653" t="str">
        <f t="shared" si="301"/>
        <v>89301000</v>
      </c>
      <c r="B12653" t="str">
        <f>"7851135325"</f>
        <v>7851135325</v>
      </c>
      <c r="C12653" s="1">
        <v>45258</v>
      </c>
      <c r="D12653" s="1">
        <v>45259</v>
      </c>
      <c r="E12653">
        <v>1</v>
      </c>
      <c r="F12653" t="str">
        <f>"01-I03-03"</f>
        <v>01-I03-03</v>
      </c>
      <c r="G12653">
        <v>2.0834000000000001</v>
      </c>
      <c r="H12653" t="s">
        <v>14</v>
      </c>
      <c r="I12653" t="s">
        <v>10</v>
      </c>
    </row>
    <row r="12654" spans="1:9" x14ac:dyDescent="0.25">
      <c r="A12654" t="str">
        <f t="shared" si="301"/>
        <v>89301000</v>
      </c>
      <c r="B12654" t="str">
        <f>"7851135325"</f>
        <v>7851135325</v>
      </c>
      <c r="C12654" s="1">
        <v>44935</v>
      </c>
      <c r="D12654" s="1">
        <v>44938</v>
      </c>
      <c r="E12654">
        <v>1</v>
      </c>
      <c r="F12654" t="str">
        <f>"08-I03-08"</f>
        <v>08-I03-08</v>
      </c>
      <c r="G12654">
        <v>1.9455</v>
      </c>
      <c r="H12654" t="s">
        <v>9</v>
      </c>
      <c r="I12654" t="s">
        <v>10</v>
      </c>
    </row>
    <row r="12655" spans="1:9" x14ac:dyDescent="0.25">
      <c r="A12655" t="str">
        <f t="shared" si="301"/>
        <v>89301000</v>
      </c>
      <c r="B12655" t="str">
        <f>"7851165366"</f>
        <v>7851165366</v>
      </c>
      <c r="C12655" s="1">
        <v>45015</v>
      </c>
      <c r="D12655" s="1">
        <v>45018</v>
      </c>
      <c r="E12655">
        <v>1</v>
      </c>
      <c r="F12655" t="str">
        <f>"09-I09-02"</f>
        <v>09-I09-02</v>
      </c>
      <c r="G12655">
        <v>0.76900000000000002</v>
      </c>
      <c r="H12655" t="s">
        <v>12</v>
      </c>
      <c r="I12655" t="s">
        <v>10</v>
      </c>
    </row>
    <row r="12656" spans="1:9" x14ac:dyDescent="0.25">
      <c r="A12656" t="str">
        <f t="shared" si="301"/>
        <v>89301000</v>
      </c>
      <c r="B12656" t="str">
        <f>"7851195308"</f>
        <v>7851195308</v>
      </c>
      <c r="C12656" s="1">
        <v>45068</v>
      </c>
      <c r="D12656" s="1">
        <v>45072</v>
      </c>
      <c r="E12656">
        <v>1</v>
      </c>
      <c r="F12656" t="str">
        <f>"10-I13-02"</f>
        <v>10-I13-02</v>
      </c>
      <c r="G12656">
        <v>1.1124000000000001</v>
      </c>
      <c r="H12656" t="s">
        <v>9</v>
      </c>
      <c r="I12656" t="s">
        <v>10</v>
      </c>
    </row>
    <row r="12657" spans="1:9" x14ac:dyDescent="0.25">
      <c r="A12657" t="str">
        <f t="shared" si="301"/>
        <v>89301000</v>
      </c>
      <c r="B12657" t="str">
        <f>"7851195308"</f>
        <v>7851195308</v>
      </c>
      <c r="C12657" s="1">
        <v>45266</v>
      </c>
      <c r="D12657" s="1">
        <v>45271</v>
      </c>
      <c r="E12657">
        <v>1</v>
      </c>
      <c r="F12657" t="str">
        <f>"23-K05-01"</f>
        <v>23-K05-01</v>
      </c>
      <c r="G12657">
        <v>0.56269999999999998</v>
      </c>
      <c r="H12657" t="s">
        <v>11</v>
      </c>
      <c r="I12657" t="s">
        <v>10</v>
      </c>
    </row>
    <row r="12658" spans="1:9" x14ac:dyDescent="0.25">
      <c r="A12658" t="str">
        <f t="shared" si="301"/>
        <v>89301000</v>
      </c>
      <c r="B12658" t="str">
        <f>"7851204416"</f>
        <v>7851204416</v>
      </c>
      <c r="C12658" s="1">
        <v>45212</v>
      </c>
      <c r="D12658" s="1">
        <v>45216</v>
      </c>
      <c r="E12658">
        <v>1</v>
      </c>
      <c r="F12658" t="str">
        <f>"08-I04-03"</f>
        <v>08-I04-03</v>
      </c>
      <c r="G12658">
        <v>1.3045</v>
      </c>
      <c r="H12658" t="s">
        <v>14</v>
      </c>
      <c r="I12658" t="s">
        <v>10</v>
      </c>
    </row>
    <row r="12659" spans="1:9" x14ac:dyDescent="0.25">
      <c r="A12659" t="str">
        <f t="shared" si="301"/>
        <v>89301000</v>
      </c>
      <c r="B12659" t="str">
        <f>"7851303768"</f>
        <v>7851303768</v>
      </c>
      <c r="C12659" s="1">
        <v>44951</v>
      </c>
      <c r="D12659" s="1">
        <v>44952</v>
      </c>
      <c r="E12659">
        <v>1</v>
      </c>
      <c r="F12659" t="str">
        <f>"05-M03-00"</f>
        <v>05-M03-00</v>
      </c>
      <c r="G12659">
        <v>3.4253999999999998</v>
      </c>
      <c r="H12659" t="s">
        <v>14</v>
      </c>
      <c r="I12659" t="s">
        <v>10</v>
      </c>
    </row>
    <row r="12660" spans="1:9" x14ac:dyDescent="0.25">
      <c r="A12660" t="str">
        <f t="shared" si="301"/>
        <v>89301000</v>
      </c>
      <c r="B12660" t="str">
        <f>"7852085340"</f>
        <v>7852085340</v>
      </c>
      <c r="C12660" s="1">
        <v>45203</v>
      </c>
      <c r="D12660" s="1">
        <v>45206</v>
      </c>
      <c r="E12660">
        <v>1</v>
      </c>
      <c r="F12660" t="str">
        <f>"13-I14-03"</f>
        <v>13-I14-03</v>
      </c>
      <c r="G12660">
        <v>0.87760000000000005</v>
      </c>
      <c r="H12660" t="s">
        <v>9</v>
      </c>
      <c r="I12660" t="s">
        <v>10</v>
      </c>
    </row>
    <row r="12661" spans="1:9" x14ac:dyDescent="0.25">
      <c r="A12661" t="str">
        <f t="shared" si="301"/>
        <v>89301000</v>
      </c>
      <c r="B12661" t="str">
        <f>"7852164199"</f>
        <v>7852164199</v>
      </c>
      <c r="C12661" s="1">
        <v>45210</v>
      </c>
      <c r="D12661" s="1">
        <v>45216</v>
      </c>
      <c r="E12661">
        <v>1</v>
      </c>
      <c r="F12661" t="str">
        <f>"24-M06-02"</f>
        <v>24-M06-02</v>
      </c>
      <c r="G12661">
        <v>1.0699000000000001</v>
      </c>
      <c r="H12661" t="s">
        <v>11</v>
      </c>
      <c r="I12661" t="s">
        <v>10</v>
      </c>
    </row>
    <row r="12662" spans="1:9" x14ac:dyDescent="0.25">
      <c r="A12662" t="str">
        <f t="shared" si="301"/>
        <v>89301000</v>
      </c>
      <c r="B12662" t="str">
        <f>"7852164199"</f>
        <v>7852164199</v>
      </c>
      <c r="C12662" s="1">
        <v>45177</v>
      </c>
      <c r="D12662" s="1">
        <v>45181</v>
      </c>
      <c r="E12662">
        <v>1</v>
      </c>
      <c r="F12662" t="str">
        <f>"08-I03-06"</f>
        <v>08-I03-06</v>
      </c>
      <c r="G12662">
        <v>3.2523</v>
      </c>
      <c r="H12662" t="s">
        <v>9</v>
      </c>
      <c r="I12662" t="s">
        <v>10</v>
      </c>
    </row>
    <row r="12663" spans="1:9" x14ac:dyDescent="0.25">
      <c r="A12663" t="str">
        <f t="shared" si="301"/>
        <v>89301000</v>
      </c>
      <c r="B12663" t="str">
        <f>"7852185341"</f>
        <v>7852185341</v>
      </c>
      <c r="C12663" s="1">
        <v>45180</v>
      </c>
      <c r="D12663" s="1">
        <v>45182</v>
      </c>
      <c r="E12663">
        <v>1</v>
      </c>
      <c r="F12663" t="str">
        <f>"05-I14-04"</f>
        <v>05-I14-04</v>
      </c>
      <c r="G12663">
        <v>5.2220000000000004</v>
      </c>
      <c r="H12663" t="s">
        <v>12</v>
      </c>
      <c r="I12663" t="s">
        <v>10</v>
      </c>
    </row>
    <row r="12664" spans="1:9" x14ac:dyDescent="0.25">
      <c r="A12664" t="str">
        <f t="shared" si="301"/>
        <v>89301000</v>
      </c>
      <c r="B12664" t="str">
        <f>"7852185341"</f>
        <v>7852185341</v>
      </c>
      <c r="C12664" s="1">
        <v>45111</v>
      </c>
      <c r="D12664" s="1">
        <v>45114</v>
      </c>
      <c r="E12664">
        <v>1</v>
      </c>
      <c r="F12664" t="str">
        <f>"05-D01-04"</f>
        <v>05-D01-04</v>
      </c>
      <c r="G12664">
        <v>2.6101999999999999</v>
      </c>
      <c r="H12664" t="s">
        <v>11</v>
      </c>
      <c r="I12664" t="s">
        <v>10</v>
      </c>
    </row>
    <row r="12665" spans="1:9" x14ac:dyDescent="0.25">
      <c r="A12665" t="str">
        <f t="shared" si="301"/>
        <v>89301000</v>
      </c>
      <c r="B12665" t="str">
        <f>"7852205185"</f>
        <v>7852205185</v>
      </c>
      <c r="C12665" s="1">
        <v>45068</v>
      </c>
      <c r="D12665" s="1">
        <v>45070</v>
      </c>
      <c r="E12665">
        <v>1</v>
      </c>
      <c r="F12665" t="str">
        <f>"09-I06-04"</f>
        <v>09-I06-04</v>
      </c>
      <c r="G12665">
        <v>0.95069999999999999</v>
      </c>
      <c r="H12665" t="s">
        <v>12</v>
      </c>
      <c r="I12665" t="s">
        <v>10</v>
      </c>
    </row>
    <row r="12666" spans="1:9" x14ac:dyDescent="0.25">
      <c r="A12666" t="str">
        <f t="shared" si="301"/>
        <v>89301000</v>
      </c>
      <c r="B12666" t="str">
        <f>"7852205185"</f>
        <v>7852205185</v>
      </c>
      <c r="C12666" s="1">
        <v>45086</v>
      </c>
      <c r="D12666" s="1">
        <v>45087</v>
      </c>
      <c r="E12666">
        <v>1</v>
      </c>
      <c r="F12666" t="str">
        <f>"09-I09-02"</f>
        <v>09-I09-02</v>
      </c>
      <c r="G12666">
        <v>0.76900000000000002</v>
      </c>
      <c r="H12666" t="s">
        <v>12</v>
      </c>
      <c r="I12666" t="s">
        <v>10</v>
      </c>
    </row>
    <row r="12667" spans="1:9" x14ac:dyDescent="0.25">
      <c r="A12667" t="str">
        <f t="shared" si="301"/>
        <v>89301000</v>
      </c>
      <c r="B12667" t="str">
        <f>"7852205790"</f>
        <v>7852205790</v>
      </c>
      <c r="C12667" s="1">
        <v>45222</v>
      </c>
      <c r="D12667" s="1">
        <v>45225</v>
      </c>
      <c r="E12667">
        <v>1</v>
      </c>
      <c r="F12667" t="str">
        <f>"08-K08-00"</f>
        <v>08-K08-00</v>
      </c>
      <c r="G12667">
        <v>0.5272</v>
      </c>
      <c r="H12667" t="s">
        <v>11</v>
      </c>
      <c r="I12667" t="s">
        <v>10</v>
      </c>
    </row>
    <row r="12668" spans="1:9" x14ac:dyDescent="0.25">
      <c r="A12668" t="str">
        <f t="shared" si="301"/>
        <v>89301000</v>
      </c>
      <c r="B12668" t="str">
        <f>"7852215349"</f>
        <v>7852215349</v>
      </c>
      <c r="C12668" s="1">
        <v>45202</v>
      </c>
      <c r="D12668" s="1">
        <v>45205</v>
      </c>
      <c r="E12668">
        <v>1</v>
      </c>
      <c r="F12668" t="str">
        <f>"13-I14-03"</f>
        <v>13-I14-03</v>
      </c>
      <c r="G12668">
        <v>0.87760000000000005</v>
      </c>
      <c r="H12668" t="s">
        <v>9</v>
      </c>
      <c r="I12668" t="s">
        <v>10</v>
      </c>
    </row>
    <row r="12669" spans="1:9" x14ac:dyDescent="0.25">
      <c r="A12669" t="str">
        <f t="shared" si="301"/>
        <v>89301000</v>
      </c>
      <c r="B12669" t="str">
        <f>"7852264475"</f>
        <v>7852264475</v>
      </c>
      <c r="C12669" s="1">
        <v>45230</v>
      </c>
      <c r="D12669" s="1">
        <v>45239</v>
      </c>
      <c r="E12669">
        <v>1</v>
      </c>
      <c r="F12669" t="str">
        <f>"06-I05-01"</f>
        <v>06-I05-01</v>
      </c>
      <c r="G12669">
        <v>3.8811</v>
      </c>
      <c r="H12669" t="s">
        <v>12</v>
      </c>
      <c r="I12669" t="s">
        <v>10</v>
      </c>
    </row>
    <row r="12670" spans="1:9" x14ac:dyDescent="0.25">
      <c r="A12670" t="str">
        <f t="shared" si="301"/>
        <v>89301000</v>
      </c>
      <c r="B12670" t="str">
        <f>"7853033683"</f>
        <v>7853033683</v>
      </c>
      <c r="C12670" s="1">
        <v>45273</v>
      </c>
      <c r="D12670" s="1">
        <v>45279</v>
      </c>
      <c r="E12670">
        <v>1</v>
      </c>
      <c r="F12670" t="str">
        <f>"01-I03-03"</f>
        <v>01-I03-03</v>
      </c>
      <c r="G12670">
        <v>2.0834000000000001</v>
      </c>
      <c r="H12670" t="s">
        <v>14</v>
      </c>
      <c r="I12670" t="s">
        <v>10</v>
      </c>
    </row>
    <row r="12671" spans="1:9" x14ac:dyDescent="0.25">
      <c r="A12671" t="str">
        <f t="shared" si="301"/>
        <v>89301000</v>
      </c>
      <c r="B12671" t="str">
        <f>"7853034508"</f>
        <v>7853034508</v>
      </c>
      <c r="C12671" s="1">
        <v>45014</v>
      </c>
      <c r="D12671" s="1">
        <v>45019</v>
      </c>
      <c r="E12671">
        <v>1</v>
      </c>
      <c r="F12671" t="str">
        <f>"09-I08-01"</f>
        <v>09-I08-01</v>
      </c>
      <c r="G12671">
        <v>1.2547999999999999</v>
      </c>
      <c r="H12671" t="s">
        <v>14</v>
      </c>
      <c r="I12671" t="s">
        <v>10</v>
      </c>
    </row>
    <row r="12672" spans="1:9" x14ac:dyDescent="0.25">
      <c r="A12672" t="str">
        <f t="shared" si="301"/>
        <v>89301000</v>
      </c>
      <c r="B12672" t="str">
        <f>"7853034508"</f>
        <v>7853034508</v>
      </c>
      <c r="C12672" s="1">
        <v>45224</v>
      </c>
      <c r="D12672" s="1">
        <v>45229</v>
      </c>
      <c r="E12672">
        <v>1</v>
      </c>
      <c r="F12672" t="str">
        <f>"09-I08-02"</f>
        <v>09-I08-02</v>
      </c>
      <c r="G12672">
        <v>1.1136999999999999</v>
      </c>
      <c r="H12672" t="s">
        <v>14</v>
      </c>
      <c r="I12672" t="s">
        <v>10</v>
      </c>
    </row>
    <row r="12673" spans="1:9" x14ac:dyDescent="0.25">
      <c r="A12673" t="str">
        <f t="shared" si="301"/>
        <v>89301000</v>
      </c>
      <c r="B12673" t="str">
        <f>"7853035366"</f>
        <v>7853035366</v>
      </c>
      <c r="C12673" s="1">
        <v>45160</v>
      </c>
      <c r="D12673" s="1">
        <v>45163</v>
      </c>
      <c r="E12673">
        <v>1</v>
      </c>
      <c r="F12673" t="str">
        <f>"09-I07-02"</f>
        <v>09-I07-02</v>
      </c>
      <c r="G12673">
        <v>1.3452999999999999</v>
      </c>
      <c r="H12673" t="s">
        <v>14</v>
      </c>
      <c r="I12673" t="s">
        <v>10</v>
      </c>
    </row>
    <row r="12674" spans="1:9" x14ac:dyDescent="0.25">
      <c r="A12674" t="str">
        <f t="shared" si="301"/>
        <v>89301000</v>
      </c>
      <c r="B12674" t="str">
        <f>"7853115347"</f>
        <v>7853115347</v>
      </c>
      <c r="C12674" s="1">
        <v>45189</v>
      </c>
      <c r="D12674" s="1">
        <v>45190</v>
      </c>
      <c r="E12674">
        <v>1</v>
      </c>
      <c r="F12674" t="str">
        <f>"13-I19-00"</f>
        <v>13-I19-00</v>
      </c>
      <c r="G12674">
        <v>0.28249999999999997</v>
      </c>
      <c r="H12674" t="s">
        <v>11</v>
      </c>
      <c r="I12674" t="s">
        <v>10</v>
      </c>
    </row>
    <row r="12675" spans="1:9" x14ac:dyDescent="0.25">
      <c r="A12675" t="str">
        <f t="shared" si="301"/>
        <v>89301000</v>
      </c>
      <c r="B12675" t="str">
        <f>"7853115347"</f>
        <v>7853115347</v>
      </c>
      <c r="C12675" s="1">
        <v>45195</v>
      </c>
      <c r="D12675" s="1">
        <v>45203</v>
      </c>
      <c r="E12675">
        <v>1</v>
      </c>
      <c r="F12675" t="str">
        <f>"13-K01-02"</f>
        <v>13-K01-02</v>
      </c>
      <c r="G12675">
        <v>0.48220000000000002</v>
      </c>
      <c r="H12675" t="s">
        <v>11</v>
      </c>
      <c r="I12675" t="s">
        <v>10</v>
      </c>
    </row>
    <row r="12676" spans="1:9" x14ac:dyDescent="0.25">
      <c r="A12676" t="str">
        <f t="shared" si="301"/>
        <v>89301000</v>
      </c>
      <c r="B12676" t="str">
        <f>"7853145311"</f>
        <v>7853145311</v>
      </c>
      <c r="C12676" s="1">
        <v>45201</v>
      </c>
      <c r="D12676" s="1">
        <v>45203</v>
      </c>
      <c r="E12676">
        <v>1</v>
      </c>
      <c r="F12676" t="str">
        <f>"08-I26-03"</f>
        <v>08-I26-03</v>
      </c>
      <c r="G12676">
        <v>0.47610000000000002</v>
      </c>
      <c r="H12676" t="s">
        <v>11</v>
      </c>
      <c r="I12676" t="s">
        <v>10</v>
      </c>
    </row>
    <row r="12677" spans="1:9" x14ac:dyDescent="0.25">
      <c r="A12677" t="str">
        <f t="shared" si="301"/>
        <v>89301000</v>
      </c>
      <c r="B12677" t="str">
        <f>"7853214193"</f>
        <v>7853214193</v>
      </c>
      <c r="C12677" s="1">
        <v>44974</v>
      </c>
      <c r="D12677" s="1">
        <v>44985</v>
      </c>
      <c r="E12677">
        <v>1</v>
      </c>
      <c r="F12677" t="str">
        <f>"06-K14-02"</f>
        <v>06-K14-02</v>
      </c>
      <c r="G12677">
        <v>0.61380000000000001</v>
      </c>
      <c r="H12677" t="s">
        <v>11</v>
      </c>
      <c r="I12677" t="s">
        <v>10</v>
      </c>
    </row>
    <row r="12678" spans="1:9" x14ac:dyDescent="0.25">
      <c r="A12678" t="str">
        <f t="shared" si="301"/>
        <v>89301000</v>
      </c>
      <c r="B12678" t="str">
        <f>"7854014476"</f>
        <v>7854014476</v>
      </c>
      <c r="C12678" s="1">
        <v>45257</v>
      </c>
      <c r="D12678" s="1">
        <v>45257</v>
      </c>
      <c r="E12678">
        <v>1</v>
      </c>
      <c r="F12678" t="str">
        <f>"09-K16-00"</f>
        <v>09-K16-00</v>
      </c>
      <c r="G12678">
        <v>0.30809999999999998</v>
      </c>
      <c r="H12678" t="s">
        <v>11</v>
      </c>
      <c r="I12678" t="s">
        <v>10</v>
      </c>
    </row>
    <row r="12679" spans="1:9" x14ac:dyDescent="0.25">
      <c r="A12679" t="str">
        <f t="shared" si="301"/>
        <v>89301000</v>
      </c>
      <c r="B12679" t="str">
        <f>"7854035332"</f>
        <v>7854035332</v>
      </c>
      <c r="C12679" s="1">
        <v>44985</v>
      </c>
      <c r="D12679" s="1">
        <v>44985</v>
      </c>
      <c r="E12679">
        <v>1</v>
      </c>
      <c r="F12679" t="str">
        <f>"05-I14-04"</f>
        <v>05-I14-04</v>
      </c>
      <c r="G12679">
        <v>4.9752000000000001</v>
      </c>
      <c r="H12679" t="s">
        <v>12</v>
      </c>
      <c r="I12679" t="s">
        <v>10</v>
      </c>
    </row>
    <row r="12680" spans="1:9" x14ac:dyDescent="0.25">
      <c r="A12680" t="str">
        <f t="shared" si="301"/>
        <v>89301000</v>
      </c>
      <c r="B12680" t="str">
        <f>"7854055319"</f>
        <v>7854055319</v>
      </c>
      <c r="C12680" s="1">
        <v>45251</v>
      </c>
      <c r="D12680" s="1">
        <v>45254</v>
      </c>
      <c r="E12680">
        <v>1</v>
      </c>
      <c r="F12680" t="str">
        <f>"09-I09-02"</f>
        <v>09-I09-02</v>
      </c>
      <c r="G12680">
        <v>0.82340000000000002</v>
      </c>
      <c r="H12680" t="s">
        <v>12</v>
      </c>
      <c r="I12680" t="s">
        <v>10</v>
      </c>
    </row>
    <row r="12681" spans="1:9" x14ac:dyDescent="0.25">
      <c r="A12681" t="str">
        <f t="shared" si="301"/>
        <v>89301000</v>
      </c>
      <c r="B12681" t="str">
        <f>"7854105303"</f>
        <v>7854105303</v>
      </c>
      <c r="C12681" s="1">
        <v>45092</v>
      </c>
      <c r="D12681" s="1">
        <v>45093</v>
      </c>
      <c r="E12681">
        <v>1</v>
      </c>
      <c r="F12681" t="str">
        <f>"02-I13-02"</f>
        <v>02-I13-02</v>
      </c>
      <c r="G12681">
        <v>0.4259</v>
      </c>
      <c r="H12681" t="s">
        <v>11</v>
      </c>
      <c r="I12681" t="s">
        <v>10</v>
      </c>
    </row>
    <row r="12682" spans="1:9" x14ac:dyDescent="0.25">
      <c r="A12682" t="str">
        <f t="shared" si="301"/>
        <v>89301000</v>
      </c>
      <c r="B12682" t="str">
        <f>"7854135410"</f>
        <v>7854135410</v>
      </c>
      <c r="C12682" s="1">
        <v>45097</v>
      </c>
      <c r="D12682" s="1">
        <v>45106</v>
      </c>
      <c r="E12682">
        <v>1</v>
      </c>
      <c r="F12682" t="str">
        <f>"09-K03-01"</f>
        <v>09-K03-01</v>
      </c>
      <c r="G12682">
        <v>1.1378999999999999</v>
      </c>
      <c r="H12682" t="s">
        <v>11</v>
      </c>
      <c r="I12682" t="s">
        <v>10</v>
      </c>
    </row>
    <row r="12683" spans="1:9" x14ac:dyDescent="0.25">
      <c r="A12683" t="str">
        <f t="shared" si="301"/>
        <v>89301000</v>
      </c>
      <c r="B12683" t="str">
        <f>"7854155760"</f>
        <v>7854155760</v>
      </c>
      <c r="C12683" s="1">
        <v>45173</v>
      </c>
      <c r="D12683" s="1">
        <v>45181</v>
      </c>
      <c r="E12683">
        <v>1</v>
      </c>
      <c r="F12683" t="str">
        <f>"18-K01-07"</f>
        <v>18-K01-07</v>
      </c>
      <c r="G12683">
        <v>1.2542</v>
      </c>
      <c r="H12683" t="s">
        <v>11</v>
      </c>
      <c r="I12683" t="s">
        <v>10</v>
      </c>
    </row>
    <row r="12684" spans="1:9" x14ac:dyDescent="0.25">
      <c r="A12684" t="str">
        <f t="shared" si="301"/>
        <v>89301000</v>
      </c>
      <c r="B12684" t="str">
        <f>"7854165363"</f>
        <v>7854165363</v>
      </c>
      <c r="C12684" s="1">
        <v>45202</v>
      </c>
      <c r="D12684" s="1">
        <v>45204</v>
      </c>
      <c r="E12684">
        <v>1</v>
      </c>
      <c r="F12684" t="str">
        <f>"08-M03-05"</f>
        <v>08-M03-05</v>
      </c>
      <c r="G12684">
        <v>0.46810000000000002</v>
      </c>
      <c r="H12684" t="s">
        <v>11</v>
      </c>
      <c r="I12684" t="s">
        <v>10</v>
      </c>
    </row>
    <row r="12685" spans="1:9" x14ac:dyDescent="0.25">
      <c r="A12685" t="str">
        <f t="shared" si="301"/>
        <v>89301000</v>
      </c>
      <c r="B12685" t="str">
        <f>"7854185306"</f>
        <v>7854185306</v>
      </c>
      <c r="C12685" s="1">
        <v>45119</v>
      </c>
      <c r="D12685" s="1">
        <v>45121</v>
      </c>
      <c r="E12685">
        <v>1</v>
      </c>
      <c r="F12685" t="str">
        <f>"17-I10-02"</f>
        <v>17-I10-02</v>
      </c>
      <c r="G12685">
        <v>0.84730000000000005</v>
      </c>
      <c r="H12685" t="s">
        <v>11</v>
      </c>
      <c r="I12685" t="s">
        <v>10</v>
      </c>
    </row>
    <row r="12686" spans="1:9" x14ac:dyDescent="0.25">
      <c r="A12686" t="str">
        <f t="shared" si="301"/>
        <v>89301000</v>
      </c>
      <c r="B12686" t="str">
        <f>"7854215391"</f>
        <v>7854215391</v>
      </c>
      <c r="C12686" s="1">
        <v>45238</v>
      </c>
      <c r="D12686" s="1">
        <v>45244</v>
      </c>
      <c r="E12686">
        <v>1</v>
      </c>
      <c r="F12686" t="str">
        <f>"06-I17-04"</f>
        <v>06-I17-04</v>
      </c>
      <c r="G12686">
        <v>0.58160000000000001</v>
      </c>
      <c r="H12686" t="s">
        <v>12</v>
      </c>
      <c r="I12686" t="s">
        <v>10</v>
      </c>
    </row>
    <row r="12687" spans="1:9" x14ac:dyDescent="0.25">
      <c r="A12687" t="str">
        <f t="shared" si="301"/>
        <v>89301000</v>
      </c>
      <c r="B12687" t="str">
        <f>"7854285340"</f>
        <v>7854285340</v>
      </c>
      <c r="C12687" s="1">
        <v>45065</v>
      </c>
      <c r="D12687" s="1">
        <v>45068</v>
      </c>
      <c r="E12687">
        <v>1</v>
      </c>
      <c r="F12687" t="str">
        <f>"01-D01-03"</f>
        <v>01-D01-03</v>
      </c>
      <c r="G12687">
        <v>0.21060000000000001</v>
      </c>
      <c r="H12687" t="s">
        <v>11</v>
      </c>
      <c r="I12687" t="s">
        <v>10</v>
      </c>
    </row>
    <row r="12688" spans="1:9" x14ac:dyDescent="0.25">
      <c r="A12688" t="str">
        <f t="shared" si="301"/>
        <v>89301000</v>
      </c>
      <c r="B12688" t="str">
        <f>"7854285340"</f>
        <v>7854285340</v>
      </c>
      <c r="C12688" s="1">
        <v>45050</v>
      </c>
      <c r="D12688" s="1">
        <v>45051</v>
      </c>
      <c r="E12688">
        <v>1</v>
      </c>
      <c r="F12688" t="str">
        <f>"01-D01-03"</f>
        <v>01-D01-03</v>
      </c>
      <c r="G12688">
        <v>0.16200000000000001</v>
      </c>
      <c r="H12688" t="s">
        <v>11</v>
      </c>
      <c r="I12688" t="s">
        <v>10</v>
      </c>
    </row>
    <row r="12689" spans="1:9" x14ac:dyDescent="0.25">
      <c r="A12689" t="str">
        <f t="shared" si="301"/>
        <v>89301000</v>
      </c>
      <c r="B12689" t="str">
        <f>"7855015322"</f>
        <v>7855015322</v>
      </c>
      <c r="C12689" s="1">
        <v>45146</v>
      </c>
      <c r="D12689" s="1">
        <v>45155</v>
      </c>
      <c r="E12689">
        <v>1</v>
      </c>
      <c r="F12689" t="str">
        <f>"24-M06-02"</f>
        <v>24-M06-02</v>
      </c>
      <c r="G12689">
        <v>1.0699000000000001</v>
      </c>
      <c r="H12689" t="s">
        <v>11</v>
      </c>
      <c r="I12689" t="s">
        <v>10</v>
      </c>
    </row>
    <row r="12690" spans="1:9" x14ac:dyDescent="0.25">
      <c r="A12690" t="str">
        <f t="shared" si="301"/>
        <v>89301000</v>
      </c>
      <c r="B12690" t="str">
        <f>"7855035782"</f>
        <v>7855035782</v>
      </c>
      <c r="C12690" s="1">
        <v>45194</v>
      </c>
      <c r="D12690" s="1">
        <v>45196</v>
      </c>
      <c r="E12690">
        <v>1</v>
      </c>
      <c r="F12690" t="str">
        <f>"05-I30-02"</f>
        <v>05-I30-02</v>
      </c>
      <c r="G12690">
        <v>0.41699999999999998</v>
      </c>
      <c r="H12690" t="s">
        <v>12</v>
      </c>
      <c r="I12690" t="s">
        <v>10</v>
      </c>
    </row>
    <row r="12691" spans="1:9" x14ac:dyDescent="0.25">
      <c r="A12691" t="str">
        <f t="shared" si="301"/>
        <v>89301000</v>
      </c>
      <c r="B12691" t="str">
        <f>"7855055318"</f>
        <v>7855055318</v>
      </c>
      <c r="C12691" s="1">
        <v>45246</v>
      </c>
      <c r="D12691" s="1">
        <v>45258</v>
      </c>
      <c r="E12691">
        <v>1</v>
      </c>
      <c r="F12691" t="str">
        <f>"09-K01-03"</f>
        <v>09-K01-03</v>
      </c>
      <c r="G12691">
        <v>0.85919999999999996</v>
      </c>
      <c r="H12691" t="s">
        <v>11</v>
      </c>
      <c r="I12691" t="s">
        <v>10</v>
      </c>
    </row>
    <row r="12692" spans="1:9" x14ac:dyDescent="0.25">
      <c r="A12692" t="str">
        <f t="shared" si="301"/>
        <v>89301000</v>
      </c>
      <c r="B12692" t="str">
        <f>"7855108800"</f>
        <v>7855108800</v>
      </c>
      <c r="C12692" s="1">
        <v>45082</v>
      </c>
      <c r="D12692" s="1">
        <v>45086</v>
      </c>
      <c r="E12692">
        <v>1</v>
      </c>
      <c r="F12692" t="str">
        <f>"16-K04-02"</f>
        <v>16-K04-02</v>
      </c>
      <c r="G12692">
        <v>1.0081</v>
      </c>
      <c r="H12692" t="s">
        <v>11</v>
      </c>
      <c r="I12692" t="s">
        <v>10</v>
      </c>
    </row>
    <row r="12693" spans="1:9" x14ac:dyDescent="0.25">
      <c r="A12693" t="str">
        <f t="shared" si="301"/>
        <v>89301000</v>
      </c>
      <c r="B12693" t="str">
        <f>"7855125773"</f>
        <v>7855125773</v>
      </c>
      <c r="C12693" s="1">
        <v>45180</v>
      </c>
      <c r="D12693" s="1">
        <v>45183</v>
      </c>
      <c r="E12693">
        <v>1</v>
      </c>
      <c r="F12693" t="str">
        <f>"08-M03-05"</f>
        <v>08-M03-05</v>
      </c>
      <c r="G12693">
        <v>0.46810000000000002</v>
      </c>
      <c r="H12693" t="s">
        <v>11</v>
      </c>
      <c r="I12693" t="s">
        <v>10</v>
      </c>
    </row>
    <row r="12694" spans="1:9" x14ac:dyDescent="0.25">
      <c r="A12694" t="str">
        <f t="shared" si="301"/>
        <v>89301000</v>
      </c>
      <c r="B12694" t="str">
        <f>"7855165318"</f>
        <v>7855165318</v>
      </c>
      <c r="C12694" s="1">
        <v>45031</v>
      </c>
      <c r="D12694" s="1">
        <v>45034</v>
      </c>
      <c r="E12694">
        <v>1</v>
      </c>
      <c r="F12694" t="str">
        <f>"06-K04-03"</f>
        <v>06-K04-03</v>
      </c>
      <c r="G12694">
        <v>0.38019999999999998</v>
      </c>
      <c r="H12694" t="s">
        <v>11</v>
      </c>
      <c r="I12694" t="s">
        <v>10</v>
      </c>
    </row>
    <row r="12695" spans="1:9" x14ac:dyDescent="0.25">
      <c r="A12695" t="str">
        <f t="shared" si="301"/>
        <v>89301000</v>
      </c>
      <c r="B12695" t="str">
        <f>"7855185723"</f>
        <v>7855185723</v>
      </c>
      <c r="C12695" s="1">
        <v>45124</v>
      </c>
      <c r="D12695" s="1">
        <v>45147</v>
      </c>
      <c r="E12695">
        <v>4</v>
      </c>
      <c r="F12695" t="str">
        <f>"13-K08-01"</f>
        <v>13-K08-01</v>
      </c>
      <c r="G12695">
        <v>1.3858999999999999</v>
      </c>
      <c r="H12695" t="s">
        <v>11</v>
      </c>
      <c r="I12695" t="s">
        <v>10</v>
      </c>
    </row>
    <row r="12696" spans="1:9" x14ac:dyDescent="0.25">
      <c r="A12696" t="str">
        <f t="shared" si="301"/>
        <v>89301000</v>
      </c>
      <c r="B12696" t="str">
        <f>"7855185723"</f>
        <v>7855185723</v>
      </c>
      <c r="C12696" s="1">
        <v>45076</v>
      </c>
      <c r="D12696" s="1">
        <v>45091</v>
      </c>
      <c r="E12696">
        <v>1</v>
      </c>
      <c r="F12696" t="str">
        <f>"13-R01-07"</f>
        <v>13-R01-07</v>
      </c>
      <c r="G12696">
        <v>1.6275999999999999</v>
      </c>
      <c r="H12696" t="s">
        <v>11</v>
      </c>
      <c r="I12696" t="s">
        <v>10</v>
      </c>
    </row>
    <row r="12697" spans="1:9" x14ac:dyDescent="0.25">
      <c r="A12697" t="str">
        <f t="shared" si="301"/>
        <v>89301000</v>
      </c>
      <c r="B12697" t="str">
        <f>"7855234420"</f>
        <v>7855234420</v>
      </c>
      <c r="C12697" s="1">
        <v>45253</v>
      </c>
      <c r="D12697" s="1">
        <v>45258</v>
      </c>
      <c r="E12697">
        <v>1</v>
      </c>
      <c r="F12697" t="str">
        <f>"09-I06-04"</f>
        <v>09-I06-04</v>
      </c>
      <c r="G12697">
        <v>0.95069999999999999</v>
      </c>
      <c r="H12697" t="s">
        <v>12</v>
      </c>
      <c r="I12697" t="s">
        <v>10</v>
      </c>
    </row>
    <row r="12698" spans="1:9" x14ac:dyDescent="0.25">
      <c r="A12698" t="str">
        <f t="shared" si="301"/>
        <v>89301000</v>
      </c>
      <c r="B12698" t="str">
        <f>"7855245310"</f>
        <v>7855245310</v>
      </c>
      <c r="C12698" s="1">
        <v>44953</v>
      </c>
      <c r="D12698" s="1">
        <v>44967</v>
      </c>
      <c r="E12698">
        <v>1</v>
      </c>
      <c r="F12698" t="str">
        <f>"01-I06-04"</f>
        <v>01-I06-04</v>
      </c>
      <c r="G12698">
        <v>3.6478999999999999</v>
      </c>
      <c r="H12698" t="s">
        <v>12</v>
      </c>
      <c r="I12698" t="s">
        <v>10</v>
      </c>
    </row>
    <row r="12699" spans="1:9" x14ac:dyDescent="0.25">
      <c r="A12699" t="str">
        <f t="shared" ref="A12699:A12762" si="302">"89301000"</f>
        <v>89301000</v>
      </c>
      <c r="B12699" t="str">
        <f>"7855265330"</f>
        <v>7855265330</v>
      </c>
      <c r="C12699" s="1">
        <v>44944</v>
      </c>
      <c r="D12699" s="1">
        <v>44946</v>
      </c>
      <c r="E12699">
        <v>1</v>
      </c>
      <c r="F12699" t="str">
        <f>"07-I10-06"</f>
        <v>07-I10-06</v>
      </c>
      <c r="G12699">
        <v>0.98419999999999996</v>
      </c>
      <c r="H12699" t="s">
        <v>12</v>
      </c>
      <c r="I12699" t="s">
        <v>10</v>
      </c>
    </row>
    <row r="12700" spans="1:9" x14ac:dyDescent="0.25">
      <c r="A12700" t="str">
        <f t="shared" si="302"/>
        <v>89301000</v>
      </c>
      <c r="B12700" t="str">
        <f>"7855304490"</f>
        <v>7855304490</v>
      </c>
      <c r="C12700" s="1">
        <v>45027</v>
      </c>
      <c r="D12700" s="1">
        <v>45028</v>
      </c>
      <c r="E12700">
        <v>1</v>
      </c>
      <c r="F12700" t="str">
        <f>"01-D01-03"</f>
        <v>01-D01-03</v>
      </c>
      <c r="G12700">
        <v>0.16200000000000001</v>
      </c>
      <c r="H12700" t="s">
        <v>11</v>
      </c>
      <c r="I12700" t="s">
        <v>10</v>
      </c>
    </row>
    <row r="12701" spans="1:9" x14ac:dyDescent="0.25">
      <c r="A12701" t="str">
        <f t="shared" si="302"/>
        <v>89301000</v>
      </c>
      <c r="B12701" t="str">
        <f>"7855305304"</f>
        <v>7855305304</v>
      </c>
      <c r="C12701" s="1">
        <v>45166</v>
      </c>
      <c r="D12701" s="1">
        <v>45168</v>
      </c>
      <c r="E12701">
        <v>1</v>
      </c>
      <c r="F12701" t="str">
        <f>"09-I06-04"</f>
        <v>09-I06-04</v>
      </c>
      <c r="G12701">
        <v>0.95069999999999999</v>
      </c>
      <c r="H12701" t="s">
        <v>12</v>
      </c>
      <c r="I12701" t="s">
        <v>10</v>
      </c>
    </row>
    <row r="12702" spans="1:9" x14ac:dyDescent="0.25">
      <c r="A12702" t="str">
        <f t="shared" si="302"/>
        <v>89301000</v>
      </c>
      <c r="B12702" t="str">
        <f>"7856023758"</f>
        <v>7856023758</v>
      </c>
      <c r="C12702" s="1">
        <v>45082</v>
      </c>
      <c r="D12702" s="1">
        <v>45084</v>
      </c>
      <c r="E12702">
        <v>1</v>
      </c>
      <c r="F12702" t="str">
        <f>"06-I16-04"</f>
        <v>06-I16-04</v>
      </c>
      <c r="G12702">
        <v>0.68920000000000003</v>
      </c>
      <c r="H12702" t="s">
        <v>9</v>
      </c>
      <c r="I12702" t="s">
        <v>10</v>
      </c>
    </row>
    <row r="12703" spans="1:9" x14ac:dyDescent="0.25">
      <c r="A12703" t="str">
        <f t="shared" si="302"/>
        <v>89301000</v>
      </c>
      <c r="B12703" t="str">
        <f>"7856075381"</f>
        <v>7856075381</v>
      </c>
      <c r="C12703" s="1">
        <v>45078</v>
      </c>
      <c r="D12703" s="1">
        <v>45082</v>
      </c>
      <c r="E12703">
        <v>1</v>
      </c>
      <c r="F12703" t="str">
        <f>"09-I09-02"</f>
        <v>09-I09-02</v>
      </c>
      <c r="G12703">
        <v>0.76900000000000002</v>
      </c>
      <c r="H12703" t="s">
        <v>12</v>
      </c>
      <c r="I12703" t="s">
        <v>10</v>
      </c>
    </row>
    <row r="12704" spans="1:9" x14ac:dyDescent="0.25">
      <c r="A12704" t="str">
        <f t="shared" si="302"/>
        <v>89301000</v>
      </c>
      <c r="B12704" t="str">
        <f>"7856083741"</f>
        <v>7856083741</v>
      </c>
      <c r="C12704" s="1">
        <v>45180</v>
      </c>
      <c r="D12704" s="1">
        <v>45183</v>
      </c>
      <c r="E12704">
        <v>1</v>
      </c>
      <c r="F12704" t="str">
        <f>"09-I09-02"</f>
        <v>09-I09-02</v>
      </c>
      <c r="G12704">
        <v>0.76900000000000002</v>
      </c>
      <c r="H12704" t="s">
        <v>12</v>
      </c>
      <c r="I12704" t="s">
        <v>10</v>
      </c>
    </row>
    <row r="12705" spans="1:9" x14ac:dyDescent="0.25">
      <c r="A12705" t="str">
        <f t="shared" si="302"/>
        <v>89301000</v>
      </c>
      <c r="B12705" t="str">
        <f>"7856205709"</f>
        <v>7856205709</v>
      </c>
      <c r="C12705" s="1">
        <v>45243</v>
      </c>
      <c r="D12705" s="1">
        <v>45245</v>
      </c>
      <c r="E12705">
        <v>1</v>
      </c>
      <c r="F12705" t="str">
        <f>"08-I26-03"</f>
        <v>08-I26-03</v>
      </c>
      <c r="G12705">
        <v>0.47699999999999998</v>
      </c>
      <c r="H12705" t="s">
        <v>11</v>
      </c>
      <c r="I12705" t="s">
        <v>10</v>
      </c>
    </row>
    <row r="12706" spans="1:9" x14ac:dyDescent="0.25">
      <c r="A12706" t="str">
        <f t="shared" si="302"/>
        <v>89301000</v>
      </c>
      <c r="B12706" t="str">
        <f>"7856235376"</f>
        <v>7856235376</v>
      </c>
      <c r="C12706" s="1">
        <v>44992</v>
      </c>
      <c r="D12706" s="1">
        <v>44997</v>
      </c>
      <c r="E12706">
        <v>1</v>
      </c>
      <c r="F12706" t="str">
        <f>"16-I04-01"</f>
        <v>16-I04-01</v>
      </c>
      <c r="G12706">
        <v>0.93820000000000003</v>
      </c>
      <c r="H12706" t="s">
        <v>12</v>
      </c>
      <c r="I12706" t="s">
        <v>10</v>
      </c>
    </row>
    <row r="12707" spans="1:9" x14ac:dyDescent="0.25">
      <c r="A12707" t="str">
        <f t="shared" si="302"/>
        <v>89301000</v>
      </c>
      <c r="B12707" t="str">
        <f>"7856275350"</f>
        <v>7856275350</v>
      </c>
      <c r="C12707" s="1">
        <v>45222</v>
      </c>
      <c r="D12707" s="1">
        <v>45226</v>
      </c>
      <c r="E12707">
        <v>1</v>
      </c>
      <c r="F12707" t="str">
        <f>"24-M05-02"</f>
        <v>24-M05-02</v>
      </c>
      <c r="G12707">
        <v>0.58660000000000001</v>
      </c>
      <c r="H12707" t="s">
        <v>11</v>
      </c>
      <c r="I12707" t="s">
        <v>10</v>
      </c>
    </row>
    <row r="12708" spans="1:9" x14ac:dyDescent="0.25">
      <c r="A12708" t="str">
        <f t="shared" si="302"/>
        <v>89301000</v>
      </c>
      <c r="B12708" t="str">
        <f>"7856275350"</f>
        <v>7856275350</v>
      </c>
      <c r="C12708" s="1">
        <v>44977</v>
      </c>
      <c r="D12708" s="1">
        <v>44985</v>
      </c>
      <c r="E12708">
        <v>1</v>
      </c>
      <c r="F12708" t="str">
        <f>"24-M06-02"</f>
        <v>24-M06-02</v>
      </c>
      <c r="G12708">
        <v>1.0699000000000001</v>
      </c>
      <c r="H12708" t="s">
        <v>11</v>
      </c>
      <c r="I12708" t="s">
        <v>10</v>
      </c>
    </row>
    <row r="12709" spans="1:9" x14ac:dyDescent="0.25">
      <c r="A12709" t="str">
        <f t="shared" si="302"/>
        <v>89301000</v>
      </c>
      <c r="B12709" t="str">
        <f>"7856275350"</f>
        <v>7856275350</v>
      </c>
      <c r="C12709" s="1">
        <v>44971</v>
      </c>
      <c r="D12709" s="1">
        <v>44974</v>
      </c>
      <c r="E12709">
        <v>1</v>
      </c>
      <c r="F12709" t="str">
        <f>"08-M03-05"</f>
        <v>08-M03-05</v>
      </c>
      <c r="G12709">
        <v>0.46910000000000002</v>
      </c>
      <c r="H12709" t="s">
        <v>11</v>
      </c>
      <c r="I12709" t="s">
        <v>10</v>
      </c>
    </row>
    <row r="12710" spans="1:9" x14ac:dyDescent="0.25">
      <c r="A12710" t="str">
        <f t="shared" si="302"/>
        <v>89301000</v>
      </c>
      <c r="B12710" t="str">
        <f>"7856275350"</f>
        <v>7856275350</v>
      </c>
      <c r="C12710" s="1">
        <v>44991</v>
      </c>
      <c r="D12710" s="1">
        <v>44995</v>
      </c>
      <c r="E12710">
        <v>1</v>
      </c>
      <c r="F12710" t="str">
        <f>"24-M05-02"</f>
        <v>24-M05-02</v>
      </c>
      <c r="G12710">
        <v>0.58660000000000001</v>
      </c>
      <c r="H12710" t="s">
        <v>11</v>
      </c>
      <c r="I12710" t="s">
        <v>10</v>
      </c>
    </row>
    <row r="12711" spans="1:9" x14ac:dyDescent="0.25">
      <c r="A12711" t="str">
        <f t="shared" si="302"/>
        <v>89301000</v>
      </c>
      <c r="B12711" t="str">
        <f>"7856295326"</f>
        <v>7856295326</v>
      </c>
      <c r="C12711" s="1">
        <v>45268</v>
      </c>
      <c r="D12711" s="1">
        <v>45275</v>
      </c>
      <c r="E12711">
        <v>1</v>
      </c>
      <c r="F12711" t="str">
        <f>"07-I10-05"</f>
        <v>07-I10-05</v>
      </c>
      <c r="G12711">
        <v>1.5174000000000001</v>
      </c>
      <c r="H12711" t="s">
        <v>12</v>
      </c>
      <c r="I12711" t="s">
        <v>10</v>
      </c>
    </row>
    <row r="12712" spans="1:9" x14ac:dyDescent="0.25">
      <c r="A12712" t="str">
        <f t="shared" si="302"/>
        <v>89301000</v>
      </c>
      <c r="B12712" t="str">
        <f>"7857024131"</f>
        <v>7857024131</v>
      </c>
      <c r="C12712" s="1">
        <v>45257</v>
      </c>
      <c r="D12712" s="1">
        <v>45265</v>
      </c>
      <c r="E12712">
        <v>1</v>
      </c>
      <c r="F12712" t="str">
        <f>"04-K04-01"</f>
        <v>04-K04-01</v>
      </c>
      <c r="G12712">
        <v>1.022</v>
      </c>
      <c r="H12712" t="s">
        <v>11</v>
      </c>
      <c r="I12712" t="s">
        <v>10</v>
      </c>
    </row>
    <row r="12713" spans="1:9" x14ac:dyDescent="0.25">
      <c r="A12713" t="str">
        <f t="shared" si="302"/>
        <v>89301000</v>
      </c>
      <c r="B12713" t="str">
        <f>"7857055800"</f>
        <v>7857055800</v>
      </c>
      <c r="C12713" s="1">
        <v>45258</v>
      </c>
      <c r="D12713" s="1">
        <v>45259</v>
      </c>
      <c r="E12713">
        <v>1</v>
      </c>
      <c r="F12713" t="str">
        <f>"01-D01-03"</f>
        <v>01-D01-03</v>
      </c>
      <c r="G12713">
        <v>0.16200000000000001</v>
      </c>
      <c r="H12713" t="s">
        <v>11</v>
      </c>
      <c r="I12713" t="s">
        <v>10</v>
      </c>
    </row>
    <row r="12714" spans="1:9" x14ac:dyDescent="0.25">
      <c r="A12714" t="str">
        <f t="shared" si="302"/>
        <v>89301000</v>
      </c>
      <c r="B12714" t="str">
        <f>"7857075314"</f>
        <v>7857075314</v>
      </c>
      <c r="C12714" s="1">
        <v>44991</v>
      </c>
      <c r="D12714" s="1">
        <v>44992</v>
      </c>
      <c r="E12714">
        <v>1</v>
      </c>
      <c r="F12714" t="str">
        <f>"13-I19-00"</f>
        <v>13-I19-00</v>
      </c>
      <c r="G12714">
        <v>0.28249999999999997</v>
      </c>
      <c r="H12714" t="s">
        <v>11</v>
      </c>
      <c r="I12714" t="s">
        <v>10</v>
      </c>
    </row>
    <row r="12715" spans="1:9" x14ac:dyDescent="0.25">
      <c r="A12715" t="str">
        <f t="shared" si="302"/>
        <v>89301000</v>
      </c>
      <c r="B12715" t="str">
        <f>"7857075314"</f>
        <v>7857075314</v>
      </c>
      <c r="C12715" s="1">
        <v>45271</v>
      </c>
      <c r="D12715" s="1">
        <v>45272</v>
      </c>
      <c r="E12715">
        <v>1</v>
      </c>
      <c r="F12715" t="str">
        <f>"13-I19-00"</f>
        <v>13-I19-00</v>
      </c>
      <c r="G12715">
        <v>0.28249999999999997</v>
      </c>
      <c r="H12715" t="s">
        <v>11</v>
      </c>
      <c r="I12715" t="s">
        <v>10</v>
      </c>
    </row>
    <row r="12716" spans="1:9" x14ac:dyDescent="0.25">
      <c r="A12716" t="str">
        <f t="shared" si="302"/>
        <v>89301000</v>
      </c>
      <c r="B12716" t="str">
        <f>"7857105443"</f>
        <v>7857105443</v>
      </c>
      <c r="C12716" s="1">
        <v>45231</v>
      </c>
      <c r="D12716" s="1">
        <v>45237</v>
      </c>
      <c r="E12716">
        <v>1</v>
      </c>
      <c r="F12716" t="str">
        <f>"10-K03-04"</f>
        <v>10-K03-04</v>
      </c>
      <c r="G12716">
        <v>0.67349999999999999</v>
      </c>
      <c r="H12716" t="s">
        <v>11</v>
      </c>
      <c r="I12716" t="s">
        <v>10</v>
      </c>
    </row>
    <row r="12717" spans="1:9" x14ac:dyDescent="0.25">
      <c r="A12717" t="str">
        <f t="shared" si="302"/>
        <v>89301000</v>
      </c>
      <c r="B12717" t="str">
        <f>"7857115365"</f>
        <v>7857115365</v>
      </c>
      <c r="C12717" s="1">
        <v>44992</v>
      </c>
      <c r="D12717" s="1">
        <v>44996</v>
      </c>
      <c r="E12717">
        <v>1</v>
      </c>
      <c r="F12717" t="str">
        <f>"13-I11-03"</f>
        <v>13-I11-03</v>
      </c>
      <c r="G12717">
        <v>1.4332</v>
      </c>
      <c r="H12717" t="s">
        <v>9</v>
      </c>
      <c r="I12717" t="s">
        <v>10</v>
      </c>
    </row>
    <row r="12718" spans="1:9" x14ac:dyDescent="0.25">
      <c r="A12718" t="str">
        <f t="shared" si="302"/>
        <v>89301000</v>
      </c>
      <c r="B12718" t="str">
        <f>"7857123758"</f>
        <v>7857123758</v>
      </c>
      <c r="C12718" s="1">
        <v>44945</v>
      </c>
      <c r="D12718" s="1">
        <v>44946</v>
      </c>
      <c r="E12718">
        <v>1</v>
      </c>
      <c r="F12718" t="str">
        <f>"13-I19-00"</f>
        <v>13-I19-00</v>
      </c>
      <c r="G12718">
        <v>0.28249999999999997</v>
      </c>
      <c r="H12718" t="s">
        <v>11</v>
      </c>
      <c r="I12718" t="s">
        <v>10</v>
      </c>
    </row>
    <row r="12719" spans="1:9" x14ac:dyDescent="0.25">
      <c r="A12719" t="str">
        <f t="shared" si="302"/>
        <v>89301000</v>
      </c>
      <c r="B12719" t="str">
        <f>"7857125320"</f>
        <v>7857125320</v>
      </c>
      <c r="C12719" s="1">
        <v>44957</v>
      </c>
      <c r="D12719" s="1">
        <v>44966</v>
      </c>
      <c r="E12719">
        <v>1</v>
      </c>
      <c r="F12719" t="str">
        <f>"08-K08-00"</f>
        <v>08-K08-00</v>
      </c>
      <c r="G12719">
        <v>0.5272</v>
      </c>
      <c r="H12719" t="s">
        <v>11</v>
      </c>
      <c r="I12719" t="s">
        <v>10</v>
      </c>
    </row>
    <row r="12720" spans="1:9" x14ac:dyDescent="0.25">
      <c r="A12720" t="str">
        <f t="shared" si="302"/>
        <v>89301000</v>
      </c>
      <c r="B12720" t="str">
        <f>"7857134461"</f>
        <v>7857134461</v>
      </c>
      <c r="C12720" s="1">
        <v>45215</v>
      </c>
      <c r="D12720" s="1">
        <v>45216</v>
      </c>
      <c r="E12720">
        <v>1</v>
      </c>
      <c r="F12720" t="str">
        <f>"05-K14-03"</f>
        <v>05-K14-03</v>
      </c>
      <c r="G12720">
        <v>0.3962</v>
      </c>
      <c r="H12720" t="s">
        <v>11</v>
      </c>
      <c r="I12720" t="s">
        <v>10</v>
      </c>
    </row>
    <row r="12721" spans="1:9" x14ac:dyDescent="0.25">
      <c r="A12721" t="str">
        <f t="shared" si="302"/>
        <v>89301000</v>
      </c>
      <c r="B12721" t="str">
        <f>"7857154866"</f>
        <v>7857154866</v>
      </c>
      <c r="C12721" s="1">
        <v>45123</v>
      </c>
      <c r="D12721" s="1">
        <v>45125</v>
      </c>
      <c r="E12721">
        <v>1</v>
      </c>
      <c r="F12721" t="str">
        <f>"01-K16-06"</f>
        <v>01-K16-06</v>
      </c>
      <c r="G12721">
        <v>0.29199999999999998</v>
      </c>
      <c r="H12721" t="s">
        <v>11</v>
      </c>
      <c r="I12721" t="s">
        <v>10</v>
      </c>
    </row>
    <row r="12722" spans="1:9" x14ac:dyDescent="0.25">
      <c r="A12722" t="str">
        <f t="shared" si="302"/>
        <v>89301000</v>
      </c>
      <c r="B12722" t="str">
        <f>"7857165316"</f>
        <v>7857165316</v>
      </c>
      <c r="C12722" s="1">
        <v>44937</v>
      </c>
      <c r="D12722" s="1">
        <v>44945</v>
      </c>
      <c r="E12722">
        <v>5</v>
      </c>
      <c r="F12722" t="str">
        <f>"10-K12-01"</f>
        <v>10-K12-01</v>
      </c>
      <c r="G12722">
        <v>2.4047000000000001</v>
      </c>
      <c r="H12722" t="s">
        <v>11</v>
      </c>
      <c r="I12722" t="s">
        <v>10</v>
      </c>
    </row>
    <row r="12723" spans="1:9" x14ac:dyDescent="0.25">
      <c r="A12723" t="str">
        <f t="shared" si="302"/>
        <v>89301000</v>
      </c>
      <c r="B12723" t="str">
        <f>"7858025582"</f>
        <v>7858025582</v>
      </c>
      <c r="C12723" s="1">
        <v>45152</v>
      </c>
      <c r="D12723" s="1">
        <v>45157</v>
      </c>
      <c r="E12723">
        <v>1</v>
      </c>
      <c r="F12723" t="str">
        <f>"13-I14-03"</f>
        <v>13-I14-03</v>
      </c>
      <c r="G12723">
        <v>0.87760000000000005</v>
      </c>
      <c r="H12723" t="s">
        <v>9</v>
      </c>
      <c r="I12723" t="s">
        <v>10</v>
      </c>
    </row>
    <row r="12724" spans="1:9" x14ac:dyDescent="0.25">
      <c r="A12724" t="str">
        <f t="shared" si="302"/>
        <v>89301000</v>
      </c>
      <c r="B12724" t="str">
        <f>"7858055304"</f>
        <v>7858055304</v>
      </c>
      <c r="C12724" s="1">
        <v>45062</v>
      </c>
      <c r="D12724" s="1">
        <v>45070</v>
      </c>
      <c r="E12724">
        <v>1</v>
      </c>
      <c r="F12724" t="str">
        <f>"19-K03-03"</f>
        <v>19-K03-03</v>
      </c>
      <c r="G12724">
        <v>0.90410000000000001</v>
      </c>
      <c r="H12724" t="s">
        <v>15</v>
      </c>
      <c r="I12724" t="s">
        <v>10</v>
      </c>
    </row>
    <row r="12725" spans="1:9" x14ac:dyDescent="0.25">
      <c r="A12725" t="str">
        <f t="shared" si="302"/>
        <v>89301000</v>
      </c>
      <c r="B12725" t="str">
        <f>"7858055304"</f>
        <v>7858055304</v>
      </c>
      <c r="C12725" s="1">
        <v>45002</v>
      </c>
      <c r="D12725" s="1">
        <v>45014</v>
      </c>
      <c r="E12725">
        <v>1</v>
      </c>
      <c r="F12725" t="str">
        <f>"19-K04-02"</f>
        <v>19-K04-02</v>
      </c>
      <c r="G12725">
        <v>1.3379000000000001</v>
      </c>
      <c r="H12725" t="s">
        <v>15</v>
      </c>
      <c r="I12725" t="s">
        <v>10</v>
      </c>
    </row>
    <row r="12726" spans="1:9" x14ac:dyDescent="0.25">
      <c r="A12726" t="str">
        <f t="shared" si="302"/>
        <v>89301000</v>
      </c>
      <c r="B12726" t="str">
        <f>"7858104463"</f>
        <v>7858104463</v>
      </c>
      <c r="C12726" s="1">
        <v>45196</v>
      </c>
      <c r="D12726" s="1">
        <v>45197</v>
      </c>
      <c r="E12726">
        <v>1</v>
      </c>
      <c r="F12726" t="str">
        <f>"05-M05-03"</f>
        <v>05-M05-03</v>
      </c>
      <c r="G12726">
        <v>0.70599999999999996</v>
      </c>
      <c r="H12726" t="s">
        <v>14</v>
      </c>
      <c r="I12726" t="s">
        <v>10</v>
      </c>
    </row>
    <row r="12727" spans="1:9" x14ac:dyDescent="0.25">
      <c r="A12727" t="str">
        <f t="shared" si="302"/>
        <v>89301000</v>
      </c>
      <c r="B12727" t="str">
        <f>"7858104463"</f>
        <v>7858104463</v>
      </c>
      <c r="C12727" s="1">
        <v>45089</v>
      </c>
      <c r="D12727" s="1">
        <v>45089</v>
      </c>
      <c r="E12727">
        <v>1</v>
      </c>
      <c r="F12727" t="str">
        <f>"05-D01-06"</f>
        <v>05-D01-06</v>
      </c>
      <c r="G12727">
        <v>0.4037</v>
      </c>
      <c r="H12727" t="s">
        <v>11</v>
      </c>
      <c r="I12727" t="s">
        <v>10</v>
      </c>
    </row>
    <row r="12728" spans="1:9" x14ac:dyDescent="0.25">
      <c r="A12728" t="str">
        <f t="shared" si="302"/>
        <v>89301000</v>
      </c>
      <c r="B12728" t="str">
        <f>"7858104463"</f>
        <v>7858104463</v>
      </c>
      <c r="C12728" s="1">
        <v>45219</v>
      </c>
      <c r="D12728" s="1">
        <v>45220</v>
      </c>
      <c r="E12728">
        <v>1</v>
      </c>
      <c r="F12728" t="str">
        <f>"05-I14-03"</f>
        <v>05-I14-03</v>
      </c>
      <c r="G12728">
        <v>6.0362</v>
      </c>
      <c r="H12728" t="s">
        <v>12</v>
      </c>
      <c r="I12728" t="s">
        <v>10</v>
      </c>
    </row>
    <row r="12729" spans="1:9" x14ac:dyDescent="0.25">
      <c r="A12729" t="str">
        <f t="shared" si="302"/>
        <v>89301000</v>
      </c>
      <c r="B12729" t="str">
        <f>"7858175336"</f>
        <v>7858175336</v>
      </c>
      <c r="C12729" s="1">
        <v>45001</v>
      </c>
      <c r="D12729" s="1">
        <v>45006</v>
      </c>
      <c r="E12729">
        <v>1</v>
      </c>
      <c r="F12729" t="str">
        <f>"01-K01-02"</f>
        <v>01-K01-02</v>
      </c>
      <c r="G12729">
        <v>0.442</v>
      </c>
      <c r="H12729" t="s">
        <v>11</v>
      </c>
      <c r="I12729" t="s">
        <v>10</v>
      </c>
    </row>
    <row r="12730" spans="1:9" x14ac:dyDescent="0.25">
      <c r="A12730" t="str">
        <f t="shared" si="302"/>
        <v>89301000</v>
      </c>
      <c r="B12730" t="str">
        <f t="shared" ref="B12730:B12737" si="303">"7858224858"</f>
        <v>7858224858</v>
      </c>
      <c r="C12730" s="1">
        <v>45134</v>
      </c>
      <c r="D12730" s="1">
        <v>45135</v>
      </c>
      <c r="E12730">
        <v>1</v>
      </c>
      <c r="F12730" t="str">
        <f t="shared" ref="F12730:F12737" si="304">"05-K12-02"</f>
        <v>05-K12-02</v>
      </c>
      <c r="G12730">
        <v>1.5902000000000001</v>
      </c>
      <c r="H12730" t="s">
        <v>11</v>
      </c>
      <c r="I12730" t="s">
        <v>10</v>
      </c>
    </row>
    <row r="12731" spans="1:9" x14ac:dyDescent="0.25">
      <c r="A12731" t="str">
        <f t="shared" si="302"/>
        <v>89301000</v>
      </c>
      <c r="B12731" t="str">
        <f t="shared" si="303"/>
        <v>7858224858</v>
      </c>
      <c r="C12731" s="1">
        <v>45093</v>
      </c>
      <c r="D12731" s="1">
        <v>45094</v>
      </c>
      <c r="E12731">
        <v>1</v>
      </c>
      <c r="F12731" t="str">
        <f t="shared" si="304"/>
        <v>05-K12-02</v>
      </c>
      <c r="G12731">
        <v>1.4309000000000001</v>
      </c>
      <c r="H12731" t="s">
        <v>11</v>
      </c>
      <c r="I12731" t="s">
        <v>10</v>
      </c>
    </row>
    <row r="12732" spans="1:9" x14ac:dyDescent="0.25">
      <c r="A12732" t="str">
        <f t="shared" si="302"/>
        <v>89301000</v>
      </c>
      <c r="B12732" t="str">
        <f t="shared" si="303"/>
        <v>7858224858</v>
      </c>
      <c r="C12732" s="1">
        <v>45037</v>
      </c>
      <c r="D12732" s="1">
        <v>45038</v>
      </c>
      <c r="E12732">
        <v>1</v>
      </c>
      <c r="F12732" t="str">
        <f t="shared" si="304"/>
        <v>05-K12-02</v>
      </c>
      <c r="G12732">
        <v>1.5902000000000001</v>
      </c>
      <c r="H12732" t="s">
        <v>11</v>
      </c>
      <c r="I12732" t="s">
        <v>10</v>
      </c>
    </row>
    <row r="12733" spans="1:9" x14ac:dyDescent="0.25">
      <c r="A12733" t="str">
        <f t="shared" si="302"/>
        <v>89301000</v>
      </c>
      <c r="B12733" t="str">
        <f t="shared" si="303"/>
        <v>7858224858</v>
      </c>
      <c r="C12733" s="1">
        <v>44995</v>
      </c>
      <c r="D12733" s="1">
        <v>44996</v>
      </c>
      <c r="E12733">
        <v>1</v>
      </c>
      <c r="F12733" t="str">
        <f t="shared" si="304"/>
        <v>05-K12-02</v>
      </c>
      <c r="G12733">
        <v>1.5902000000000001</v>
      </c>
      <c r="H12733" t="s">
        <v>11</v>
      </c>
      <c r="I12733" t="s">
        <v>10</v>
      </c>
    </row>
    <row r="12734" spans="1:9" x14ac:dyDescent="0.25">
      <c r="A12734" t="str">
        <f t="shared" si="302"/>
        <v>89301000</v>
      </c>
      <c r="B12734" t="str">
        <f t="shared" si="303"/>
        <v>7858224858</v>
      </c>
      <c r="C12734" s="1">
        <v>44952</v>
      </c>
      <c r="D12734" s="1">
        <v>44953</v>
      </c>
      <c r="E12734">
        <v>1</v>
      </c>
      <c r="F12734" t="str">
        <f t="shared" si="304"/>
        <v>05-K12-02</v>
      </c>
      <c r="G12734">
        <v>1.4309000000000001</v>
      </c>
      <c r="H12734" t="s">
        <v>11</v>
      </c>
      <c r="I12734" t="s">
        <v>10</v>
      </c>
    </row>
    <row r="12735" spans="1:9" x14ac:dyDescent="0.25">
      <c r="A12735" t="str">
        <f t="shared" si="302"/>
        <v>89301000</v>
      </c>
      <c r="B12735" t="str">
        <f t="shared" si="303"/>
        <v>7858224858</v>
      </c>
      <c r="C12735" s="1">
        <v>45267</v>
      </c>
      <c r="D12735" s="1">
        <v>45268</v>
      </c>
      <c r="E12735">
        <v>1</v>
      </c>
      <c r="F12735" t="str">
        <f t="shared" si="304"/>
        <v>05-K12-02</v>
      </c>
      <c r="G12735">
        <v>1.4309000000000001</v>
      </c>
      <c r="H12735" t="s">
        <v>11</v>
      </c>
      <c r="I12735" t="s">
        <v>10</v>
      </c>
    </row>
    <row r="12736" spans="1:9" x14ac:dyDescent="0.25">
      <c r="A12736" t="str">
        <f t="shared" si="302"/>
        <v>89301000</v>
      </c>
      <c r="B12736" t="str">
        <f t="shared" si="303"/>
        <v>7858224858</v>
      </c>
      <c r="C12736" s="1">
        <v>45183</v>
      </c>
      <c r="D12736" s="1">
        <v>45184</v>
      </c>
      <c r="E12736">
        <v>1</v>
      </c>
      <c r="F12736" t="str">
        <f t="shared" si="304"/>
        <v>05-K12-02</v>
      </c>
      <c r="G12736">
        <v>1.5902000000000001</v>
      </c>
      <c r="H12736" t="s">
        <v>11</v>
      </c>
      <c r="I12736" t="s">
        <v>10</v>
      </c>
    </row>
    <row r="12737" spans="1:9" x14ac:dyDescent="0.25">
      <c r="A12737" t="str">
        <f t="shared" si="302"/>
        <v>89301000</v>
      </c>
      <c r="B12737" t="str">
        <f t="shared" si="303"/>
        <v>7858224858</v>
      </c>
      <c r="C12737" s="1">
        <v>45224</v>
      </c>
      <c r="D12737" s="1">
        <v>45225</v>
      </c>
      <c r="E12737">
        <v>1</v>
      </c>
      <c r="F12737" t="str">
        <f t="shared" si="304"/>
        <v>05-K12-02</v>
      </c>
      <c r="G12737">
        <v>1.5902000000000001</v>
      </c>
      <c r="H12737" t="s">
        <v>11</v>
      </c>
      <c r="I12737" t="s">
        <v>10</v>
      </c>
    </row>
    <row r="12738" spans="1:9" x14ac:dyDescent="0.25">
      <c r="A12738" t="str">
        <f t="shared" si="302"/>
        <v>89301000</v>
      </c>
      <c r="B12738" t="str">
        <f>"7858225331"</f>
        <v>7858225331</v>
      </c>
      <c r="C12738" s="1">
        <v>45254</v>
      </c>
      <c r="D12738" s="1">
        <v>45257</v>
      </c>
      <c r="E12738">
        <v>1</v>
      </c>
      <c r="F12738" t="str">
        <f>"04-K04-01"</f>
        <v>04-K04-01</v>
      </c>
      <c r="G12738">
        <v>1.0286</v>
      </c>
      <c r="H12738" t="s">
        <v>11</v>
      </c>
      <c r="I12738" t="s">
        <v>10</v>
      </c>
    </row>
    <row r="12739" spans="1:9" x14ac:dyDescent="0.25">
      <c r="A12739" t="str">
        <f t="shared" si="302"/>
        <v>89301000</v>
      </c>
      <c r="B12739" t="str">
        <f>"7858265767"</f>
        <v>7858265767</v>
      </c>
      <c r="C12739" s="1">
        <v>45029</v>
      </c>
      <c r="D12739" s="1">
        <v>45031</v>
      </c>
      <c r="E12739">
        <v>1</v>
      </c>
      <c r="F12739" t="str">
        <f>"09-I13-04"</f>
        <v>09-I13-04</v>
      </c>
      <c r="G12739">
        <v>0.55520000000000003</v>
      </c>
      <c r="H12739" t="s">
        <v>11</v>
      </c>
      <c r="I12739" t="s">
        <v>10</v>
      </c>
    </row>
    <row r="12740" spans="1:9" x14ac:dyDescent="0.25">
      <c r="A12740" t="str">
        <f t="shared" si="302"/>
        <v>89301000</v>
      </c>
      <c r="B12740" t="str">
        <f>"7859045326"</f>
        <v>7859045326</v>
      </c>
      <c r="C12740" s="1">
        <v>45232</v>
      </c>
      <c r="D12740" s="1">
        <v>45234</v>
      </c>
      <c r="E12740">
        <v>1</v>
      </c>
      <c r="F12740" t="str">
        <f>"09-I06-04"</f>
        <v>09-I06-04</v>
      </c>
      <c r="G12740">
        <v>0.95069999999999999</v>
      </c>
      <c r="H12740" t="s">
        <v>12</v>
      </c>
      <c r="I12740" t="s">
        <v>10</v>
      </c>
    </row>
    <row r="12741" spans="1:9" x14ac:dyDescent="0.25">
      <c r="A12741" t="str">
        <f t="shared" si="302"/>
        <v>89301000</v>
      </c>
      <c r="B12741" t="str">
        <f>"7859045348"</f>
        <v>7859045348</v>
      </c>
      <c r="C12741" s="1">
        <v>44963</v>
      </c>
      <c r="D12741" s="1">
        <v>44965</v>
      </c>
      <c r="E12741">
        <v>1</v>
      </c>
      <c r="F12741" t="str">
        <f>"08-I26-03"</f>
        <v>08-I26-03</v>
      </c>
      <c r="G12741">
        <v>0.47610000000000002</v>
      </c>
      <c r="H12741" t="s">
        <v>11</v>
      </c>
      <c r="I12741" t="s">
        <v>10</v>
      </c>
    </row>
    <row r="12742" spans="1:9" x14ac:dyDescent="0.25">
      <c r="A12742" t="str">
        <f t="shared" si="302"/>
        <v>89301000</v>
      </c>
      <c r="B12742" t="str">
        <f>"7859045359"</f>
        <v>7859045359</v>
      </c>
      <c r="C12742" s="1">
        <v>45007</v>
      </c>
      <c r="D12742" s="1">
        <v>45009</v>
      </c>
      <c r="E12742">
        <v>1</v>
      </c>
      <c r="F12742" t="str">
        <f>"09-I08-02"</f>
        <v>09-I08-02</v>
      </c>
      <c r="G12742">
        <v>1.0949</v>
      </c>
      <c r="H12742" t="s">
        <v>14</v>
      </c>
      <c r="I12742" t="s">
        <v>10</v>
      </c>
    </row>
    <row r="12743" spans="1:9" x14ac:dyDescent="0.25">
      <c r="A12743" t="str">
        <f t="shared" si="302"/>
        <v>89301000</v>
      </c>
      <c r="B12743" t="str">
        <f>"7859055303"</f>
        <v>7859055303</v>
      </c>
      <c r="C12743" s="1">
        <v>44927</v>
      </c>
      <c r="D12743" s="1">
        <v>44930</v>
      </c>
      <c r="E12743">
        <v>1</v>
      </c>
      <c r="F12743" t="str">
        <f>"08-M03-04"</f>
        <v>08-M03-04</v>
      </c>
      <c r="G12743">
        <v>0.87760000000000005</v>
      </c>
      <c r="H12743" t="s">
        <v>11</v>
      </c>
      <c r="I12743" t="s">
        <v>10</v>
      </c>
    </row>
    <row r="12744" spans="1:9" x14ac:dyDescent="0.25">
      <c r="A12744" t="str">
        <f t="shared" si="302"/>
        <v>89301000</v>
      </c>
      <c r="B12744" t="str">
        <f>"7859064455"</f>
        <v>7859064455</v>
      </c>
      <c r="C12744" s="1">
        <v>45026</v>
      </c>
      <c r="D12744" s="1">
        <v>45030</v>
      </c>
      <c r="E12744">
        <v>6</v>
      </c>
      <c r="F12744" t="str">
        <f>"13-I16-00"</f>
        <v>13-I16-00</v>
      </c>
      <c r="G12744">
        <v>1.1695</v>
      </c>
      <c r="H12744" t="s">
        <v>12</v>
      </c>
      <c r="I12744" t="s">
        <v>10</v>
      </c>
    </row>
    <row r="12745" spans="1:9" x14ac:dyDescent="0.25">
      <c r="A12745" t="str">
        <f t="shared" si="302"/>
        <v>89301000</v>
      </c>
      <c r="B12745" t="str">
        <f>"7859094463"</f>
        <v>7859094463</v>
      </c>
      <c r="C12745" s="1">
        <v>45075</v>
      </c>
      <c r="D12745" s="1">
        <v>45076</v>
      </c>
      <c r="E12745">
        <v>1</v>
      </c>
      <c r="F12745" t="str">
        <f>"10-K15-02"</f>
        <v>10-K15-02</v>
      </c>
      <c r="G12745">
        <v>0.66379999999999995</v>
      </c>
      <c r="H12745" t="s">
        <v>11</v>
      </c>
      <c r="I12745" t="s">
        <v>10</v>
      </c>
    </row>
    <row r="12746" spans="1:9" x14ac:dyDescent="0.25">
      <c r="A12746" t="str">
        <f t="shared" si="302"/>
        <v>89301000</v>
      </c>
      <c r="B12746" t="str">
        <f>"7859094463"</f>
        <v>7859094463</v>
      </c>
      <c r="C12746" s="1">
        <v>44986</v>
      </c>
      <c r="D12746" s="1">
        <v>44987</v>
      </c>
      <c r="E12746">
        <v>1</v>
      </c>
      <c r="F12746" t="str">
        <f>"10-K15-02"</f>
        <v>10-K15-02</v>
      </c>
      <c r="G12746">
        <v>0.66379999999999995</v>
      </c>
      <c r="H12746" t="s">
        <v>11</v>
      </c>
      <c r="I12746" t="s">
        <v>10</v>
      </c>
    </row>
    <row r="12747" spans="1:9" x14ac:dyDescent="0.25">
      <c r="A12747" t="str">
        <f t="shared" si="302"/>
        <v>89301000</v>
      </c>
      <c r="B12747" t="str">
        <f>"7859165754"</f>
        <v>7859165754</v>
      </c>
      <c r="C12747" s="1">
        <v>44994</v>
      </c>
      <c r="D12747" s="1">
        <v>44998</v>
      </c>
      <c r="E12747">
        <v>1</v>
      </c>
      <c r="F12747" t="str">
        <f>"13-I14-03"</f>
        <v>13-I14-03</v>
      </c>
      <c r="G12747">
        <v>0.87760000000000005</v>
      </c>
      <c r="H12747" t="s">
        <v>9</v>
      </c>
      <c r="I12747" t="s">
        <v>10</v>
      </c>
    </row>
    <row r="12748" spans="1:9" x14ac:dyDescent="0.25">
      <c r="A12748" t="str">
        <f t="shared" si="302"/>
        <v>89301000</v>
      </c>
      <c r="B12748" t="str">
        <f>"7859175302"</f>
        <v>7859175302</v>
      </c>
      <c r="C12748" s="1">
        <v>45109</v>
      </c>
      <c r="D12748" s="1">
        <v>45113</v>
      </c>
      <c r="E12748">
        <v>1</v>
      </c>
      <c r="F12748" t="str">
        <f>"10-I13-02"</f>
        <v>10-I13-02</v>
      </c>
      <c r="G12748">
        <v>1.1124000000000001</v>
      </c>
      <c r="H12748" t="s">
        <v>9</v>
      </c>
      <c r="I12748" t="s">
        <v>10</v>
      </c>
    </row>
    <row r="12749" spans="1:9" x14ac:dyDescent="0.25">
      <c r="A12749" t="str">
        <f t="shared" si="302"/>
        <v>89301000</v>
      </c>
      <c r="B12749" t="str">
        <f>"7859184861"</f>
        <v>7859184861</v>
      </c>
      <c r="C12749" s="1">
        <v>45048</v>
      </c>
      <c r="D12749" s="1">
        <v>45052</v>
      </c>
      <c r="E12749">
        <v>1</v>
      </c>
      <c r="F12749" t="str">
        <f>"13-I11-03"</f>
        <v>13-I11-03</v>
      </c>
      <c r="G12749">
        <v>1.4332</v>
      </c>
      <c r="H12749" t="s">
        <v>9</v>
      </c>
      <c r="I12749" t="s">
        <v>10</v>
      </c>
    </row>
    <row r="12750" spans="1:9" x14ac:dyDescent="0.25">
      <c r="A12750" t="str">
        <f t="shared" si="302"/>
        <v>89301000</v>
      </c>
      <c r="B12750" t="str">
        <f>"7859204518"</f>
        <v>7859204518</v>
      </c>
      <c r="C12750" s="1">
        <v>45277</v>
      </c>
      <c r="D12750" s="1">
        <v>45282</v>
      </c>
      <c r="E12750">
        <v>1</v>
      </c>
      <c r="F12750" t="str">
        <f>"09-K08-01"</f>
        <v>09-K08-01</v>
      </c>
      <c r="G12750">
        <v>1.1941999999999999</v>
      </c>
      <c r="H12750" t="s">
        <v>11</v>
      </c>
      <c r="I12750" t="s">
        <v>10</v>
      </c>
    </row>
    <row r="12751" spans="1:9" x14ac:dyDescent="0.25">
      <c r="A12751" t="str">
        <f t="shared" si="302"/>
        <v>89301000</v>
      </c>
      <c r="B12751" t="str">
        <f>"7859235395"</f>
        <v>7859235395</v>
      </c>
      <c r="C12751" s="1">
        <v>45016</v>
      </c>
      <c r="D12751" s="1">
        <v>45017</v>
      </c>
      <c r="E12751">
        <v>1</v>
      </c>
      <c r="F12751" t="str">
        <f>"08-I19-03"</f>
        <v>08-I19-03</v>
      </c>
      <c r="G12751">
        <v>0.59130000000000005</v>
      </c>
      <c r="H12751" t="s">
        <v>12</v>
      </c>
      <c r="I12751" t="s">
        <v>10</v>
      </c>
    </row>
    <row r="12752" spans="1:9" x14ac:dyDescent="0.25">
      <c r="A12752" t="str">
        <f t="shared" si="302"/>
        <v>89301000</v>
      </c>
      <c r="B12752" t="str">
        <f>"7859255316"</f>
        <v>7859255316</v>
      </c>
      <c r="C12752" s="1">
        <v>45239</v>
      </c>
      <c r="D12752" s="1">
        <v>45246</v>
      </c>
      <c r="E12752">
        <v>1</v>
      </c>
      <c r="F12752" t="str">
        <f>"04-K07-03"</f>
        <v>04-K07-03</v>
      </c>
      <c r="G12752">
        <v>0.61119999999999997</v>
      </c>
      <c r="H12752" t="s">
        <v>11</v>
      </c>
      <c r="I12752" t="s">
        <v>10</v>
      </c>
    </row>
    <row r="12753" spans="1:9" x14ac:dyDescent="0.25">
      <c r="A12753" t="str">
        <f t="shared" si="302"/>
        <v>89301000</v>
      </c>
      <c r="B12753" t="str">
        <f>"7859265348"</f>
        <v>7859265348</v>
      </c>
      <c r="C12753" s="1">
        <v>45232</v>
      </c>
      <c r="D12753" s="1">
        <v>45233</v>
      </c>
      <c r="E12753">
        <v>1</v>
      </c>
      <c r="F12753" t="str">
        <f>"13-I19-00"</f>
        <v>13-I19-00</v>
      </c>
      <c r="G12753">
        <v>0.28249999999999997</v>
      </c>
      <c r="H12753" t="s">
        <v>11</v>
      </c>
      <c r="I12753" t="s">
        <v>10</v>
      </c>
    </row>
    <row r="12754" spans="1:9" x14ac:dyDescent="0.25">
      <c r="A12754" t="str">
        <f t="shared" si="302"/>
        <v>89301000</v>
      </c>
      <c r="B12754" t="str">
        <f>"7859800520"</f>
        <v>7859800520</v>
      </c>
      <c r="C12754" s="1">
        <v>45168</v>
      </c>
      <c r="D12754" s="1">
        <v>45177</v>
      </c>
      <c r="E12754">
        <v>1</v>
      </c>
      <c r="F12754" t="str">
        <f>"11-K03-02"</f>
        <v>11-K03-02</v>
      </c>
      <c r="G12754">
        <v>0.65569999999999995</v>
      </c>
      <c r="H12754" t="s">
        <v>11</v>
      </c>
      <c r="I12754" t="s">
        <v>10</v>
      </c>
    </row>
    <row r="12755" spans="1:9" x14ac:dyDescent="0.25">
      <c r="A12755" t="str">
        <f t="shared" si="302"/>
        <v>89301000</v>
      </c>
      <c r="B12755" t="str">
        <f>"7860075366"</f>
        <v>7860075366</v>
      </c>
      <c r="C12755" s="1">
        <v>45020</v>
      </c>
      <c r="D12755" s="1">
        <v>45023</v>
      </c>
      <c r="E12755">
        <v>1</v>
      </c>
      <c r="F12755" t="str">
        <f>"06-I17-04"</f>
        <v>06-I17-04</v>
      </c>
      <c r="G12755">
        <v>0.49869999999999998</v>
      </c>
      <c r="H12755" t="s">
        <v>12</v>
      </c>
      <c r="I12755" t="s">
        <v>10</v>
      </c>
    </row>
    <row r="12756" spans="1:9" x14ac:dyDescent="0.25">
      <c r="A12756" t="str">
        <f t="shared" si="302"/>
        <v>89301000</v>
      </c>
      <c r="B12756" t="str">
        <f>"7860105308"</f>
        <v>7860105308</v>
      </c>
      <c r="C12756" s="1">
        <v>45230</v>
      </c>
      <c r="D12756" s="1">
        <v>45240</v>
      </c>
      <c r="E12756">
        <v>1</v>
      </c>
      <c r="F12756" t="str">
        <f>"09-R01-08"</f>
        <v>09-R01-08</v>
      </c>
      <c r="G12756">
        <v>1.1002000000000001</v>
      </c>
      <c r="H12756" t="s">
        <v>11</v>
      </c>
      <c r="I12756" t="s">
        <v>10</v>
      </c>
    </row>
    <row r="12757" spans="1:9" x14ac:dyDescent="0.25">
      <c r="A12757" t="str">
        <f t="shared" si="302"/>
        <v>89301000</v>
      </c>
      <c r="B12757" t="str">
        <f>"7860215352"</f>
        <v>7860215352</v>
      </c>
      <c r="C12757" s="1">
        <v>44952</v>
      </c>
      <c r="D12757" s="1">
        <v>44955</v>
      </c>
      <c r="E12757">
        <v>1</v>
      </c>
      <c r="F12757" t="str">
        <f>"05-I30-01"</f>
        <v>05-I30-01</v>
      </c>
      <c r="G12757">
        <v>0.60309999999999997</v>
      </c>
      <c r="H12757" t="s">
        <v>12</v>
      </c>
      <c r="I12757" t="s">
        <v>10</v>
      </c>
    </row>
    <row r="12758" spans="1:9" x14ac:dyDescent="0.25">
      <c r="A12758" t="str">
        <f t="shared" si="302"/>
        <v>89301000</v>
      </c>
      <c r="B12758" t="str">
        <f>"7860215363"</f>
        <v>7860215363</v>
      </c>
      <c r="C12758" s="1">
        <v>45252</v>
      </c>
      <c r="D12758" s="1">
        <v>45267</v>
      </c>
      <c r="E12758">
        <v>1</v>
      </c>
      <c r="F12758" t="str">
        <f>"19-K05-02"</f>
        <v>19-K05-02</v>
      </c>
      <c r="G12758">
        <v>1.7688999999999999</v>
      </c>
      <c r="H12758" t="s">
        <v>15</v>
      </c>
      <c r="I12758" t="s">
        <v>10</v>
      </c>
    </row>
    <row r="12759" spans="1:9" x14ac:dyDescent="0.25">
      <c r="A12759" t="str">
        <f t="shared" si="302"/>
        <v>89301000</v>
      </c>
      <c r="B12759" t="str">
        <f>"7860215363"</f>
        <v>7860215363</v>
      </c>
      <c r="C12759" s="1">
        <v>45134</v>
      </c>
      <c r="D12759" s="1">
        <v>45135</v>
      </c>
      <c r="E12759">
        <v>1</v>
      </c>
      <c r="F12759" t="str">
        <f>"13-K02-00"</f>
        <v>13-K02-00</v>
      </c>
      <c r="G12759">
        <v>0.2611</v>
      </c>
      <c r="H12759" t="s">
        <v>11</v>
      </c>
      <c r="I12759" t="s">
        <v>10</v>
      </c>
    </row>
    <row r="12760" spans="1:9" x14ac:dyDescent="0.25">
      <c r="A12760" t="str">
        <f t="shared" si="302"/>
        <v>89301000</v>
      </c>
      <c r="B12760" t="str">
        <f>"7861033675"</f>
        <v>7861033675</v>
      </c>
      <c r="C12760" s="1">
        <v>45106</v>
      </c>
      <c r="D12760" s="1">
        <v>45107</v>
      </c>
      <c r="E12760">
        <v>1</v>
      </c>
      <c r="F12760" t="str">
        <f>"01-K01-02"</f>
        <v>01-K01-02</v>
      </c>
      <c r="G12760">
        <v>0.442</v>
      </c>
      <c r="H12760" t="s">
        <v>11</v>
      </c>
      <c r="I12760" t="s">
        <v>10</v>
      </c>
    </row>
    <row r="12761" spans="1:9" x14ac:dyDescent="0.25">
      <c r="A12761" t="str">
        <f t="shared" si="302"/>
        <v>89301000</v>
      </c>
      <c r="B12761" t="str">
        <f>"7861033675"</f>
        <v>7861033675</v>
      </c>
      <c r="C12761" s="1">
        <v>45092</v>
      </c>
      <c r="D12761" s="1">
        <v>45093</v>
      </c>
      <c r="E12761">
        <v>1</v>
      </c>
      <c r="F12761" t="str">
        <f>"01-K01-02"</f>
        <v>01-K01-02</v>
      </c>
      <c r="G12761">
        <v>0.442</v>
      </c>
      <c r="H12761" t="s">
        <v>11</v>
      </c>
      <c r="I12761" t="s">
        <v>10</v>
      </c>
    </row>
    <row r="12762" spans="1:9" x14ac:dyDescent="0.25">
      <c r="A12762" t="str">
        <f t="shared" si="302"/>
        <v>89301000</v>
      </c>
      <c r="B12762" t="str">
        <f>"7861095396"</f>
        <v>7861095396</v>
      </c>
      <c r="C12762" s="1">
        <v>45028</v>
      </c>
      <c r="D12762" s="1">
        <v>45035</v>
      </c>
      <c r="E12762">
        <v>1</v>
      </c>
      <c r="F12762" t="str">
        <f>"04-I08-03"</f>
        <v>04-I08-03</v>
      </c>
      <c r="G12762">
        <v>1.5931999999999999</v>
      </c>
      <c r="H12762" t="s">
        <v>11</v>
      </c>
      <c r="I12762" t="s">
        <v>10</v>
      </c>
    </row>
    <row r="12763" spans="1:9" x14ac:dyDescent="0.25">
      <c r="A12763" t="str">
        <f t="shared" ref="A12763:A12825" si="305">"89301000"</f>
        <v>89301000</v>
      </c>
      <c r="B12763" t="str">
        <f>"7861115306"</f>
        <v>7861115306</v>
      </c>
      <c r="C12763" s="1">
        <v>45182</v>
      </c>
      <c r="D12763" s="1">
        <v>45185</v>
      </c>
      <c r="E12763">
        <v>1</v>
      </c>
      <c r="F12763" t="str">
        <f>"08-I04-03"</f>
        <v>08-I04-03</v>
      </c>
      <c r="G12763">
        <v>1.3045</v>
      </c>
      <c r="H12763" t="s">
        <v>14</v>
      </c>
      <c r="I12763" t="s">
        <v>10</v>
      </c>
    </row>
    <row r="12764" spans="1:9" x14ac:dyDescent="0.25">
      <c r="A12764" t="str">
        <f t="shared" si="305"/>
        <v>89301000</v>
      </c>
      <c r="B12764" t="str">
        <f>"7861124403"</f>
        <v>7861124403</v>
      </c>
      <c r="C12764" s="1">
        <v>44949</v>
      </c>
      <c r="D12764" s="1">
        <v>44952</v>
      </c>
      <c r="E12764">
        <v>1</v>
      </c>
      <c r="F12764" t="str">
        <f>"08-M03-01"</f>
        <v>08-M03-01</v>
      </c>
      <c r="G12764">
        <v>0.93420000000000003</v>
      </c>
      <c r="H12764" t="s">
        <v>11</v>
      </c>
      <c r="I12764" t="s">
        <v>10</v>
      </c>
    </row>
    <row r="12765" spans="1:9" x14ac:dyDescent="0.25">
      <c r="A12765" t="str">
        <f t="shared" si="305"/>
        <v>89301000</v>
      </c>
      <c r="B12765" t="str">
        <f>"7861225328"</f>
        <v>7861225328</v>
      </c>
      <c r="C12765" s="1">
        <v>45180</v>
      </c>
      <c r="D12765" s="1">
        <v>45182</v>
      </c>
      <c r="E12765">
        <v>1</v>
      </c>
      <c r="F12765" t="str">
        <f>"06-K15-02"</f>
        <v>06-K15-02</v>
      </c>
      <c r="G12765">
        <v>0.26600000000000001</v>
      </c>
      <c r="H12765" t="s">
        <v>11</v>
      </c>
      <c r="I12765" t="s">
        <v>10</v>
      </c>
    </row>
    <row r="12766" spans="1:9" x14ac:dyDescent="0.25">
      <c r="A12766" t="str">
        <f t="shared" si="305"/>
        <v>89301000</v>
      </c>
      <c r="B12766" t="str">
        <f>"7861235690"</f>
        <v>7861235690</v>
      </c>
      <c r="C12766" s="1">
        <v>45222</v>
      </c>
      <c r="D12766" s="1">
        <v>45224</v>
      </c>
      <c r="E12766">
        <v>1</v>
      </c>
      <c r="F12766" t="str">
        <f>"08-M03-05"</f>
        <v>08-M03-05</v>
      </c>
      <c r="G12766">
        <v>0.46810000000000002</v>
      </c>
      <c r="H12766" t="s">
        <v>11</v>
      </c>
      <c r="I12766" t="s">
        <v>10</v>
      </c>
    </row>
    <row r="12767" spans="1:9" x14ac:dyDescent="0.25">
      <c r="A12767" t="str">
        <f t="shared" si="305"/>
        <v>89301000</v>
      </c>
      <c r="B12767" t="str">
        <f>"7861245315"</f>
        <v>7861245315</v>
      </c>
      <c r="C12767" s="1">
        <v>45244</v>
      </c>
      <c r="D12767" s="1">
        <v>45246</v>
      </c>
      <c r="E12767">
        <v>1</v>
      </c>
      <c r="F12767" t="str">
        <f>"08-M03-05"</f>
        <v>08-M03-05</v>
      </c>
      <c r="G12767">
        <v>0.46810000000000002</v>
      </c>
      <c r="H12767" t="s">
        <v>11</v>
      </c>
      <c r="I12767" t="s">
        <v>10</v>
      </c>
    </row>
    <row r="12768" spans="1:9" x14ac:dyDescent="0.25">
      <c r="A12768" t="str">
        <f t="shared" si="305"/>
        <v>89301000</v>
      </c>
      <c r="B12768" t="str">
        <f>"7861264455"</f>
        <v>7861264455</v>
      </c>
      <c r="C12768" s="1">
        <v>45132</v>
      </c>
      <c r="D12768" s="1">
        <v>45135</v>
      </c>
      <c r="E12768">
        <v>1</v>
      </c>
      <c r="F12768" t="str">
        <f>"03-I12-02"</f>
        <v>03-I12-02</v>
      </c>
      <c r="G12768">
        <v>1.2988999999999999</v>
      </c>
      <c r="H12768" t="s">
        <v>12</v>
      </c>
      <c r="I12768" t="s">
        <v>10</v>
      </c>
    </row>
    <row r="12769" spans="1:9" x14ac:dyDescent="0.25">
      <c r="A12769" t="str">
        <f t="shared" si="305"/>
        <v>89301000</v>
      </c>
      <c r="B12769" t="str">
        <f>"7861265357"</f>
        <v>7861265357</v>
      </c>
      <c r="C12769" s="1">
        <v>44960</v>
      </c>
      <c r="D12769" s="1">
        <v>44962</v>
      </c>
      <c r="E12769">
        <v>1</v>
      </c>
      <c r="F12769" t="str">
        <f>"01-I06-04"</f>
        <v>01-I06-04</v>
      </c>
      <c r="G12769">
        <v>2.7875999999999999</v>
      </c>
      <c r="H12769" t="s">
        <v>12</v>
      </c>
      <c r="I12769" t="s">
        <v>10</v>
      </c>
    </row>
    <row r="12770" spans="1:9" x14ac:dyDescent="0.25">
      <c r="A12770" t="str">
        <f t="shared" si="305"/>
        <v>89301000</v>
      </c>
      <c r="B12770" t="str">
        <f>"7861285322"</f>
        <v>7861285322</v>
      </c>
      <c r="C12770" s="1">
        <v>45208</v>
      </c>
      <c r="D12770" s="1">
        <v>45212</v>
      </c>
      <c r="E12770">
        <v>1</v>
      </c>
      <c r="F12770" t="str">
        <f>"06-I18-05"</f>
        <v>06-I18-05</v>
      </c>
      <c r="G12770">
        <v>0.82420000000000004</v>
      </c>
      <c r="H12770" t="s">
        <v>9</v>
      </c>
      <c r="I12770" t="s">
        <v>10</v>
      </c>
    </row>
    <row r="12771" spans="1:9" x14ac:dyDescent="0.25">
      <c r="A12771" t="str">
        <f t="shared" si="305"/>
        <v>89301000</v>
      </c>
      <c r="B12771" t="str">
        <f>"7861304462"</f>
        <v>7861304462</v>
      </c>
      <c r="C12771" s="1">
        <v>45082</v>
      </c>
      <c r="D12771" s="1">
        <v>45088</v>
      </c>
      <c r="E12771">
        <v>1</v>
      </c>
      <c r="F12771" t="str">
        <f>"03-I19-02"</f>
        <v>03-I19-02</v>
      </c>
      <c r="G12771">
        <v>0.71340000000000003</v>
      </c>
      <c r="H12771" t="s">
        <v>11</v>
      </c>
      <c r="I12771" t="s">
        <v>10</v>
      </c>
    </row>
    <row r="12772" spans="1:9" x14ac:dyDescent="0.25">
      <c r="A12772" t="str">
        <f t="shared" si="305"/>
        <v>89301000</v>
      </c>
      <c r="B12772" t="str">
        <f>"7861304462"</f>
        <v>7861304462</v>
      </c>
      <c r="C12772" s="1">
        <v>45252</v>
      </c>
      <c r="D12772" s="1">
        <v>45257</v>
      </c>
      <c r="E12772">
        <v>1</v>
      </c>
      <c r="F12772" t="str">
        <f>"03-I19-02"</f>
        <v>03-I19-02</v>
      </c>
      <c r="G12772">
        <v>0.71340000000000003</v>
      </c>
      <c r="H12772" t="s">
        <v>11</v>
      </c>
      <c r="I12772" t="s">
        <v>10</v>
      </c>
    </row>
    <row r="12773" spans="1:9" x14ac:dyDescent="0.25">
      <c r="A12773" t="str">
        <f t="shared" si="305"/>
        <v>89301000</v>
      </c>
      <c r="B12773" t="str">
        <f>"7861305342"</f>
        <v>7861305342</v>
      </c>
      <c r="C12773" s="1">
        <v>45026</v>
      </c>
      <c r="D12773" s="1">
        <v>45027</v>
      </c>
      <c r="E12773">
        <v>1</v>
      </c>
      <c r="F12773" t="str">
        <f>"13-K15-02"</f>
        <v>13-K15-02</v>
      </c>
      <c r="G12773">
        <v>0.23619999999999999</v>
      </c>
      <c r="H12773" t="s">
        <v>11</v>
      </c>
      <c r="I12773" t="s">
        <v>10</v>
      </c>
    </row>
    <row r="12774" spans="1:9" x14ac:dyDescent="0.25">
      <c r="A12774" t="str">
        <f t="shared" si="305"/>
        <v>89301000</v>
      </c>
      <c r="B12774" t="str">
        <f>"7861305342"</f>
        <v>7861305342</v>
      </c>
      <c r="C12774" s="1">
        <v>44945</v>
      </c>
      <c r="D12774" s="1">
        <v>44949</v>
      </c>
      <c r="E12774">
        <v>1</v>
      </c>
      <c r="F12774" t="str">
        <f>"13-I11-03"</f>
        <v>13-I11-03</v>
      </c>
      <c r="G12774">
        <v>1.4332</v>
      </c>
      <c r="H12774" t="s">
        <v>9</v>
      </c>
      <c r="I12774" t="s">
        <v>10</v>
      </c>
    </row>
    <row r="12775" spans="1:9" x14ac:dyDescent="0.25">
      <c r="A12775" t="str">
        <f t="shared" si="305"/>
        <v>89301000</v>
      </c>
      <c r="B12775" t="str">
        <f>"7861510514"</f>
        <v>7861510514</v>
      </c>
      <c r="C12775" s="1">
        <v>45015</v>
      </c>
      <c r="D12775" s="1">
        <v>45017</v>
      </c>
      <c r="E12775">
        <v>1</v>
      </c>
      <c r="F12775" t="str">
        <f>"13-K02-00"</f>
        <v>13-K02-00</v>
      </c>
      <c r="G12775">
        <v>0.2611</v>
      </c>
      <c r="H12775" t="s">
        <v>11</v>
      </c>
      <c r="I12775" t="s">
        <v>10</v>
      </c>
    </row>
    <row r="12776" spans="1:9" x14ac:dyDescent="0.25">
      <c r="A12776" t="str">
        <f t="shared" si="305"/>
        <v>89301000</v>
      </c>
      <c r="B12776" t="str">
        <f>"7862065354"</f>
        <v>7862065354</v>
      </c>
      <c r="C12776" s="1">
        <v>45249</v>
      </c>
      <c r="D12776" s="1">
        <v>45251</v>
      </c>
      <c r="E12776">
        <v>1</v>
      </c>
      <c r="F12776" t="str">
        <f>"08-M03-05"</f>
        <v>08-M03-05</v>
      </c>
      <c r="G12776">
        <v>0.46910000000000002</v>
      </c>
      <c r="H12776" t="s">
        <v>11</v>
      </c>
      <c r="I12776" t="s">
        <v>10</v>
      </c>
    </row>
    <row r="12777" spans="1:9" x14ac:dyDescent="0.25">
      <c r="A12777" t="str">
        <f t="shared" si="305"/>
        <v>89301000</v>
      </c>
      <c r="B12777" t="str">
        <f>"7862065354"</f>
        <v>7862065354</v>
      </c>
      <c r="C12777" s="1">
        <v>45063</v>
      </c>
      <c r="D12777" s="1">
        <v>45065</v>
      </c>
      <c r="E12777">
        <v>1</v>
      </c>
      <c r="F12777" t="str">
        <f>"08-I25-02"</f>
        <v>08-I25-02</v>
      </c>
      <c r="G12777">
        <v>0.55279999999999996</v>
      </c>
      <c r="H12777" t="s">
        <v>11</v>
      </c>
      <c r="I12777" t="s">
        <v>10</v>
      </c>
    </row>
    <row r="12778" spans="1:9" x14ac:dyDescent="0.25">
      <c r="A12778" t="str">
        <f t="shared" si="305"/>
        <v>89301000</v>
      </c>
      <c r="B12778" t="str">
        <f>"7862095318"</f>
        <v>7862095318</v>
      </c>
      <c r="C12778" s="1">
        <v>44950</v>
      </c>
      <c r="D12778" s="1">
        <v>44952</v>
      </c>
      <c r="E12778">
        <v>1</v>
      </c>
      <c r="F12778" t="str">
        <f>"21-K01-00"</f>
        <v>21-K01-00</v>
      </c>
      <c r="G12778">
        <v>0.6583</v>
      </c>
      <c r="H12778" t="s">
        <v>11</v>
      </c>
      <c r="I12778" t="s">
        <v>10</v>
      </c>
    </row>
    <row r="12779" spans="1:9" x14ac:dyDescent="0.25">
      <c r="A12779" t="str">
        <f t="shared" si="305"/>
        <v>89301000</v>
      </c>
      <c r="B12779" t="str">
        <f>"7862095318"</f>
        <v>7862095318</v>
      </c>
      <c r="C12779" s="1">
        <v>45230</v>
      </c>
      <c r="D12779" s="1">
        <v>45231</v>
      </c>
      <c r="E12779">
        <v>1</v>
      </c>
      <c r="F12779" t="str">
        <f>"01-D01-03"</f>
        <v>01-D01-03</v>
      </c>
      <c r="G12779">
        <v>0.16200000000000001</v>
      </c>
      <c r="H12779" t="s">
        <v>11</v>
      </c>
      <c r="I12779" t="s">
        <v>10</v>
      </c>
    </row>
    <row r="12780" spans="1:9" x14ac:dyDescent="0.25">
      <c r="A12780" t="str">
        <f t="shared" si="305"/>
        <v>89301000</v>
      </c>
      <c r="B12780" t="str">
        <f>"7862114469"</f>
        <v>7862114469</v>
      </c>
      <c r="C12780" s="1">
        <v>45013</v>
      </c>
      <c r="D12780" s="1">
        <v>45017</v>
      </c>
      <c r="E12780">
        <v>1</v>
      </c>
      <c r="F12780" t="str">
        <f>"17-I08-02"</f>
        <v>17-I08-02</v>
      </c>
      <c r="G12780">
        <v>1.1373</v>
      </c>
      <c r="H12780" t="s">
        <v>11</v>
      </c>
      <c r="I12780" t="s">
        <v>10</v>
      </c>
    </row>
    <row r="12781" spans="1:9" x14ac:dyDescent="0.25">
      <c r="A12781" t="str">
        <f t="shared" si="305"/>
        <v>89301000</v>
      </c>
      <c r="B12781" t="str">
        <f>"7862114469"</f>
        <v>7862114469</v>
      </c>
      <c r="C12781" s="1">
        <v>45008</v>
      </c>
      <c r="D12781" s="1">
        <v>45009</v>
      </c>
      <c r="E12781">
        <v>1</v>
      </c>
      <c r="F12781" t="str">
        <f>"04-K07-03"</f>
        <v>04-K07-03</v>
      </c>
      <c r="G12781">
        <v>0.61119999999999997</v>
      </c>
      <c r="H12781" t="s">
        <v>11</v>
      </c>
      <c r="I12781" t="s">
        <v>10</v>
      </c>
    </row>
    <row r="12782" spans="1:9" x14ac:dyDescent="0.25">
      <c r="A12782" t="str">
        <f t="shared" si="305"/>
        <v>89301000</v>
      </c>
      <c r="B12782" t="str">
        <f>"7862145324"</f>
        <v>7862145324</v>
      </c>
      <c r="C12782" s="1">
        <v>45089</v>
      </c>
      <c r="D12782" s="1">
        <v>45100</v>
      </c>
      <c r="E12782">
        <v>1</v>
      </c>
      <c r="F12782" t="str">
        <f>"24-M06-02"</f>
        <v>24-M06-02</v>
      </c>
      <c r="G12782">
        <v>1.0699000000000001</v>
      </c>
      <c r="H12782" t="s">
        <v>11</v>
      </c>
      <c r="I12782" t="s">
        <v>10</v>
      </c>
    </row>
    <row r="12783" spans="1:9" x14ac:dyDescent="0.25">
      <c r="A12783" t="str">
        <f t="shared" si="305"/>
        <v>89301000</v>
      </c>
      <c r="B12783" t="str">
        <f>"7862145335"</f>
        <v>7862145335</v>
      </c>
      <c r="C12783" s="1">
        <v>45029</v>
      </c>
      <c r="D12783" s="1">
        <v>45031</v>
      </c>
      <c r="E12783">
        <v>1</v>
      </c>
      <c r="F12783" t="str">
        <f>"05-I30-01"</f>
        <v>05-I30-01</v>
      </c>
      <c r="G12783">
        <v>0.60309999999999997</v>
      </c>
      <c r="H12783" t="s">
        <v>12</v>
      </c>
      <c r="I12783" t="s">
        <v>10</v>
      </c>
    </row>
    <row r="12784" spans="1:9" x14ac:dyDescent="0.25">
      <c r="A12784" t="str">
        <f t="shared" si="305"/>
        <v>89301000</v>
      </c>
      <c r="B12784" t="str">
        <f>"7862229342"</f>
        <v>7862229342</v>
      </c>
      <c r="C12784" s="1">
        <v>45251</v>
      </c>
      <c r="D12784" s="1">
        <v>45252</v>
      </c>
      <c r="E12784">
        <v>1</v>
      </c>
      <c r="F12784" t="str">
        <f>"13-I19-00"</f>
        <v>13-I19-00</v>
      </c>
      <c r="G12784">
        <v>0.28270000000000001</v>
      </c>
      <c r="H12784" t="s">
        <v>11</v>
      </c>
      <c r="I12784" t="s">
        <v>10</v>
      </c>
    </row>
    <row r="12785" spans="1:9" x14ac:dyDescent="0.25">
      <c r="A12785" t="str">
        <f t="shared" si="305"/>
        <v>89301000</v>
      </c>
      <c r="B12785" t="str">
        <f>"7862229342"</f>
        <v>7862229342</v>
      </c>
      <c r="C12785" s="1">
        <v>45210</v>
      </c>
      <c r="D12785" s="1">
        <v>45211</v>
      </c>
      <c r="E12785">
        <v>1</v>
      </c>
      <c r="F12785" t="str">
        <f>"13-I19-00"</f>
        <v>13-I19-00</v>
      </c>
      <c r="G12785">
        <v>0.28249999999999997</v>
      </c>
      <c r="H12785" t="s">
        <v>11</v>
      </c>
      <c r="I12785" t="s">
        <v>10</v>
      </c>
    </row>
    <row r="12786" spans="1:9" x14ac:dyDescent="0.25">
      <c r="A12786" t="str">
        <f t="shared" si="305"/>
        <v>89301000</v>
      </c>
      <c r="B12786" t="str">
        <f>"7862234864"</f>
        <v>7862234864</v>
      </c>
      <c r="C12786" s="1">
        <v>45131</v>
      </c>
      <c r="D12786" s="1">
        <v>45137</v>
      </c>
      <c r="E12786">
        <v>1</v>
      </c>
      <c r="F12786" t="str">
        <f>"08-I03-08"</f>
        <v>08-I03-08</v>
      </c>
      <c r="G12786">
        <v>1.9455</v>
      </c>
      <c r="H12786" t="s">
        <v>9</v>
      </c>
      <c r="I12786" t="s">
        <v>10</v>
      </c>
    </row>
    <row r="12787" spans="1:9" x14ac:dyDescent="0.25">
      <c r="A12787" t="str">
        <f t="shared" si="305"/>
        <v>89301000</v>
      </c>
      <c r="B12787" t="str">
        <f>"7862295375"</f>
        <v>7862295375</v>
      </c>
      <c r="C12787" s="1">
        <v>45270</v>
      </c>
      <c r="D12787" s="1">
        <v>45282</v>
      </c>
      <c r="E12787">
        <v>1</v>
      </c>
      <c r="F12787" t="str">
        <f>"08-I03-03"</f>
        <v>08-I03-03</v>
      </c>
      <c r="G12787">
        <v>4.9530000000000003</v>
      </c>
      <c r="H12787" t="s">
        <v>9</v>
      </c>
      <c r="I12787" t="s">
        <v>10</v>
      </c>
    </row>
    <row r="12788" spans="1:9" x14ac:dyDescent="0.25">
      <c r="A12788" t="str">
        <f t="shared" si="305"/>
        <v>89301000</v>
      </c>
      <c r="B12788" t="str">
        <f>"7862295375"</f>
        <v>7862295375</v>
      </c>
      <c r="C12788" s="1">
        <v>45242</v>
      </c>
      <c r="D12788" s="1">
        <v>45250</v>
      </c>
      <c r="E12788">
        <v>1</v>
      </c>
      <c r="F12788" t="str">
        <f>"08-I03-03"</f>
        <v>08-I03-03</v>
      </c>
      <c r="G12788">
        <v>4.9530000000000003</v>
      </c>
      <c r="H12788" t="s">
        <v>9</v>
      </c>
      <c r="I12788" t="s">
        <v>10</v>
      </c>
    </row>
    <row r="12789" spans="1:9" x14ac:dyDescent="0.25">
      <c r="A12789" t="str">
        <f t="shared" si="305"/>
        <v>89301000</v>
      </c>
      <c r="B12789" t="str">
        <f>"7862295375"</f>
        <v>7862295375</v>
      </c>
      <c r="C12789" s="1">
        <v>45154</v>
      </c>
      <c r="D12789" s="1">
        <v>45155</v>
      </c>
      <c r="E12789">
        <v>1</v>
      </c>
      <c r="F12789" t="str">
        <f>"13-I19-00"</f>
        <v>13-I19-00</v>
      </c>
      <c r="G12789">
        <v>0.28249999999999997</v>
      </c>
      <c r="H12789" t="s">
        <v>11</v>
      </c>
      <c r="I12789" t="s">
        <v>10</v>
      </c>
    </row>
    <row r="12790" spans="1:9" x14ac:dyDescent="0.25">
      <c r="A12790" t="str">
        <f t="shared" si="305"/>
        <v>89301000</v>
      </c>
      <c r="B12790" t="str">
        <f>"7901155306"</f>
        <v>7901155306</v>
      </c>
      <c r="C12790" s="1">
        <v>45175</v>
      </c>
      <c r="D12790" s="1">
        <v>45177</v>
      </c>
      <c r="E12790">
        <v>1</v>
      </c>
      <c r="F12790" t="str">
        <f>"01-D01-03"</f>
        <v>01-D01-03</v>
      </c>
      <c r="G12790">
        <v>0.16200000000000001</v>
      </c>
      <c r="H12790" t="s">
        <v>11</v>
      </c>
      <c r="I12790" t="s">
        <v>10</v>
      </c>
    </row>
    <row r="12791" spans="1:9" x14ac:dyDescent="0.25">
      <c r="A12791" t="str">
        <f t="shared" si="305"/>
        <v>89301000</v>
      </c>
      <c r="B12791" t="str">
        <f>"7901225552"</f>
        <v>7901225552</v>
      </c>
      <c r="C12791" s="1">
        <v>44990</v>
      </c>
      <c r="D12791" s="1">
        <v>44995</v>
      </c>
      <c r="E12791">
        <v>1</v>
      </c>
      <c r="F12791" t="str">
        <f>"06-K07-02"</f>
        <v>06-K07-02</v>
      </c>
      <c r="G12791">
        <v>0.4385</v>
      </c>
      <c r="H12791" t="s">
        <v>11</v>
      </c>
      <c r="I12791" t="s">
        <v>10</v>
      </c>
    </row>
    <row r="12792" spans="1:9" x14ac:dyDescent="0.25">
      <c r="A12792" t="str">
        <f t="shared" si="305"/>
        <v>89301000</v>
      </c>
      <c r="B12792" t="str">
        <f>"7902045316"</f>
        <v>7902045316</v>
      </c>
      <c r="C12792" s="1">
        <v>45138</v>
      </c>
      <c r="D12792" s="1">
        <v>45141</v>
      </c>
      <c r="E12792">
        <v>1</v>
      </c>
      <c r="F12792" t="str">
        <f>"20-K01-05"</f>
        <v>20-K01-05</v>
      </c>
      <c r="G12792">
        <v>0.3952</v>
      </c>
      <c r="H12792" t="s">
        <v>11</v>
      </c>
      <c r="I12792" t="s">
        <v>10</v>
      </c>
    </row>
    <row r="12793" spans="1:9" x14ac:dyDescent="0.25">
      <c r="A12793" t="str">
        <f t="shared" si="305"/>
        <v>89301000</v>
      </c>
      <c r="B12793" t="str">
        <f>"7902074246"</f>
        <v>7902074246</v>
      </c>
      <c r="C12793" s="1">
        <v>44995</v>
      </c>
      <c r="D12793" s="1">
        <v>44999</v>
      </c>
      <c r="E12793">
        <v>1</v>
      </c>
      <c r="F12793" t="str">
        <f>"04-K10-02"</f>
        <v>04-K10-02</v>
      </c>
      <c r="G12793">
        <v>0.42270000000000002</v>
      </c>
      <c r="H12793" t="s">
        <v>11</v>
      </c>
      <c r="I12793" t="s">
        <v>10</v>
      </c>
    </row>
    <row r="12794" spans="1:9" x14ac:dyDescent="0.25">
      <c r="A12794" t="str">
        <f t="shared" si="305"/>
        <v>89301000</v>
      </c>
      <c r="B12794" t="str">
        <f>"7902074246"</f>
        <v>7902074246</v>
      </c>
      <c r="C12794" s="1">
        <v>44970</v>
      </c>
      <c r="D12794" s="1">
        <v>44972</v>
      </c>
      <c r="E12794">
        <v>1</v>
      </c>
      <c r="F12794" t="str">
        <f>"04-K07-03"</f>
        <v>04-K07-03</v>
      </c>
      <c r="G12794">
        <v>0.61119999999999997</v>
      </c>
      <c r="H12794" t="s">
        <v>11</v>
      </c>
      <c r="I12794" t="s">
        <v>10</v>
      </c>
    </row>
    <row r="12795" spans="1:9" x14ac:dyDescent="0.25">
      <c r="A12795" t="str">
        <f t="shared" si="305"/>
        <v>89301000</v>
      </c>
      <c r="B12795" t="str">
        <f>"7902084487"</f>
        <v>7902084487</v>
      </c>
      <c r="C12795" s="1">
        <v>45034</v>
      </c>
      <c r="D12795" s="1">
        <v>45036</v>
      </c>
      <c r="E12795">
        <v>1</v>
      </c>
      <c r="F12795" t="str">
        <f>"01-K08-02"</f>
        <v>01-K08-02</v>
      </c>
      <c r="G12795">
        <v>0.60619999999999996</v>
      </c>
      <c r="H12795" t="s">
        <v>11</v>
      </c>
      <c r="I12795" t="s">
        <v>10</v>
      </c>
    </row>
    <row r="12796" spans="1:9" x14ac:dyDescent="0.25">
      <c r="A12796" t="str">
        <f t="shared" si="305"/>
        <v>89301000</v>
      </c>
      <c r="B12796" t="str">
        <f>"7902104463"</f>
        <v>7902104463</v>
      </c>
      <c r="C12796" s="1">
        <v>44928</v>
      </c>
      <c r="D12796" s="1">
        <v>44929</v>
      </c>
      <c r="E12796">
        <v>1</v>
      </c>
      <c r="F12796" t="str">
        <f>"01-D01-03"</f>
        <v>01-D01-03</v>
      </c>
      <c r="G12796">
        <v>0.16200000000000001</v>
      </c>
      <c r="H12796" t="s">
        <v>11</v>
      </c>
      <c r="I12796" t="s">
        <v>10</v>
      </c>
    </row>
    <row r="12797" spans="1:9" x14ac:dyDescent="0.25">
      <c r="A12797" t="str">
        <f t="shared" si="305"/>
        <v>89301000</v>
      </c>
      <c r="B12797" t="str">
        <f>"7902145361"</f>
        <v>7902145361</v>
      </c>
      <c r="C12797" s="1">
        <v>45148</v>
      </c>
      <c r="D12797" s="1">
        <v>45149</v>
      </c>
      <c r="E12797">
        <v>1</v>
      </c>
      <c r="F12797" t="str">
        <f>"01-D01-03"</f>
        <v>01-D01-03</v>
      </c>
      <c r="G12797">
        <v>0.16200000000000001</v>
      </c>
      <c r="H12797" t="s">
        <v>11</v>
      </c>
      <c r="I12797" t="s">
        <v>10</v>
      </c>
    </row>
    <row r="12798" spans="1:9" x14ac:dyDescent="0.25">
      <c r="A12798" t="str">
        <f t="shared" si="305"/>
        <v>89301000</v>
      </c>
      <c r="B12798" t="str">
        <f>"7902145361"</f>
        <v>7902145361</v>
      </c>
      <c r="C12798" s="1">
        <v>45156</v>
      </c>
      <c r="D12798" s="1">
        <v>45159</v>
      </c>
      <c r="E12798">
        <v>1</v>
      </c>
      <c r="F12798" t="str">
        <f>"01-D01-03"</f>
        <v>01-D01-03</v>
      </c>
      <c r="G12798">
        <v>0.21060000000000001</v>
      </c>
      <c r="H12798" t="s">
        <v>11</v>
      </c>
      <c r="I12798" t="s">
        <v>10</v>
      </c>
    </row>
    <row r="12799" spans="1:9" x14ac:dyDescent="0.25">
      <c r="A12799" t="str">
        <f t="shared" si="305"/>
        <v>89301000</v>
      </c>
      <c r="B12799" t="str">
        <f>"7902185753"</f>
        <v>7902185753</v>
      </c>
      <c r="C12799" s="1">
        <v>45182</v>
      </c>
      <c r="D12799" s="1">
        <v>45184</v>
      </c>
      <c r="E12799">
        <v>1</v>
      </c>
      <c r="F12799" t="str">
        <f>"05-M05-02"</f>
        <v>05-M05-02</v>
      </c>
      <c r="G12799">
        <v>3.4817999999999998</v>
      </c>
      <c r="H12799" t="s">
        <v>14</v>
      </c>
      <c r="I12799" t="s">
        <v>10</v>
      </c>
    </row>
    <row r="12800" spans="1:9" x14ac:dyDescent="0.25">
      <c r="A12800" t="str">
        <f t="shared" si="305"/>
        <v>89301000</v>
      </c>
      <c r="B12800" t="str">
        <f>"7902185753"</f>
        <v>7902185753</v>
      </c>
      <c r="C12800" s="1">
        <v>45210</v>
      </c>
      <c r="D12800" s="1">
        <v>45211</v>
      </c>
      <c r="E12800">
        <v>1</v>
      </c>
      <c r="F12800" t="str">
        <f>"05-K05-05"</f>
        <v>05-K05-05</v>
      </c>
      <c r="G12800">
        <v>0.35659999999999997</v>
      </c>
      <c r="H12800" t="s">
        <v>11</v>
      </c>
      <c r="I12800" t="s">
        <v>10</v>
      </c>
    </row>
    <row r="12801" spans="1:9" x14ac:dyDescent="0.25">
      <c r="A12801" t="str">
        <f t="shared" si="305"/>
        <v>89301000</v>
      </c>
      <c r="B12801" t="str">
        <f>"7902194465"</f>
        <v>7902194465</v>
      </c>
      <c r="C12801" s="1">
        <v>45186</v>
      </c>
      <c r="D12801" s="1">
        <v>45190</v>
      </c>
      <c r="E12801">
        <v>1</v>
      </c>
      <c r="F12801" t="str">
        <f>"05-D01-06"</f>
        <v>05-D01-06</v>
      </c>
      <c r="G12801">
        <v>0.7571</v>
      </c>
      <c r="H12801" t="s">
        <v>11</v>
      </c>
      <c r="I12801" t="s">
        <v>10</v>
      </c>
    </row>
    <row r="12802" spans="1:9" x14ac:dyDescent="0.25">
      <c r="A12802" t="str">
        <f t="shared" si="305"/>
        <v>89301000</v>
      </c>
      <c r="B12802" t="str">
        <f>"7902204508"</f>
        <v>7902204508</v>
      </c>
      <c r="C12802" s="1">
        <v>44967</v>
      </c>
      <c r="D12802" s="1">
        <v>44970</v>
      </c>
      <c r="E12802">
        <v>1</v>
      </c>
      <c r="F12802" t="str">
        <f>"01-D01-03"</f>
        <v>01-D01-03</v>
      </c>
      <c r="G12802">
        <v>0.21060000000000001</v>
      </c>
      <c r="H12802" t="s">
        <v>11</v>
      </c>
      <c r="I12802" t="s">
        <v>10</v>
      </c>
    </row>
    <row r="12803" spans="1:9" x14ac:dyDescent="0.25">
      <c r="A12803" t="str">
        <f t="shared" si="305"/>
        <v>89301000</v>
      </c>
      <c r="B12803" t="str">
        <f>"7902235352"</f>
        <v>7902235352</v>
      </c>
      <c r="C12803" s="1">
        <v>45056</v>
      </c>
      <c r="D12803" s="1">
        <v>45064</v>
      </c>
      <c r="E12803">
        <v>1</v>
      </c>
      <c r="F12803" t="str">
        <f>"01-I07-04"</f>
        <v>01-I07-04</v>
      </c>
      <c r="G12803">
        <v>1.9818</v>
      </c>
      <c r="H12803" t="s">
        <v>12</v>
      </c>
      <c r="I12803" t="s">
        <v>10</v>
      </c>
    </row>
    <row r="12804" spans="1:9" x14ac:dyDescent="0.25">
      <c r="A12804" t="str">
        <f t="shared" si="305"/>
        <v>89301000</v>
      </c>
      <c r="B12804" t="str">
        <f>"7902265767"</f>
        <v>7902265767</v>
      </c>
      <c r="C12804" s="1">
        <v>44979</v>
      </c>
      <c r="D12804" s="1">
        <v>44981</v>
      </c>
      <c r="E12804">
        <v>1</v>
      </c>
      <c r="F12804" t="str">
        <f>"08-I19-03"</f>
        <v>08-I19-03</v>
      </c>
      <c r="G12804">
        <v>0.59130000000000005</v>
      </c>
      <c r="H12804" t="s">
        <v>12</v>
      </c>
      <c r="I12804" t="s">
        <v>10</v>
      </c>
    </row>
    <row r="12805" spans="1:9" x14ac:dyDescent="0.25">
      <c r="A12805" t="str">
        <f t="shared" si="305"/>
        <v>89301000</v>
      </c>
      <c r="B12805" t="str">
        <f>"7903053532"</f>
        <v>7903053532</v>
      </c>
      <c r="C12805" s="1">
        <v>45166</v>
      </c>
      <c r="D12805" s="1">
        <v>45169</v>
      </c>
      <c r="E12805">
        <v>1</v>
      </c>
      <c r="F12805" t="str">
        <f>"05-K10-00"</f>
        <v>05-K10-00</v>
      </c>
      <c r="G12805">
        <v>0.52610000000000001</v>
      </c>
      <c r="H12805" t="s">
        <v>11</v>
      </c>
      <c r="I12805" t="s">
        <v>10</v>
      </c>
    </row>
    <row r="12806" spans="1:9" x14ac:dyDescent="0.25">
      <c r="A12806" t="str">
        <f t="shared" si="305"/>
        <v>89301000</v>
      </c>
      <c r="B12806" t="str">
        <f>"7903074894"</f>
        <v>7903074894</v>
      </c>
      <c r="C12806" s="1">
        <v>45012</v>
      </c>
      <c r="D12806" s="1">
        <v>45013</v>
      </c>
      <c r="E12806">
        <v>1</v>
      </c>
      <c r="F12806" t="str">
        <f>"03-K13-02"</f>
        <v>03-K13-02</v>
      </c>
      <c r="G12806">
        <v>0.24440000000000001</v>
      </c>
      <c r="H12806" t="s">
        <v>11</v>
      </c>
      <c r="I12806" t="s">
        <v>10</v>
      </c>
    </row>
    <row r="12807" spans="1:9" x14ac:dyDescent="0.25">
      <c r="A12807" t="str">
        <f t="shared" si="305"/>
        <v>89301000</v>
      </c>
      <c r="B12807" t="str">
        <f>"7903195399"</f>
        <v>7903195399</v>
      </c>
      <c r="C12807" s="1">
        <v>45104</v>
      </c>
      <c r="D12807" s="1">
        <v>45108</v>
      </c>
      <c r="E12807">
        <v>1</v>
      </c>
      <c r="F12807" t="str">
        <f>"06-I18-05"</f>
        <v>06-I18-05</v>
      </c>
      <c r="G12807">
        <v>0.82420000000000004</v>
      </c>
      <c r="H12807" t="s">
        <v>9</v>
      </c>
      <c r="I12807" t="s">
        <v>10</v>
      </c>
    </row>
    <row r="12808" spans="1:9" x14ac:dyDescent="0.25">
      <c r="A12808" t="str">
        <f t="shared" si="305"/>
        <v>89301000</v>
      </c>
      <c r="B12808" t="str">
        <f>"7903255382"</f>
        <v>7903255382</v>
      </c>
      <c r="C12808" s="1">
        <v>44928</v>
      </c>
      <c r="D12808" s="1">
        <v>44938</v>
      </c>
      <c r="E12808">
        <v>1</v>
      </c>
      <c r="F12808" t="str">
        <f>"01-M02-00"</f>
        <v>01-M02-00</v>
      </c>
      <c r="G12808">
        <v>5.3973000000000004</v>
      </c>
      <c r="H12808" t="s">
        <v>12</v>
      </c>
      <c r="I12808" t="s">
        <v>10</v>
      </c>
    </row>
    <row r="12809" spans="1:9" x14ac:dyDescent="0.25">
      <c r="A12809" t="str">
        <f t="shared" si="305"/>
        <v>89301000</v>
      </c>
      <c r="B12809" t="str">
        <f>"7903265304"</f>
        <v>7903265304</v>
      </c>
      <c r="C12809" s="1">
        <v>45064</v>
      </c>
      <c r="D12809" s="1">
        <v>45066</v>
      </c>
      <c r="E12809">
        <v>1</v>
      </c>
      <c r="F12809" t="str">
        <f>"08-I17-02"</f>
        <v>08-I17-02</v>
      </c>
      <c r="G12809">
        <v>0.89680000000000004</v>
      </c>
      <c r="H12809" t="s">
        <v>11</v>
      </c>
      <c r="I12809" t="s">
        <v>10</v>
      </c>
    </row>
    <row r="12810" spans="1:9" x14ac:dyDescent="0.25">
      <c r="A12810" t="str">
        <f t="shared" si="305"/>
        <v>89301000</v>
      </c>
      <c r="B12810" t="str">
        <f>"7904095309"</f>
        <v>7904095309</v>
      </c>
      <c r="C12810" s="1">
        <v>45071</v>
      </c>
      <c r="D12810" s="1">
        <v>45073</v>
      </c>
      <c r="E12810">
        <v>1</v>
      </c>
      <c r="F12810" t="str">
        <f>"08-I19-03"</f>
        <v>08-I19-03</v>
      </c>
      <c r="G12810">
        <v>0.59130000000000005</v>
      </c>
      <c r="H12810" t="s">
        <v>12</v>
      </c>
      <c r="I12810" t="s">
        <v>10</v>
      </c>
    </row>
    <row r="12811" spans="1:9" x14ac:dyDescent="0.25">
      <c r="A12811" t="str">
        <f t="shared" si="305"/>
        <v>89301000</v>
      </c>
      <c r="B12811" t="str">
        <f>"7904115758"</f>
        <v>7904115758</v>
      </c>
      <c r="C12811" s="1">
        <v>45088</v>
      </c>
      <c r="D12811" s="1">
        <v>45091</v>
      </c>
      <c r="E12811">
        <v>1</v>
      </c>
      <c r="F12811" t="str">
        <f>"06-I21-03"</f>
        <v>06-I21-03</v>
      </c>
      <c r="G12811">
        <v>0.4572</v>
      </c>
      <c r="H12811" t="s">
        <v>12</v>
      </c>
      <c r="I12811" t="s">
        <v>10</v>
      </c>
    </row>
    <row r="12812" spans="1:9" x14ac:dyDescent="0.25">
      <c r="A12812" t="str">
        <f t="shared" si="305"/>
        <v>89301000</v>
      </c>
      <c r="B12812" t="str">
        <f>"7904125768"</f>
        <v>7904125768</v>
      </c>
      <c r="C12812" s="1">
        <v>44943</v>
      </c>
      <c r="D12812" s="1">
        <v>44949</v>
      </c>
      <c r="E12812">
        <v>1</v>
      </c>
      <c r="F12812" t="str">
        <f>"01-I06-04"</f>
        <v>01-I06-04</v>
      </c>
      <c r="G12812">
        <v>3.6478999999999999</v>
      </c>
      <c r="H12812" t="s">
        <v>12</v>
      </c>
      <c r="I12812" t="s">
        <v>10</v>
      </c>
    </row>
    <row r="12813" spans="1:9" x14ac:dyDescent="0.25">
      <c r="A12813" t="str">
        <f t="shared" si="305"/>
        <v>89301000</v>
      </c>
      <c r="B12813" t="str">
        <f>"7904145766"</f>
        <v>7904145766</v>
      </c>
      <c r="C12813" s="1">
        <v>45062</v>
      </c>
      <c r="D12813" s="1">
        <v>45069</v>
      </c>
      <c r="E12813">
        <v>1</v>
      </c>
      <c r="F12813" t="str">
        <f>"06-I07-05"</f>
        <v>06-I07-05</v>
      </c>
      <c r="G12813">
        <v>2.7919999999999998</v>
      </c>
      <c r="H12813" t="s">
        <v>12</v>
      </c>
      <c r="I12813" t="s">
        <v>10</v>
      </c>
    </row>
    <row r="12814" spans="1:9" x14ac:dyDescent="0.25">
      <c r="A12814" t="str">
        <f t="shared" si="305"/>
        <v>89301000</v>
      </c>
      <c r="B12814" t="str">
        <f>"7904305695"</f>
        <v>7904305695</v>
      </c>
      <c r="C12814" s="1">
        <v>45266</v>
      </c>
      <c r="D12814" s="1">
        <v>45267</v>
      </c>
      <c r="E12814">
        <v>1</v>
      </c>
      <c r="F12814" t="str">
        <f>"10-K04-04"</f>
        <v>10-K04-04</v>
      </c>
      <c r="G12814">
        <v>0.53949999999999998</v>
      </c>
      <c r="H12814" t="s">
        <v>11</v>
      </c>
      <c r="I12814" t="s">
        <v>10</v>
      </c>
    </row>
    <row r="12815" spans="1:9" x14ac:dyDescent="0.25">
      <c r="A12815" t="str">
        <f t="shared" si="305"/>
        <v>89301000</v>
      </c>
      <c r="B12815" t="str">
        <f>"7905094461"</f>
        <v>7905094461</v>
      </c>
      <c r="C12815" s="1">
        <v>45252</v>
      </c>
      <c r="D12815" s="1">
        <v>45254</v>
      </c>
      <c r="E12815">
        <v>1</v>
      </c>
      <c r="F12815" t="str">
        <f>"08-I25-02"</f>
        <v>08-I25-02</v>
      </c>
      <c r="G12815">
        <v>0.56530000000000002</v>
      </c>
      <c r="H12815" t="s">
        <v>11</v>
      </c>
      <c r="I12815" t="s">
        <v>10</v>
      </c>
    </row>
    <row r="12816" spans="1:9" x14ac:dyDescent="0.25">
      <c r="A12816" t="str">
        <f t="shared" si="305"/>
        <v>89301000</v>
      </c>
      <c r="B12816" t="str">
        <f>"7905134457"</f>
        <v>7905134457</v>
      </c>
      <c r="C12816" s="1">
        <v>45179</v>
      </c>
      <c r="D12816" s="1">
        <v>45187</v>
      </c>
      <c r="E12816">
        <v>1</v>
      </c>
      <c r="F12816" t="str">
        <f>"08-I15-01"</f>
        <v>08-I15-01</v>
      </c>
      <c r="G12816">
        <v>2.4645000000000001</v>
      </c>
      <c r="H12816" t="s">
        <v>12</v>
      </c>
      <c r="I12816" t="s">
        <v>10</v>
      </c>
    </row>
    <row r="12817" spans="1:9" x14ac:dyDescent="0.25">
      <c r="A12817" t="str">
        <f t="shared" si="305"/>
        <v>89301000</v>
      </c>
      <c r="B12817" t="str">
        <f>"7905144137"</f>
        <v>7905144137</v>
      </c>
      <c r="C12817" s="1">
        <v>44950</v>
      </c>
      <c r="D12817" s="1">
        <v>44955</v>
      </c>
      <c r="E12817">
        <v>1</v>
      </c>
      <c r="F12817" t="str">
        <f>"03-I18-03"</f>
        <v>03-I18-03</v>
      </c>
      <c r="G12817">
        <v>0.83940000000000003</v>
      </c>
      <c r="H12817" t="s">
        <v>9</v>
      </c>
      <c r="I12817" t="s">
        <v>10</v>
      </c>
    </row>
    <row r="12818" spans="1:9" x14ac:dyDescent="0.25">
      <c r="A12818" t="str">
        <f t="shared" si="305"/>
        <v>89301000</v>
      </c>
      <c r="B12818" t="str">
        <f>"7905185310"</f>
        <v>7905185310</v>
      </c>
      <c r="C12818" s="1">
        <v>45123</v>
      </c>
      <c r="D12818" s="1">
        <v>45126</v>
      </c>
      <c r="E12818">
        <v>1</v>
      </c>
      <c r="F12818" t="str">
        <f>"08-M03-05"</f>
        <v>08-M03-05</v>
      </c>
      <c r="G12818">
        <v>0.46810000000000002</v>
      </c>
      <c r="H12818" t="s">
        <v>11</v>
      </c>
      <c r="I12818" t="s">
        <v>10</v>
      </c>
    </row>
    <row r="12819" spans="1:9" x14ac:dyDescent="0.25">
      <c r="A12819" t="str">
        <f t="shared" si="305"/>
        <v>89301000</v>
      </c>
      <c r="B12819" t="str">
        <f>"7905193725"</f>
        <v>7905193725</v>
      </c>
      <c r="C12819" s="1">
        <v>45017</v>
      </c>
      <c r="D12819" s="1">
        <v>45023</v>
      </c>
      <c r="E12819">
        <v>1</v>
      </c>
      <c r="F12819" t="str">
        <f>"03-K12-01"</f>
        <v>03-K12-01</v>
      </c>
      <c r="G12819">
        <v>0.44540000000000002</v>
      </c>
      <c r="H12819" t="s">
        <v>11</v>
      </c>
      <c r="I12819" t="s">
        <v>10</v>
      </c>
    </row>
    <row r="12820" spans="1:9" x14ac:dyDescent="0.25">
      <c r="A12820" t="str">
        <f t="shared" si="305"/>
        <v>89301000</v>
      </c>
      <c r="B12820" t="str">
        <f>"7905205308"</f>
        <v>7905205308</v>
      </c>
      <c r="C12820" s="1">
        <v>44966</v>
      </c>
      <c r="D12820" s="1">
        <v>44969</v>
      </c>
      <c r="E12820">
        <v>1</v>
      </c>
      <c r="F12820" t="str">
        <f>"08-M03-05"</f>
        <v>08-M03-05</v>
      </c>
      <c r="G12820">
        <v>0.46810000000000002</v>
      </c>
      <c r="H12820" t="s">
        <v>11</v>
      </c>
      <c r="I12820" t="s">
        <v>10</v>
      </c>
    </row>
    <row r="12821" spans="1:9" x14ac:dyDescent="0.25">
      <c r="A12821" t="str">
        <f t="shared" si="305"/>
        <v>89301000</v>
      </c>
      <c r="B12821" t="str">
        <f>"7905205319"</f>
        <v>7905205319</v>
      </c>
      <c r="C12821" s="1">
        <v>45268</v>
      </c>
      <c r="D12821" s="1">
        <v>45271</v>
      </c>
      <c r="E12821">
        <v>6</v>
      </c>
      <c r="F12821" t="str">
        <f>"05-K07-04"</f>
        <v>05-K07-04</v>
      </c>
      <c r="G12821">
        <v>1.0760000000000001</v>
      </c>
      <c r="H12821" t="s">
        <v>11</v>
      </c>
      <c r="I12821" t="s">
        <v>10</v>
      </c>
    </row>
    <row r="12822" spans="1:9" x14ac:dyDescent="0.25">
      <c r="A12822" t="str">
        <f t="shared" si="305"/>
        <v>89301000</v>
      </c>
      <c r="B12822" t="str">
        <f>"7905285322"</f>
        <v>7905285322</v>
      </c>
      <c r="C12822" s="1">
        <v>45233</v>
      </c>
      <c r="D12822" s="1">
        <v>45235</v>
      </c>
      <c r="E12822">
        <v>1</v>
      </c>
      <c r="F12822" t="str">
        <f>"02-K11-02"</f>
        <v>02-K11-02</v>
      </c>
      <c r="G12822">
        <v>0.56559999999999999</v>
      </c>
      <c r="H12822" t="s">
        <v>11</v>
      </c>
      <c r="I12822" t="s">
        <v>10</v>
      </c>
    </row>
    <row r="12823" spans="1:9" x14ac:dyDescent="0.25">
      <c r="A12823" t="str">
        <f t="shared" si="305"/>
        <v>89301000</v>
      </c>
      <c r="B12823" t="str">
        <f>"7905285322"</f>
        <v>7905285322</v>
      </c>
      <c r="C12823" s="1">
        <v>45268</v>
      </c>
      <c r="D12823" s="1">
        <v>45270</v>
      </c>
      <c r="E12823">
        <v>1</v>
      </c>
      <c r="F12823" t="str">
        <f>"02-K11-02"</f>
        <v>02-K11-02</v>
      </c>
      <c r="G12823">
        <v>0.56559999999999999</v>
      </c>
      <c r="H12823" t="s">
        <v>11</v>
      </c>
      <c r="I12823" t="s">
        <v>10</v>
      </c>
    </row>
    <row r="12824" spans="1:9" x14ac:dyDescent="0.25">
      <c r="A12824" t="str">
        <f t="shared" si="305"/>
        <v>89301000</v>
      </c>
      <c r="B12824" t="str">
        <f>"7905315825"</f>
        <v>7905315825</v>
      </c>
      <c r="C12824" s="1">
        <v>45175</v>
      </c>
      <c r="D12824" s="1">
        <v>45177</v>
      </c>
      <c r="E12824">
        <v>1</v>
      </c>
      <c r="F12824" t="str">
        <f>"05-M06-06"</f>
        <v>05-M06-06</v>
      </c>
      <c r="G12824">
        <v>1.7823</v>
      </c>
      <c r="H12824" t="s">
        <v>12</v>
      </c>
      <c r="I12824" t="s">
        <v>10</v>
      </c>
    </row>
    <row r="12825" spans="1:9" x14ac:dyDescent="0.25">
      <c r="A12825" t="str">
        <f t="shared" si="305"/>
        <v>89301000</v>
      </c>
      <c r="B12825" t="str">
        <f>"7906025336"</f>
        <v>7906025336</v>
      </c>
      <c r="C12825" s="1">
        <v>45176</v>
      </c>
      <c r="D12825" s="1">
        <v>45191</v>
      </c>
      <c r="E12825">
        <v>4</v>
      </c>
      <c r="F12825" t="str">
        <f>"00-M01-03"</f>
        <v>00-M01-03</v>
      </c>
      <c r="G12825">
        <v>10.3605</v>
      </c>
      <c r="H12825" t="s">
        <v>11</v>
      </c>
      <c r="I12825" t="s">
        <v>10</v>
      </c>
    </row>
    <row r="12826" spans="1:9" x14ac:dyDescent="0.25">
      <c r="A12826" t="str">
        <f t="shared" ref="A12826:A12889" si="306">"89301000"</f>
        <v>89301000</v>
      </c>
      <c r="B12826" t="str">
        <f>"7906025336"</f>
        <v>7906025336</v>
      </c>
      <c r="C12826" s="1">
        <v>45219</v>
      </c>
      <c r="D12826" s="1">
        <v>45239</v>
      </c>
      <c r="E12826">
        <v>4</v>
      </c>
      <c r="F12826" t="str">
        <f>"03-K12-01"</f>
        <v>03-K12-01</v>
      </c>
      <c r="G12826">
        <v>1.48</v>
      </c>
      <c r="H12826" t="s">
        <v>11</v>
      </c>
      <c r="I12826" t="s">
        <v>10</v>
      </c>
    </row>
    <row r="12827" spans="1:9" x14ac:dyDescent="0.25">
      <c r="A12827" t="str">
        <f t="shared" si="306"/>
        <v>89301000</v>
      </c>
      <c r="B12827" t="str">
        <f>"7906095318"</f>
        <v>7906095318</v>
      </c>
      <c r="C12827" s="1">
        <v>45177</v>
      </c>
      <c r="D12827" s="1">
        <v>45180</v>
      </c>
      <c r="E12827">
        <v>1</v>
      </c>
      <c r="F12827" t="str">
        <f>"09-K13-01"</f>
        <v>09-K13-01</v>
      </c>
      <c r="G12827">
        <v>0.54759999999999998</v>
      </c>
      <c r="H12827" t="s">
        <v>11</v>
      </c>
      <c r="I12827" t="s">
        <v>10</v>
      </c>
    </row>
    <row r="12828" spans="1:9" x14ac:dyDescent="0.25">
      <c r="A12828" t="str">
        <f t="shared" si="306"/>
        <v>89301000</v>
      </c>
      <c r="B12828" t="str">
        <f>"7906125359"</f>
        <v>7906125359</v>
      </c>
      <c r="C12828" s="1">
        <v>45024</v>
      </c>
      <c r="D12828" s="1">
        <v>45025</v>
      </c>
      <c r="E12828">
        <v>6</v>
      </c>
      <c r="F12828" t="str">
        <f>"01-K16-06"</f>
        <v>01-K16-06</v>
      </c>
      <c r="G12828">
        <v>0.27150000000000002</v>
      </c>
      <c r="H12828" t="s">
        <v>11</v>
      </c>
      <c r="I12828" t="s">
        <v>10</v>
      </c>
    </row>
    <row r="12829" spans="1:9" x14ac:dyDescent="0.25">
      <c r="A12829" t="str">
        <f t="shared" si="306"/>
        <v>89301000</v>
      </c>
      <c r="B12829" t="str">
        <f>"7906165762"</f>
        <v>7906165762</v>
      </c>
      <c r="C12829" s="1">
        <v>45027</v>
      </c>
      <c r="D12829" s="1">
        <v>45075</v>
      </c>
      <c r="E12829">
        <v>3</v>
      </c>
      <c r="F12829" t="str">
        <f>"08-I32-00"</f>
        <v>08-I32-00</v>
      </c>
      <c r="G12829">
        <v>4.2592999999999996</v>
      </c>
      <c r="H12829" t="s">
        <v>11</v>
      </c>
      <c r="I12829" t="s">
        <v>10</v>
      </c>
    </row>
    <row r="12830" spans="1:9" x14ac:dyDescent="0.25">
      <c r="A12830" t="str">
        <f t="shared" si="306"/>
        <v>89301000</v>
      </c>
      <c r="B12830" t="str">
        <f>"7906165762"</f>
        <v>7906165762</v>
      </c>
      <c r="C12830" s="1">
        <v>45075</v>
      </c>
      <c r="D12830" s="1">
        <v>45079</v>
      </c>
      <c r="E12830">
        <v>1</v>
      </c>
      <c r="F12830" t="str">
        <f>"24-M05-02"</f>
        <v>24-M05-02</v>
      </c>
      <c r="G12830">
        <v>0.5867</v>
      </c>
      <c r="H12830" t="s">
        <v>11</v>
      </c>
      <c r="I12830" t="s">
        <v>10</v>
      </c>
    </row>
    <row r="12831" spans="1:9" x14ac:dyDescent="0.25">
      <c r="A12831" t="str">
        <f t="shared" si="306"/>
        <v>89301000</v>
      </c>
      <c r="B12831" t="str">
        <f>"7906225316"</f>
        <v>7906225316</v>
      </c>
      <c r="C12831" s="1">
        <v>45202</v>
      </c>
      <c r="D12831" s="1">
        <v>45203</v>
      </c>
      <c r="E12831">
        <v>1</v>
      </c>
      <c r="F12831" t="str">
        <f>"01-D01-03"</f>
        <v>01-D01-03</v>
      </c>
      <c r="G12831">
        <v>0.16200000000000001</v>
      </c>
      <c r="H12831" t="s">
        <v>11</v>
      </c>
      <c r="I12831" t="s">
        <v>10</v>
      </c>
    </row>
    <row r="12832" spans="1:9" x14ac:dyDescent="0.25">
      <c r="A12832" t="str">
        <f t="shared" si="306"/>
        <v>89301000</v>
      </c>
      <c r="B12832" t="str">
        <f>"7906225316"</f>
        <v>7906225316</v>
      </c>
      <c r="C12832" s="1">
        <v>45013</v>
      </c>
      <c r="D12832" s="1">
        <v>45015</v>
      </c>
      <c r="E12832">
        <v>1</v>
      </c>
      <c r="F12832" t="str">
        <f>"03-I18-03"</f>
        <v>03-I18-03</v>
      </c>
      <c r="G12832">
        <v>0.83520000000000005</v>
      </c>
      <c r="H12832" t="s">
        <v>9</v>
      </c>
      <c r="I12832" t="s">
        <v>10</v>
      </c>
    </row>
    <row r="12833" spans="1:9" x14ac:dyDescent="0.25">
      <c r="A12833" t="str">
        <f t="shared" si="306"/>
        <v>89301000</v>
      </c>
      <c r="B12833" t="str">
        <f>"7906265334"</f>
        <v>7906265334</v>
      </c>
      <c r="C12833" s="1">
        <v>45064</v>
      </c>
      <c r="D12833" s="1">
        <v>45068</v>
      </c>
      <c r="E12833">
        <v>1</v>
      </c>
      <c r="F12833" t="str">
        <f>"08-I14-02"</f>
        <v>08-I14-02</v>
      </c>
      <c r="G12833">
        <v>1.6909000000000001</v>
      </c>
      <c r="H12833" t="s">
        <v>12</v>
      </c>
      <c r="I12833" t="s">
        <v>10</v>
      </c>
    </row>
    <row r="12834" spans="1:9" x14ac:dyDescent="0.25">
      <c r="A12834" t="str">
        <f t="shared" si="306"/>
        <v>89301000</v>
      </c>
      <c r="B12834" t="str">
        <f>"7907034465"</f>
        <v>7907034465</v>
      </c>
      <c r="C12834" s="1">
        <v>45227</v>
      </c>
      <c r="D12834" s="1">
        <v>45232</v>
      </c>
      <c r="E12834">
        <v>1</v>
      </c>
      <c r="F12834" t="str">
        <f>"06-K02-04"</f>
        <v>06-K02-04</v>
      </c>
      <c r="G12834">
        <v>0.37809999999999999</v>
      </c>
      <c r="H12834" t="s">
        <v>11</v>
      </c>
      <c r="I12834" t="s">
        <v>10</v>
      </c>
    </row>
    <row r="12835" spans="1:9" x14ac:dyDescent="0.25">
      <c r="A12835" t="str">
        <f t="shared" si="306"/>
        <v>89301000</v>
      </c>
      <c r="B12835" t="str">
        <f>"7907034465"</f>
        <v>7907034465</v>
      </c>
      <c r="C12835" s="1">
        <v>44977</v>
      </c>
      <c r="D12835" s="1">
        <v>44988</v>
      </c>
      <c r="E12835">
        <v>1</v>
      </c>
      <c r="F12835" t="str">
        <f>"09-K01-02"</f>
        <v>09-K01-02</v>
      </c>
      <c r="G12835">
        <v>1.0348999999999999</v>
      </c>
      <c r="H12835" t="s">
        <v>11</v>
      </c>
      <c r="I12835" t="s">
        <v>10</v>
      </c>
    </row>
    <row r="12836" spans="1:9" x14ac:dyDescent="0.25">
      <c r="A12836" t="str">
        <f t="shared" si="306"/>
        <v>89301000</v>
      </c>
      <c r="B12836" t="str">
        <f>"7907065375"</f>
        <v>7907065375</v>
      </c>
      <c r="C12836" s="1">
        <v>45176</v>
      </c>
      <c r="D12836" s="1">
        <v>45180</v>
      </c>
      <c r="E12836">
        <v>1</v>
      </c>
      <c r="F12836" t="str">
        <f>"10-K04-04"</f>
        <v>10-K04-04</v>
      </c>
      <c r="G12836">
        <v>0.53949999999999998</v>
      </c>
      <c r="H12836" t="s">
        <v>11</v>
      </c>
      <c r="I12836" t="s">
        <v>10</v>
      </c>
    </row>
    <row r="12837" spans="1:9" x14ac:dyDescent="0.25">
      <c r="A12837" t="str">
        <f t="shared" si="306"/>
        <v>89301000</v>
      </c>
      <c r="B12837" t="str">
        <f>"7907065375"</f>
        <v>7907065375</v>
      </c>
      <c r="C12837" s="1">
        <v>44966</v>
      </c>
      <c r="D12837" s="1">
        <v>44970</v>
      </c>
      <c r="E12837">
        <v>1</v>
      </c>
      <c r="F12837" t="str">
        <f>"10-K04-04"</f>
        <v>10-K04-04</v>
      </c>
      <c r="G12837">
        <v>0.53949999999999998</v>
      </c>
      <c r="H12837" t="s">
        <v>11</v>
      </c>
      <c r="I12837" t="s">
        <v>10</v>
      </c>
    </row>
    <row r="12838" spans="1:9" x14ac:dyDescent="0.25">
      <c r="A12838" t="str">
        <f t="shared" si="306"/>
        <v>89301000</v>
      </c>
      <c r="B12838" t="str">
        <f>"7907065760"</f>
        <v>7907065760</v>
      </c>
      <c r="C12838" s="1">
        <v>45196</v>
      </c>
      <c r="D12838" s="1">
        <v>45197</v>
      </c>
      <c r="E12838">
        <v>1</v>
      </c>
      <c r="F12838" t="str">
        <f>"08-I18-02"</f>
        <v>08-I18-02</v>
      </c>
      <c r="G12838">
        <v>0.62509999999999999</v>
      </c>
      <c r="H12838" t="s">
        <v>12</v>
      </c>
      <c r="I12838" t="s">
        <v>10</v>
      </c>
    </row>
    <row r="12839" spans="1:9" x14ac:dyDescent="0.25">
      <c r="A12839" t="str">
        <f t="shared" si="306"/>
        <v>89301000</v>
      </c>
      <c r="B12839" t="str">
        <f>"7907175309"</f>
        <v>7907175309</v>
      </c>
      <c r="C12839" s="1">
        <v>45203</v>
      </c>
      <c r="D12839" s="1">
        <v>45208</v>
      </c>
      <c r="E12839">
        <v>1</v>
      </c>
      <c r="F12839" t="str">
        <f>"07-K01-02"</f>
        <v>07-K01-02</v>
      </c>
      <c r="G12839">
        <v>1.0002</v>
      </c>
      <c r="H12839" t="s">
        <v>11</v>
      </c>
      <c r="I12839" t="s">
        <v>10</v>
      </c>
    </row>
    <row r="12840" spans="1:9" x14ac:dyDescent="0.25">
      <c r="A12840" t="str">
        <f t="shared" si="306"/>
        <v>89301000</v>
      </c>
      <c r="B12840" t="str">
        <f>"7907185759"</f>
        <v>7907185759</v>
      </c>
      <c r="C12840" s="1">
        <v>45278</v>
      </c>
      <c r="D12840" s="1">
        <v>45279</v>
      </c>
      <c r="E12840">
        <v>1</v>
      </c>
      <c r="F12840" t="str">
        <f>"20-K01-02"</f>
        <v>20-K01-02</v>
      </c>
      <c r="G12840">
        <v>0.96989999999999998</v>
      </c>
      <c r="H12840" t="s">
        <v>11</v>
      </c>
      <c r="I12840" t="s">
        <v>10</v>
      </c>
    </row>
    <row r="12841" spans="1:9" x14ac:dyDescent="0.25">
      <c r="A12841" t="str">
        <f t="shared" si="306"/>
        <v>89301000</v>
      </c>
      <c r="B12841" t="str">
        <f>"7907640510"</f>
        <v>7907640510</v>
      </c>
      <c r="C12841" s="1">
        <v>45019</v>
      </c>
      <c r="D12841" s="1">
        <v>45021</v>
      </c>
      <c r="E12841">
        <v>1</v>
      </c>
      <c r="F12841" t="str">
        <f>"08-I16-04"</f>
        <v>08-I16-04</v>
      </c>
      <c r="G12841">
        <v>0.83040000000000003</v>
      </c>
      <c r="H12841" t="s">
        <v>12</v>
      </c>
      <c r="I12841" t="s">
        <v>10</v>
      </c>
    </row>
    <row r="12842" spans="1:9" x14ac:dyDescent="0.25">
      <c r="A12842" t="str">
        <f t="shared" si="306"/>
        <v>89301000</v>
      </c>
      <c r="B12842" t="str">
        <f>"7907640510"</f>
        <v>7907640510</v>
      </c>
      <c r="C12842" s="1">
        <v>45187</v>
      </c>
      <c r="D12842" s="1">
        <v>45188</v>
      </c>
      <c r="E12842">
        <v>1</v>
      </c>
      <c r="F12842" t="str">
        <f>"08-M03-05"</f>
        <v>08-M03-05</v>
      </c>
      <c r="G12842">
        <v>0.46910000000000002</v>
      </c>
      <c r="H12842" t="s">
        <v>11</v>
      </c>
      <c r="I12842" t="s">
        <v>10</v>
      </c>
    </row>
    <row r="12843" spans="1:9" x14ac:dyDescent="0.25">
      <c r="A12843" t="str">
        <f t="shared" si="306"/>
        <v>89301000</v>
      </c>
      <c r="B12843" t="str">
        <f>"7908024476"</f>
        <v>7908024476</v>
      </c>
      <c r="C12843" s="1">
        <v>45005</v>
      </c>
      <c r="D12843" s="1">
        <v>45007</v>
      </c>
      <c r="E12843">
        <v>1</v>
      </c>
      <c r="F12843" t="str">
        <f>"11-M05-01"</f>
        <v>11-M05-01</v>
      </c>
      <c r="G12843">
        <v>0.83750000000000002</v>
      </c>
      <c r="H12843" t="s">
        <v>12</v>
      </c>
      <c r="I12843" t="s">
        <v>10</v>
      </c>
    </row>
    <row r="12844" spans="1:9" x14ac:dyDescent="0.25">
      <c r="A12844" t="str">
        <f t="shared" si="306"/>
        <v>89301000</v>
      </c>
      <c r="B12844" t="str">
        <f>"7908065396"</f>
        <v>7908065396</v>
      </c>
      <c r="C12844" s="1">
        <v>45091</v>
      </c>
      <c r="D12844" s="1">
        <v>45093</v>
      </c>
      <c r="E12844">
        <v>6</v>
      </c>
      <c r="F12844" t="str">
        <f>"19-K02-03"</f>
        <v>19-K02-03</v>
      </c>
      <c r="G12844">
        <v>0.71950000000000003</v>
      </c>
      <c r="H12844" t="s">
        <v>15</v>
      </c>
      <c r="I12844" t="s">
        <v>10</v>
      </c>
    </row>
    <row r="12845" spans="1:9" x14ac:dyDescent="0.25">
      <c r="A12845" t="str">
        <f t="shared" si="306"/>
        <v>89301000</v>
      </c>
      <c r="B12845" t="str">
        <f>"7908155332"</f>
        <v>7908155332</v>
      </c>
      <c r="C12845" s="1">
        <v>45040</v>
      </c>
      <c r="D12845" s="1">
        <v>45040</v>
      </c>
      <c r="E12845">
        <v>1</v>
      </c>
      <c r="F12845" t="str">
        <f>"05-D01-02"</f>
        <v>05-D01-02</v>
      </c>
      <c r="G12845">
        <v>1.5137</v>
      </c>
      <c r="H12845" t="s">
        <v>11</v>
      </c>
      <c r="I12845" t="s">
        <v>10</v>
      </c>
    </row>
    <row r="12846" spans="1:9" x14ac:dyDescent="0.25">
      <c r="A12846" t="str">
        <f t="shared" si="306"/>
        <v>89301000</v>
      </c>
      <c r="B12846" t="str">
        <f>"7908155332"</f>
        <v>7908155332</v>
      </c>
      <c r="C12846" s="1">
        <v>44975</v>
      </c>
      <c r="D12846" s="1">
        <v>44975</v>
      </c>
      <c r="E12846">
        <v>1</v>
      </c>
      <c r="F12846" t="str">
        <f>"05-D01-08"</f>
        <v>05-D01-08</v>
      </c>
      <c r="G12846">
        <v>0.2303</v>
      </c>
      <c r="H12846" t="s">
        <v>11</v>
      </c>
      <c r="I12846" t="s">
        <v>10</v>
      </c>
    </row>
    <row r="12847" spans="1:9" x14ac:dyDescent="0.25">
      <c r="A12847" t="str">
        <f t="shared" si="306"/>
        <v>89301000</v>
      </c>
      <c r="B12847" t="str">
        <f>"7908233487"</f>
        <v>7908233487</v>
      </c>
      <c r="C12847" s="1">
        <v>45274</v>
      </c>
      <c r="D12847" s="1">
        <v>45281</v>
      </c>
      <c r="E12847">
        <v>1</v>
      </c>
      <c r="F12847" t="str">
        <f>"06-M01-03"</f>
        <v>06-M01-03</v>
      </c>
      <c r="G12847">
        <v>0.82350000000000001</v>
      </c>
      <c r="H12847" t="s">
        <v>11</v>
      </c>
      <c r="I12847" t="s">
        <v>10</v>
      </c>
    </row>
    <row r="12848" spans="1:9" x14ac:dyDescent="0.25">
      <c r="A12848" t="str">
        <f t="shared" si="306"/>
        <v>89301000</v>
      </c>
      <c r="B12848" t="str">
        <f>"7908275727"</f>
        <v>7908275727</v>
      </c>
      <c r="C12848" s="1">
        <v>45006</v>
      </c>
      <c r="D12848" s="1">
        <v>45019</v>
      </c>
      <c r="E12848">
        <v>1</v>
      </c>
      <c r="F12848" t="str">
        <f>"06-K06-01"</f>
        <v>06-K06-01</v>
      </c>
      <c r="G12848">
        <v>1.1841999999999999</v>
      </c>
      <c r="H12848" t="s">
        <v>11</v>
      </c>
      <c r="I12848" t="s">
        <v>10</v>
      </c>
    </row>
    <row r="12849" spans="1:9" x14ac:dyDescent="0.25">
      <c r="A12849" t="str">
        <f t="shared" si="306"/>
        <v>89301000</v>
      </c>
      <c r="B12849" t="str">
        <f>"7908275727"</f>
        <v>7908275727</v>
      </c>
      <c r="C12849" s="1">
        <v>44958</v>
      </c>
      <c r="D12849" s="1">
        <v>44966</v>
      </c>
      <c r="E12849">
        <v>1</v>
      </c>
      <c r="F12849" t="str">
        <f>"06-I07-05"</f>
        <v>06-I07-05</v>
      </c>
      <c r="G12849">
        <v>2.7919999999999998</v>
      </c>
      <c r="H12849" t="s">
        <v>12</v>
      </c>
      <c r="I12849" t="s">
        <v>10</v>
      </c>
    </row>
    <row r="12850" spans="1:9" x14ac:dyDescent="0.25">
      <c r="A12850" t="str">
        <f t="shared" si="306"/>
        <v>89301000</v>
      </c>
      <c r="B12850" t="str">
        <f>"7908275727"</f>
        <v>7908275727</v>
      </c>
      <c r="C12850" s="1">
        <v>45139</v>
      </c>
      <c r="D12850" s="1">
        <v>45148</v>
      </c>
      <c r="E12850">
        <v>1</v>
      </c>
      <c r="F12850" t="str">
        <f>"06-I07-05"</f>
        <v>06-I07-05</v>
      </c>
      <c r="G12850">
        <v>2.7919999999999998</v>
      </c>
      <c r="H12850" t="s">
        <v>12</v>
      </c>
      <c r="I12850" t="s">
        <v>10</v>
      </c>
    </row>
    <row r="12851" spans="1:9" x14ac:dyDescent="0.25">
      <c r="A12851" t="str">
        <f t="shared" si="306"/>
        <v>89301000</v>
      </c>
      <c r="B12851" t="str">
        <f>"7908305361"</f>
        <v>7908305361</v>
      </c>
      <c r="C12851" s="1">
        <v>45251</v>
      </c>
      <c r="D12851" s="1">
        <v>45257</v>
      </c>
      <c r="E12851">
        <v>1</v>
      </c>
      <c r="F12851" t="str">
        <f>"11-K01-01"</f>
        <v>11-K01-01</v>
      </c>
      <c r="G12851">
        <v>1.377</v>
      </c>
      <c r="H12851" t="s">
        <v>11</v>
      </c>
      <c r="I12851" t="s">
        <v>10</v>
      </c>
    </row>
    <row r="12852" spans="1:9" x14ac:dyDescent="0.25">
      <c r="A12852" t="str">
        <f t="shared" si="306"/>
        <v>89301000</v>
      </c>
      <c r="B12852" t="str">
        <f>"7908305361"</f>
        <v>7908305361</v>
      </c>
      <c r="C12852" s="1">
        <v>45266</v>
      </c>
      <c r="D12852" s="1">
        <v>45274</v>
      </c>
      <c r="E12852">
        <v>1</v>
      </c>
      <c r="F12852" t="str">
        <f>"11-K01-04"</f>
        <v>11-K01-04</v>
      </c>
      <c r="G12852">
        <v>0.55759999999999998</v>
      </c>
      <c r="H12852" t="s">
        <v>11</v>
      </c>
      <c r="I12852" t="s">
        <v>10</v>
      </c>
    </row>
    <row r="12853" spans="1:9" x14ac:dyDescent="0.25">
      <c r="A12853" t="str">
        <f t="shared" si="306"/>
        <v>89301000</v>
      </c>
      <c r="B12853" t="str">
        <f>"7909014938"</f>
        <v>7909014938</v>
      </c>
      <c r="C12853" s="1">
        <v>45014</v>
      </c>
      <c r="D12853" s="1">
        <v>45016</v>
      </c>
      <c r="E12853">
        <v>1</v>
      </c>
      <c r="F12853" t="str">
        <f>"04-K02-04"</f>
        <v>04-K02-04</v>
      </c>
      <c r="G12853">
        <v>0.82099999999999995</v>
      </c>
      <c r="H12853" t="s">
        <v>11</v>
      </c>
      <c r="I12853" t="s">
        <v>10</v>
      </c>
    </row>
    <row r="12854" spans="1:9" x14ac:dyDescent="0.25">
      <c r="A12854" t="str">
        <f t="shared" si="306"/>
        <v>89301000</v>
      </c>
      <c r="B12854" t="str">
        <f>"7909014938"</f>
        <v>7909014938</v>
      </c>
      <c r="C12854" s="1">
        <v>44981</v>
      </c>
      <c r="D12854" s="1">
        <v>44991</v>
      </c>
      <c r="E12854">
        <v>1</v>
      </c>
      <c r="F12854" t="str">
        <f>"04-I03-04"</f>
        <v>04-I03-04</v>
      </c>
      <c r="G12854">
        <v>1.9829000000000001</v>
      </c>
      <c r="H12854" t="s">
        <v>14</v>
      </c>
      <c r="I12854" t="s">
        <v>10</v>
      </c>
    </row>
    <row r="12855" spans="1:9" x14ac:dyDescent="0.25">
      <c r="A12855" t="str">
        <f t="shared" si="306"/>
        <v>89301000</v>
      </c>
      <c r="B12855" t="str">
        <f>"7909064471"</f>
        <v>7909064471</v>
      </c>
      <c r="C12855" s="1">
        <v>45204</v>
      </c>
      <c r="D12855" s="1">
        <v>45206</v>
      </c>
      <c r="E12855">
        <v>1</v>
      </c>
      <c r="F12855" t="str">
        <f>"05-I14-02"</f>
        <v>05-I14-02</v>
      </c>
      <c r="G12855">
        <v>6.4595000000000002</v>
      </c>
      <c r="H12855" t="s">
        <v>12</v>
      </c>
      <c r="I12855" t="s">
        <v>10</v>
      </c>
    </row>
    <row r="12856" spans="1:9" x14ac:dyDescent="0.25">
      <c r="A12856" t="str">
        <f t="shared" si="306"/>
        <v>89301000</v>
      </c>
      <c r="B12856" t="str">
        <f>"7909104599"</f>
        <v>7909104599</v>
      </c>
      <c r="C12856" s="1">
        <v>45015</v>
      </c>
      <c r="D12856" s="1">
        <v>45017</v>
      </c>
      <c r="E12856">
        <v>1</v>
      </c>
      <c r="F12856" t="str">
        <f>"03-I22-01"</f>
        <v>03-I22-01</v>
      </c>
      <c r="G12856">
        <v>0.62490000000000001</v>
      </c>
      <c r="H12856" t="s">
        <v>11</v>
      </c>
      <c r="I12856" t="s">
        <v>10</v>
      </c>
    </row>
    <row r="12857" spans="1:9" x14ac:dyDescent="0.25">
      <c r="A12857" t="str">
        <f t="shared" si="306"/>
        <v>89301000</v>
      </c>
      <c r="B12857" t="str">
        <f>"7909115797"</f>
        <v>7909115797</v>
      </c>
      <c r="C12857" s="1">
        <v>44964</v>
      </c>
      <c r="D12857" s="1">
        <v>44965</v>
      </c>
      <c r="E12857">
        <v>1</v>
      </c>
      <c r="F12857" t="str">
        <f>"01-I13-00"</f>
        <v>01-I13-00</v>
      </c>
      <c r="G12857">
        <v>0.38400000000000001</v>
      </c>
      <c r="H12857" t="s">
        <v>11</v>
      </c>
      <c r="I12857" t="s">
        <v>10</v>
      </c>
    </row>
    <row r="12858" spans="1:9" x14ac:dyDescent="0.25">
      <c r="A12858" t="str">
        <f t="shared" si="306"/>
        <v>89301000</v>
      </c>
      <c r="B12858" t="str">
        <f>"7909145354"</f>
        <v>7909145354</v>
      </c>
      <c r="C12858" s="1">
        <v>45169</v>
      </c>
      <c r="D12858" s="1">
        <v>45171</v>
      </c>
      <c r="E12858">
        <v>1</v>
      </c>
      <c r="F12858" t="str">
        <f>"08-I17-02"</f>
        <v>08-I17-02</v>
      </c>
      <c r="G12858">
        <v>0.89680000000000004</v>
      </c>
      <c r="H12858" t="s">
        <v>11</v>
      </c>
      <c r="I12858" t="s">
        <v>10</v>
      </c>
    </row>
    <row r="12859" spans="1:9" x14ac:dyDescent="0.25">
      <c r="A12859" t="str">
        <f t="shared" si="306"/>
        <v>89301000</v>
      </c>
      <c r="B12859" t="str">
        <f>"7909275330"</f>
        <v>7909275330</v>
      </c>
      <c r="C12859" s="1">
        <v>45056</v>
      </c>
      <c r="D12859" s="1">
        <v>45058</v>
      </c>
      <c r="E12859">
        <v>1</v>
      </c>
      <c r="F12859" t="str">
        <f>"08-I19-03"</f>
        <v>08-I19-03</v>
      </c>
      <c r="G12859">
        <v>0.59130000000000005</v>
      </c>
      <c r="H12859" t="s">
        <v>12</v>
      </c>
      <c r="I12859" t="s">
        <v>10</v>
      </c>
    </row>
    <row r="12860" spans="1:9" x14ac:dyDescent="0.25">
      <c r="A12860" t="str">
        <f t="shared" si="306"/>
        <v>89301000</v>
      </c>
      <c r="B12860" t="str">
        <f>"7909295317"</f>
        <v>7909295317</v>
      </c>
      <c r="C12860" s="1">
        <v>45134</v>
      </c>
      <c r="D12860" s="1">
        <v>45146</v>
      </c>
      <c r="E12860">
        <v>4</v>
      </c>
      <c r="F12860" t="str">
        <f>"20-K04-02"</f>
        <v>20-K04-02</v>
      </c>
      <c r="G12860">
        <v>1.3379000000000001</v>
      </c>
      <c r="H12860" t="s">
        <v>11</v>
      </c>
      <c r="I12860" t="s">
        <v>10</v>
      </c>
    </row>
    <row r="12861" spans="1:9" x14ac:dyDescent="0.25">
      <c r="A12861" t="str">
        <f t="shared" si="306"/>
        <v>89301000</v>
      </c>
      <c r="B12861" t="str">
        <f>"7910094159"</f>
        <v>7910094159</v>
      </c>
      <c r="C12861" s="1">
        <v>45222</v>
      </c>
      <c r="D12861" s="1">
        <v>45224</v>
      </c>
      <c r="E12861">
        <v>1</v>
      </c>
      <c r="F12861" t="str">
        <f>"03-I19-03"</f>
        <v>03-I19-03</v>
      </c>
      <c r="G12861">
        <v>0.53249999999999997</v>
      </c>
      <c r="H12861" t="s">
        <v>11</v>
      </c>
      <c r="I12861" t="s">
        <v>10</v>
      </c>
    </row>
    <row r="12862" spans="1:9" x14ac:dyDescent="0.25">
      <c r="A12862" t="str">
        <f t="shared" si="306"/>
        <v>89301000</v>
      </c>
      <c r="B12862" t="str">
        <f>"7910094456"</f>
        <v>7910094456</v>
      </c>
      <c r="C12862" s="1">
        <v>44972</v>
      </c>
      <c r="D12862" s="1">
        <v>44973</v>
      </c>
      <c r="E12862">
        <v>1</v>
      </c>
      <c r="F12862" t="str">
        <f>"05-K14-03"</f>
        <v>05-K14-03</v>
      </c>
      <c r="G12862">
        <v>0.3997</v>
      </c>
      <c r="H12862" t="s">
        <v>11</v>
      </c>
      <c r="I12862" t="s">
        <v>10</v>
      </c>
    </row>
    <row r="12863" spans="1:9" x14ac:dyDescent="0.25">
      <c r="A12863" t="str">
        <f t="shared" si="306"/>
        <v>89301000</v>
      </c>
      <c r="B12863" t="str">
        <f>"7910094456"</f>
        <v>7910094456</v>
      </c>
      <c r="C12863" s="1">
        <v>45043</v>
      </c>
      <c r="D12863" s="1">
        <v>45044</v>
      </c>
      <c r="E12863">
        <v>1</v>
      </c>
      <c r="F12863" t="str">
        <f>"05-K14-03"</f>
        <v>05-K14-03</v>
      </c>
      <c r="G12863">
        <v>0.3997</v>
      </c>
      <c r="H12863" t="s">
        <v>11</v>
      </c>
      <c r="I12863" t="s">
        <v>10</v>
      </c>
    </row>
    <row r="12864" spans="1:9" x14ac:dyDescent="0.25">
      <c r="A12864" t="str">
        <f t="shared" si="306"/>
        <v>89301000</v>
      </c>
      <c r="B12864" t="str">
        <f>"7910155792"</f>
        <v>7910155792</v>
      </c>
      <c r="C12864" s="1">
        <v>45160</v>
      </c>
      <c r="D12864" s="1">
        <v>45175</v>
      </c>
      <c r="E12864">
        <v>1</v>
      </c>
      <c r="F12864" t="str">
        <f>"08-I14-01"</f>
        <v>08-I14-01</v>
      </c>
      <c r="G12864">
        <v>3.5514999999999999</v>
      </c>
      <c r="H12864" t="s">
        <v>12</v>
      </c>
      <c r="I12864" t="s">
        <v>10</v>
      </c>
    </row>
    <row r="12865" spans="1:9" x14ac:dyDescent="0.25">
      <c r="A12865" t="str">
        <f t="shared" si="306"/>
        <v>89301000</v>
      </c>
      <c r="B12865" t="str">
        <f>"7910305799"</f>
        <v>7910305799</v>
      </c>
      <c r="C12865" s="1">
        <v>45266</v>
      </c>
      <c r="D12865" s="1">
        <v>45268</v>
      </c>
      <c r="E12865">
        <v>1</v>
      </c>
      <c r="F12865" t="str">
        <f>"01-K08-02"</f>
        <v>01-K08-02</v>
      </c>
      <c r="G12865">
        <v>0.60619999999999996</v>
      </c>
      <c r="H12865" t="s">
        <v>11</v>
      </c>
      <c r="I12865" t="s">
        <v>10</v>
      </c>
    </row>
    <row r="12866" spans="1:9" x14ac:dyDescent="0.25">
      <c r="A12866" t="str">
        <f t="shared" si="306"/>
        <v>89301000</v>
      </c>
      <c r="B12866" t="str">
        <f>"7911015310"</f>
        <v>7911015310</v>
      </c>
      <c r="C12866" s="1">
        <v>44949</v>
      </c>
      <c r="D12866" s="1">
        <v>44952</v>
      </c>
      <c r="E12866">
        <v>1</v>
      </c>
      <c r="F12866" t="str">
        <f>"04-K09-03"</f>
        <v>04-K09-03</v>
      </c>
      <c r="G12866">
        <v>0.629</v>
      </c>
      <c r="H12866" t="s">
        <v>11</v>
      </c>
      <c r="I12866" t="s">
        <v>10</v>
      </c>
    </row>
    <row r="12867" spans="1:9" x14ac:dyDescent="0.25">
      <c r="A12867" t="str">
        <f t="shared" si="306"/>
        <v>89301000</v>
      </c>
      <c r="B12867" t="str">
        <f>"7911015310"</f>
        <v>7911015310</v>
      </c>
      <c r="C12867" s="1">
        <v>44971</v>
      </c>
      <c r="D12867" s="1">
        <v>44977</v>
      </c>
      <c r="E12867">
        <v>1</v>
      </c>
      <c r="F12867" t="str">
        <f>"17-K09-02"</f>
        <v>17-K09-02</v>
      </c>
      <c r="G12867">
        <v>0.77080000000000004</v>
      </c>
      <c r="H12867" t="s">
        <v>11</v>
      </c>
      <c r="I12867" t="s">
        <v>10</v>
      </c>
    </row>
    <row r="12868" spans="1:9" x14ac:dyDescent="0.25">
      <c r="A12868" t="str">
        <f t="shared" si="306"/>
        <v>89301000</v>
      </c>
      <c r="B12868" t="str">
        <f>"7911275339"</f>
        <v>7911275339</v>
      </c>
      <c r="C12868" s="1">
        <v>45081</v>
      </c>
      <c r="D12868" s="1">
        <v>45088</v>
      </c>
      <c r="E12868">
        <v>1</v>
      </c>
      <c r="F12868" t="str">
        <f>"06-I18-05"</f>
        <v>06-I18-05</v>
      </c>
      <c r="G12868">
        <v>0.90749999999999997</v>
      </c>
      <c r="H12868" t="s">
        <v>9</v>
      </c>
      <c r="I12868" t="s">
        <v>10</v>
      </c>
    </row>
    <row r="12869" spans="1:9" x14ac:dyDescent="0.25">
      <c r="A12869" t="str">
        <f t="shared" si="306"/>
        <v>89301000</v>
      </c>
      <c r="B12869" t="str">
        <f>"7911294028"</f>
        <v>7911294028</v>
      </c>
      <c r="C12869" s="1">
        <v>45155</v>
      </c>
      <c r="D12869" s="1">
        <v>45156</v>
      </c>
      <c r="E12869">
        <v>1</v>
      </c>
      <c r="F12869" t="str">
        <f>"08-I19-03"</f>
        <v>08-I19-03</v>
      </c>
      <c r="G12869">
        <v>0.59130000000000005</v>
      </c>
      <c r="H12869" t="s">
        <v>12</v>
      </c>
      <c r="I12869" t="s">
        <v>10</v>
      </c>
    </row>
    <row r="12870" spans="1:9" x14ac:dyDescent="0.25">
      <c r="A12870" t="str">
        <f t="shared" si="306"/>
        <v>89301000</v>
      </c>
      <c r="B12870" t="str">
        <f>"7911294028"</f>
        <v>7911294028</v>
      </c>
      <c r="C12870" s="1">
        <v>45229</v>
      </c>
      <c r="D12870" s="1">
        <v>45236</v>
      </c>
      <c r="E12870">
        <v>1</v>
      </c>
      <c r="F12870" t="str">
        <f>"04-K05-03"</f>
        <v>04-K05-03</v>
      </c>
      <c r="G12870">
        <v>0.74039999999999995</v>
      </c>
      <c r="H12870" t="s">
        <v>11</v>
      </c>
      <c r="I12870" t="s">
        <v>10</v>
      </c>
    </row>
    <row r="12871" spans="1:9" x14ac:dyDescent="0.25">
      <c r="A12871" t="str">
        <f t="shared" si="306"/>
        <v>89301000</v>
      </c>
      <c r="B12871" t="str">
        <f>"7912094949"</f>
        <v>7912094949</v>
      </c>
      <c r="C12871" s="1">
        <v>45036</v>
      </c>
      <c r="D12871" s="1">
        <v>45037</v>
      </c>
      <c r="E12871">
        <v>1</v>
      </c>
      <c r="F12871" t="str">
        <f>"08-I32-00"</f>
        <v>08-I32-00</v>
      </c>
      <c r="G12871">
        <v>0.40870000000000001</v>
      </c>
      <c r="H12871" t="s">
        <v>11</v>
      </c>
      <c r="I12871" t="s">
        <v>10</v>
      </c>
    </row>
    <row r="12872" spans="1:9" x14ac:dyDescent="0.25">
      <c r="A12872" t="str">
        <f t="shared" si="306"/>
        <v>89301000</v>
      </c>
      <c r="B12872" t="str">
        <f>"7912185358"</f>
        <v>7912185358</v>
      </c>
      <c r="C12872" s="1">
        <v>45013</v>
      </c>
      <c r="D12872" s="1">
        <v>45019</v>
      </c>
      <c r="E12872">
        <v>1</v>
      </c>
      <c r="F12872" t="str">
        <f>"04-K04-02"</f>
        <v>04-K04-02</v>
      </c>
      <c r="G12872">
        <v>0.52159999999999995</v>
      </c>
      <c r="H12872" t="s">
        <v>11</v>
      </c>
      <c r="I12872" t="s">
        <v>10</v>
      </c>
    </row>
    <row r="12873" spans="1:9" x14ac:dyDescent="0.25">
      <c r="A12873" t="str">
        <f t="shared" si="306"/>
        <v>89301000</v>
      </c>
      <c r="B12873" t="str">
        <f>"7912205312"</f>
        <v>7912205312</v>
      </c>
      <c r="C12873" s="1">
        <v>45134</v>
      </c>
      <c r="D12873" s="1">
        <v>45134</v>
      </c>
      <c r="E12873">
        <v>1</v>
      </c>
      <c r="F12873" t="str">
        <f>"05-D01-08"</f>
        <v>05-D01-08</v>
      </c>
      <c r="G12873">
        <v>0.2303</v>
      </c>
      <c r="H12873" t="s">
        <v>11</v>
      </c>
      <c r="I12873" t="s">
        <v>10</v>
      </c>
    </row>
    <row r="12874" spans="1:9" x14ac:dyDescent="0.25">
      <c r="A12874" t="str">
        <f t="shared" si="306"/>
        <v>89301000</v>
      </c>
      <c r="B12874" t="str">
        <f>"7912215267"</f>
        <v>7912215267</v>
      </c>
      <c r="C12874" s="1">
        <v>45048</v>
      </c>
      <c r="D12874" s="1">
        <v>45051</v>
      </c>
      <c r="E12874">
        <v>1</v>
      </c>
      <c r="F12874" t="str">
        <f>"09-K04-01"</f>
        <v>09-K04-01</v>
      </c>
      <c r="G12874">
        <v>0.80930000000000002</v>
      </c>
      <c r="H12874" t="s">
        <v>11</v>
      </c>
      <c r="I12874" t="s">
        <v>10</v>
      </c>
    </row>
    <row r="12875" spans="1:9" x14ac:dyDescent="0.25">
      <c r="A12875" t="str">
        <f t="shared" si="306"/>
        <v>89301000</v>
      </c>
      <c r="B12875" t="str">
        <f>"7912285315"</f>
        <v>7912285315</v>
      </c>
      <c r="C12875" s="1">
        <v>45225</v>
      </c>
      <c r="D12875" s="1">
        <v>45230</v>
      </c>
      <c r="E12875">
        <v>1</v>
      </c>
      <c r="F12875" t="str">
        <f>"20-K03-03"</f>
        <v>20-K03-03</v>
      </c>
      <c r="G12875">
        <v>0.94020000000000004</v>
      </c>
      <c r="H12875" t="s">
        <v>11</v>
      </c>
      <c r="I12875" t="s">
        <v>10</v>
      </c>
    </row>
    <row r="12876" spans="1:9" x14ac:dyDescent="0.25">
      <c r="A12876" t="str">
        <f t="shared" si="306"/>
        <v>89301000</v>
      </c>
      <c r="B12876" t="str">
        <f>"7912285315"</f>
        <v>7912285315</v>
      </c>
      <c r="C12876" s="1">
        <v>45096</v>
      </c>
      <c r="D12876" s="1">
        <v>45098</v>
      </c>
      <c r="E12876">
        <v>1</v>
      </c>
      <c r="F12876" t="str">
        <f>"08-M03-05"</f>
        <v>08-M03-05</v>
      </c>
      <c r="G12876">
        <v>0.46810000000000002</v>
      </c>
      <c r="H12876" t="s">
        <v>11</v>
      </c>
      <c r="I12876" t="s">
        <v>10</v>
      </c>
    </row>
    <row r="12877" spans="1:9" x14ac:dyDescent="0.25">
      <c r="A12877" t="str">
        <f t="shared" si="306"/>
        <v>89301000</v>
      </c>
      <c r="B12877" t="str">
        <f>"7912285315"</f>
        <v>7912285315</v>
      </c>
      <c r="C12877" s="1">
        <v>45160</v>
      </c>
      <c r="D12877" s="1">
        <v>45166</v>
      </c>
      <c r="E12877">
        <v>1</v>
      </c>
      <c r="F12877" t="str">
        <f>"20-K03-03"</f>
        <v>20-K03-03</v>
      </c>
      <c r="G12877">
        <v>0.94020000000000004</v>
      </c>
      <c r="H12877" t="s">
        <v>11</v>
      </c>
      <c r="I12877" t="s">
        <v>10</v>
      </c>
    </row>
    <row r="12878" spans="1:9" x14ac:dyDescent="0.25">
      <c r="A12878" t="str">
        <f t="shared" si="306"/>
        <v>89301000</v>
      </c>
      <c r="B12878" t="str">
        <f>"7912285315"</f>
        <v>7912285315</v>
      </c>
      <c r="C12878" s="1">
        <v>45175</v>
      </c>
      <c r="D12878" s="1">
        <v>45181</v>
      </c>
      <c r="E12878">
        <v>1</v>
      </c>
      <c r="F12878" t="str">
        <f>"20-K03-03"</f>
        <v>20-K03-03</v>
      </c>
      <c r="G12878">
        <v>0.94020000000000004</v>
      </c>
      <c r="H12878" t="s">
        <v>11</v>
      </c>
      <c r="I12878" t="s">
        <v>10</v>
      </c>
    </row>
    <row r="12879" spans="1:9" x14ac:dyDescent="0.25">
      <c r="A12879" t="str">
        <f t="shared" si="306"/>
        <v>89301000</v>
      </c>
      <c r="B12879" t="str">
        <f>"7951085318"</f>
        <v>7951085318</v>
      </c>
      <c r="C12879" s="1">
        <v>44936</v>
      </c>
      <c r="D12879" s="1">
        <v>44939</v>
      </c>
      <c r="E12879">
        <v>1</v>
      </c>
      <c r="F12879" t="str">
        <f>"08-M03-05"</f>
        <v>08-M03-05</v>
      </c>
      <c r="G12879">
        <v>0.46810000000000002</v>
      </c>
      <c r="H12879" t="s">
        <v>11</v>
      </c>
      <c r="I12879" t="s">
        <v>10</v>
      </c>
    </row>
    <row r="12880" spans="1:9" x14ac:dyDescent="0.25">
      <c r="A12880" t="str">
        <f t="shared" si="306"/>
        <v>89301000</v>
      </c>
      <c r="B12880" t="str">
        <f>"7951095328"</f>
        <v>7951095328</v>
      </c>
      <c r="C12880" s="1">
        <v>45070</v>
      </c>
      <c r="D12880" s="1">
        <v>45071</v>
      </c>
      <c r="E12880">
        <v>1</v>
      </c>
      <c r="F12880" t="str">
        <f>"11-I14-02"</f>
        <v>11-I14-02</v>
      </c>
      <c r="G12880">
        <v>0.61839999999999995</v>
      </c>
      <c r="H12880" t="s">
        <v>9</v>
      </c>
      <c r="I12880" t="s">
        <v>10</v>
      </c>
    </row>
    <row r="12881" spans="1:9" x14ac:dyDescent="0.25">
      <c r="A12881" t="str">
        <f t="shared" si="306"/>
        <v>89301000</v>
      </c>
      <c r="B12881" t="str">
        <f>"7951155333"</f>
        <v>7951155333</v>
      </c>
      <c r="C12881" s="1">
        <v>44987</v>
      </c>
      <c r="D12881" s="1">
        <v>44995</v>
      </c>
      <c r="E12881">
        <v>1</v>
      </c>
      <c r="F12881" t="str">
        <f>"20-K03-03"</f>
        <v>20-K03-03</v>
      </c>
      <c r="G12881">
        <v>0.94020000000000004</v>
      </c>
      <c r="H12881" t="s">
        <v>11</v>
      </c>
      <c r="I12881" t="s">
        <v>10</v>
      </c>
    </row>
    <row r="12882" spans="1:9" x14ac:dyDescent="0.25">
      <c r="A12882" t="str">
        <f t="shared" si="306"/>
        <v>89301000</v>
      </c>
      <c r="B12882" t="str">
        <f>"7951185352"</f>
        <v>7951185352</v>
      </c>
      <c r="C12882" s="1">
        <v>44959</v>
      </c>
      <c r="D12882" s="1">
        <v>44962</v>
      </c>
      <c r="E12882">
        <v>1</v>
      </c>
      <c r="F12882" t="str">
        <f>"08-M03-05"</f>
        <v>08-M03-05</v>
      </c>
      <c r="G12882">
        <v>0.46810000000000002</v>
      </c>
      <c r="H12882" t="s">
        <v>11</v>
      </c>
      <c r="I12882" t="s">
        <v>10</v>
      </c>
    </row>
    <row r="12883" spans="1:9" x14ac:dyDescent="0.25">
      <c r="A12883" t="str">
        <f t="shared" si="306"/>
        <v>89301000</v>
      </c>
      <c r="B12883" t="str">
        <f>"7951205779"</f>
        <v>7951205779</v>
      </c>
      <c r="C12883" s="1">
        <v>45231</v>
      </c>
      <c r="D12883" s="1">
        <v>45232</v>
      </c>
      <c r="E12883">
        <v>1</v>
      </c>
      <c r="F12883" t="str">
        <f>"13-I19-00"</f>
        <v>13-I19-00</v>
      </c>
      <c r="G12883">
        <v>0.28249999999999997</v>
      </c>
      <c r="H12883" t="s">
        <v>11</v>
      </c>
      <c r="I12883" t="s">
        <v>10</v>
      </c>
    </row>
    <row r="12884" spans="1:9" x14ac:dyDescent="0.25">
      <c r="A12884" t="str">
        <f t="shared" si="306"/>
        <v>89301000</v>
      </c>
      <c r="B12884" t="str">
        <f>"7951224457"</f>
        <v>7951224457</v>
      </c>
      <c r="C12884" s="1">
        <v>44959</v>
      </c>
      <c r="D12884" s="1">
        <v>44963</v>
      </c>
      <c r="E12884">
        <v>1</v>
      </c>
      <c r="F12884" t="str">
        <f>"13-I11-03"</f>
        <v>13-I11-03</v>
      </c>
      <c r="G12884">
        <v>1.4332</v>
      </c>
      <c r="H12884" t="s">
        <v>9</v>
      </c>
      <c r="I12884" t="s">
        <v>10</v>
      </c>
    </row>
    <row r="12885" spans="1:9" x14ac:dyDescent="0.25">
      <c r="A12885" t="str">
        <f t="shared" si="306"/>
        <v>89301000</v>
      </c>
      <c r="B12885" t="str">
        <f>"7952045343"</f>
        <v>7952045343</v>
      </c>
      <c r="C12885" s="1">
        <v>45070</v>
      </c>
      <c r="D12885" s="1">
        <v>45071</v>
      </c>
      <c r="E12885">
        <v>1</v>
      </c>
      <c r="F12885" t="str">
        <f>"07-I10-06"</f>
        <v>07-I10-06</v>
      </c>
      <c r="G12885">
        <v>0.98419999999999996</v>
      </c>
      <c r="H12885" t="s">
        <v>12</v>
      </c>
      <c r="I12885" t="s">
        <v>10</v>
      </c>
    </row>
    <row r="12886" spans="1:9" x14ac:dyDescent="0.25">
      <c r="A12886" t="str">
        <f t="shared" si="306"/>
        <v>89301000</v>
      </c>
      <c r="B12886" t="str">
        <f>"7952075340"</f>
        <v>7952075340</v>
      </c>
      <c r="C12886" s="1">
        <v>45154</v>
      </c>
      <c r="D12886" s="1">
        <v>45155</v>
      </c>
      <c r="E12886">
        <v>1</v>
      </c>
      <c r="F12886" t="str">
        <f>"13-K15-02"</f>
        <v>13-K15-02</v>
      </c>
      <c r="G12886">
        <v>0.23619999999999999</v>
      </c>
      <c r="H12886" t="s">
        <v>11</v>
      </c>
      <c r="I12886" t="s">
        <v>10</v>
      </c>
    </row>
    <row r="12887" spans="1:9" x14ac:dyDescent="0.25">
      <c r="A12887" t="str">
        <f t="shared" si="306"/>
        <v>89301000</v>
      </c>
      <c r="B12887" t="str">
        <f>"7952125346"</f>
        <v>7952125346</v>
      </c>
      <c r="C12887" s="1">
        <v>45033</v>
      </c>
      <c r="D12887" s="1">
        <v>45036</v>
      </c>
      <c r="E12887">
        <v>1</v>
      </c>
      <c r="F12887" t="str">
        <f>"09-I06-04"</f>
        <v>09-I06-04</v>
      </c>
      <c r="G12887">
        <v>0.95069999999999999</v>
      </c>
      <c r="H12887" t="s">
        <v>12</v>
      </c>
      <c r="I12887" t="s">
        <v>10</v>
      </c>
    </row>
    <row r="12888" spans="1:9" x14ac:dyDescent="0.25">
      <c r="A12888" t="str">
        <f t="shared" si="306"/>
        <v>89301000</v>
      </c>
      <c r="B12888" t="str">
        <f>"7952214468"</f>
        <v>7952214468</v>
      </c>
      <c r="C12888" s="1">
        <v>44936</v>
      </c>
      <c r="D12888" s="1">
        <v>44939</v>
      </c>
      <c r="E12888">
        <v>1</v>
      </c>
      <c r="F12888" t="str">
        <f>"11-M05-01"</f>
        <v>11-M05-01</v>
      </c>
      <c r="G12888">
        <v>0.83750000000000002</v>
      </c>
      <c r="H12888" t="s">
        <v>12</v>
      </c>
      <c r="I12888" t="s">
        <v>10</v>
      </c>
    </row>
    <row r="12889" spans="1:9" x14ac:dyDescent="0.25">
      <c r="A12889" t="str">
        <f t="shared" si="306"/>
        <v>89301000</v>
      </c>
      <c r="B12889" t="str">
        <f>"7952224137"</f>
        <v>7952224137</v>
      </c>
      <c r="C12889" s="1">
        <v>45203</v>
      </c>
      <c r="D12889" s="1">
        <v>45206</v>
      </c>
      <c r="E12889">
        <v>1</v>
      </c>
      <c r="F12889" t="str">
        <f>"08-I03-08"</f>
        <v>08-I03-08</v>
      </c>
      <c r="G12889">
        <v>1.9455</v>
      </c>
      <c r="H12889" t="s">
        <v>9</v>
      </c>
      <c r="I12889" t="s">
        <v>10</v>
      </c>
    </row>
    <row r="12890" spans="1:9" x14ac:dyDescent="0.25">
      <c r="A12890" t="str">
        <f t="shared" ref="A12890:A12953" si="307">"89301000"</f>
        <v>89301000</v>
      </c>
      <c r="B12890" t="str">
        <f>"7952284472"</f>
        <v>7952284472</v>
      </c>
      <c r="C12890" s="1">
        <v>45252</v>
      </c>
      <c r="D12890" s="1">
        <v>45255</v>
      </c>
      <c r="E12890">
        <v>1</v>
      </c>
      <c r="F12890" t="str">
        <f>"09-I07-02"</f>
        <v>09-I07-02</v>
      </c>
      <c r="G12890">
        <v>1.446</v>
      </c>
      <c r="H12890" t="s">
        <v>14</v>
      </c>
      <c r="I12890" t="s">
        <v>10</v>
      </c>
    </row>
    <row r="12891" spans="1:9" x14ac:dyDescent="0.25">
      <c r="A12891" t="str">
        <f t="shared" si="307"/>
        <v>89301000</v>
      </c>
      <c r="B12891" t="str">
        <f>"7953055341"</f>
        <v>7953055341</v>
      </c>
      <c r="C12891" s="1">
        <v>44964</v>
      </c>
      <c r="D12891" s="1">
        <v>44967</v>
      </c>
      <c r="E12891">
        <v>1</v>
      </c>
      <c r="F12891" t="str">
        <f>"06-K02-04"</f>
        <v>06-K02-04</v>
      </c>
      <c r="G12891">
        <v>0.37659999999999999</v>
      </c>
      <c r="H12891" t="s">
        <v>11</v>
      </c>
      <c r="I12891" t="s">
        <v>10</v>
      </c>
    </row>
    <row r="12892" spans="1:9" x14ac:dyDescent="0.25">
      <c r="A12892" t="str">
        <f t="shared" si="307"/>
        <v>89301000</v>
      </c>
      <c r="B12892" t="str">
        <f>"7953055341"</f>
        <v>7953055341</v>
      </c>
      <c r="C12892" s="1">
        <v>44928</v>
      </c>
      <c r="D12892" s="1">
        <v>44943</v>
      </c>
      <c r="E12892">
        <v>1</v>
      </c>
      <c r="F12892" t="str">
        <f>"01-K02-02"</f>
        <v>01-K02-02</v>
      </c>
      <c r="G12892">
        <v>2.0183</v>
      </c>
      <c r="H12892" t="s">
        <v>11</v>
      </c>
      <c r="I12892" t="s">
        <v>10</v>
      </c>
    </row>
    <row r="12893" spans="1:9" x14ac:dyDescent="0.25">
      <c r="A12893" t="str">
        <f t="shared" si="307"/>
        <v>89301000</v>
      </c>
      <c r="B12893" t="str">
        <f>"7953174482"</f>
        <v>7953174482</v>
      </c>
      <c r="C12893" s="1">
        <v>45228</v>
      </c>
      <c r="D12893" s="1">
        <v>45231</v>
      </c>
      <c r="E12893">
        <v>1</v>
      </c>
      <c r="F12893" t="str">
        <f>"06-K07-02"</f>
        <v>06-K07-02</v>
      </c>
      <c r="G12893">
        <v>0.4385</v>
      </c>
      <c r="H12893" t="s">
        <v>11</v>
      </c>
      <c r="I12893" t="s">
        <v>10</v>
      </c>
    </row>
    <row r="12894" spans="1:9" x14ac:dyDescent="0.25">
      <c r="A12894" t="str">
        <f t="shared" si="307"/>
        <v>89301000</v>
      </c>
      <c r="B12894" t="str">
        <f>"7953174955"</f>
        <v>7953174955</v>
      </c>
      <c r="C12894" s="1">
        <v>45153</v>
      </c>
      <c r="D12894" s="1">
        <v>45155</v>
      </c>
      <c r="E12894">
        <v>1</v>
      </c>
      <c r="F12894" t="str">
        <f>"09-K14-02"</f>
        <v>09-K14-02</v>
      </c>
      <c r="G12894">
        <v>0.5</v>
      </c>
      <c r="H12894" t="s">
        <v>11</v>
      </c>
      <c r="I12894" t="s">
        <v>10</v>
      </c>
    </row>
    <row r="12895" spans="1:9" x14ac:dyDescent="0.25">
      <c r="A12895" t="str">
        <f t="shared" si="307"/>
        <v>89301000</v>
      </c>
      <c r="B12895" t="str">
        <f>"7953175318"</f>
        <v>7953175318</v>
      </c>
      <c r="C12895" s="1">
        <v>45014</v>
      </c>
      <c r="D12895" s="1">
        <v>45018</v>
      </c>
      <c r="E12895">
        <v>1</v>
      </c>
      <c r="F12895" t="str">
        <f>"13-I11-03"</f>
        <v>13-I11-03</v>
      </c>
      <c r="G12895">
        <v>1.4332</v>
      </c>
      <c r="H12895" t="s">
        <v>9</v>
      </c>
      <c r="I12895" t="s">
        <v>10</v>
      </c>
    </row>
    <row r="12896" spans="1:9" x14ac:dyDescent="0.25">
      <c r="A12896" t="str">
        <f t="shared" si="307"/>
        <v>89301000</v>
      </c>
      <c r="B12896" t="str">
        <f>"7953175318"</f>
        <v>7953175318</v>
      </c>
      <c r="C12896" s="1">
        <v>45077</v>
      </c>
      <c r="D12896" s="1">
        <v>45078</v>
      </c>
      <c r="E12896">
        <v>1</v>
      </c>
      <c r="F12896" t="str">
        <f>"13-K15-02"</f>
        <v>13-K15-02</v>
      </c>
      <c r="G12896">
        <v>0.24529999999999999</v>
      </c>
      <c r="H12896" t="s">
        <v>11</v>
      </c>
      <c r="I12896" t="s">
        <v>10</v>
      </c>
    </row>
    <row r="12897" spans="1:9" x14ac:dyDescent="0.25">
      <c r="A12897" t="str">
        <f t="shared" si="307"/>
        <v>89301000</v>
      </c>
      <c r="B12897" t="str">
        <f>"7953254694"</f>
        <v>7953254694</v>
      </c>
      <c r="C12897" s="1">
        <v>45243</v>
      </c>
      <c r="D12897" s="1">
        <v>45254</v>
      </c>
      <c r="E12897">
        <v>1</v>
      </c>
      <c r="F12897" t="str">
        <f>"11-M01-02"</f>
        <v>11-M01-02</v>
      </c>
      <c r="G12897">
        <v>1.619</v>
      </c>
      <c r="H12897" t="s">
        <v>12</v>
      </c>
      <c r="I12897" t="s">
        <v>10</v>
      </c>
    </row>
    <row r="12898" spans="1:9" x14ac:dyDescent="0.25">
      <c r="A12898" t="str">
        <f t="shared" si="307"/>
        <v>89301000</v>
      </c>
      <c r="B12898" t="str">
        <f>"7953284460"</f>
        <v>7953284460</v>
      </c>
      <c r="C12898" s="1">
        <v>45096</v>
      </c>
      <c r="D12898" s="1">
        <v>45097</v>
      </c>
      <c r="E12898">
        <v>1</v>
      </c>
      <c r="F12898" t="str">
        <f>"08-I16-04"</f>
        <v>08-I16-04</v>
      </c>
      <c r="G12898">
        <v>0.83040000000000003</v>
      </c>
      <c r="H12898" t="s">
        <v>12</v>
      </c>
      <c r="I12898" t="s">
        <v>10</v>
      </c>
    </row>
    <row r="12899" spans="1:9" x14ac:dyDescent="0.25">
      <c r="A12899" t="str">
        <f t="shared" si="307"/>
        <v>89301000</v>
      </c>
      <c r="B12899" t="str">
        <f>"7954045352"</f>
        <v>7954045352</v>
      </c>
      <c r="C12899" s="1">
        <v>45049</v>
      </c>
      <c r="D12899" s="1">
        <v>45051</v>
      </c>
      <c r="E12899">
        <v>1</v>
      </c>
      <c r="F12899" t="str">
        <f>"09-I13-04"</f>
        <v>09-I13-04</v>
      </c>
      <c r="G12899">
        <v>0.54139999999999999</v>
      </c>
      <c r="H12899" t="s">
        <v>11</v>
      </c>
      <c r="I12899" t="s">
        <v>10</v>
      </c>
    </row>
    <row r="12900" spans="1:9" x14ac:dyDescent="0.25">
      <c r="A12900" t="str">
        <f t="shared" si="307"/>
        <v>89301000</v>
      </c>
      <c r="B12900" t="str">
        <f>"7954075305"</f>
        <v>7954075305</v>
      </c>
      <c r="C12900" s="1">
        <v>45043</v>
      </c>
      <c r="D12900" s="1">
        <v>45047</v>
      </c>
      <c r="E12900">
        <v>1</v>
      </c>
      <c r="F12900" t="str">
        <f>"13-I11-03"</f>
        <v>13-I11-03</v>
      </c>
      <c r="G12900">
        <v>1.4332</v>
      </c>
      <c r="H12900" t="s">
        <v>9</v>
      </c>
      <c r="I12900" t="s">
        <v>10</v>
      </c>
    </row>
    <row r="12901" spans="1:9" x14ac:dyDescent="0.25">
      <c r="A12901" t="str">
        <f t="shared" si="307"/>
        <v>89301000</v>
      </c>
      <c r="B12901" t="str">
        <f>"7954113882"</f>
        <v>7954113882</v>
      </c>
      <c r="C12901" s="1">
        <v>44998</v>
      </c>
      <c r="D12901" s="1">
        <v>45000</v>
      </c>
      <c r="E12901">
        <v>7</v>
      </c>
      <c r="F12901" t="str">
        <f>"18-K01-04"</f>
        <v>18-K01-04</v>
      </c>
      <c r="G12901">
        <v>1.8412999999999999</v>
      </c>
      <c r="H12901" t="s">
        <v>11</v>
      </c>
      <c r="I12901" t="s">
        <v>10</v>
      </c>
    </row>
    <row r="12902" spans="1:9" x14ac:dyDescent="0.25">
      <c r="A12902" t="str">
        <f t="shared" si="307"/>
        <v>89301000</v>
      </c>
      <c r="B12902" t="str">
        <f>"7954125333"</f>
        <v>7954125333</v>
      </c>
      <c r="C12902" s="1">
        <v>45048</v>
      </c>
      <c r="D12902" s="1">
        <v>45050</v>
      </c>
      <c r="E12902">
        <v>1</v>
      </c>
      <c r="F12902" t="str">
        <f>"08-I23-01"</f>
        <v>08-I23-01</v>
      </c>
      <c r="G12902">
        <v>1.6314</v>
      </c>
      <c r="H12902" t="s">
        <v>12</v>
      </c>
      <c r="I12902" t="s">
        <v>10</v>
      </c>
    </row>
    <row r="12903" spans="1:9" x14ac:dyDescent="0.25">
      <c r="A12903" t="str">
        <f t="shared" si="307"/>
        <v>89301000</v>
      </c>
      <c r="B12903" t="str">
        <f>"7954175317"</f>
        <v>7954175317</v>
      </c>
      <c r="C12903" s="1">
        <v>45285</v>
      </c>
      <c r="D12903" s="1">
        <v>45288</v>
      </c>
      <c r="E12903">
        <v>1</v>
      </c>
      <c r="F12903" t="str">
        <f>"06-I18-05"</f>
        <v>06-I18-05</v>
      </c>
      <c r="G12903">
        <v>0.82420000000000004</v>
      </c>
      <c r="H12903" t="s">
        <v>9</v>
      </c>
      <c r="I12903" t="s">
        <v>10</v>
      </c>
    </row>
    <row r="12904" spans="1:9" x14ac:dyDescent="0.25">
      <c r="A12904" t="str">
        <f t="shared" si="307"/>
        <v>89301000</v>
      </c>
      <c r="B12904" t="str">
        <f>"7954185316"</f>
        <v>7954185316</v>
      </c>
      <c r="C12904" s="1">
        <v>45084</v>
      </c>
      <c r="D12904" s="1">
        <v>45085</v>
      </c>
      <c r="E12904">
        <v>1</v>
      </c>
      <c r="F12904" t="str">
        <f>"13-I13-02"</f>
        <v>13-I13-02</v>
      </c>
      <c r="G12904">
        <v>0.94840000000000002</v>
      </c>
      <c r="H12904" t="s">
        <v>12</v>
      </c>
      <c r="I12904" t="s">
        <v>10</v>
      </c>
    </row>
    <row r="12905" spans="1:9" x14ac:dyDescent="0.25">
      <c r="A12905" t="str">
        <f t="shared" si="307"/>
        <v>89301000</v>
      </c>
      <c r="B12905" t="str">
        <f>"7954194468"</f>
        <v>7954194468</v>
      </c>
      <c r="C12905" s="1">
        <v>44953</v>
      </c>
      <c r="D12905" s="1">
        <v>44972</v>
      </c>
      <c r="E12905">
        <v>1</v>
      </c>
      <c r="F12905" t="str">
        <f>"19-K05-02"</f>
        <v>19-K05-02</v>
      </c>
      <c r="G12905">
        <v>1.7688999999999999</v>
      </c>
      <c r="H12905" t="s">
        <v>15</v>
      </c>
      <c r="I12905" t="s">
        <v>10</v>
      </c>
    </row>
    <row r="12906" spans="1:9" x14ac:dyDescent="0.25">
      <c r="A12906" t="str">
        <f t="shared" si="307"/>
        <v>89301000</v>
      </c>
      <c r="B12906" t="str">
        <f>"7954225796"</f>
        <v>7954225796</v>
      </c>
      <c r="C12906" s="1">
        <v>45218</v>
      </c>
      <c r="D12906" s="1">
        <v>45218</v>
      </c>
      <c r="E12906">
        <v>1</v>
      </c>
      <c r="F12906" t="str">
        <f>"05-D01-08"</f>
        <v>05-D01-08</v>
      </c>
      <c r="G12906">
        <v>0.2303</v>
      </c>
      <c r="H12906" t="s">
        <v>11</v>
      </c>
      <c r="I12906" t="s">
        <v>10</v>
      </c>
    </row>
    <row r="12907" spans="1:9" x14ac:dyDescent="0.25">
      <c r="A12907" t="str">
        <f t="shared" si="307"/>
        <v>89301000</v>
      </c>
      <c r="B12907" t="str">
        <f>"7954244474"</f>
        <v>7954244474</v>
      </c>
      <c r="C12907" s="1">
        <v>45252</v>
      </c>
      <c r="D12907" s="1">
        <v>45255</v>
      </c>
      <c r="E12907">
        <v>1</v>
      </c>
      <c r="F12907" t="str">
        <f>"07-I10-06"</f>
        <v>07-I10-06</v>
      </c>
      <c r="G12907">
        <v>0.98419999999999996</v>
      </c>
      <c r="H12907" t="s">
        <v>12</v>
      </c>
      <c r="I12907" t="s">
        <v>10</v>
      </c>
    </row>
    <row r="12908" spans="1:9" x14ac:dyDescent="0.25">
      <c r="A12908" t="str">
        <f t="shared" si="307"/>
        <v>89301000</v>
      </c>
      <c r="B12908" t="str">
        <f>"7954244474"</f>
        <v>7954244474</v>
      </c>
      <c r="C12908" s="1">
        <v>45114</v>
      </c>
      <c r="D12908" s="1">
        <v>45117</v>
      </c>
      <c r="E12908">
        <v>1</v>
      </c>
      <c r="F12908" t="str">
        <f>"07-K11-03"</f>
        <v>07-K11-03</v>
      </c>
      <c r="G12908">
        <v>0.44330000000000003</v>
      </c>
      <c r="H12908" t="s">
        <v>11</v>
      </c>
      <c r="I12908" t="s">
        <v>10</v>
      </c>
    </row>
    <row r="12909" spans="1:9" x14ac:dyDescent="0.25">
      <c r="A12909" t="str">
        <f t="shared" si="307"/>
        <v>89301000</v>
      </c>
      <c r="B12909" t="str">
        <f>"7954245365"</f>
        <v>7954245365</v>
      </c>
      <c r="C12909" s="1">
        <v>45236</v>
      </c>
      <c r="D12909" s="1">
        <v>45238</v>
      </c>
      <c r="E12909">
        <v>1</v>
      </c>
      <c r="F12909" t="str">
        <f>"05-I30-01"</f>
        <v>05-I30-01</v>
      </c>
      <c r="G12909">
        <v>0.60309999999999997</v>
      </c>
      <c r="H12909" t="s">
        <v>12</v>
      </c>
      <c r="I12909" t="s">
        <v>10</v>
      </c>
    </row>
    <row r="12910" spans="1:9" x14ac:dyDescent="0.25">
      <c r="A12910" t="str">
        <f t="shared" si="307"/>
        <v>89301000</v>
      </c>
      <c r="B12910" t="str">
        <f>"7954255342"</f>
        <v>7954255342</v>
      </c>
      <c r="C12910" s="1">
        <v>45274</v>
      </c>
      <c r="D12910" s="1">
        <v>45275</v>
      </c>
      <c r="E12910">
        <v>1</v>
      </c>
      <c r="F12910" t="str">
        <f>"13-I19-00"</f>
        <v>13-I19-00</v>
      </c>
      <c r="G12910">
        <v>0.28249999999999997</v>
      </c>
      <c r="H12910" t="s">
        <v>11</v>
      </c>
      <c r="I12910" t="s">
        <v>10</v>
      </c>
    </row>
    <row r="12911" spans="1:9" x14ac:dyDescent="0.25">
      <c r="A12911" t="str">
        <f t="shared" si="307"/>
        <v>89301000</v>
      </c>
      <c r="B12911" t="str">
        <f>"7954274482"</f>
        <v>7954274482</v>
      </c>
      <c r="C12911" s="1">
        <v>45259</v>
      </c>
      <c r="D12911" s="1">
        <v>45263</v>
      </c>
      <c r="E12911">
        <v>1</v>
      </c>
      <c r="F12911" t="str">
        <f>"09-I07-02"</f>
        <v>09-I07-02</v>
      </c>
      <c r="G12911">
        <v>1.3976</v>
      </c>
      <c r="H12911" t="s">
        <v>14</v>
      </c>
      <c r="I12911" t="s">
        <v>10</v>
      </c>
    </row>
    <row r="12912" spans="1:9" x14ac:dyDescent="0.25">
      <c r="A12912" t="str">
        <f t="shared" si="307"/>
        <v>89301000</v>
      </c>
      <c r="B12912" t="str">
        <f>"7954285394"</f>
        <v>7954285394</v>
      </c>
      <c r="C12912" s="1">
        <v>45127</v>
      </c>
      <c r="D12912" s="1">
        <v>45128</v>
      </c>
      <c r="E12912">
        <v>1</v>
      </c>
      <c r="F12912" t="str">
        <f>"08-I25-02"</f>
        <v>08-I25-02</v>
      </c>
      <c r="G12912">
        <v>0.55279999999999996</v>
      </c>
      <c r="H12912" t="s">
        <v>11</v>
      </c>
      <c r="I12912" t="s">
        <v>10</v>
      </c>
    </row>
    <row r="12913" spans="1:9" x14ac:dyDescent="0.25">
      <c r="A12913" t="str">
        <f t="shared" si="307"/>
        <v>89301000</v>
      </c>
      <c r="B12913" t="str">
        <f>"7954285812"</f>
        <v>7954285812</v>
      </c>
      <c r="C12913" s="1">
        <v>45076</v>
      </c>
      <c r="D12913" s="1">
        <v>45086</v>
      </c>
      <c r="E12913">
        <v>1</v>
      </c>
      <c r="F12913" t="str">
        <f>"04-I03-03"</f>
        <v>04-I03-03</v>
      </c>
      <c r="G12913">
        <v>2.5461</v>
      </c>
      <c r="H12913" t="s">
        <v>14</v>
      </c>
      <c r="I12913" t="s">
        <v>10</v>
      </c>
    </row>
    <row r="12914" spans="1:9" x14ac:dyDescent="0.25">
      <c r="A12914" t="str">
        <f t="shared" si="307"/>
        <v>89301000</v>
      </c>
      <c r="B12914" t="str">
        <f>"7955055350"</f>
        <v>7955055350</v>
      </c>
      <c r="C12914" s="1">
        <v>45131</v>
      </c>
      <c r="D12914" s="1">
        <v>45135</v>
      </c>
      <c r="E12914">
        <v>1</v>
      </c>
      <c r="F12914" t="str">
        <f>"24-M05-02"</f>
        <v>24-M05-02</v>
      </c>
      <c r="G12914">
        <v>0.58660000000000001</v>
      </c>
      <c r="H12914" t="s">
        <v>11</v>
      </c>
      <c r="I12914" t="s">
        <v>10</v>
      </c>
    </row>
    <row r="12915" spans="1:9" x14ac:dyDescent="0.25">
      <c r="A12915" t="str">
        <f t="shared" si="307"/>
        <v>89301000</v>
      </c>
      <c r="B12915" t="str">
        <f>"7955074479"</f>
        <v>7955074479</v>
      </c>
      <c r="C12915" s="1">
        <v>45188</v>
      </c>
      <c r="D12915" s="1">
        <v>45190</v>
      </c>
      <c r="E12915">
        <v>1</v>
      </c>
      <c r="F12915" t="str">
        <f>"01-I14-02"</f>
        <v>01-I14-02</v>
      </c>
      <c r="G12915">
        <v>1.2322</v>
      </c>
      <c r="H12915" t="s">
        <v>12</v>
      </c>
      <c r="I12915" t="s">
        <v>10</v>
      </c>
    </row>
    <row r="12916" spans="1:9" x14ac:dyDescent="0.25">
      <c r="A12916" t="str">
        <f t="shared" si="307"/>
        <v>89301000</v>
      </c>
      <c r="B12916" t="str">
        <f>"7955095346"</f>
        <v>7955095346</v>
      </c>
      <c r="C12916" s="1">
        <v>45278</v>
      </c>
      <c r="D12916" s="1">
        <v>45279</v>
      </c>
      <c r="E12916">
        <v>1</v>
      </c>
      <c r="F12916" t="str">
        <f>"05-D01-06"</f>
        <v>05-D01-06</v>
      </c>
      <c r="G12916">
        <v>0.7571</v>
      </c>
      <c r="H12916" t="s">
        <v>11</v>
      </c>
      <c r="I12916" t="s">
        <v>10</v>
      </c>
    </row>
    <row r="12917" spans="1:9" x14ac:dyDescent="0.25">
      <c r="A12917" t="str">
        <f t="shared" si="307"/>
        <v>89301000</v>
      </c>
      <c r="B12917" t="str">
        <f>"7955105334"</f>
        <v>7955105334</v>
      </c>
      <c r="C12917" s="1">
        <v>45125</v>
      </c>
      <c r="D12917" s="1">
        <v>45134</v>
      </c>
      <c r="E12917">
        <v>8</v>
      </c>
      <c r="F12917" t="str">
        <f>"00-M01-04"</f>
        <v>00-M01-04</v>
      </c>
      <c r="G12917">
        <v>9.5698000000000008</v>
      </c>
      <c r="H12917" t="s">
        <v>11</v>
      </c>
      <c r="I12917" t="s">
        <v>10</v>
      </c>
    </row>
    <row r="12918" spans="1:9" x14ac:dyDescent="0.25">
      <c r="A12918" t="str">
        <f t="shared" si="307"/>
        <v>89301000</v>
      </c>
      <c r="B12918" t="str">
        <f>"7955105334"</f>
        <v>7955105334</v>
      </c>
      <c r="C12918" s="1">
        <v>45073</v>
      </c>
      <c r="D12918" s="1">
        <v>45098</v>
      </c>
      <c r="E12918">
        <v>1</v>
      </c>
      <c r="F12918" t="str">
        <f>"16-C04-04"</f>
        <v>16-C04-04</v>
      </c>
      <c r="G12918">
        <v>3.6960000000000002</v>
      </c>
      <c r="H12918" t="s">
        <v>11</v>
      </c>
      <c r="I12918" t="s">
        <v>10</v>
      </c>
    </row>
    <row r="12919" spans="1:9" x14ac:dyDescent="0.25">
      <c r="A12919" t="str">
        <f t="shared" si="307"/>
        <v>89301000</v>
      </c>
      <c r="B12919" t="str">
        <f>"7955105334"</f>
        <v>7955105334</v>
      </c>
      <c r="C12919" s="1">
        <v>45030</v>
      </c>
      <c r="D12919" s="1">
        <v>45058</v>
      </c>
      <c r="E12919">
        <v>1</v>
      </c>
      <c r="F12919" t="str">
        <f>"00-M06-02"</f>
        <v>00-M06-02</v>
      </c>
      <c r="G12919">
        <v>20.672000000000001</v>
      </c>
      <c r="H12919" t="s">
        <v>12</v>
      </c>
      <c r="I12919" t="s">
        <v>10</v>
      </c>
    </row>
    <row r="12920" spans="1:9" x14ac:dyDescent="0.25">
      <c r="A12920" t="str">
        <f t="shared" si="307"/>
        <v>89301000</v>
      </c>
      <c r="B12920" t="str">
        <f>"7955124683"</f>
        <v>7955124683</v>
      </c>
      <c r="C12920" s="1">
        <v>45256</v>
      </c>
      <c r="D12920" s="1">
        <v>45261</v>
      </c>
      <c r="E12920">
        <v>1</v>
      </c>
      <c r="F12920" t="str">
        <f>"08-I03-04"</f>
        <v>08-I03-04</v>
      </c>
      <c r="G12920">
        <v>4.7256</v>
      </c>
      <c r="H12920" t="s">
        <v>9</v>
      </c>
      <c r="I12920" t="s">
        <v>10</v>
      </c>
    </row>
    <row r="12921" spans="1:9" x14ac:dyDescent="0.25">
      <c r="A12921" t="str">
        <f t="shared" si="307"/>
        <v>89301000</v>
      </c>
      <c r="B12921" t="str">
        <f>"7955135804"</f>
        <v>7955135804</v>
      </c>
      <c r="C12921" s="1">
        <v>44989</v>
      </c>
      <c r="D12921" s="1">
        <v>45002</v>
      </c>
      <c r="E12921">
        <v>8</v>
      </c>
      <c r="F12921" t="str">
        <f>"09-K08-01"</f>
        <v>09-K08-01</v>
      </c>
      <c r="G12921">
        <v>1.6012999999999999</v>
      </c>
      <c r="H12921" t="s">
        <v>11</v>
      </c>
      <c r="I12921" t="s">
        <v>10</v>
      </c>
    </row>
    <row r="12922" spans="1:9" x14ac:dyDescent="0.25">
      <c r="A12922" t="str">
        <f t="shared" si="307"/>
        <v>89301000</v>
      </c>
      <c r="B12922" t="str">
        <f>"7955135804"</f>
        <v>7955135804</v>
      </c>
      <c r="C12922" s="1">
        <v>44978</v>
      </c>
      <c r="D12922" s="1">
        <v>44979</v>
      </c>
      <c r="E12922">
        <v>1</v>
      </c>
      <c r="F12922" t="str">
        <f>"09-K08-01"</f>
        <v>09-K08-01</v>
      </c>
      <c r="G12922">
        <v>0.83279999999999998</v>
      </c>
      <c r="H12922" t="s">
        <v>11</v>
      </c>
      <c r="I12922" t="s">
        <v>10</v>
      </c>
    </row>
    <row r="12923" spans="1:9" x14ac:dyDescent="0.25">
      <c r="A12923" t="str">
        <f t="shared" si="307"/>
        <v>89301000</v>
      </c>
      <c r="B12923" t="str">
        <f>"7955165306"</f>
        <v>7955165306</v>
      </c>
      <c r="C12923" s="1">
        <v>44942</v>
      </c>
      <c r="D12923" s="1">
        <v>44944</v>
      </c>
      <c r="E12923">
        <v>1</v>
      </c>
      <c r="F12923" t="str">
        <f>"08-I26-03"</f>
        <v>08-I26-03</v>
      </c>
      <c r="G12923">
        <v>0.47699999999999998</v>
      </c>
      <c r="H12923" t="s">
        <v>11</v>
      </c>
      <c r="I12923" t="s">
        <v>10</v>
      </c>
    </row>
    <row r="12924" spans="1:9" x14ac:dyDescent="0.25">
      <c r="A12924" t="str">
        <f t="shared" si="307"/>
        <v>89301000</v>
      </c>
      <c r="B12924" t="str">
        <f>"7955174337"</f>
        <v>7955174337</v>
      </c>
      <c r="C12924" s="1">
        <v>45064</v>
      </c>
      <c r="D12924" s="1">
        <v>45079</v>
      </c>
      <c r="E12924">
        <v>1</v>
      </c>
      <c r="F12924" t="str">
        <f>"19-K05-02"</f>
        <v>19-K05-02</v>
      </c>
      <c r="G12924">
        <v>1.7688999999999999</v>
      </c>
      <c r="H12924" t="s">
        <v>15</v>
      </c>
      <c r="I12924" t="s">
        <v>10</v>
      </c>
    </row>
    <row r="12925" spans="1:9" x14ac:dyDescent="0.25">
      <c r="A12925" t="str">
        <f t="shared" si="307"/>
        <v>89301000</v>
      </c>
      <c r="B12925" t="str">
        <f>"7955205324"</f>
        <v>7955205324</v>
      </c>
      <c r="C12925" s="1">
        <v>44976</v>
      </c>
      <c r="D12925" s="1">
        <v>44980</v>
      </c>
      <c r="E12925">
        <v>1</v>
      </c>
      <c r="F12925" t="str">
        <f>"10-I13-02"</f>
        <v>10-I13-02</v>
      </c>
      <c r="G12925">
        <v>1.1124000000000001</v>
      </c>
      <c r="H12925" t="s">
        <v>9</v>
      </c>
      <c r="I12925" t="s">
        <v>10</v>
      </c>
    </row>
    <row r="12926" spans="1:9" x14ac:dyDescent="0.25">
      <c r="A12926" t="str">
        <f t="shared" si="307"/>
        <v>89301000</v>
      </c>
      <c r="B12926" t="str">
        <f>"7955213871"</f>
        <v>7955213871</v>
      </c>
      <c r="C12926" s="1">
        <v>45049</v>
      </c>
      <c r="D12926" s="1">
        <v>45056</v>
      </c>
      <c r="E12926">
        <v>1</v>
      </c>
      <c r="F12926" t="str">
        <f>"08-I29-02"</f>
        <v>08-I29-02</v>
      </c>
      <c r="G12926">
        <v>1.5629999999999999</v>
      </c>
      <c r="H12926" t="s">
        <v>11</v>
      </c>
      <c r="I12926" t="s">
        <v>10</v>
      </c>
    </row>
    <row r="12927" spans="1:9" x14ac:dyDescent="0.25">
      <c r="A12927" t="str">
        <f t="shared" si="307"/>
        <v>89301000</v>
      </c>
      <c r="B12927" t="str">
        <f>"7955265769"</f>
        <v>7955265769</v>
      </c>
      <c r="C12927" s="1">
        <v>45101</v>
      </c>
      <c r="D12927" s="1">
        <v>45107</v>
      </c>
      <c r="E12927">
        <v>1</v>
      </c>
      <c r="F12927" t="str">
        <f>"06-K06-02"</f>
        <v>06-K06-02</v>
      </c>
      <c r="G12927">
        <v>0.64170000000000005</v>
      </c>
      <c r="H12927" t="s">
        <v>11</v>
      </c>
      <c r="I12927" t="s">
        <v>10</v>
      </c>
    </row>
    <row r="12928" spans="1:9" x14ac:dyDescent="0.25">
      <c r="A12928" t="str">
        <f t="shared" si="307"/>
        <v>89301000</v>
      </c>
      <c r="B12928" t="str">
        <f>"7955275339"</f>
        <v>7955275339</v>
      </c>
      <c r="C12928" s="1">
        <v>44931</v>
      </c>
      <c r="D12928" s="1">
        <v>44932</v>
      </c>
      <c r="E12928">
        <v>1</v>
      </c>
      <c r="F12928" t="str">
        <f>"07-K08-02"</f>
        <v>07-K08-02</v>
      </c>
      <c r="G12928">
        <v>0.35310000000000002</v>
      </c>
      <c r="H12928" t="s">
        <v>11</v>
      </c>
      <c r="I12928" t="s">
        <v>10</v>
      </c>
    </row>
    <row r="12929" spans="1:9" x14ac:dyDescent="0.25">
      <c r="A12929" t="str">
        <f t="shared" si="307"/>
        <v>89301000</v>
      </c>
      <c r="B12929" t="str">
        <f>"7955285338"</f>
        <v>7955285338</v>
      </c>
      <c r="C12929" s="1">
        <v>45144</v>
      </c>
      <c r="D12929" s="1">
        <v>45145</v>
      </c>
      <c r="E12929">
        <v>1</v>
      </c>
      <c r="F12929" t="str">
        <f>"06-K06-02"</f>
        <v>06-K06-02</v>
      </c>
      <c r="G12929">
        <v>0.64170000000000005</v>
      </c>
      <c r="H12929" t="s">
        <v>11</v>
      </c>
      <c r="I12929" t="s">
        <v>10</v>
      </c>
    </row>
    <row r="12930" spans="1:9" x14ac:dyDescent="0.25">
      <c r="A12930" t="str">
        <f t="shared" si="307"/>
        <v>89301000</v>
      </c>
      <c r="B12930" t="str">
        <f>"7955285338"</f>
        <v>7955285338</v>
      </c>
      <c r="C12930" s="1">
        <v>45028</v>
      </c>
      <c r="D12930" s="1">
        <v>45035</v>
      </c>
      <c r="E12930">
        <v>1</v>
      </c>
      <c r="F12930" t="str">
        <f>"06-I13-02"</f>
        <v>06-I13-02</v>
      </c>
      <c r="G12930">
        <v>2.1128999999999998</v>
      </c>
      <c r="H12930" t="s">
        <v>11</v>
      </c>
      <c r="I12930" t="s">
        <v>10</v>
      </c>
    </row>
    <row r="12931" spans="1:9" x14ac:dyDescent="0.25">
      <c r="A12931" t="str">
        <f t="shared" si="307"/>
        <v>89301000</v>
      </c>
      <c r="B12931" t="str">
        <f>"7955315808"</f>
        <v>7955315808</v>
      </c>
      <c r="C12931" s="1">
        <v>45099</v>
      </c>
      <c r="D12931" s="1">
        <v>45103</v>
      </c>
      <c r="E12931">
        <v>1</v>
      </c>
      <c r="F12931" t="str">
        <f>"23-I07-00"</f>
        <v>23-I07-00</v>
      </c>
      <c r="G12931">
        <v>1.4204000000000001</v>
      </c>
      <c r="H12931" t="s">
        <v>9</v>
      </c>
      <c r="I12931" t="s">
        <v>10</v>
      </c>
    </row>
    <row r="12932" spans="1:9" x14ac:dyDescent="0.25">
      <c r="A12932" t="str">
        <f t="shared" si="307"/>
        <v>89301000</v>
      </c>
      <c r="B12932" t="str">
        <f>"7956025726"</f>
        <v>7956025726</v>
      </c>
      <c r="C12932" s="1">
        <v>45215</v>
      </c>
      <c r="D12932" s="1">
        <v>45216</v>
      </c>
      <c r="E12932">
        <v>1</v>
      </c>
      <c r="F12932" t="str">
        <f>"13-I19-00"</f>
        <v>13-I19-00</v>
      </c>
      <c r="G12932">
        <v>0.28270000000000001</v>
      </c>
      <c r="H12932" t="s">
        <v>11</v>
      </c>
      <c r="I12932" t="s">
        <v>10</v>
      </c>
    </row>
    <row r="12933" spans="1:9" x14ac:dyDescent="0.25">
      <c r="A12933" t="str">
        <f t="shared" si="307"/>
        <v>89301000</v>
      </c>
      <c r="B12933" t="str">
        <f>"7956043260"</f>
        <v>7956043260</v>
      </c>
      <c r="C12933" s="1">
        <v>45084</v>
      </c>
      <c r="D12933" s="1">
        <v>45087</v>
      </c>
      <c r="E12933">
        <v>1</v>
      </c>
      <c r="F12933" t="str">
        <f>"08-M03-05"</f>
        <v>08-M03-05</v>
      </c>
      <c r="G12933">
        <v>0.46910000000000002</v>
      </c>
      <c r="H12933" t="s">
        <v>11</v>
      </c>
      <c r="I12933" t="s">
        <v>10</v>
      </c>
    </row>
    <row r="12934" spans="1:9" x14ac:dyDescent="0.25">
      <c r="A12934" t="str">
        <f t="shared" si="307"/>
        <v>89301000</v>
      </c>
      <c r="B12934" t="str">
        <f>"7956065403"</f>
        <v>7956065403</v>
      </c>
      <c r="C12934" s="1">
        <v>45084</v>
      </c>
      <c r="D12934" s="1">
        <v>45088</v>
      </c>
      <c r="E12934">
        <v>1</v>
      </c>
      <c r="F12934" t="str">
        <f>"09-I08-02"</f>
        <v>09-I08-02</v>
      </c>
      <c r="G12934">
        <v>1.1056999999999999</v>
      </c>
      <c r="H12934" t="s">
        <v>14</v>
      </c>
      <c r="I12934" t="s">
        <v>10</v>
      </c>
    </row>
    <row r="12935" spans="1:9" x14ac:dyDescent="0.25">
      <c r="A12935" t="str">
        <f t="shared" si="307"/>
        <v>89301000</v>
      </c>
      <c r="B12935" t="str">
        <f>"7956124462"</f>
        <v>7956124462</v>
      </c>
      <c r="C12935" s="1">
        <v>45148</v>
      </c>
      <c r="D12935" s="1">
        <v>45150</v>
      </c>
      <c r="E12935">
        <v>1</v>
      </c>
      <c r="F12935" t="str">
        <f>"08-M03-03"</f>
        <v>08-M03-03</v>
      </c>
      <c r="G12935">
        <v>0.56640000000000001</v>
      </c>
      <c r="H12935" t="s">
        <v>11</v>
      </c>
      <c r="I12935" t="s">
        <v>10</v>
      </c>
    </row>
    <row r="12936" spans="1:9" x14ac:dyDescent="0.25">
      <c r="A12936" t="str">
        <f t="shared" si="307"/>
        <v>89301000</v>
      </c>
      <c r="B12936" t="str">
        <f>"7956135330"</f>
        <v>7956135330</v>
      </c>
      <c r="C12936" s="1">
        <v>44955</v>
      </c>
      <c r="D12936" s="1">
        <v>44959</v>
      </c>
      <c r="E12936">
        <v>1</v>
      </c>
      <c r="F12936" t="str">
        <f>"14-I01-05"</f>
        <v>14-I01-05</v>
      </c>
      <c r="G12936">
        <v>0.83340000000000003</v>
      </c>
      <c r="H12936" t="s">
        <v>13</v>
      </c>
      <c r="I12936" t="s">
        <v>10</v>
      </c>
    </row>
    <row r="12937" spans="1:9" x14ac:dyDescent="0.25">
      <c r="A12937" t="str">
        <f t="shared" si="307"/>
        <v>89301000</v>
      </c>
      <c r="B12937" t="str">
        <f>"7956145758"</f>
        <v>7956145758</v>
      </c>
      <c r="C12937" s="1">
        <v>45187</v>
      </c>
      <c r="D12937" s="1">
        <v>45188</v>
      </c>
      <c r="E12937">
        <v>1</v>
      </c>
      <c r="F12937" t="str">
        <f>"13-I19-00"</f>
        <v>13-I19-00</v>
      </c>
      <c r="G12937">
        <v>0.28249999999999997</v>
      </c>
      <c r="H12937" t="s">
        <v>11</v>
      </c>
      <c r="I12937" t="s">
        <v>10</v>
      </c>
    </row>
    <row r="12938" spans="1:9" x14ac:dyDescent="0.25">
      <c r="A12938" t="str">
        <f t="shared" si="307"/>
        <v>89301000</v>
      </c>
      <c r="B12938" t="str">
        <f>"7956153865"</f>
        <v>7956153865</v>
      </c>
      <c r="C12938" s="1">
        <v>45215</v>
      </c>
      <c r="D12938" s="1">
        <v>45224</v>
      </c>
      <c r="E12938">
        <v>1</v>
      </c>
      <c r="F12938" t="str">
        <f>"10-R02-01"</f>
        <v>10-R02-01</v>
      </c>
      <c r="G12938">
        <v>0.92279999999999995</v>
      </c>
      <c r="H12938" t="s">
        <v>9</v>
      </c>
      <c r="I12938" t="s">
        <v>10</v>
      </c>
    </row>
    <row r="12939" spans="1:9" x14ac:dyDescent="0.25">
      <c r="A12939" t="str">
        <f t="shared" si="307"/>
        <v>89301000</v>
      </c>
      <c r="B12939" t="str">
        <f>"7956165316"</f>
        <v>7956165316</v>
      </c>
      <c r="C12939" s="1">
        <v>45021</v>
      </c>
      <c r="D12939" s="1">
        <v>45022</v>
      </c>
      <c r="E12939">
        <v>1</v>
      </c>
      <c r="F12939" t="str">
        <f>"08-I32-00"</f>
        <v>08-I32-00</v>
      </c>
      <c r="G12939">
        <v>0.40870000000000001</v>
      </c>
      <c r="H12939" t="s">
        <v>11</v>
      </c>
      <c r="I12939" t="s">
        <v>10</v>
      </c>
    </row>
    <row r="12940" spans="1:9" x14ac:dyDescent="0.25">
      <c r="A12940" t="str">
        <f t="shared" si="307"/>
        <v>89301000</v>
      </c>
      <c r="B12940" t="str">
        <f>"7956225761"</f>
        <v>7956225761</v>
      </c>
      <c r="C12940" s="1">
        <v>44943</v>
      </c>
      <c r="D12940" s="1">
        <v>44944</v>
      </c>
      <c r="E12940">
        <v>1</v>
      </c>
      <c r="F12940" t="str">
        <f>"05-K12-02"</f>
        <v>05-K12-02</v>
      </c>
      <c r="G12940">
        <v>0.58099999999999996</v>
      </c>
      <c r="H12940" t="s">
        <v>11</v>
      </c>
      <c r="I12940" t="s">
        <v>10</v>
      </c>
    </row>
    <row r="12941" spans="1:9" x14ac:dyDescent="0.25">
      <c r="A12941" t="str">
        <f t="shared" si="307"/>
        <v>89301000</v>
      </c>
      <c r="B12941" t="str">
        <f>"7956263491"</f>
        <v>7956263491</v>
      </c>
      <c r="C12941" s="1">
        <v>45054</v>
      </c>
      <c r="D12941" s="1">
        <v>45056</v>
      </c>
      <c r="E12941">
        <v>1</v>
      </c>
      <c r="F12941" t="str">
        <f>"08-I26-03"</f>
        <v>08-I26-03</v>
      </c>
      <c r="G12941">
        <v>0.47699999999999998</v>
      </c>
      <c r="H12941" t="s">
        <v>11</v>
      </c>
      <c r="I12941" t="s">
        <v>10</v>
      </c>
    </row>
    <row r="12942" spans="1:9" x14ac:dyDescent="0.25">
      <c r="A12942" t="str">
        <f t="shared" si="307"/>
        <v>89301000</v>
      </c>
      <c r="B12942" t="str">
        <f>"7956275338"</f>
        <v>7956275338</v>
      </c>
      <c r="C12942" s="1">
        <v>44944</v>
      </c>
      <c r="D12942" s="1">
        <v>44949</v>
      </c>
      <c r="E12942">
        <v>1</v>
      </c>
      <c r="F12942" t="str">
        <f>"11-M07-02"</f>
        <v>11-M07-02</v>
      </c>
      <c r="G12942">
        <v>0.64219999999999999</v>
      </c>
      <c r="H12942" t="s">
        <v>12</v>
      </c>
      <c r="I12942" t="s">
        <v>10</v>
      </c>
    </row>
    <row r="12943" spans="1:9" x14ac:dyDescent="0.25">
      <c r="A12943" t="str">
        <f t="shared" si="307"/>
        <v>89301000</v>
      </c>
      <c r="B12943" t="str">
        <f>"7956295347"</f>
        <v>7956295347</v>
      </c>
      <c r="C12943" s="1">
        <v>45200</v>
      </c>
      <c r="D12943" s="1">
        <v>45205</v>
      </c>
      <c r="E12943">
        <v>1</v>
      </c>
      <c r="F12943" t="str">
        <f>"06-K02-03"</f>
        <v>06-K02-03</v>
      </c>
      <c r="G12943">
        <v>0.50470000000000004</v>
      </c>
      <c r="H12943" t="s">
        <v>11</v>
      </c>
      <c r="I12943" t="s">
        <v>10</v>
      </c>
    </row>
    <row r="12944" spans="1:9" x14ac:dyDescent="0.25">
      <c r="A12944" t="str">
        <f t="shared" si="307"/>
        <v>89301000</v>
      </c>
      <c r="B12944" t="str">
        <f>"7956295347"</f>
        <v>7956295347</v>
      </c>
      <c r="C12944" s="1">
        <v>45235</v>
      </c>
      <c r="D12944" s="1">
        <v>45237</v>
      </c>
      <c r="E12944">
        <v>1</v>
      </c>
      <c r="F12944" t="str">
        <f>"08-I17-02"</f>
        <v>08-I17-02</v>
      </c>
      <c r="G12944">
        <v>0.89680000000000004</v>
      </c>
      <c r="H12944" t="s">
        <v>11</v>
      </c>
      <c r="I12944" t="s">
        <v>10</v>
      </c>
    </row>
    <row r="12945" spans="1:9" x14ac:dyDescent="0.25">
      <c r="A12945" t="str">
        <f t="shared" si="307"/>
        <v>89301000</v>
      </c>
      <c r="B12945" t="str">
        <f>"7957055326"</f>
        <v>7957055326</v>
      </c>
      <c r="C12945" s="1">
        <v>44971</v>
      </c>
      <c r="D12945" s="1">
        <v>44973</v>
      </c>
      <c r="E12945">
        <v>1</v>
      </c>
      <c r="F12945" t="str">
        <f>"06-K10-03"</f>
        <v>06-K10-03</v>
      </c>
      <c r="G12945">
        <v>0.43519999999999998</v>
      </c>
      <c r="H12945" t="s">
        <v>11</v>
      </c>
      <c r="I12945" t="s">
        <v>10</v>
      </c>
    </row>
    <row r="12946" spans="1:9" x14ac:dyDescent="0.25">
      <c r="A12946" t="str">
        <f t="shared" si="307"/>
        <v>89301000</v>
      </c>
      <c r="B12946" t="str">
        <f>"7957085345"</f>
        <v>7957085345</v>
      </c>
      <c r="C12946" s="1">
        <v>44953</v>
      </c>
      <c r="D12946" s="1">
        <v>44954</v>
      </c>
      <c r="E12946">
        <v>1</v>
      </c>
      <c r="F12946" t="str">
        <f>"13-I19-00"</f>
        <v>13-I19-00</v>
      </c>
      <c r="G12946">
        <v>0.28249999999999997</v>
      </c>
      <c r="H12946" t="s">
        <v>11</v>
      </c>
      <c r="I12946" t="s">
        <v>10</v>
      </c>
    </row>
    <row r="12947" spans="1:9" x14ac:dyDescent="0.25">
      <c r="A12947" t="str">
        <f t="shared" si="307"/>
        <v>89301000</v>
      </c>
      <c r="B12947" t="str">
        <f>"7957085345"</f>
        <v>7957085345</v>
      </c>
      <c r="C12947" s="1">
        <v>45041</v>
      </c>
      <c r="D12947" s="1">
        <v>45045</v>
      </c>
      <c r="E12947">
        <v>1</v>
      </c>
      <c r="F12947" t="str">
        <f>"13-I11-03"</f>
        <v>13-I11-03</v>
      </c>
      <c r="G12947">
        <v>1.4332</v>
      </c>
      <c r="H12947" t="s">
        <v>9</v>
      </c>
      <c r="I12947" t="s">
        <v>10</v>
      </c>
    </row>
    <row r="12948" spans="1:9" x14ac:dyDescent="0.25">
      <c r="A12948" t="str">
        <f t="shared" si="307"/>
        <v>89301000</v>
      </c>
      <c r="B12948" t="str">
        <f>"7957114671"</f>
        <v>7957114671</v>
      </c>
      <c r="C12948" s="1">
        <v>45066</v>
      </c>
      <c r="D12948" s="1">
        <v>45083</v>
      </c>
      <c r="E12948">
        <v>1</v>
      </c>
      <c r="F12948" t="str">
        <f>"00-M01-03"</f>
        <v>00-M01-03</v>
      </c>
      <c r="G12948">
        <v>10.3605</v>
      </c>
      <c r="H12948" t="s">
        <v>11</v>
      </c>
      <c r="I12948" t="s">
        <v>10</v>
      </c>
    </row>
    <row r="12949" spans="1:9" x14ac:dyDescent="0.25">
      <c r="A12949" t="str">
        <f t="shared" si="307"/>
        <v>89301000</v>
      </c>
      <c r="B12949" t="str">
        <f>"7957195323"</f>
        <v>7957195323</v>
      </c>
      <c r="C12949" s="1">
        <v>45103</v>
      </c>
      <c r="D12949" s="1">
        <v>45110</v>
      </c>
      <c r="E12949">
        <v>1</v>
      </c>
      <c r="F12949" t="str">
        <f>"13-I11-02"</f>
        <v>13-I11-02</v>
      </c>
      <c r="G12949">
        <v>1.69</v>
      </c>
      <c r="H12949" t="s">
        <v>9</v>
      </c>
      <c r="I12949" t="s">
        <v>10</v>
      </c>
    </row>
    <row r="12950" spans="1:9" x14ac:dyDescent="0.25">
      <c r="A12950" t="str">
        <f t="shared" si="307"/>
        <v>89301000</v>
      </c>
      <c r="B12950" t="str">
        <f>"7957264249"</f>
        <v>7957264249</v>
      </c>
      <c r="C12950" s="1">
        <v>44951</v>
      </c>
      <c r="D12950" s="1">
        <v>44957</v>
      </c>
      <c r="E12950">
        <v>1</v>
      </c>
      <c r="F12950" t="str">
        <f>"20-K03-03"</f>
        <v>20-K03-03</v>
      </c>
      <c r="G12950">
        <v>0.94020000000000004</v>
      </c>
      <c r="H12950" t="s">
        <v>11</v>
      </c>
      <c r="I12950" t="s">
        <v>10</v>
      </c>
    </row>
    <row r="12951" spans="1:9" x14ac:dyDescent="0.25">
      <c r="A12951" t="str">
        <f t="shared" si="307"/>
        <v>89301000</v>
      </c>
      <c r="B12951" t="str">
        <f>"7958054555"</f>
        <v>7958054555</v>
      </c>
      <c r="C12951" s="1">
        <v>44979</v>
      </c>
      <c r="D12951" s="1">
        <v>44983</v>
      </c>
      <c r="E12951">
        <v>1</v>
      </c>
      <c r="F12951" t="str">
        <f>"05-I30-01"</f>
        <v>05-I30-01</v>
      </c>
      <c r="G12951">
        <v>0.72409999999999997</v>
      </c>
      <c r="H12951" t="s">
        <v>12</v>
      </c>
      <c r="I12951" t="s">
        <v>10</v>
      </c>
    </row>
    <row r="12952" spans="1:9" x14ac:dyDescent="0.25">
      <c r="A12952" t="str">
        <f t="shared" si="307"/>
        <v>89301000</v>
      </c>
      <c r="B12952" t="str">
        <f>"7958075345"</f>
        <v>7958075345</v>
      </c>
      <c r="C12952" s="1">
        <v>45250</v>
      </c>
      <c r="D12952" s="1">
        <v>45252</v>
      </c>
      <c r="E12952">
        <v>1</v>
      </c>
      <c r="F12952" t="str">
        <f>"06-K11-00"</f>
        <v>06-K11-00</v>
      </c>
      <c r="G12952">
        <v>0.34639999999999999</v>
      </c>
      <c r="H12952" t="s">
        <v>11</v>
      </c>
      <c r="I12952" t="s">
        <v>10</v>
      </c>
    </row>
    <row r="12953" spans="1:9" x14ac:dyDescent="0.25">
      <c r="A12953" t="str">
        <f t="shared" si="307"/>
        <v>89301000</v>
      </c>
      <c r="B12953" t="str">
        <f>"7958075389"</f>
        <v>7958075389</v>
      </c>
      <c r="C12953" s="1">
        <v>45161</v>
      </c>
      <c r="D12953" s="1">
        <v>45162</v>
      </c>
      <c r="E12953">
        <v>1</v>
      </c>
      <c r="F12953" t="str">
        <f>"13-K01-02"</f>
        <v>13-K01-02</v>
      </c>
      <c r="G12953">
        <v>0.48220000000000002</v>
      </c>
      <c r="H12953" t="s">
        <v>11</v>
      </c>
      <c r="I12953" t="s">
        <v>10</v>
      </c>
    </row>
    <row r="12954" spans="1:9" x14ac:dyDescent="0.25">
      <c r="A12954" t="str">
        <f t="shared" ref="A12954:A13016" si="308">"89301000"</f>
        <v>89301000</v>
      </c>
      <c r="B12954" t="str">
        <f>"7958085311"</f>
        <v>7958085311</v>
      </c>
      <c r="C12954" s="1">
        <v>44985</v>
      </c>
      <c r="D12954" s="1">
        <v>44988</v>
      </c>
      <c r="E12954">
        <v>1</v>
      </c>
      <c r="F12954" t="str">
        <f>"06-I18-05"</f>
        <v>06-I18-05</v>
      </c>
      <c r="G12954">
        <v>0.82420000000000004</v>
      </c>
      <c r="H12954" t="s">
        <v>9</v>
      </c>
      <c r="I12954" t="s">
        <v>10</v>
      </c>
    </row>
    <row r="12955" spans="1:9" x14ac:dyDescent="0.25">
      <c r="A12955" t="str">
        <f t="shared" si="308"/>
        <v>89301000</v>
      </c>
      <c r="B12955" t="str">
        <f>"7958154457"</f>
        <v>7958154457</v>
      </c>
      <c r="C12955" s="1">
        <v>45190</v>
      </c>
      <c r="D12955" s="1">
        <v>45194</v>
      </c>
      <c r="E12955">
        <v>1</v>
      </c>
      <c r="F12955" t="str">
        <f>"08-K08-00"</f>
        <v>08-K08-00</v>
      </c>
      <c r="G12955">
        <v>0.5272</v>
      </c>
      <c r="H12955" t="s">
        <v>11</v>
      </c>
      <c r="I12955" t="s">
        <v>10</v>
      </c>
    </row>
    <row r="12956" spans="1:9" x14ac:dyDescent="0.25">
      <c r="A12956" t="str">
        <f t="shared" si="308"/>
        <v>89301000</v>
      </c>
      <c r="B12956" t="str">
        <f>"7958265315"</f>
        <v>7958265315</v>
      </c>
      <c r="C12956" s="1">
        <v>45135</v>
      </c>
      <c r="D12956" s="1">
        <v>45140</v>
      </c>
      <c r="E12956">
        <v>1</v>
      </c>
      <c r="F12956" t="str">
        <f>"03-K06-01"</f>
        <v>03-K06-01</v>
      </c>
      <c r="G12956">
        <v>0.46660000000000001</v>
      </c>
      <c r="H12956" t="s">
        <v>11</v>
      </c>
      <c r="I12956" t="s">
        <v>10</v>
      </c>
    </row>
    <row r="12957" spans="1:9" x14ac:dyDescent="0.25">
      <c r="A12957" t="str">
        <f t="shared" si="308"/>
        <v>89301000</v>
      </c>
      <c r="B12957" t="str">
        <f>"7958275809"</f>
        <v>7958275809</v>
      </c>
      <c r="C12957" s="1">
        <v>45264</v>
      </c>
      <c r="D12957" s="1">
        <v>45265</v>
      </c>
      <c r="E12957">
        <v>5</v>
      </c>
      <c r="F12957" t="str">
        <f>"05-M06-06"</f>
        <v>05-M06-06</v>
      </c>
      <c r="G12957">
        <v>1.8264</v>
      </c>
      <c r="H12957" t="s">
        <v>12</v>
      </c>
      <c r="I12957" t="s">
        <v>10</v>
      </c>
    </row>
    <row r="12958" spans="1:9" x14ac:dyDescent="0.25">
      <c r="A12958" t="str">
        <f t="shared" si="308"/>
        <v>89301000</v>
      </c>
      <c r="B12958" t="str">
        <f>"7959035315"</f>
        <v>7959035315</v>
      </c>
      <c r="C12958" s="1">
        <v>45186</v>
      </c>
      <c r="D12958" s="1">
        <v>45195</v>
      </c>
      <c r="E12958">
        <v>1</v>
      </c>
      <c r="F12958" t="str">
        <f>"19-K03-03"</f>
        <v>19-K03-03</v>
      </c>
      <c r="G12958">
        <v>0.90410000000000001</v>
      </c>
      <c r="H12958" t="s">
        <v>15</v>
      </c>
      <c r="I12958" t="s">
        <v>10</v>
      </c>
    </row>
    <row r="12959" spans="1:9" x14ac:dyDescent="0.25">
      <c r="A12959" t="str">
        <f t="shared" si="308"/>
        <v>89301000</v>
      </c>
      <c r="B12959" t="str">
        <f>"7959104461"</f>
        <v>7959104461</v>
      </c>
      <c r="C12959" s="1">
        <v>45015</v>
      </c>
      <c r="D12959" s="1">
        <v>45017</v>
      </c>
      <c r="E12959">
        <v>1</v>
      </c>
      <c r="F12959" t="str">
        <f>"06-K11-00"</f>
        <v>06-K11-00</v>
      </c>
      <c r="G12959">
        <v>0.34639999999999999</v>
      </c>
      <c r="H12959" t="s">
        <v>11</v>
      </c>
      <c r="I12959" t="s">
        <v>10</v>
      </c>
    </row>
    <row r="12960" spans="1:9" x14ac:dyDescent="0.25">
      <c r="A12960" t="str">
        <f t="shared" si="308"/>
        <v>89301000</v>
      </c>
      <c r="B12960" t="str">
        <f>"7959244458"</f>
        <v>7959244458</v>
      </c>
      <c r="C12960" s="1">
        <v>45245</v>
      </c>
      <c r="D12960" s="1">
        <v>45246</v>
      </c>
      <c r="E12960">
        <v>1</v>
      </c>
      <c r="F12960" t="str">
        <f>"11-K06-02"</f>
        <v>11-K06-02</v>
      </c>
      <c r="G12960">
        <v>0.22489999999999999</v>
      </c>
      <c r="H12960" t="s">
        <v>11</v>
      </c>
      <c r="I12960" t="s">
        <v>10</v>
      </c>
    </row>
    <row r="12961" spans="1:9" x14ac:dyDescent="0.25">
      <c r="A12961" t="str">
        <f t="shared" si="308"/>
        <v>89301000</v>
      </c>
      <c r="B12961" t="str">
        <f>"7959244458"</f>
        <v>7959244458</v>
      </c>
      <c r="C12961" s="1">
        <v>45264</v>
      </c>
      <c r="D12961" s="1">
        <v>45268</v>
      </c>
      <c r="E12961">
        <v>1</v>
      </c>
      <c r="F12961" t="str">
        <f>"11-M03-02"</f>
        <v>11-M03-02</v>
      </c>
      <c r="G12961">
        <v>1.4410000000000001</v>
      </c>
      <c r="H12961" t="s">
        <v>12</v>
      </c>
      <c r="I12961" t="s">
        <v>10</v>
      </c>
    </row>
    <row r="12962" spans="1:9" x14ac:dyDescent="0.25">
      <c r="A12962" t="str">
        <f t="shared" si="308"/>
        <v>89301000</v>
      </c>
      <c r="B12962" t="str">
        <f>"7959244458"</f>
        <v>7959244458</v>
      </c>
      <c r="C12962" s="1">
        <v>45279</v>
      </c>
      <c r="D12962" s="1">
        <v>45281</v>
      </c>
      <c r="E12962">
        <v>1</v>
      </c>
      <c r="F12962" t="str">
        <f>"11-M05-01"</f>
        <v>11-M05-01</v>
      </c>
      <c r="G12962">
        <v>0.83750000000000002</v>
      </c>
      <c r="H12962" t="s">
        <v>12</v>
      </c>
      <c r="I12962" t="s">
        <v>10</v>
      </c>
    </row>
    <row r="12963" spans="1:9" x14ac:dyDescent="0.25">
      <c r="A12963" t="str">
        <f t="shared" si="308"/>
        <v>89301000</v>
      </c>
      <c r="B12963" t="str">
        <f>"7959245382"</f>
        <v>7959245382</v>
      </c>
      <c r="C12963" s="1">
        <v>45077</v>
      </c>
      <c r="D12963" s="1">
        <v>45080</v>
      </c>
      <c r="E12963">
        <v>1</v>
      </c>
      <c r="F12963" t="str">
        <f>"13-I14-03"</f>
        <v>13-I14-03</v>
      </c>
      <c r="G12963">
        <v>0.87760000000000005</v>
      </c>
      <c r="H12963" t="s">
        <v>9</v>
      </c>
      <c r="I12963" t="s">
        <v>10</v>
      </c>
    </row>
    <row r="12964" spans="1:9" x14ac:dyDescent="0.25">
      <c r="A12964" t="str">
        <f t="shared" si="308"/>
        <v>89301000</v>
      </c>
      <c r="B12964" t="str">
        <f>"7959254457"</f>
        <v>7959254457</v>
      </c>
      <c r="C12964" s="1">
        <v>44980</v>
      </c>
      <c r="D12964" s="1">
        <v>44981</v>
      </c>
      <c r="E12964">
        <v>5</v>
      </c>
      <c r="F12964" t="str">
        <f>"11-K03-02"</f>
        <v>11-K03-02</v>
      </c>
      <c r="G12964">
        <v>0.63990000000000002</v>
      </c>
      <c r="H12964" t="s">
        <v>11</v>
      </c>
      <c r="I12964" t="s">
        <v>10</v>
      </c>
    </row>
    <row r="12965" spans="1:9" x14ac:dyDescent="0.25">
      <c r="A12965" t="str">
        <f t="shared" si="308"/>
        <v>89301000</v>
      </c>
      <c r="B12965" t="str">
        <f>"7959305761"</f>
        <v>7959305761</v>
      </c>
      <c r="C12965" s="1">
        <v>45260</v>
      </c>
      <c r="D12965" s="1">
        <v>45263</v>
      </c>
      <c r="E12965">
        <v>1</v>
      </c>
      <c r="F12965" t="str">
        <f>"14-I01-05"</f>
        <v>14-I01-05</v>
      </c>
      <c r="G12965">
        <v>0.83340000000000003</v>
      </c>
      <c r="H12965" t="s">
        <v>13</v>
      </c>
      <c r="I12965" t="s">
        <v>10</v>
      </c>
    </row>
    <row r="12966" spans="1:9" x14ac:dyDescent="0.25">
      <c r="A12966" t="str">
        <f t="shared" si="308"/>
        <v>89301000</v>
      </c>
      <c r="B12966" t="str">
        <f>"7960054465"</f>
        <v>7960054465</v>
      </c>
      <c r="C12966" s="1">
        <v>44990</v>
      </c>
      <c r="D12966" s="1">
        <v>44994</v>
      </c>
      <c r="E12966">
        <v>1</v>
      </c>
      <c r="F12966" t="str">
        <f>"10-I13-02"</f>
        <v>10-I13-02</v>
      </c>
      <c r="G12966">
        <v>1.1124000000000001</v>
      </c>
      <c r="H12966" t="s">
        <v>9</v>
      </c>
      <c r="I12966" t="s">
        <v>10</v>
      </c>
    </row>
    <row r="12967" spans="1:9" x14ac:dyDescent="0.25">
      <c r="A12967" t="str">
        <f t="shared" si="308"/>
        <v>89301000</v>
      </c>
      <c r="B12967" t="str">
        <f>"7960054476"</f>
        <v>7960054476</v>
      </c>
      <c r="C12967" s="1">
        <v>44949</v>
      </c>
      <c r="D12967" s="1">
        <v>44952</v>
      </c>
      <c r="E12967">
        <v>1</v>
      </c>
      <c r="F12967" t="str">
        <f>"05-I30-01"</f>
        <v>05-I30-01</v>
      </c>
      <c r="G12967">
        <v>0.60309999999999997</v>
      </c>
      <c r="H12967" t="s">
        <v>12</v>
      </c>
      <c r="I12967" t="s">
        <v>10</v>
      </c>
    </row>
    <row r="12968" spans="1:9" x14ac:dyDescent="0.25">
      <c r="A12968" t="str">
        <f t="shared" si="308"/>
        <v>89301000</v>
      </c>
      <c r="B12968" t="str">
        <f>"7960175333"</f>
        <v>7960175333</v>
      </c>
      <c r="C12968" s="1">
        <v>45222</v>
      </c>
      <c r="D12968" s="1">
        <v>45225</v>
      </c>
      <c r="E12968">
        <v>1</v>
      </c>
      <c r="F12968" t="str">
        <f>"08-I03-08"</f>
        <v>08-I03-08</v>
      </c>
      <c r="G12968">
        <v>1.9455</v>
      </c>
      <c r="H12968" t="s">
        <v>9</v>
      </c>
      <c r="I12968" t="s">
        <v>10</v>
      </c>
    </row>
    <row r="12969" spans="1:9" x14ac:dyDescent="0.25">
      <c r="A12969" t="str">
        <f t="shared" si="308"/>
        <v>89301000</v>
      </c>
      <c r="B12969" t="str">
        <f>"7961075309"</f>
        <v>7961075309</v>
      </c>
      <c r="C12969" s="1">
        <v>45027</v>
      </c>
      <c r="D12969" s="1">
        <v>45034</v>
      </c>
      <c r="E12969">
        <v>1</v>
      </c>
      <c r="F12969" t="str">
        <f>"13-I03-01"</f>
        <v>13-I03-01</v>
      </c>
      <c r="G12969">
        <v>2.3662000000000001</v>
      </c>
      <c r="H12969" t="s">
        <v>9</v>
      </c>
      <c r="I12969" t="s">
        <v>10</v>
      </c>
    </row>
    <row r="12970" spans="1:9" x14ac:dyDescent="0.25">
      <c r="A12970" t="str">
        <f t="shared" si="308"/>
        <v>89301000</v>
      </c>
      <c r="B12970" t="str">
        <f>"7961075353"</f>
        <v>7961075353</v>
      </c>
      <c r="C12970" s="1">
        <v>45170</v>
      </c>
      <c r="D12970" s="1">
        <v>45170</v>
      </c>
      <c r="E12970">
        <v>6</v>
      </c>
      <c r="F12970" t="str">
        <f>"13-I19-00"</f>
        <v>13-I19-00</v>
      </c>
      <c r="G12970">
        <v>0.14130000000000001</v>
      </c>
      <c r="H12970" t="s">
        <v>11</v>
      </c>
      <c r="I12970" t="s">
        <v>10</v>
      </c>
    </row>
    <row r="12971" spans="1:9" x14ac:dyDescent="0.25">
      <c r="A12971" t="str">
        <f t="shared" si="308"/>
        <v>89301000</v>
      </c>
      <c r="B12971" t="str">
        <f>"7961155686"</f>
        <v>7961155686</v>
      </c>
      <c r="C12971" s="1">
        <v>45187</v>
      </c>
      <c r="D12971" s="1">
        <v>45189</v>
      </c>
      <c r="E12971">
        <v>1</v>
      </c>
      <c r="F12971" t="str">
        <f>"08-M03-05"</f>
        <v>08-M03-05</v>
      </c>
      <c r="G12971">
        <v>0.46810000000000002</v>
      </c>
      <c r="H12971" t="s">
        <v>11</v>
      </c>
      <c r="I12971" t="s">
        <v>10</v>
      </c>
    </row>
    <row r="12972" spans="1:9" x14ac:dyDescent="0.25">
      <c r="A12972" t="str">
        <f t="shared" si="308"/>
        <v>89301000</v>
      </c>
      <c r="B12972" t="str">
        <f>"7961165344"</f>
        <v>7961165344</v>
      </c>
      <c r="C12972" s="1">
        <v>45077</v>
      </c>
      <c r="D12972" s="1">
        <v>45080</v>
      </c>
      <c r="E12972">
        <v>1</v>
      </c>
      <c r="F12972" t="str">
        <f>"08-I03-08"</f>
        <v>08-I03-08</v>
      </c>
      <c r="G12972">
        <v>1.9455</v>
      </c>
      <c r="H12972" t="s">
        <v>9</v>
      </c>
      <c r="I12972" t="s">
        <v>10</v>
      </c>
    </row>
    <row r="12973" spans="1:9" x14ac:dyDescent="0.25">
      <c r="A12973" t="str">
        <f t="shared" si="308"/>
        <v>89301000</v>
      </c>
      <c r="B12973" t="str">
        <f>"7961295375"</f>
        <v>7961295375</v>
      </c>
      <c r="C12973" s="1">
        <v>45274</v>
      </c>
      <c r="D12973" s="1">
        <v>45277</v>
      </c>
      <c r="E12973">
        <v>1</v>
      </c>
      <c r="F12973" t="str">
        <f>"08-I22-02"</f>
        <v>08-I22-02</v>
      </c>
      <c r="G12973">
        <v>1.131</v>
      </c>
      <c r="H12973" t="s">
        <v>12</v>
      </c>
      <c r="I12973" t="s">
        <v>10</v>
      </c>
    </row>
    <row r="12974" spans="1:9" x14ac:dyDescent="0.25">
      <c r="A12974" t="str">
        <f t="shared" si="308"/>
        <v>89301000</v>
      </c>
      <c r="B12974" t="str">
        <f>"7961590527"</f>
        <v>7961590527</v>
      </c>
      <c r="C12974" s="1">
        <v>45018</v>
      </c>
      <c r="D12974" s="1">
        <v>45022</v>
      </c>
      <c r="E12974">
        <v>1</v>
      </c>
      <c r="F12974" t="str">
        <f>"00-K01-02"</f>
        <v>00-K01-02</v>
      </c>
      <c r="G12974">
        <v>1.2081</v>
      </c>
      <c r="H12974" t="s">
        <v>12</v>
      </c>
      <c r="I12974" t="s">
        <v>10</v>
      </c>
    </row>
    <row r="12975" spans="1:9" x14ac:dyDescent="0.25">
      <c r="A12975" t="str">
        <f t="shared" si="308"/>
        <v>89301000</v>
      </c>
      <c r="B12975" t="str">
        <f>"7962035312"</f>
        <v>7962035312</v>
      </c>
      <c r="C12975" s="1">
        <v>45188</v>
      </c>
      <c r="D12975" s="1">
        <v>45192</v>
      </c>
      <c r="E12975">
        <v>6</v>
      </c>
      <c r="F12975" t="str">
        <f>"01-K07-03"</f>
        <v>01-K07-03</v>
      </c>
      <c r="G12975">
        <v>0.48680000000000001</v>
      </c>
      <c r="H12975" t="s">
        <v>11</v>
      </c>
      <c r="I12975" t="s">
        <v>10</v>
      </c>
    </row>
    <row r="12976" spans="1:9" x14ac:dyDescent="0.25">
      <c r="A12976" t="str">
        <f t="shared" si="308"/>
        <v>89301000</v>
      </c>
      <c r="B12976" t="str">
        <f>"7962072976"</f>
        <v>7962072976</v>
      </c>
      <c r="C12976" s="1">
        <v>45050</v>
      </c>
      <c r="D12976" s="1">
        <v>45053</v>
      </c>
      <c r="E12976">
        <v>1</v>
      </c>
      <c r="F12976" t="str">
        <f>"08-I04-03"</f>
        <v>08-I04-03</v>
      </c>
      <c r="G12976">
        <v>1.3045</v>
      </c>
      <c r="H12976" t="s">
        <v>14</v>
      </c>
      <c r="I12976" t="s">
        <v>10</v>
      </c>
    </row>
    <row r="12977" spans="1:9" x14ac:dyDescent="0.25">
      <c r="A12977" t="str">
        <f t="shared" si="308"/>
        <v>89301000</v>
      </c>
      <c r="B12977" t="str">
        <f>"7962075363"</f>
        <v>7962075363</v>
      </c>
      <c r="C12977" s="1">
        <v>45007</v>
      </c>
      <c r="D12977" s="1">
        <v>45009</v>
      </c>
      <c r="E12977">
        <v>1</v>
      </c>
      <c r="F12977" t="str">
        <f>"08-K08-00"</f>
        <v>08-K08-00</v>
      </c>
      <c r="G12977">
        <v>0.5272</v>
      </c>
      <c r="H12977" t="s">
        <v>11</v>
      </c>
      <c r="I12977" t="s">
        <v>10</v>
      </c>
    </row>
    <row r="12978" spans="1:9" x14ac:dyDescent="0.25">
      <c r="A12978" t="str">
        <f t="shared" si="308"/>
        <v>89301000</v>
      </c>
      <c r="B12978" t="str">
        <f>"7962075396"</f>
        <v>7962075396</v>
      </c>
      <c r="C12978" s="1">
        <v>45191</v>
      </c>
      <c r="D12978" s="1">
        <v>45196</v>
      </c>
      <c r="E12978">
        <v>1</v>
      </c>
      <c r="F12978" t="str">
        <f>"08-I04-03"</f>
        <v>08-I04-03</v>
      </c>
      <c r="G12978">
        <v>1.3045</v>
      </c>
      <c r="H12978" t="s">
        <v>14</v>
      </c>
      <c r="I12978" t="s">
        <v>10</v>
      </c>
    </row>
    <row r="12979" spans="1:9" x14ac:dyDescent="0.25">
      <c r="A12979" t="str">
        <f t="shared" si="308"/>
        <v>89301000</v>
      </c>
      <c r="B12979" t="str">
        <f>"7962075396"</f>
        <v>7962075396</v>
      </c>
      <c r="C12979" s="1">
        <v>44992</v>
      </c>
      <c r="D12979" s="1">
        <v>44995</v>
      </c>
      <c r="E12979">
        <v>1</v>
      </c>
      <c r="F12979" t="str">
        <f>"01-K18-04"</f>
        <v>01-K18-04</v>
      </c>
      <c r="G12979">
        <v>0.54610000000000003</v>
      </c>
      <c r="H12979" t="s">
        <v>11</v>
      </c>
      <c r="I12979" t="s">
        <v>10</v>
      </c>
    </row>
    <row r="12980" spans="1:9" x14ac:dyDescent="0.25">
      <c r="A12980" t="str">
        <f t="shared" si="308"/>
        <v>89301000</v>
      </c>
      <c r="B12980" t="str">
        <f>"7962105316"</f>
        <v>7962105316</v>
      </c>
      <c r="C12980" s="1">
        <v>45141</v>
      </c>
      <c r="D12980" s="1">
        <v>45145</v>
      </c>
      <c r="E12980">
        <v>1</v>
      </c>
      <c r="F12980" t="str">
        <f>"08-I15-03"</f>
        <v>08-I15-03</v>
      </c>
      <c r="G12980">
        <v>0.94059999999999999</v>
      </c>
      <c r="H12980" t="s">
        <v>12</v>
      </c>
      <c r="I12980" t="s">
        <v>10</v>
      </c>
    </row>
    <row r="12981" spans="1:9" x14ac:dyDescent="0.25">
      <c r="A12981" t="str">
        <f t="shared" si="308"/>
        <v>89301000</v>
      </c>
      <c r="B12981" t="str">
        <f>"7962115304"</f>
        <v>7962115304</v>
      </c>
      <c r="C12981" s="1">
        <v>45223</v>
      </c>
      <c r="D12981" s="1">
        <v>45226</v>
      </c>
      <c r="E12981">
        <v>1</v>
      </c>
      <c r="F12981" t="str">
        <f>"06-I22-01"</f>
        <v>06-I22-01</v>
      </c>
      <c r="G12981">
        <v>0.68120000000000003</v>
      </c>
      <c r="H12981" t="s">
        <v>12</v>
      </c>
      <c r="I12981" t="s">
        <v>10</v>
      </c>
    </row>
    <row r="12982" spans="1:9" x14ac:dyDescent="0.25">
      <c r="A12982" t="str">
        <f t="shared" si="308"/>
        <v>89301000</v>
      </c>
      <c r="B12982" t="str">
        <f>"7962144850"</f>
        <v>7962144850</v>
      </c>
      <c r="C12982" s="1">
        <v>45141</v>
      </c>
      <c r="D12982" s="1">
        <v>45146</v>
      </c>
      <c r="E12982">
        <v>1</v>
      </c>
      <c r="F12982" t="str">
        <f>"08-I03-06"</f>
        <v>08-I03-06</v>
      </c>
      <c r="G12982">
        <v>3.2523</v>
      </c>
      <c r="H12982" t="s">
        <v>9</v>
      </c>
      <c r="I12982" t="s">
        <v>10</v>
      </c>
    </row>
    <row r="12983" spans="1:9" x14ac:dyDescent="0.25">
      <c r="A12983" t="str">
        <f t="shared" si="308"/>
        <v>89301000</v>
      </c>
      <c r="B12983" t="str">
        <f>"7962235303"</f>
        <v>7962235303</v>
      </c>
      <c r="C12983" s="1">
        <v>44999</v>
      </c>
      <c r="D12983" s="1">
        <v>45002</v>
      </c>
      <c r="E12983">
        <v>1</v>
      </c>
      <c r="F12983" t="str">
        <f>"08-M03-03"</f>
        <v>08-M03-03</v>
      </c>
      <c r="G12983">
        <v>0.83040000000000003</v>
      </c>
      <c r="H12983" t="s">
        <v>11</v>
      </c>
      <c r="I12983" t="s">
        <v>10</v>
      </c>
    </row>
    <row r="12984" spans="1:9" x14ac:dyDescent="0.25">
      <c r="A12984" t="str">
        <f t="shared" si="308"/>
        <v>89301000</v>
      </c>
      <c r="B12984" t="str">
        <f>"7962235303"</f>
        <v>7962235303</v>
      </c>
      <c r="C12984" s="1">
        <v>45165</v>
      </c>
      <c r="D12984" s="1">
        <v>45167</v>
      </c>
      <c r="E12984">
        <v>1</v>
      </c>
      <c r="F12984" t="str">
        <f>"08-I26-01"</f>
        <v>08-I26-01</v>
      </c>
      <c r="G12984">
        <v>1.2279</v>
      </c>
      <c r="H12984" t="s">
        <v>11</v>
      </c>
      <c r="I12984" t="s">
        <v>10</v>
      </c>
    </row>
    <row r="12985" spans="1:9" x14ac:dyDescent="0.25">
      <c r="A12985" t="str">
        <f t="shared" si="308"/>
        <v>89301000</v>
      </c>
      <c r="B12985" t="str">
        <f>"7962261923"</f>
        <v>7962261923</v>
      </c>
      <c r="C12985" s="1">
        <v>44952</v>
      </c>
      <c r="D12985" s="1">
        <v>44955</v>
      </c>
      <c r="E12985">
        <v>1</v>
      </c>
      <c r="F12985" t="str">
        <f>"13-I16-00"</f>
        <v>13-I16-00</v>
      </c>
      <c r="G12985">
        <v>1.1695</v>
      </c>
      <c r="H12985" t="s">
        <v>12</v>
      </c>
      <c r="I12985" t="s">
        <v>10</v>
      </c>
    </row>
    <row r="12986" spans="1:9" x14ac:dyDescent="0.25">
      <c r="A12986" t="str">
        <f t="shared" si="308"/>
        <v>89301000</v>
      </c>
      <c r="B12986" t="str">
        <f>"8001035317"</f>
        <v>8001035317</v>
      </c>
      <c r="C12986" s="1">
        <v>44969</v>
      </c>
      <c r="D12986" s="1">
        <v>44974</v>
      </c>
      <c r="E12986">
        <v>1</v>
      </c>
      <c r="F12986" t="str">
        <f>"10-I13-02"</f>
        <v>10-I13-02</v>
      </c>
      <c r="G12986">
        <v>1.1124000000000001</v>
      </c>
      <c r="H12986" t="s">
        <v>9</v>
      </c>
      <c r="I12986" t="s">
        <v>10</v>
      </c>
    </row>
    <row r="12987" spans="1:9" x14ac:dyDescent="0.25">
      <c r="A12987" t="str">
        <f t="shared" si="308"/>
        <v>89301000</v>
      </c>
      <c r="B12987" t="str">
        <f>"8001035317"</f>
        <v>8001035317</v>
      </c>
      <c r="C12987" s="1">
        <v>45048</v>
      </c>
      <c r="D12987" s="1">
        <v>45056</v>
      </c>
      <c r="E12987">
        <v>1</v>
      </c>
      <c r="F12987" t="str">
        <f>"10-R02-01"</f>
        <v>10-R02-01</v>
      </c>
      <c r="G12987">
        <v>0.92279999999999995</v>
      </c>
      <c r="H12987" t="s">
        <v>9</v>
      </c>
      <c r="I12987" t="s">
        <v>10</v>
      </c>
    </row>
    <row r="12988" spans="1:9" x14ac:dyDescent="0.25">
      <c r="A12988" t="str">
        <f t="shared" si="308"/>
        <v>89301000</v>
      </c>
      <c r="B12988" t="str">
        <f>"8001035317"</f>
        <v>8001035317</v>
      </c>
      <c r="C12988" s="1">
        <v>45189</v>
      </c>
      <c r="D12988" s="1">
        <v>45192</v>
      </c>
      <c r="E12988">
        <v>1</v>
      </c>
      <c r="F12988" t="str">
        <f>"10-K06-00"</f>
        <v>10-K06-00</v>
      </c>
      <c r="G12988">
        <v>0.50290000000000001</v>
      </c>
      <c r="H12988" t="s">
        <v>11</v>
      </c>
      <c r="I12988" t="s">
        <v>10</v>
      </c>
    </row>
    <row r="12989" spans="1:9" x14ac:dyDescent="0.25">
      <c r="A12989" t="str">
        <f t="shared" si="308"/>
        <v>89301000</v>
      </c>
      <c r="B12989" t="str">
        <f>"8001035317"</f>
        <v>8001035317</v>
      </c>
      <c r="C12989" s="1">
        <v>45195</v>
      </c>
      <c r="D12989" s="1">
        <v>45201</v>
      </c>
      <c r="E12989">
        <v>1</v>
      </c>
      <c r="F12989" t="str">
        <f>"10-R02-01"</f>
        <v>10-R02-01</v>
      </c>
      <c r="G12989">
        <v>0.92279999999999995</v>
      </c>
      <c r="H12989" t="s">
        <v>9</v>
      </c>
      <c r="I12989" t="s">
        <v>10</v>
      </c>
    </row>
    <row r="12990" spans="1:9" x14ac:dyDescent="0.25">
      <c r="A12990" t="str">
        <f t="shared" si="308"/>
        <v>89301000</v>
      </c>
      <c r="B12990" t="str">
        <f>"8001035317"</f>
        <v>8001035317</v>
      </c>
      <c r="C12990" s="1">
        <v>45242</v>
      </c>
      <c r="D12990" s="1">
        <v>45247</v>
      </c>
      <c r="E12990">
        <v>1</v>
      </c>
      <c r="F12990" t="str">
        <f>"10-I14-00"</f>
        <v>10-I14-00</v>
      </c>
      <c r="G12990">
        <v>1.2332000000000001</v>
      </c>
      <c r="H12990" t="s">
        <v>12</v>
      </c>
      <c r="I12990" t="s">
        <v>10</v>
      </c>
    </row>
    <row r="12991" spans="1:9" x14ac:dyDescent="0.25">
      <c r="A12991" t="str">
        <f t="shared" si="308"/>
        <v>89301000</v>
      </c>
      <c r="B12991" t="str">
        <f>"8001235308"</f>
        <v>8001235308</v>
      </c>
      <c r="C12991" s="1">
        <v>45028</v>
      </c>
      <c r="D12991" s="1">
        <v>45029</v>
      </c>
      <c r="E12991">
        <v>1</v>
      </c>
      <c r="F12991" t="str">
        <f>"12-I14-00"</f>
        <v>12-I14-00</v>
      </c>
      <c r="G12991">
        <v>0.42920000000000003</v>
      </c>
      <c r="H12991" t="s">
        <v>11</v>
      </c>
      <c r="I12991" t="s">
        <v>10</v>
      </c>
    </row>
    <row r="12992" spans="1:9" x14ac:dyDescent="0.25">
      <c r="A12992" t="str">
        <f t="shared" si="308"/>
        <v>89301000</v>
      </c>
      <c r="B12992" t="str">
        <f>"8001245758"</f>
        <v>8001245758</v>
      </c>
      <c r="C12992" s="1">
        <v>45149</v>
      </c>
      <c r="D12992" s="1">
        <v>45150</v>
      </c>
      <c r="E12992">
        <v>5</v>
      </c>
      <c r="F12992" t="str">
        <f>"25-I02-02"</f>
        <v>25-I02-02</v>
      </c>
      <c r="G12992">
        <v>1.8837999999999999</v>
      </c>
      <c r="H12992" t="s">
        <v>14</v>
      </c>
      <c r="I12992" t="s">
        <v>10</v>
      </c>
    </row>
    <row r="12993" spans="1:9" x14ac:dyDescent="0.25">
      <c r="A12993" t="str">
        <f t="shared" si="308"/>
        <v>89301000</v>
      </c>
      <c r="B12993" t="str">
        <f>"8001274842"</f>
        <v>8001274842</v>
      </c>
      <c r="C12993" s="1">
        <v>45264</v>
      </c>
      <c r="D12993" s="1">
        <v>45265</v>
      </c>
      <c r="E12993">
        <v>1</v>
      </c>
      <c r="F12993" t="str">
        <f>"08-I19-03"</f>
        <v>08-I19-03</v>
      </c>
      <c r="G12993">
        <v>0.57210000000000005</v>
      </c>
      <c r="H12993" t="s">
        <v>12</v>
      </c>
      <c r="I12993" t="s">
        <v>10</v>
      </c>
    </row>
    <row r="12994" spans="1:9" x14ac:dyDescent="0.25">
      <c r="A12994" t="str">
        <f t="shared" si="308"/>
        <v>89301000</v>
      </c>
      <c r="B12994" t="str">
        <f>"8001275755"</f>
        <v>8001275755</v>
      </c>
      <c r="C12994" s="1">
        <v>45052</v>
      </c>
      <c r="D12994" s="1">
        <v>45054</v>
      </c>
      <c r="E12994">
        <v>1</v>
      </c>
      <c r="F12994" t="str">
        <f>"03-K06-01"</f>
        <v>03-K06-01</v>
      </c>
      <c r="G12994">
        <v>0.4713</v>
      </c>
      <c r="H12994" t="s">
        <v>11</v>
      </c>
      <c r="I12994" t="s">
        <v>10</v>
      </c>
    </row>
    <row r="12995" spans="1:9" x14ac:dyDescent="0.25">
      <c r="A12995" t="str">
        <f t="shared" si="308"/>
        <v>89301000</v>
      </c>
      <c r="B12995" t="str">
        <f>"8002024987"</f>
        <v>8002024987</v>
      </c>
      <c r="C12995" s="1">
        <v>45169</v>
      </c>
      <c r="D12995" s="1">
        <v>45171</v>
      </c>
      <c r="E12995">
        <v>1</v>
      </c>
      <c r="F12995" t="str">
        <f>"08-M03-05"</f>
        <v>08-M03-05</v>
      </c>
      <c r="G12995">
        <v>0.46910000000000002</v>
      </c>
      <c r="H12995" t="s">
        <v>11</v>
      </c>
      <c r="I12995" t="s">
        <v>10</v>
      </c>
    </row>
    <row r="12996" spans="1:9" x14ac:dyDescent="0.25">
      <c r="A12996" t="str">
        <f t="shared" si="308"/>
        <v>89301000</v>
      </c>
      <c r="B12996" t="str">
        <f>"8002055237"</f>
        <v>8002055237</v>
      </c>
      <c r="C12996" s="1">
        <v>44949</v>
      </c>
      <c r="D12996" s="1">
        <v>44960</v>
      </c>
      <c r="E12996">
        <v>1</v>
      </c>
      <c r="F12996" t="str">
        <f>"24-M06-01"</f>
        <v>24-M06-01</v>
      </c>
      <c r="G12996">
        <v>1.1990000000000001</v>
      </c>
      <c r="H12996" t="s">
        <v>11</v>
      </c>
      <c r="I12996" t="s">
        <v>10</v>
      </c>
    </row>
    <row r="12997" spans="1:9" x14ac:dyDescent="0.25">
      <c r="A12997" t="str">
        <f t="shared" si="308"/>
        <v>89301000</v>
      </c>
      <c r="B12997" t="str">
        <f>"8002055336"</f>
        <v>8002055336</v>
      </c>
      <c r="C12997" s="1">
        <v>45168</v>
      </c>
      <c r="D12997" s="1">
        <v>45170</v>
      </c>
      <c r="E12997">
        <v>1</v>
      </c>
      <c r="F12997" t="str">
        <f>"01-K18-04"</f>
        <v>01-K18-04</v>
      </c>
      <c r="G12997">
        <v>0.54610000000000003</v>
      </c>
      <c r="H12997" t="s">
        <v>11</v>
      </c>
      <c r="I12997" t="s">
        <v>10</v>
      </c>
    </row>
    <row r="12998" spans="1:9" x14ac:dyDescent="0.25">
      <c r="A12998" t="str">
        <f t="shared" si="308"/>
        <v>89301000</v>
      </c>
      <c r="B12998" t="str">
        <f>"8002064862"</f>
        <v>8002064862</v>
      </c>
      <c r="C12998" s="1">
        <v>45203</v>
      </c>
      <c r="D12998" s="1">
        <v>45204</v>
      </c>
      <c r="E12998">
        <v>1</v>
      </c>
      <c r="F12998" t="str">
        <f>"01-D01-03"</f>
        <v>01-D01-03</v>
      </c>
      <c r="G12998">
        <v>0.16200000000000001</v>
      </c>
      <c r="H12998" t="s">
        <v>11</v>
      </c>
      <c r="I12998" t="s">
        <v>10</v>
      </c>
    </row>
    <row r="12999" spans="1:9" x14ac:dyDescent="0.25">
      <c r="A12999" t="str">
        <f t="shared" si="308"/>
        <v>89301000</v>
      </c>
      <c r="B12999" t="str">
        <f>"8002065346"</f>
        <v>8002065346</v>
      </c>
      <c r="C12999" s="1">
        <v>45236</v>
      </c>
      <c r="D12999" s="1">
        <v>45244</v>
      </c>
      <c r="E12999">
        <v>1</v>
      </c>
      <c r="F12999" t="str">
        <f>"04-K02-04"</f>
        <v>04-K02-04</v>
      </c>
      <c r="G12999">
        <v>0.82099999999999995</v>
      </c>
      <c r="H12999" t="s">
        <v>11</v>
      </c>
      <c r="I12999" t="s">
        <v>10</v>
      </c>
    </row>
    <row r="13000" spans="1:9" x14ac:dyDescent="0.25">
      <c r="A13000" t="str">
        <f t="shared" si="308"/>
        <v>89301000</v>
      </c>
      <c r="B13000" t="str">
        <f>"8002134459"</f>
        <v>8002134459</v>
      </c>
      <c r="C13000" s="1">
        <v>45075</v>
      </c>
      <c r="D13000" s="1">
        <v>45079</v>
      </c>
      <c r="E13000">
        <v>1</v>
      </c>
      <c r="F13000" t="str">
        <f>"09-K02-00"</f>
        <v>09-K02-00</v>
      </c>
      <c r="G13000">
        <v>0.99539999999999995</v>
      </c>
      <c r="H13000" t="s">
        <v>11</v>
      </c>
      <c r="I13000" t="s">
        <v>10</v>
      </c>
    </row>
    <row r="13001" spans="1:9" x14ac:dyDescent="0.25">
      <c r="A13001" t="str">
        <f t="shared" si="308"/>
        <v>89301000</v>
      </c>
      <c r="B13001" t="str">
        <f>"8002135449"</f>
        <v>8002135449</v>
      </c>
      <c r="C13001" s="1">
        <v>44984</v>
      </c>
      <c r="D13001" s="1">
        <v>44992</v>
      </c>
      <c r="E13001">
        <v>1</v>
      </c>
      <c r="F13001" t="str">
        <f>"07-K05-01"</f>
        <v>07-K05-01</v>
      </c>
      <c r="G13001">
        <v>1.4736</v>
      </c>
      <c r="H13001" t="s">
        <v>11</v>
      </c>
      <c r="I13001" t="s">
        <v>10</v>
      </c>
    </row>
    <row r="13002" spans="1:9" x14ac:dyDescent="0.25">
      <c r="A13002" t="str">
        <f t="shared" si="308"/>
        <v>89301000</v>
      </c>
      <c r="B13002" t="str">
        <f>"8002255360"</f>
        <v>8002255360</v>
      </c>
      <c r="C13002" s="1">
        <v>45180</v>
      </c>
      <c r="D13002" s="1">
        <v>45187</v>
      </c>
      <c r="E13002">
        <v>1</v>
      </c>
      <c r="F13002" t="str">
        <f>"04-K15-03"</f>
        <v>04-K15-03</v>
      </c>
      <c r="G13002">
        <v>0.78949999999999998</v>
      </c>
      <c r="H13002" t="s">
        <v>11</v>
      </c>
      <c r="I13002" t="s">
        <v>10</v>
      </c>
    </row>
    <row r="13003" spans="1:9" x14ac:dyDescent="0.25">
      <c r="A13003" t="str">
        <f t="shared" si="308"/>
        <v>89301000</v>
      </c>
      <c r="B13003" t="str">
        <f>"8003065532"</f>
        <v>8003065532</v>
      </c>
      <c r="C13003" s="1">
        <v>45057</v>
      </c>
      <c r="D13003" s="1">
        <v>45072</v>
      </c>
      <c r="E13003">
        <v>1</v>
      </c>
      <c r="F13003" t="str">
        <f>"04-K11-01"</f>
        <v>04-K11-01</v>
      </c>
      <c r="G13003">
        <v>1.744</v>
      </c>
      <c r="H13003" t="s">
        <v>11</v>
      </c>
      <c r="I13003" t="s">
        <v>10</v>
      </c>
    </row>
    <row r="13004" spans="1:9" x14ac:dyDescent="0.25">
      <c r="A13004" t="str">
        <f t="shared" si="308"/>
        <v>89301000</v>
      </c>
      <c r="B13004" t="str">
        <f>"8003065532"</f>
        <v>8003065532</v>
      </c>
      <c r="C13004" s="1">
        <v>45273</v>
      </c>
      <c r="D13004" s="1">
        <v>45283</v>
      </c>
      <c r="E13004">
        <v>1</v>
      </c>
      <c r="F13004" t="str">
        <f>"04-K11-01"</f>
        <v>04-K11-01</v>
      </c>
      <c r="G13004">
        <v>1.744</v>
      </c>
      <c r="H13004" t="s">
        <v>11</v>
      </c>
      <c r="I13004" t="s">
        <v>10</v>
      </c>
    </row>
    <row r="13005" spans="1:9" x14ac:dyDescent="0.25">
      <c r="A13005" t="str">
        <f t="shared" si="308"/>
        <v>89301000</v>
      </c>
      <c r="B13005" t="str">
        <f>"8003065532"</f>
        <v>8003065532</v>
      </c>
      <c r="C13005" s="1">
        <v>44922</v>
      </c>
      <c r="D13005" s="1">
        <v>44930</v>
      </c>
      <c r="E13005">
        <v>1</v>
      </c>
      <c r="F13005" t="str">
        <f>"04-K11-01"</f>
        <v>04-K11-01</v>
      </c>
      <c r="G13005">
        <v>1.744</v>
      </c>
      <c r="H13005" t="s">
        <v>11</v>
      </c>
      <c r="I13005" t="s">
        <v>10</v>
      </c>
    </row>
    <row r="13006" spans="1:9" x14ac:dyDescent="0.25">
      <c r="A13006" t="str">
        <f t="shared" si="308"/>
        <v>89301000</v>
      </c>
      <c r="B13006" t="str">
        <f>"8003075553"</f>
        <v>8003075553</v>
      </c>
      <c r="C13006" s="1">
        <v>45268</v>
      </c>
      <c r="D13006" s="1">
        <v>45272</v>
      </c>
      <c r="E13006">
        <v>5</v>
      </c>
      <c r="F13006" t="str">
        <f>"05-M06-02"</f>
        <v>05-M06-02</v>
      </c>
      <c r="G13006">
        <v>3.8536000000000001</v>
      </c>
      <c r="H13006" t="s">
        <v>12</v>
      </c>
      <c r="I13006" t="s">
        <v>10</v>
      </c>
    </row>
    <row r="13007" spans="1:9" x14ac:dyDescent="0.25">
      <c r="A13007" t="str">
        <f t="shared" si="308"/>
        <v>89301000</v>
      </c>
      <c r="B13007" t="str">
        <f>"8003075553"</f>
        <v>8003075553</v>
      </c>
      <c r="C13007" s="1">
        <v>45240</v>
      </c>
      <c r="D13007" s="1">
        <v>45245</v>
      </c>
      <c r="E13007">
        <v>5</v>
      </c>
      <c r="F13007" t="str">
        <f>"05-M06-06"</f>
        <v>05-M06-06</v>
      </c>
      <c r="G13007">
        <v>1.8264</v>
      </c>
      <c r="H13007" t="s">
        <v>12</v>
      </c>
      <c r="I13007" t="s">
        <v>10</v>
      </c>
    </row>
    <row r="13008" spans="1:9" x14ac:dyDescent="0.25">
      <c r="A13008" t="str">
        <f t="shared" si="308"/>
        <v>89301000</v>
      </c>
      <c r="B13008" t="str">
        <f>"8003175356"</f>
        <v>8003175356</v>
      </c>
      <c r="C13008" s="1">
        <v>45001</v>
      </c>
      <c r="D13008" s="1">
        <v>45005</v>
      </c>
      <c r="E13008">
        <v>1</v>
      </c>
      <c r="F13008" t="str">
        <f>"05-M09-00"</f>
        <v>05-M09-00</v>
      </c>
      <c r="G13008">
        <v>1.2278</v>
      </c>
      <c r="H13008" t="s">
        <v>11</v>
      </c>
      <c r="I13008" t="s">
        <v>10</v>
      </c>
    </row>
    <row r="13009" spans="1:9" x14ac:dyDescent="0.25">
      <c r="A13009" t="str">
        <f t="shared" si="308"/>
        <v>89301000</v>
      </c>
      <c r="B13009" t="str">
        <f>"8003185322"</f>
        <v>8003185322</v>
      </c>
      <c r="C13009" s="1">
        <v>45175</v>
      </c>
      <c r="D13009" s="1">
        <v>45176</v>
      </c>
      <c r="E13009">
        <v>1</v>
      </c>
      <c r="F13009" t="str">
        <f>"05-M05-03"</f>
        <v>05-M05-03</v>
      </c>
      <c r="G13009">
        <v>2.0312999999999999</v>
      </c>
      <c r="H13009" t="s">
        <v>14</v>
      </c>
      <c r="I13009" t="s">
        <v>10</v>
      </c>
    </row>
    <row r="13010" spans="1:9" x14ac:dyDescent="0.25">
      <c r="A13010" t="str">
        <f t="shared" si="308"/>
        <v>89301000</v>
      </c>
      <c r="B13010" t="str">
        <f>"8003185322"</f>
        <v>8003185322</v>
      </c>
      <c r="C13010" s="1">
        <v>45130</v>
      </c>
      <c r="D13010" s="1">
        <v>45132</v>
      </c>
      <c r="E13010">
        <v>1</v>
      </c>
      <c r="F13010" t="str">
        <f>"05-D01-06"</f>
        <v>05-D01-06</v>
      </c>
      <c r="G13010">
        <v>0.7571</v>
      </c>
      <c r="H13010" t="s">
        <v>11</v>
      </c>
      <c r="I13010" t="s">
        <v>10</v>
      </c>
    </row>
    <row r="13011" spans="1:9" x14ac:dyDescent="0.25">
      <c r="A13011" t="str">
        <f t="shared" si="308"/>
        <v>89301000</v>
      </c>
      <c r="B13011" t="str">
        <f>"8003195772"</f>
        <v>8003195772</v>
      </c>
      <c r="C13011" s="1">
        <v>45218</v>
      </c>
      <c r="D13011" s="1">
        <v>45218</v>
      </c>
      <c r="E13011">
        <v>1</v>
      </c>
      <c r="F13011" t="str">
        <f>"05-D01-06"</f>
        <v>05-D01-06</v>
      </c>
      <c r="G13011">
        <v>0.4037</v>
      </c>
      <c r="H13011" t="s">
        <v>11</v>
      </c>
      <c r="I13011" t="s">
        <v>10</v>
      </c>
    </row>
    <row r="13012" spans="1:9" x14ac:dyDescent="0.25">
      <c r="A13012" t="str">
        <f t="shared" si="308"/>
        <v>89301000</v>
      </c>
      <c r="B13012" t="str">
        <f>"8003205309"</f>
        <v>8003205309</v>
      </c>
      <c r="C13012" s="1">
        <v>44998</v>
      </c>
      <c r="D13012" s="1">
        <v>45001</v>
      </c>
      <c r="E13012">
        <v>1</v>
      </c>
      <c r="F13012" t="str">
        <f>"08-M03-04"</f>
        <v>08-M03-04</v>
      </c>
      <c r="G13012">
        <v>0.87760000000000005</v>
      </c>
      <c r="H13012" t="s">
        <v>11</v>
      </c>
      <c r="I13012" t="s">
        <v>10</v>
      </c>
    </row>
    <row r="13013" spans="1:9" x14ac:dyDescent="0.25">
      <c r="A13013" t="str">
        <f t="shared" si="308"/>
        <v>89301000</v>
      </c>
      <c r="B13013" t="str">
        <f>"8003213548"</f>
        <v>8003213548</v>
      </c>
      <c r="C13013" s="1">
        <v>44971</v>
      </c>
      <c r="D13013" s="1">
        <v>44973</v>
      </c>
      <c r="E13013">
        <v>1</v>
      </c>
      <c r="F13013" t="str">
        <f>"01-K18-04"</f>
        <v>01-K18-04</v>
      </c>
      <c r="G13013">
        <v>0.54610000000000003</v>
      </c>
      <c r="H13013" t="s">
        <v>11</v>
      </c>
      <c r="I13013" t="s">
        <v>10</v>
      </c>
    </row>
    <row r="13014" spans="1:9" x14ac:dyDescent="0.25">
      <c r="A13014" t="str">
        <f t="shared" si="308"/>
        <v>89301000</v>
      </c>
      <c r="B13014" t="str">
        <f>"8003213548"</f>
        <v>8003213548</v>
      </c>
      <c r="C13014" s="1">
        <v>44956</v>
      </c>
      <c r="D13014" s="1">
        <v>44959</v>
      </c>
      <c r="E13014">
        <v>1</v>
      </c>
      <c r="F13014" t="str">
        <f>"01-K18-04"</f>
        <v>01-K18-04</v>
      </c>
      <c r="G13014">
        <v>0.54610000000000003</v>
      </c>
      <c r="H13014" t="s">
        <v>11</v>
      </c>
      <c r="I13014" t="s">
        <v>10</v>
      </c>
    </row>
    <row r="13015" spans="1:9" x14ac:dyDescent="0.25">
      <c r="A13015" t="str">
        <f t="shared" si="308"/>
        <v>89301000</v>
      </c>
      <c r="B13015" t="str">
        <f>"8003214307"</f>
        <v>8003214307</v>
      </c>
      <c r="C13015" s="1">
        <v>45068</v>
      </c>
      <c r="D13015" s="1">
        <v>45070</v>
      </c>
      <c r="E13015">
        <v>1</v>
      </c>
      <c r="F13015" t="str">
        <f>"05-M05-02"</f>
        <v>05-M05-02</v>
      </c>
      <c r="G13015">
        <v>3.4817999999999998</v>
      </c>
      <c r="H13015" t="s">
        <v>14</v>
      </c>
      <c r="I13015" t="s">
        <v>10</v>
      </c>
    </row>
    <row r="13016" spans="1:9" x14ac:dyDescent="0.25">
      <c r="A13016" t="str">
        <f t="shared" si="308"/>
        <v>89301000</v>
      </c>
      <c r="B13016" t="str">
        <f>"8003275302"</f>
        <v>8003275302</v>
      </c>
      <c r="C13016" s="1">
        <v>44940</v>
      </c>
      <c r="D13016" s="1">
        <v>44943</v>
      </c>
      <c r="E13016">
        <v>1</v>
      </c>
      <c r="F13016" t="str">
        <f>"01-K03-08"</f>
        <v>01-K03-08</v>
      </c>
      <c r="G13016">
        <v>0.38429999999999997</v>
      </c>
      <c r="H13016" t="s">
        <v>11</v>
      </c>
      <c r="I13016" t="s">
        <v>10</v>
      </c>
    </row>
    <row r="13017" spans="1:9" x14ac:dyDescent="0.25">
      <c r="A13017" t="str">
        <f t="shared" ref="A13017:A13080" si="309">"89301000"</f>
        <v>89301000</v>
      </c>
      <c r="B13017" t="str">
        <f>"8003305761"</f>
        <v>8003305761</v>
      </c>
      <c r="C13017" s="1">
        <v>45016</v>
      </c>
      <c r="D13017" s="1">
        <v>45019</v>
      </c>
      <c r="E13017">
        <v>1</v>
      </c>
      <c r="F13017" t="str">
        <f>"01-D01-03"</f>
        <v>01-D01-03</v>
      </c>
      <c r="G13017">
        <v>0.21060000000000001</v>
      </c>
      <c r="H13017" t="s">
        <v>11</v>
      </c>
      <c r="I13017" t="s">
        <v>10</v>
      </c>
    </row>
    <row r="13018" spans="1:9" x14ac:dyDescent="0.25">
      <c r="A13018" t="str">
        <f t="shared" si="309"/>
        <v>89301000</v>
      </c>
      <c r="B13018" t="str">
        <f>"8004045753"</f>
        <v>8004045753</v>
      </c>
      <c r="C13018" s="1">
        <v>45099</v>
      </c>
      <c r="D13018" s="1">
        <v>45100</v>
      </c>
      <c r="E13018">
        <v>1</v>
      </c>
      <c r="F13018" t="str">
        <f>"01-K01-02"</f>
        <v>01-K01-02</v>
      </c>
      <c r="G13018">
        <v>0.442</v>
      </c>
      <c r="H13018" t="s">
        <v>11</v>
      </c>
      <c r="I13018" t="s">
        <v>10</v>
      </c>
    </row>
    <row r="13019" spans="1:9" x14ac:dyDescent="0.25">
      <c r="A13019" t="str">
        <f t="shared" si="309"/>
        <v>89301000</v>
      </c>
      <c r="B13019" t="str">
        <f>"8004045753"</f>
        <v>8004045753</v>
      </c>
      <c r="C13019" s="1">
        <v>45119</v>
      </c>
      <c r="D13019" s="1">
        <v>45120</v>
      </c>
      <c r="E13019">
        <v>1</v>
      </c>
      <c r="F13019" t="str">
        <f>"01-K01-02"</f>
        <v>01-K01-02</v>
      </c>
      <c r="G13019">
        <v>0.442</v>
      </c>
      <c r="H13019" t="s">
        <v>11</v>
      </c>
      <c r="I13019" t="s">
        <v>10</v>
      </c>
    </row>
    <row r="13020" spans="1:9" x14ac:dyDescent="0.25">
      <c r="A13020" t="str">
        <f t="shared" si="309"/>
        <v>89301000</v>
      </c>
      <c r="B13020" t="str">
        <f>"8004055763"</f>
        <v>8004055763</v>
      </c>
      <c r="C13020" s="1">
        <v>45051</v>
      </c>
      <c r="D13020" s="1">
        <v>45052</v>
      </c>
      <c r="E13020">
        <v>1</v>
      </c>
      <c r="F13020" t="str">
        <f>"03-I24-00"</f>
        <v>03-I24-00</v>
      </c>
      <c r="G13020">
        <v>0.40670000000000001</v>
      </c>
      <c r="H13020" t="s">
        <v>11</v>
      </c>
      <c r="I13020" t="s">
        <v>10</v>
      </c>
    </row>
    <row r="13021" spans="1:9" x14ac:dyDescent="0.25">
      <c r="A13021" t="str">
        <f t="shared" si="309"/>
        <v>89301000</v>
      </c>
      <c r="B13021" t="str">
        <f>"8004194517"</f>
        <v>8004194517</v>
      </c>
      <c r="C13021" s="1">
        <v>45071</v>
      </c>
      <c r="D13021" s="1">
        <v>45073</v>
      </c>
      <c r="E13021">
        <v>1</v>
      </c>
      <c r="F13021" t="str">
        <f>"08-I03-08"</f>
        <v>08-I03-08</v>
      </c>
      <c r="G13021">
        <v>1.9455</v>
      </c>
      <c r="H13021" t="s">
        <v>9</v>
      </c>
      <c r="I13021" t="s">
        <v>10</v>
      </c>
    </row>
    <row r="13022" spans="1:9" x14ac:dyDescent="0.25">
      <c r="A13022" t="str">
        <f t="shared" si="309"/>
        <v>89301000</v>
      </c>
      <c r="B13022" t="str">
        <f>"8004225394"</f>
        <v>8004225394</v>
      </c>
      <c r="C13022" s="1">
        <v>45265</v>
      </c>
      <c r="D13022" s="1">
        <v>45267</v>
      </c>
      <c r="E13022">
        <v>1</v>
      </c>
      <c r="F13022" t="str">
        <f>"08-I32-00"</f>
        <v>08-I32-00</v>
      </c>
      <c r="G13022">
        <v>0.4093</v>
      </c>
      <c r="H13022" t="s">
        <v>11</v>
      </c>
      <c r="I13022" t="s">
        <v>10</v>
      </c>
    </row>
    <row r="13023" spans="1:9" x14ac:dyDescent="0.25">
      <c r="A13023" t="str">
        <f t="shared" si="309"/>
        <v>89301000</v>
      </c>
      <c r="B13023" t="str">
        <f>"8004235327"</f>
        <v>8004235327</v>
      </c>
      <c r="C13023" s="1">
        <v>45076</v>
      </c>
      <c r="D13023" s="1">
        <v>45079</v>
      </c>
      <c r="E13023">
        <v>1</v>
      </c>
      <c r="F13023" t="str">
        <f>"11-I17-03"</f>
        <v>11-I17-03</v>
      </c>
      <c r="G13023">
        <v>0.50139999999999996</v>
      </c>
      <c r="H13023" t="s">
        <v>11</v>
      </c>
      <c r="I13023" t="s">
        <v>10</v>
      </c>
    </row>
    <row r="13024" spans="1:9" x14ac:dyDescent="0.25">
      <c r="A13024" t="str">
        <f t="shared" si="309"/>
        <v>89301000</v>
      </c>
      <c r="B13024" t="str">
        <f>"8004254863"</f>
        <v>8004254863</v>
      </c>
      <c r="C13024" s="1">
        <v>45127</v>
      </c>
      <c r="D13024" s="1">
        <v>45128</v>
      </c>
      <c r="E13024">
        <v>1</v>
      </c>
      <c r="F13024" t="str">
        <f>"07-M02-04"</f>
        <v>07-M02-04</v>
      </c>
      <c r="G13024">
        <v>0.77339999999999998</v>
      </c>
      <c r="H13024" t="s">
        <v>12</v>
      </c>
      <c r="I13024" t="s">
        <v>10</v>
      </c>
    </row>
    <row r="13025" spans="1:9" x14ac:dyDescent="0.25">
      <c r="A13025" t="str">
        <f t="shared" si="309"/>
        <v>89301000</v>
      </c>
      <c r="B13025" t="str">
        <f>"8004254863"</f>
        <v>8004254863</v>
      </c>
      <c r="C13025" s="1">
        <v>45190</v>
      </c>
      <c r="D13025" s="1">
        <v>45192</v>
      </c>
      <c r="E13025">
        <v>1</v>
      </c>
      <c r="F13025" t="str">
        <f>"10-K04-02"</f>
        <v>10-K04-02</v>
      </c>
      <c r="G13025">
        <v>1.1207</v>
      </c>
      <c r="H13025" t="s">
        <v>11</v>
      </c>
      <c r="I13025" t="s">
        <v>10</v>
      </c>
    </row>
    <row r="13026" spans="1:9" x14ac:dyDescent="0.25">
      <c r="A13026" t="str">
        <f t="shared" si="309"/>
        <v>89301000</v>
      </c>
      <c r="B13026" t="str">
        <f>"8005185254"</f>
        <v>8005185254</v>
      </c>
      <c r="C13026" s="1">
        <v>45126</v>
      </c>
      <c r="D13026" s="1">
        <v>45127</v>
      </c>
      <c r="E13026">
        <v>1</v>
      </c>
      <c r="F13026" t="str">
        <f>"01-D01-03"</f>
        <v>01-D01-03</v>
      </c>
      <c r="G13026">
        <v>0.16200000000000001</v>
      </c>
      <c r="H13026" t="s">
        <v>11</v>
      </c>
      <c r="I13026" t="s">
        <v>10</v>
      </c>
    </row>
    <row r="13027" spans="1:9" x14ac:dyDescent="0.25">
      <c r="A13027" t="str">
        <f t="shared" si="309"/>
        <v>89301000</v>
      </c>
      <c r="B13027" t="str">
        <f>"8005231190"</f>
        <v>8005231190</v>
      </c>
      <c r="C13027" s="1">
        <v>44995</v>
      </c>
      <c r="D13027" s="1">
        <v>44996</v>
      </c>
      <c r="E13027">
        <v>1</v>
      </c>
      <c r="F13027" t="str">
        <f>"06-M01-03"</f>
        <v>06-M01-03</v>
      </c>
      <c r="G13027">
        <v>0.65980000000000005</v>
      </c>
      <c r="H13027" t="s">
        <v>11</v>
      </c>
      <c r="I13027" t="s">
        <v>10</v>
      </c>
    </row>
    <row r="13028" spans="1:9" x14ac:dyDescent="0.25">
      <c r="A13028" t="str">
        <f t="shared" si="309"/>
        <v>89301000</v>
      </c>
      <c r="B13028" t="str">
        <f>"8005265763"</f>
        <v>8005265763</v>
      </c>
      <c r="C13028" s="1">
        <v>44929</v>
      </c>
      <c r="D13028" s="1">
        <v>44939</v>
      </c>
      <c r="E13028">
        <v>1</v>
      </c>
      <c r="F13028" t="str">
        <f>"19-K04-02"</f>
        <v>19-K04-02</v>
      </c>
      <c r="G13028">
        <v>1.3379000000000001</v>
      </c>
      <c r="H13028" t="s">
        <v>15</v>
      </c>
      <c r="I13028" t="s">
        <v>10</v>
      </c>
    </row>
    <row r="13029" spans="1:9" x14ac:dyDescent="0.25">
      <c r="A13029" t="str">
        <f t="shared" si="309"/>
        <v>89301000</v>
      </c>
      <c r="B13029" t="str">
        <f>"8005274497"</f>
        <v>8005274497</v>
      </c>
      <c r="C13029" s="1">
        <v>44930</v>
      </c>
      <c r="D13029" s="1">
        <v>44932</v>
      </c>
      <c r="E13029">
        <v>1</v>
      </c>
      <c r="F13029" t="str">
        <f>"02-I12-02"</f>
        <v>02-I12-02</v>
      </c>
      <c r="G13029">
        <v>0.78639999999999999</v>
      </c>
      <c r="H13029" t="s">
        <v>11</v>
      </c>
      <c r="I13029" t="s">
        <v>10</v>
      </c>
    </row>
    <row r="13030" spans="1:9" x14ac:dyDescent="0.25">
      <c r="A13030" t="str">
        <f t="shared" si="309"/>
        <v>89301000</v>
      </c>
      <c r="B13030" t="str">
        <f>"8006031308"</f>
        <v>8006031308</v>
      </c>
      <c r="C13030" s="1">
        <v>45170</v>
      </c>
      <c r="D13030" s="1">
        <v>45172</v>
      </c>
      <c r="E13030">
        <v>1</v>
      </c>
      <c r="F13030" t="str">
        <f>"01-D01-03"</f>
        <v>01-D01-03</v>
      </c>
      <c r="G13030">
        <v>0.16200000000000001</v>
      </c>
      <c r="H13030" t="s">
        <v>11</v>
      </c>
      <c r="I13030" t="s">
        <v>10</v>
      </c>
    </row>
    <row r="13031" spans="1:9" x14ac:dyDescent="0.25">
      <c r="A13031" t="str">
        <f t="shared" si="309"/>
        <v>89301000</v>
      </c>
      <c r="B13031" t="str">
        <f>"8006031308"</f>
        <v>8006031308</v>
      </c>
      <c r="C13031" s="1">
        <v>45043</v>
      </c>
      <c r="D13031" s="1">
        <v>45044</v>
      </c>
      <c r="E13031">
        <v>1</v>
      </c>
      <c r="F13031" t="str">
        <f>"01-D01-03"</f>
        <v>01-D01-03</v>
      </c>
      <c r="G13031">
        <v>0.16200000000000001</v>
      </c>
      <c r="H13031" t="s">
        <v>11</v>
      </c>
      <c r="I13031" t="s">
        <v>10</v>
      </c>
    </row>
    <row r="13032" spans="1:9" x14ac:dyDescent="0.25">
      <c r="A13032" t="str">
        <f t="shared" si="309"/>
        <v>89301000</v>
      </c>
      <c r="B13032" t="str">
        <f>"8006044464"</f>
        <v>8006044464</v>
      </c>
      <c r="C13032" s="1">
        <v>45161</v>
      </c>
      <c r="D13032" s="1">
        <v>45164</v>
      </c>
      <c r="E13032">
        <v>1</v>
      </c>
      <c r="F13032" t="str">
        <f>"10-I13-02"</f>
        <v>10-I13-02</v>
      </c>
      <c r="G13032">
        <v>1.1124000000000001</v>
      </c>
      <c r="H13032" t="s">
        <v>9</v>
      </c>
      <c r="I13032" t="s">
        <v>10</v>
      </c>
    </row>
    <row r="13033" spans="1:9" x14ac:dyDescent="0.25">
      <c r="A13033" t="str">
        <f t="shared" si="309"/>
        <v>89301000</v>
      </c>
      <c r="B13033" t="str">
        <f>"8006045762"</f>
        <v>8006045762</v>
      </c>
      <c r="C13033" s="1">
        <v>44946</v>
      </c>
      <c r="D13033" s="1">
        <v>44947</v>
      </c>
      <c r="E13033">
        <v>1</v>
      </c>
      <c r="F13033" t="str">
        <f>"05-D01-08"</f>
        <v>05-D01-08</v>
      </c>
      <c r="G13033">
        <v>0.43159999999999998</v>
      </c>
      <c r="H13033" t="s">
        <v>11</v>
      </c>
      <c r="I13033" t="s">
        <v>10</v>
      </c>
    </row>
    <row r="13034" spans="1:9" x14ac:dyDescent="0.25">
      <c r="A13034" t="str">
        <f t="shared" si="309"/>
        <v>89301000</v>
      </c>
      <c r="B13034" t="str">
        <f>"8006155861"</f>
        <v>8006155861</v>
      </c>
      <c r="C13034" s="1">
        <v>45069</v>
      </c>
      <c r="D13034" s="1">
        <v>45083</v>
      </c>
      <c r="E13034">
        <v>1</v>
      </c>
      <c r="F13034" t="str">
        <f>"03-K03-02"</f>
        <v>03-K03-02</v>
      </c>
      <c r="G13034">
        <v>0.82750000000000001</v>
      </c>
      <c r="H13034" t="s">
        <v>11</v>
      </c>
      <c r="I13034" t="s">
        <v>10</v>
      </c>
    </row>
    <row r="13035" spans="1:9" x14ac:dyDescent="0.25">
      <c r="A13035" t="str">
        <f t="shared" si="309"/>
        <v>89301000</v>
      </c>
      <c r="B13035" t="str">
        <f>"8006155861"</f>
        <v>8006155861</v>
      </c>
      <c r="C13035" s="1">
        <v>45057</v>
      </c>
      <c r="D13035" s="1">
        <v>45065</v>
      </c>
      <c r="E13035">
        <v>1</v>
      </c>
      <c r="F13035" t="str">
        <f>"17-I10-02"</f>
        <v>17-I10-02</v>
      </c>
      <c r="G13035">
        <v>0.84730000000000005</v>
      </c>
      <c r="H13035" t="s">
        <v>11</v>
      </c>
      <c r="I13035" t="s">
        <v>10</v>
      </c>
    </row>
    <row r="13036" spans="1:9" x14ac:dyDescent="0.25">
      <c r="A13036" t="str">
        <f t="shared" si="309"/>
        <v>89301000</v>
      </c>
      <c r="B13036" t="str">
        <f>"8006155861"</f>
        <v>8006155861</v>
      </c>
      <c r="C13036" s="1">
        <v>45005</v>
      </c>
      <c r="D13036" s="1">
        <v>45007</v>
      </c>
      <c r="E13036">
        <v>1</v>
      </c>
      <c r="F13036" t="str">
        <f>"05-K16-00"</f>
        <v>05-K16-00</v>
      </c>
      <c r="G13036">
        <v>0.76739999999999997</v>
      </c>
      <c r="H13036" t="s">
        <v>11</v>
      </c>
      <c r="I13036" t="s">
        <v>10</v>
      </c>
    </row>
    <row r="13037" spans="1:9" x14ac:dyDescent="0.25">
      <c r="A13037" t="str">
        <f t="shared" si="309"/>
        <v>89301000</v>
      </c>
      <c r="B13037" t="str">
        <f>"8007055804"</f>
        <v>8007055804</v>
      </c>
      <c r="C13037" s="1">
        <v>44998</v>
      </c>
      <c r="D13037" s="1">
        <v>44999</v>
      </c>
      <c r="E13037">
        <v>1</v>
      </c>
      <c r="F13037" t="str">
        <f>"10-K15-02"</f>
        <v>10-K15-02</v>
      </c>
      <c r="G13037">
        <v>0.66379999999999995</v>
      </c>
      <c r="H13037" t="s">
        <v>11</v>
      </c>
      <c r="I13037" t="s">
        <v>10</v>
      </c>
    </row>
    <row r="13038" spans="1:9" x14ac:dyDescent="0.25">
      <c r="A13038" t="str">
        <f t="shared" si="309"/>
        <v>89301000</v>
      </c>
      <c r="B13038" t="str">
        <f>"8007154628"</f>
        <v>8007154628</v>
      </c>
      <c r="C13038" s="1">
        <v>45152</v>
      </c>
      <c r="D13038" s="1">
        <v>45156</v>
      </c>
      <c r="E13038">
        <v>1</v>
      </c>
      <c r="F13038" t="str">
        <f>"09-K04-02"</f>
        <v>09-K04-02</v>
      </c>
      <c r="G13038">
        <v>0.64849999999999997</v>
      </c>
      <c r="H13038" t="s">
        <v>11</v>
      </c>
      <c r="I13038" t="s">
        <v>10</v>
      </c>
    </row>
    <row r="13039" spans="1:9" x14ac:dyDescent="0.25">
      <c r="A13039" t="str">
        <f t="shared" si="309"/>
        <v>89301000</v>
      </c>
      <c r="B13039" t="str">
        <f>"8007225303"</f>
        <v>8007225303</v>
      </c>
      <c r="C13039" s="1">
        <v>45078</v>
      </c>
      <c r="D13039" s="1">
        <v>45079</v>
      </c>
      <c r="E13039">
        <v>1</v>
      </c>
      <c r="F13039" t="str">
        <f>"08-I19-03"</f>
        <v>08-I19-03</v>
      </c>
      <c r="G13039">
        <v>0.57210000000000005</v>
      </c>
      <c r="H13039" t="s">
        <v>12</v>
      </c>
      <c r="I13039" t="s">
        <v>10</v>
      </c>
    </row>
    <row r="13040" spans="1:9" x14ac:dyDescent="0.25">
      <c r="A13040" t="str">
        <f t="shared" si="309"/>
        <v>89301000</v>
      </c>
      <c r="B13040" t="str">
        <f>"8008054164"</f>
        <v>8008054164</v>
      </c>
      <c r="C13040" s="1">
        <v>45036</v>
      </c>
      <c r="D13040" s="1">
        <v>45042</v>
      </c>
      <c r="E13040">
        <v>4</v>
      </c>
      <c r="F13040" t="str">
        <f>"08-I05-04"</f>
        <v>08-I05-04</v>
      </c>
      <c r="G13040">
        <v>2.4445000000000001</v>
      </c>
      <c r="H13040" t="s">
        <v>12</v>
      </c>
      <c r="I13040" t="s">
        <v>10</v>
      </c>
    </row>
    <row r="13041" spans="1:9" x14ac:dyDescent="0.25">
      <c r="A13041" t="str">
        <f t="shared" si="309"/>
        <v>89301000</v>
      </c>
      <c r="B13041" t="str">
        <f>"8008075361"</f>
        <v>8008075361</v>
      </c>
      <c r="C13041" s="1">
        <v>44936</v>
      </c>
      <c r="D13041" s="1">
        <v>44939</v>
      </c>
      <c r="E13041">
        <v>1</v>
      </c>
      <c r="F13041" t="str">
        <f>"06-I17-04"</f>
        <v>06-I17-04</v>
      </c>
      <c r="G13041">
        <v>0.49869999999999998</v>
      </c>
      <c r="H13041" t="s">
        <v>12</v>
      </c>
      <c r="I13041" t="s">
        <v>10</v>
      </c>
    </row>
    <row r="13042" spans="1:9" x14ac:dyDescent="0.25">
      <c r="A13042" t="str">
        <f t="shared" si="309"/>
        <v>89301000</v>
      </c>
      <c r="B13042" t="str">
        <f>"8008125378"</f>
        <v>8008125378</v>
      </c>
      <c r="C13042" s="1">
        <v>45053</v>
      </c>
      <c r="D13042" s="1">
        <v>45064</v>
      </c>
      <c r="E13042">
        <v>8</v>
      </c>
      <c r="F13042" t="str">
        <f>"05-K07-03"</f>
        <v>05-K07-03</v>
      </c>
      <c r="G13042">
        <v>1.8048</v>
      </c>
      <c r="H13042" t="s">
        <v>11</v>
      </c>
      <c r="I13042" t="s">
        <v>10</v>
      </c>
    </row>
    <row r="13043" spans="1:9" x14ac:dyDescent="0.25">
      <c r="A13043" t="str">
        <f t="shared" si="309"/>
        <v>89301000</v>
      </c>
      <c r="B13043" t="str">
        <f>"8008165682"</f>
        <v>8008165682</v>
      </c>
      <c r="C13043" s="1">
        <v>45082</v>
      </c>
      <c r="D13043" s="1">
        <v>45083</v>
      </c>
      <c r="E13043">
        <v>1</v>
      </c>
      <c r="F13043" t="str">
        <f>"01-K08-02"</f>
        <v>01-K08-02</v>
      </c>
      <c r="G13043">
        <v>0.60619999999999996</v>
      </c>
      <c r="H13043" t="s">
        <v>11</v>
      </c>
      <c r="I13043" t="s">
        <v>10</v>
      </c>
    </row>
    <row r="13044" spans="1:9" x14ac:dyDescent="0.25">
      <c r="A13044" t="str">
        <f t="shared" si="309"/>
        <v>89301000</v>
      </c>
      <c r="B13044" t="str">
        <f>"8008244860"</f>
        <v>8008244860</v>
      </c>
      <c r="C13044" s="1">
        <v>45243</v>
      </c>
      <c r="D13044" s="1">
        <v>45246</v>
      </c>
      <c r="E13044">
        <v>1</v>
      </c>
      <c r="F13044" t="str">
        <f>"08-I15-02"</f>
        <v>08-I15-02</v>
      </c>
      <c r="G13044">
        <v>1.5535000000000001</v>
      </c>
      <c r="H13044" t="s">
        <v>12</v>
      </c>
      <c r="I13044" t="s">
        <v>10</v>
      </c>
    </row>
    <row r="13045" spans="1:9" x14ac:dyDescent="0.25">
      <c r="A13045" t="str">
        <f t="shared" si="309"/>
        <v>89301000</v>
      </c>
      <c r="B13045" t="str">
        <f>"8008302313"</f>
        <v>8008302313</v>
      </c>
      <c r="C13045" s="1">
        <v>45201</v>
      </c>
      <c r="D13045" s="1">
        <v>45203</v>
      </c>
      <c r="E13045">
        <v>1</v>
      </c>
      <c r="F13045" t="str">
        <f>"06-I17-04"</f>
        <v>06-I17-04</v>
      </c>
      <c r="G13045">
        <v>0.49869999999999998</v>
      </c>
      <c r="H13045" t="s">
        <v>12</v>
      </c>
      <c r="I13045" t="s">
        <v>10</v>
      </c>
    </row>
    <row r="13046" spans="1:9" x14ac:dyDescent="0.25">
      <c r="A13046" t="str">
        <f t="shared" si="309"/>
        <v>89301000</v>
      </c>
      <c r="B13046" t="str">
        <f>"8008314468"</f>
        <v>8008314468</v>
      </c>
      <c r="C13046" s="1">
        <v>45002</v>
      </c>
      <c r="D13046" s="1">
        <v>45007</v>
      </c>
      <c r="E13046">
        <v>1</v>
      </c>
      <c r="F13046" t="str">
        <f>"09-K14-02"</f>
        <v>09-K14-02</v>
      </c>
      <c r="G13046">
        <v>0.5</v>
      </c>
      <c r="H13046" t="s">
        <v>11</v>
      </c>
      <c r="I13046" t="s">
        <v>10</v>
      </c>
    </row>
    <row r="13047" spans="1:9" x14ac:dyDescent="0.25">
      <c r="A13047" t="str">
        <f t="shared" si="309"/>
        <v>89301000</v>
      </c>
      <c r="B13047" t="str">
        <f>"8009055340"</f>
        <v>8009055340</v>
      </c>
      <c r="C13047" s="1">
        <v>45267</v>
      </c>
      <c r="D13047" s="1">
        <v>45269</v>
      </c>
      <c r="E13047">
        <v>1</v>
      </c>
      <c r="F13047" t="str">
        <f>"07-M02-04"</f>
        <v>07-M02-04</v>
      </c>
      <c r="G13047">
        <v>0.77339999999999998</v>
      </c>
      <c r="H13047" t="s">
        <v>12</v>
      </c>
      <c r="I13047" t="s">
        <v>10</v>
      </c>
    </row>
    <row r="13048" spans="1:9" x14ac:dyDescent="0.25">
      <c r="A13048" t="str">
        <f t="shared" si="309"/>
        <v>89301000</v>
      </c>
      <c r="B13048" t="str">
        <f>"8009055340"</f>
        <v>8009055340</v>
      </c>
      <c r="C13048" s="1">
        <v>45232</v>
      </c>
      <c r="D13048" s="1">
        <v>45236</v>
      </c>
      <c r="E13048">
        <v>1</v>
      </c>
      <c r="F13048" t="str">
        <f>"07-M02-04"</f>
        <v>07-M02-04</v>
      </c>
      <c r="G13048">
        <v>1.3288</v>
      </c>
      <c r="H13048" t="s">
        <v>12</v>
      </c>
      <c r="I13048" t="s">
        <v>10</v>
      </c>
    </row>
    <row r="13049" spans="1:9" x14ac:dyDescent="0.25">
      <c r="A13049" t="str">
        <f t="shared" si="309"/>
        <v>89301000</v>
      </c>
      <c r="B13049" t="str">
        <f>"8009115334"</f>
        <v>8009115334</v>
      </c>
      <c r="C13049" s="1">
        <v>45021</v>
      </c>
      <c r="D13049" s="1">
        <v>45023</v>
      </c>
      <c r="E13049">
        <v>1</v>
      </c>
      <c r="F13049" t="str">
        <f>"06-K11-00"</f>
        <v>06-K11-00</v>
      </c>
      <c r="G13049">
        <v>0.34639999999999999</v>
      </c>
      <c r="H13049" t="s">
        <v>11</v>
      </c>
      <c r="I13049" t="s">
        <v>10</v>
      </c>
    </row>
    <row r="13050" spans="1:9" x14ac:dyDescent="0.25">
      <c r="A13050" t="str">
        <f t="shared" si="309"/>
        <v>89301000</v>
      </c>
      <c r="B13050" t="str">
        <f>"8009225334"</f>
        <v>8009225334</v>
      </c>
      <c r="C13050" s="1">
        <v>45009</v>
      </c>
      <c r="D13050" s="1">
        <v>45010</v>
      </c>
      <c r="E13050">
        <v>1</v>
      </c>
      <c r="F13050" t="str">
        <f>"03-I22-01"</f>
        <v>03-I22-01</v>
      </c>
      <c r="G13050">
        <v>0.62490000000000001</v>
      </c>
      <c r="H13050" t="s">
        <v>11</v>
      </c>
      <c r="I13050" t="s">
        <v>10</v>
      </c>
    </row>
    <row r="13051" spans="1:9" x14ac:dyDescent="0.25">
      <c r="A13051" t="str">
        <f t="shared" si="309"/>
        <v>89301000</v>
      </c>
      <c r="B13051" t="str">
        <f>"8009285867"</f>
        <v>8009285867</v>
      </c>
      <c r="C13051" s="1">
        <v>45019</v>
      </c>
      <c r="D13051" s="1">
        <v>45021</v>
      </c>
      <c r="E13051">
        <v>1</v>
      </c>
      <c r="F13051" t="str">
        <f>"08-I26-03"</f>
        <v>08-I26-03</v>
      </c>
      <c r="G13051">
        <v>0.47610000000000002</v>
      </c>
      <c r="H13051" t="s">
        <v>11</v>
      </c>
      <c r="I13051" t="s">
        <v>10</v>
      </c>
    </row>
    <row r="13052" spans="1:9" x14ac:dyDescent="0.25">
      <c r="A13052" t="str">
        <f t="shared" si="309"/>
        <v>89301000</v>
      </c>
      <c r="B13052" t="str">
        <f>"8011015760"</f>
        <v>8011015760</v>
      </c>
      <c r="C13052" s="1">
        <v>45084</v>
      </c>
      <c r="D13052" s="1">
        <v>45087</v>
      </c>
      <c r="E13052">
        <v>1</v>
      </c>
      <c r="F13052" t="str">
        <f>"03-I02-03"</f>
        <v>03-I02-03</v>
      </c>
      <c r="G13052">
        <v>8.4004999999999992</v>
      </c>
      <c r="H13052" t="s">
        <v>9</v>
      </c>
      <c r="I13052" t="s">
        <v>10</v>
      </c>
    </row>
    <row r="13053" spans="1:9" x14ac:dyDescent="0.25">
      <c r="A13053" t="str">
        <f t="shared" si="309"/>
        <v>89301000</v>
      </c>
      <c r="B13053" t="str">
        <f>"8011054854"</f>
        <v>8011054854</v>
      </c>
      <c r="C13053" s="1">
        <v>45243</v>
      </c>
      <c r="D13053" s="1">
        <v>45247</v>
      </c>
      <c r="E13053">
        <v>1</v>
      </c>
      <c r="F13053" t="str">
        <f>"04-K10-02"</f>
        <v>04-K10-02</v>
      </c>
      <c r="G13053">
        <v>0.46250000000000002</v>
      </c>
      <c r="H13053" t="s">
        <v>11</v>
      </c>
      <c r="I13053" t="s">
        <v>10</v>
      </c>
    </row>
    <row r="13054" spans="1:9" x14ac:dyDescent="0.25">
      <c r="A13054" t="str">
        <f t="shared" si="309"/>
        <v>89301000</v>
      </c>
      <c r="B13054" t="str">
        <f>"8011295314"</f>
        <v>8011295314</v>
      </c>
      <c r="C13054" s="1">
        <v>44945</v>
      </c>
      <c r="D13054" s="1">
        <v>44948</v>
      </c>
      <c r="E13054">
        <v>1</v>
      </c>
      <c r="F13054" t="str">
        <f>"08-I19-03"</f>
        <v>08-I19-03</v>
      </c>
      <c r="G13054">
        <v>0.59130000000000005</v>
      </c>
      <c r="H13054" t="s">
        <v>12</v>
      </c>
      <c r="I13054" t="s">
        <v>10</v>
      </c>
    </row>
    <row r="13055" spans="1:9" x14ac:dyDescent="0.25">
      <c r="A13055" t="str">
        <f t="shared" si="309"/>
        <v>89301000</v>
      </c>
      <c r="B13055" t="str">
        <f>"8012025329"</f>
        <v>8012025329</v>
      </c>
      <c r="C13055" s="1">
        <v>44958</v>
      </c>
      <c r="D13055" s="1">
        <v>44960</v>
      </c>
      <c r="E13055">
        <v>1</v>
      </c>
      <c r="F13055" t="str">
        <f>"19-K02-03"</f>
        <v>19-K02-03</v>
      </c>
      <c r="G13055">
        <v>0.71950000000000003</v>
      </c>
      <c r="H13055" t="s">
        <v>15</v>
      </c>
      <c r="I13055" t="s">
        <v>10</v>
      </c>
    </row>
    <row r="13056" spans="1:9" x14ac:dyDescent="0.25">
      <c r="A13056" t="str">
        <f t="shared" si="309"/>
        <v>89301000</v>
      </c>
      <c r="B13056" t="str">
        <f>"8012085455"</f>
        <v>8012085455</v>
      </c>
      <c r="C13056" s="1">
        <v>44960</v>
      </c>
      <c r="D13056" s="1">
        <v>44963</v>
      </c>
      <c r="E13056">
        <v>1</v>
      </c>
      <c r="F13056" t="str">
        <f>"05-M06-06"</f>
        <v>05-M06-06</v>
      </c>
      <c r="G13056">
        <v>1.8264</v>
      </c>
      <c r="H13056" t="s">
        <v>12</v>
      </c>
      <c r="I13056" t="s">
        <v>10</v>
      </c>
    </row>
    <row r="13057" spans="1:9" x14ac:dyDescent="0.25">
      <c r="A13057" t="str">
        <f t="shared" si="309"/>
        <v>89301000</v>
      </c>
      <c r="B13057" t="str">
        <f>"8012085774"</f>
        <v>8012085774</v>
      </c>
      <c r="C13057" s="1">
        <v>45067</v>
      </c>
      <c r="D13057" s="1">
        <v>45073</v>
      </c>
      <c r="E13057">
        <v>1</v>
      </c>
      <c r="F13057" t="str">
        <f>"05-I24-04"</f>
        <v>05-I24-04</v>
      </c>
      <c r="G13057">
        <v>2.1032000000000002</v>
      </c>
      <c r="H13057" t="s">
        <v>12</v>
      </c>
      <c r="I13057" t="s">
        <v>10</v>
      </c>
    </row>
    <row r="13058" spans="1:9" x14ac:dyDescent="0.25">
      <c r="A13058" t="str">
        <f t="shared" si="309"/>
        <v>89301000</v>
      </c>
      <c r="B13058" t="str">
        <f>"8012105354"</f>
        <v>8012105354</v>
      </c>
      <c r="C13058" s="1">
        <v>45048</v>
      </c>
      <c r="D13058" s="1">
        <v>45051</v>
      </c>
      <c r="E13058">
        <v>1</v>
      </c>
      <c r="F13058" t="str">
        <f>"08-I04-03"</f>
        <v>08-I04-03</v>
      </c>
      <c r="G13058">
        <v>1.3045</v>
      </c>
      <c r="H13058" t="s">
        <v>14</v>
      </c>
      <c r="I13058" t="s">
        <v>10</v>
      </c>
    </row>
    <row r="13059" spans="1:9" x14ac:dyDescent="0.25">
      <c r="A13059" t="str">
        <f t="shared" si="309"/>
        <v>89301000</v>
      </c>
      <c r="B13059" t="str">
        <f>"8012232228"</f>
        <v>8012232228</v>
      </c>
      <c r="C13059" s="1">
        <v>44962</v>
      </c>
      <c r="D13059" s="1">
        <v>44964</v>
      </c>
      <c r="E13059">
        <v>1</v>
      </c>
      <c r="F13059" t="str">
        <f>"08-M03-05"</f>
        <v>08-M03-05</v>
      </c>
      <c r="G13059">
        <v>0.46810000000000002</v>
      </c>
      <c r="H13059" t="s">
        <v>11</v>
      </c>
      <c r="I13059" t="s">
        <v>10</v>
      </c>
    </row>
    <row r="13060" spans="1:9" x14ac:dyDescent="0.25">
      <c r="A13060" t="str">
        <f t="shared" si="309"/>
        <v>89301000</v>
      </c>
      <c r="B13060" t="str">
        <f>"8012245318"</f>
        <v>8012245318</v>
      </c>
      <c r="C13060" s="1">
        <v>45263</v>
      </c>
      <c r="D13060" s="1">
        <v>45268</v>
      </c>
      <c r="E13060">
        <v>1</v>
      </c>
      <c r="F13060" t="str">
        <f>"12-I05-00"</f>
        <v>12-I05-00</v>
      </c>
      <c r="G13060">
        <v>1.9610000000000001</v>
      </c>
      <c r="H13060" t="s">
        <v>14</v>
      </c>
      <c r="I13060" t="s">
        <v>10</v>
      </c>
    </row>
    <row r="13061" spans="1:9" x14ac:dyDescent="0.25">
      <c r="A13061" t="str">
        <f t="shared" si="309"/>
        <v>89301000</v>
      </c>
      <c r="B13061" t="str">
        <f>"8012245340"</f>
        <v>8012245340</v>
      </c>
      <c r="C13061" s="1">
        <v>45063</v>
      </c>
      <c r="D13061" s="1">
        <v>45063</v>
      </c>
      <c r="E13061">
        <v>1</v>
      </c>
      <c r="F13061" t="str">
        <f>"04-K10-02"</f>
        <v>04-K10-02</v>
      </c>
      <c r="G13061">
        <v>0.20069999999999999</v>
      </c>
      <c r="H13061" t="s">
        <v>11</v>
      </c>
      <c r="I13061" t="s">
        <v>10</v>
      </c>
    </row>
    <row r="13062" spans="1:9" x14ac:dyDescent="0.25">
      <c r="A13062" t="str">
        <f t="shared" si="309"/>
        <v>89301000</v>
      </c>
      <c r="B13062" t="str">
        <f>"8012315355"</f>
        <v>8012315355</v>
      </c>
      <c r="C13062" s="1">
        <v>44998</v>
      </c>
      <c r="D13062" s="1">
        <v>45007</v>
      </c>
      <c r="E13062">
        <v>1</v>
      </c>
      <c r="F13062" t="str">
        <f>"08-K08-00"</f>
        <v>08-K08-00</v>
      </c>
      <c r="G13062">
        <v>0.5272</v>
      </c>
      <c r="H13062" t="s">
        <v>11</v>
      </c>
      <c r="I13062" t="s">
        <v>10</v>
      </c>
    </row>
    <row r="13063" spans="1:9" x14ac:dyDescent="0.25">
      <c r="A13063" t="str">
        <f t="shared" si="309"/>
        <v>89301000</v>
      </c>
      <c r="B13063" t="str">
        <f>"8051024465"</f>
        <v>8051024465</v>
      </c>
      <c r="C13063" s="1">
        <v>45035</v>
      </c>
      <c r="D13063" s="1">
        <v>45037</v>
      </c>
      <c r="E13063">
        <v>1</v>
      </c>
      <c r="F13063" t="str">
        <f>"03-I24-00"</f>
        <v>03-I24-00</v>
      </c>
      <c r="G13063">
        <v>0.40670000000000001</v>
      </c>
      <c r="H13063" t="s">
        <v>11</v>
      </c>
      <c r="I13063" t="s">
        <v>10</v>
      </c>
    </row>
    <row r="13064" spans="1:9" x14ac:dyDescent="0.25">
      <c r="A13064" t="str">
        <f t="shared" si="309"/>
        <v>89301000</v>
      </c>
      <c r="B13064" t="str">
        <f>"8051045772"</f>
        <v>8051045772</v>
      </c>
      <c r="C13064" s="1">
        <v>44971</v>
      </c>
      <c r="D13064" s="1">
        <v>44972</v>
      </c>
      <c r="E13064">
        <v>1</v>
      </c>
      <c r="F13064" t="str">
        <f>"01-K03-08"</f>
        <v>01-K03-08</v>
      </c>
      <c r="G13064">
        <v>0.38290000000000002</v>
      </c>
      <c r="H13064" t="s">
        <v>11</v>
      </c>
      <c r="I13064" t="s">
        <v>10</v>
      </c>
    </row>
    <row r="13065" spans="1:9" x14ac:dyDescent="0.25">
      <c r="A13065" t="str">
        <f t="shared" si="309"/>
        <v>89301000</v>
      </c>
      <c r="B13065" t="str">
        <f>"8051235764"</f>
        <v>8051235764</v>
      </c>
      <c r="C13065" s="1">
        <v>45274</v>
      </c>
      <c r="D13065" s="1">
        <v>45277</v>
      </c>
      <c r="E13065">
        <v>1</v>
      </c>
      <c r="F13065" t="str">
        <f>"14-M01-05"</f>
        <v>14-M01-05</v>
      </c>
      <c r="G13065">
        <v>0.56289999999999996</v>
      </c>
      <c r="H13065" t="s">
        <v>13</v>
      </c>
      <c r="I13065" t="s">
        <v>10</v>
      </c>
    </row>
    <row r="13066" spans="1:9" x14ac:dyDescent="0.25">
      <c r="A13066" t="str">
        <f t="shared" si="309"/>
        <v>89301000</v>
      </c>
      <c r="B13066" t="str">
        <f>"8051255080"</f>
        <v>8051255080</v>
      </c>
      <c r="C13066" s="1">
        <v>45212</v>
      </c>
      <c r="D13066" s="1">
        <v>45217</v>
      </c>
      <c r="E13066">
        <v>1</v>
      </c>
      <c r="F13066" t="str">
        <f>"01-K18-04"</f>
        <v>01-K18-04</v>
      </c>
      <c r="G13066">
        <v>0.54610000000000003</v>
      </c>
      <c r="H13066" t="s">
        <v>11</v>
      </c>
      <c r="I13066" t="s">
        <v>10</v>
      </c>
    </row>
    <row r="13067" spans="1:9" x14ac:dyDescent="0.25">
      <c r="A13067" t="str">
        <f t="shared" si="309"/>
        <v>89301000</v>
      </c>
      <c r="B13067" t="str">
        <f>"8051315338"</f>
        <v>8051315338</v>
      </c>
      <c r="C13067" s="1">
        <v>45050</v>
      </c>
      <c r="D13067" s="1">
        <v>45051</v>
      </c>
      <c r="E13067">
        <v>1</v>
      </c>
      <c r="F13067" t="str">
        <f>"13-K06-00"</f>
        <v>13-K06-00</v>
      </c>
      <c r="G13067">
        <v>0.39610000000000001</v>
      </c>
      <c r="H13067" t="s">
        <v>11</v>
      </c>
      <c r="I13067" t="s">
        <v>10</v>
      </c>
    </row>
    <row r="13068" spans="1:9" x14ac:dyDescent="0.25">
      <c r="A13068" t="str">
        <f t="shared" si="309"/>
        <v>89301000</v>
      </c>
      <c r="B13068" t="str">
        <f>"8052044462"</f>
        <v>8052044462</v>
      </c>
      <c r="C13068" s="1">
        <v>45200</v>
      </c>
      <c r="D13068" s="1">
        <v>45204</v>
      </c>
      <c r="E13068">
        <v>1</v>
      </c>
      <c r="F13068" t="str">
        <f>"10-I13-02"</f>
        <v>10-I13-02</v>
      </c>
      <c r="G13068">
        <v>1.1124000000000001</v>
      </c>
      <c r="H13068" t="s">
        <v>9</v>
      </c>
      <c r="I13068" t="s">
        <v>10</v>
      </c>
    </row>
    <row r="13069" spans="1:9" x14ac:dyDescent="0.25">
      <c r="A13069" t="str">
        <f t="shared" si="309"/>
        <v>89301000</v>
      </c>
      <c r="B13069" t="str">
        <f>"8052084854"</f>
        <v>8052084854</v>
      </c>
      <c r="C13069" s="1">
        <v>45197</v>
      </c>
      <c r="D13069" s="1">
        <v>45201</v>
      </c>
      <c r="E13069">
        <v>1</v>
      </c>
      <c r="F13069" t="str">
        <f>"06-I17-04"</f>
        <v>06-I17-04</v>
      </c>
      <c r="G13069">
        <v>0.49869999999999998</v>
      </c>
      <c r="H13069" t="s">
        <v>12</v>
      </c>
      <c r="I13069" t="s">
        <v>10</v>
      </c>
    </row>
    <row r="13070" spans="1:9" x14ac:dyDescent="0.25">
      <c r="A13070" t="str">
        <f t="shared" si="309"/>
        <v>89301000</v>
      </c>
      <c r="B13070" t="str">
        <f>"8052085756"</f>
        <v>8052085756</v>
      </c>
      <c r="C13070" s="1">
        <v>45245</v>
      </c>
      <c r="D13070" s="1">
        <v>45251</v>
      </c>
      <c r="E13070">
        <v>1</v>
      </c>
      <c r="F13070" t="str">
        <f>"01-K18-04"</f>
        <v>01-K18-04</v>
      </c>
      <c r="G13070">
        <v>0.54610000000000003</v>
      </c>
      <c r="H13070" t="s">
        <v>11</v>
      </c>
      <c r="I13070" t="s">
        <v>10</v>
      </c>
    </row>
    <row r="13071" spans="1:9" x14ac:dyDescent="0.25">
      <c r="A13071" t="str">
        <f t="shared" si="309"/>
        <v>89301000</v>
      </c>
      <c r="B13071" t="str">
        <f>"8052105325"</f>
        <v>8052105325</v>
      </c>
      <c r="C13071" s="1">
        <v>45264</v>
      </c>
      <c r="D13071" s="1">
        <v>45265</v>
      </c>
      <c r="E13071">
        <v>1</v>
      </c>
      <c r="F13071" t="str">
        <f>"08-M03-05"</f>
        <v>08-M03-05</v>
      </c>
      <c r="G13071">
        <v>0.46810000000000002</v>
      </c>
      <c r="H13071" t="s">
        <v>11</v>
      </c>
      <c r="I13071" t="s">
        <v>10</v>
      </c>
    </row>
    <row r="13072" spans="1:9" x14ac:dyDescent="0.25">
      <c r="A13072" t="str">
        <f t="shared" si="309"/>
        <v>89301000</v>
      </c>
      <c r="B13072" t="str">
        <f>"8052135311"</f>
        <v>8052135311</v>
      </c>
      <c r="C13072" s="1">
        <v>45226</v>
      </c>
      <c r="D13072" s="1">
        <v>45228</v>
      </c>
      <c r="E13072">
        <v>1</v>
      </c>
      <c r="F13072" t="str">
        <f>"06-I16-04"</f>
        <v>06-I16-04</v>
      </c>
      <c r="G13072">
        <v>0.68920000000000003</v>
      </c>
      <c r="H13072" t="s">
        <v>9</v>
      </c>
      <c r="I13072" t="s">
        <v>10</v>
      </c>
    </row>
    <row r="13073" spans="1:9" x14ac:dyDescent="0.25">
      <c r="A13073" t="str">
        <f t="shared" si="309"/>
        <v>89301000</v>
      </c>
      <c r="B13073" t="str">
        <f>"8052183502"</f>
        <v>8052183502</v>
      </c>
      <c r="C13073" s="1">
        <v>44973</v>
      </c>
      <c r="D13073" s="1">
        <v>44975</v>
      </c>
      <c r="E13073">
        <v>1</v>
      </c>
      <c r="F13073" t="str">
        <f>"08-K08-00"</f>
        <v>08-K08-00</v>
      </c>
      <c r="G13073">
        <v>0.5272</v>
      </c>
      <c r="H13073" t="s">
        <v>11</v>
      </c>
      <c r="I13073" t="s">
        <v>10</v>
      </c>
    </row>
    <row r="13074" spans="1:9" x14ac:dyDescent="0.25">
      <c r="A13074" t="str">
        <f t="shared" si="309"/>
        <v>89301000</v>
      </c>
      <c r="B13074" t="str">
        <f>"8052183502"</f>
        <v>8052183502</v>
      </c>
      <c r="C13074" s="1">
        <v>45048</v>
      </c>
      <c r="D13074" s="1">
        <v>45049</v>
      </c>
      <c r="E13074">
        <v>1</v>
      </c>
      <c r="F13074" t="str">
        <f>"13-I19-00"</f>
        <v>13-I19-00</v>
      </c>
      <c r="G13074">
        <v>0.28249999999999997</v>
      </c>
      <c r="H13074" t="s">
        <v>11</v>
      </c>
      <c r="I13074" t="s">
        <v>10</v>
      </c>
    </row>
    <row r="13075" spans="1:9" x14ac:dyDescent="0.25">
      <c r="A13075" t="str">
        <f t="shared" si="309"/>
        <v>89301000</v>
      </c>
      <c r="B13075" t="str">
        <f>"8052215314"</f>
        <v>8052215314</v>
      </c>
      <c r="C13075" s="1">
        <v>44942</v>
      </c>
      <c r="D13075" s="1">
        <v>44945</v>
      </c>
      <c r="E13075">
        <v>1</v>
      </c>
      <c r="F13075" t="str">
        <f>"08-M03-05"</f>
        <v>08-M03-05</v>
      </c>
      <c r="G13075">
        <v>0.46810000000000002</v>
      </c>
      <c r="H13075" t="s">
        <v>11</v>
      </c>
      <c r="I13075" t="s">
        <v>10</v>
      </c>
    </row>
    <row r="13076" spans="1:9" x14ac:dyDescent="0.25">
      <c r="A13076" t="str">
        <f t="shared" si="309"/>
        <v>89301000</v>
      </c>
      <c r="B13076" t="str">
        <f>"8052215347"</f>
        <v>8052215347</v>
      </c>
      <c r="C13076" s="1">
        <v>45198</v>
      </c>
      <c r="D13076" s="1">
        <v>45204</v>
      </c>
      <c r="E13076">
        <v>1</v>
      </c>
      <c r="F13076" t="str">
        <f>"13-I11-03"</f>
        <v>13-I11-03</v>
      </c>
      <c r="G13076">
        <v>1.4332</v>
      </c>
      <c r="H13076" t="s">
        <v>9</v>
      </c>
      <c r="I13076" t="s">
        <v>10</v>
      </c>
    </row>
    <row r="13077" spans="1:9" x14ac:dyDescent="0.25">
      <c r="A13077" t="str">
        <f t="shared" si="309"/>
        <v>89301000</v>
      </c>
      <c r="B13077" t="str">
        <f>"8053034847"</f>
        <v>8053034847</v>
      </c>
      <c r="C13077" s="1">
        <v>45210</v>
      </c>
      <c r="D13077" s="1">
        <v>45211</v>
      </c>
      <c r="E13077">
        <v>1</v>
      </c>
      <c r="F13077" t="str">
        <f>"05-M03-00"</f>
        <v>05-M03-00</v>
      </c>
      <c r="G13077">
        <v>3.4253999999999998</v>
      </c>
      <c r="H13077" t="s">
        <v>14</v>
      </c>
      <c r="I13077" t="s">
        <v>10</v>
      </c>
    </row>
    <row r="13078" spans="1:9" x14ac:dyDescent="0.25">
      <c r="A13078" t="str">
        <f t="shared" si="309"/>
        <v>89301000</v>
      </c>
      <c r="B13078" t="str">
        <f>"8053035364"</f>
        <v>8053035364</v>
      </c>
      <c r="C13078" s="1">
        <v>45194</v>
      </c>
      <c r="D13078" s="1">
        <v>45195</v>
      </c>
      <c r="E13078">
        <v>1</v>
      </c>
      <c r="F13078" t="str">
        <f>"01-D01-03"</f>
        <v>01-D01-03</v>
      </c>
      <c r="G13078">
        <v>0.16200000000000001</v>
      </c>
      <c r="H13078" t="s">
        <v>11</v>
      </c>
      <c r="I13078" t="s">
        <v>10</v>
      </c>
    </row>
    <row r="13079" spans="1:9" x14ac:dyDescent="0.25">
      <c r="A13079" t="str">
        <f t="shared" si="309"/>
        <v>89301000</v>
      </c>
      <c r="B13079" t="str">
        <f>"8053054460"</f>
        <v>8053054460</v>
      </c>
      <c r="C13079" s="1">
        <v>44980</v>
      </c>
      <c r="D13079" s="1">
        <v>44984</v>
      </c>
      <c r="E13079">
        <v>1</v>
      </c>
      <c r="F13079" t="str">
        <f>"08-I22-02"</f>
        <v>08-I22-02</v>
      </c>
      <c r="G13079">
        <v>1.131</v>
      </c>
      <c r="H13079" t="s">
        <v>12</v>
      </c>
      <c r="I13079" t="s">
        <v>10</v>
      </c>
    </row>
    <row r="13080" spans="1:9" x14ac:dyDescent="0.25">
      <c r="A13080" t="str">
        <f t="shared" si="309"/>
        <v>89301000</v>
      </c>
      <c r="B13080" t="str">
        <f>"8053054735"</f>
        <v>8053054735</v>
      </c>
      <c r="C13080" s="1">
        <v>44962</v>
      </c>
      <c r="D13080" s="1">
        <v>44965</v>
      </c>
      <c r="E13080">
        <v>1</v>
      </c>
      <c r="F13080" t="str">
        <f>"03-I14-02"</f>
        <v>03-I14-02</v>
      </c>
      <c r="G13080">
        <v>1.0793999999999999</v>
      </c>
      <c r="H13080" t="s">
        <v>11</v>
      </c>
      <c r="I13080" t="s">
        <v>10</v>
      </c>
    </row>
    <row r="13081" spans="1:9" x14ac:dyDescent="0.25">
      <c r="A13081" t="str">
        <f t="shared" ref="A13081:A13144" si="310">"89301000"</f>
        <v>89301000</v>
      </c>
      <c r="B13081" t="str">
        <f>"8053055692"</f>
        <v>8053055692</v>
      </c>
      <c r="C13081" s="1">
        <v>45075</v>
      </c>
      <c r="D13081" s="1">
        <v>45078</v>
      </c>
      <c r="E13081">
        <v>1</v>
      </c>
      <c r="F13081" t="str">
        <f>"04-K10-02"</f>
        <v>04-K10-02</v>
      </c>
      <c r="G13081">
        <v>0.40129999999999999</v>
      </c>
      <c r="H13081" t="s">
        <v>11</v>
      </c>
      <c r="I13081" t="s">
        <v>10</v>
      </c>
    </row>
    <row r="13082" spans="1:9" x14ac:dyDescent="0.25">
      <c r="A13082" t="str">
        <f t="shared" si="310"/>
        <v>89301000</v>
      </c>
      <c r="B13082" t="str">
        <f>"8053055692"</f>
        <v>8053055692</v>
      </c>
      <c r="C13082" s="1">
        <v>45006</v>
      </c>
      <c r="D13082" s="1">
        <v>45008</v>
      </c>
      <c r="E13082">
        <v>1</v>
      </c>
      <c r="F13082" t="str">
        <f>"05-M05-02"</f>
        <v>05-M05-02</v>
      </c>
      <c r="G13082">
        <v>3.4817999999999998</v>
      </c>
      <c r="H13082" t="s">
        <v>14</v>
      </c>
      <c r="I13082" t="s">
        <v>10</v>
      </c>
    </row>
    <row r="13083" spans="1:9" x14ac:dyDescent="0.25">
      <c r="A13083" t="str">
        <f t="shared" si="310"/>
        <v>89301000</v>
      </c>
      <c r="B13083" t="str">
        <f>"8053055692"</f>
        <v>8053055692</v>
      </c>
      <c r="C13083" s="1">
        <v>45258</v>
      </c>
      <c r="D13083" s="1">
        <v>45266</v>
      </c>
      <c r="E13083">
        <v>1</v>
      </c>
      <c r="F13083" t="str">
        <f>"06-K14-01"</f>
        <v>06-K14-01</v>
      </c>
      <c r="G13083">
        <v>1.2667999999999999</v>
      </c>
      <c r="H13083" t="s">
        <v>11</v>
      </c>
      <c r="I13083" t="s">
        <v>10</v>
      </c>
    </row>
    <row r="13084" spans="1:9" x14ac:dyDescent="0.25">
      <c r="A13084" t="str">
        <f t="shared" si="310"/>
        <v>89301000</v>
      </c>
      <c r="B13084" t="str">
        <f>"8053105313"</f>
        <v>8053105313</v>
      </c>
      <c r="C13084" s="1">
        <v>45151</v>
      </c>
      <c r="D13084" s="1">
        <v>45153</v>
      </c>
      <c r="E13084">
        <v>1</v>
      </c>
      <c r="F13084" t="str">
        <f>"06-K11-00"</f>
        <v>06-K11-00</v>
      </c>
      <c r="G13084">
        <v>0.34639999999999999</v>
      </c>
      <c r="H13084" t="s">
        <v>11</v>
      </c>
      <c r="I13084" t="s">
        <v>10</v>
      </c>
    </row>
    <row r="13085" spans="1:9" x14ac:dyDescent="0.25">
      <c r="A13085" t="str">
        <f t="shared" si="310"/>
        <v>89301000</v>
      </c>
      <c r="B13085" t="str">
        <f>"8053265682"</f>
        <v>8053265682</v>
      </c>
      <c r="C13085" s="1">
        <v>45173</v>
      </c>
      <c r="D13085" s="1">
        <v>45175</v>
      </c>
      <c r="E13085">
        <v>1</v>
      </c>
      <c r="F13085" t="str">
        <f>"08-M03-05"</f>
        <v>08-M03-05</v>
      </c>
      <c r="G13085">
        <v>0.46810000000000002</v>
      </c>
      <c r="H13085" t="s">
        <v>11</v>
      </c>
      <c r="I13085" t="s">
        <v>10</v>
      </c>
    </row>
    <row r="13086" spans="1:9" x14ac:dyDescent="0.25">
      <c r="A13086" t="str">
        <f t="shared" si="310"/>
        <v>89301000</v>
      </c>
      <c r="B13086" t="str">
        <f>"8053285757"</f>
        <v>8053285757</v>
      </c>
      <c r="C13086" s="1">
        <v>45132</v>
      </c>
      <c r="D13086" s="1">
        <v>45138</v>
      </c>
      <c r="E13086">
        <v>1</v>
      </c>
      <c r="F13086" t="str">
        <f>"09-K04-02"</f>
        <v>09-K04-02</v>
      </c>
      <c r="G13086">
        <v>0.64849999999999997</v>
      </c>
      <c r="H13086" t="s">
        <v>11</v>
      </c>
      <c r="I13086" t="s">
        <v>10</v>
      </c>
    </row>
    <row r="13087" spans="1:9" x14ac:dyDescent="0.25">
      <c r="A13087" t="str">
        <f t="shared" si="310"/>
        <v>89301000</v>
      </c>
      <c r="B13087" t="str">
        <f>"8054095753"</f>
        <v>8054095753</v>
      </c>
      <c r="C13087" s="1">
        <v>45077</v>
      </c>
      <c r="D13087" s="1">
        <v>45079</v>
      </c>
      <c r="E13087">
        <v>1</v>
      </c>
      <c r="F13087" t="str">
        <f>"09-I13-05"</f>
        <v>09-I13-05</v>
      </c>
      <c r="G13087">
        <v>0.42509999999999998</v>
      </c>
      <c r="H13087" t="s">
        <v>11</v>
      </c>
      <c r="I13087" t="s">
        <v>10</v>
      </c>
    </row>
    <row r="13088" spans="1:9" x14ac:dyDescent="0.25">
      <c r="A13088" t="str">
        <f t="shared" si="310"/>
        <v>89301000</v>
      </c>
      <c r="B13088" t="str">
        <f>"8054214498"</f>
        <v>8054214498</v>
      </c>
      <c r="C13088" s="1">
        <v>44950</v>
      </c>
      <c r="D13088" s="1">
        <v>44954</v>
      </c>
      <c r="E13088">
        <v>1</v>
      </c>
      <c r="F13088" t="str">
        <f>"13-I14-03"</f>
        <v>13-I14-03</v>
      </c>
      <c r="G13088">
        <v>0.87760000000000005</v>
      </c>
      <c r="H13088" t="s">
        <v>9</v>
      </c>
      <c r="I13088" t="s">
        <v>10</v>
      </c>
    </row>
    <row r="13089" spans="1:9" x14ac:dyDescent="0.25">
      <c r="A13089" t="str">
        <f t="shared" si="310"/>
        <v>89301000</v>
      </c>
      <c r="B13089" t="str">
        <f>"8054265318"</f>
        <v>8054265318</v>
      </c>
      <c r="C13089" s="1">
        <v>44964</v>
      </c>
      <c r="D13089" s="1">
        <v>44980</v>
      </c>
      <c r="E13089">
        <v>1</v>
      </c>
      <c r="F13089" t="str">
        <f>"20-K05-02"</f>
        <v>20-K05-02</v>
      </c>
      <c r="G13089">
        <v>1.7688999999999999</v>
      </c>
      <c r="H13089" t="s">
        <v>11</v>
      </c>
      <c r="I13089" t="s">
        <v>10</v>
      </c>
    </row>
    <row r="13090" spans="1:9" x14ac:dyDescent="0.25">
      <c r="A13090" t="str">
        <f t="shared" si="310"/>
        <v>89301000</v>
      </c>
      <c r="B13090" t="str">
        <f>"8055015771"</f>
        <v>8055015771</v>
      </c>
      <c r="C13090" s="1">
        <v>44998</v>
      </c>
      <c r="D13090" s="1">
        <v>45000</v>
      </c>
      <c r="E13090">
        <v>1</v>
      </c>
      <c r="F13090" t="str">
        <f>"08-I26-02"</f>
        <v>08-I26-02</v>
      </c>
      <c r="G13090">
        <v>0.83779999999999999</v>
      </c>
      <c r="H13090" t="s">
        <v>11</v>
      </c>
      <c r="I13090" t="s">
        <v>10</v>
      </c>
    </row>
    <row r="13091" spans="1:9" x14ac:dyDescent="0.25">
      <c r="A13091" t="str">
        <f t="shared" si="310"/>
        <v>89301000</v>
      </c>
      <c r="B13091" t="str">
        <f>"8055025396"</f>
        <v>8055025396</v>
      </c>
      <c r="C13091" s="1">
        <v>44946</v>
      </c>
      <c r="D13091" s="1">
        <v>44947</v>
      </c>
      <c r="E13091">
        <v>1</v>
      </c>
      <c r="F13091" t="str">
        <f>"05-M05-02"</f>
        <v>05-M05-02</v>
      </c>
      <c r="G13091">
        <v>3.4817999999999998</v>
      </c>
      <c r="H13091" t="s">
        <v>14</v>
      </c>
      <c r="I13091" t="s">
        <v>10</v>
      </c>
    </row>
    <row r="13092" spans="1:9" x14ac:dyDescent="0.25">
      <c r="A13092" t="str">
        <f t="shared" si="310"/>
        <v>89301000</v>
      </c>
      <c r="B13092" t="str">
        <f>"8055045768"</f>
        <v>8055045768</v>
      </c>
      <c r="C13092" s="1">
        <v>45159</v>
      </c>
      <c r="D13092" s="1">
        <v>45162</v>
      </c>
      <c r="E13092">
        <v>1</v>
      </c>
      <c r="F13092" t="str">
        <f>"09-I09-01"</f>
        <v>09-I09-01</v>
      </c>
      <c r="G13092">
        <v>1.1428</v>
      </c>
      <c r="H13092" t="s">
        <v>12</v>
      </c>
      <c r="I13092" t="s">
        <v>10</v>
      </c>
    </row>
    <row r="13093" spans="1:9" x14ac:dyDescent="0.25">
      <c r="A13093" t="str">
        <f t="shared" si="310"/>
        <v>89301000</v>
      </c>
      <c r="B13093" t="str">
        <f>"8055174457"</f>
        <v>8055174457</v>
      </c>
      <c r="C13093" s="1">
        <v>44963</v>
      </c>
      <c r="D13093" s="1">
        <v>44968</v>
      </c>
      <c r="E13093">
        <v>1</v>
      </c>
      <c r="F13093" t="str">
        <f>"07-I10-06"</f>
        <v>07-I10-06</v>
      </c>
      <c r="G13093">
        <v>0.98419999999999996</v>
      </c>
      <c r="H13093" t="s">
        <v>12</v>
      </c>
      <c r="I13093" t="s">
        <v>10</v>
      </c>
    </row>
    <row r="13094" spans="1:9" x14ac:dyDescent="0.25">
      <c r="A13094" t="str">
        <f t="shared" si="310"/>
        <v>89301000</v>
      </c>
      <c r="B13094" t="str">
        <f>"8055174468"</f>
        <v>8055174468</v>
      </c>
      <c r="C13094" s="1">
        <v>45250</v>
      </c>
      <c r="D13094" s="1">
        <v>45252</v>
      </c>
      <c r="E13094">
        <v>1</v>
      </c>
      <c r="F13094" t="str">
        <f>"09-I06-04"</f>
        <v>09-I06-04</v>
      </c>
      <c r="G13094">
        <v>0.95069999999999999</v>
      </c>
      <c r="H13094" t="s">
        <v>12</v>
      </c>
      <c r="I13094" t="s">
        <v>10</v>
      </c>
    </row>
    <row r="13095" spans="1:9" x14ac:dyDescent="0.25">
      <c r="A13095" t="str">
        <f t="shared" si="310"/>
        <v>89301000</v>
      </c>
      <c r="B13095" t="str">
        <f>"8055184456"</f>
        <v>8055184456</v>
      </c>
      <c r="C13095" s="1">
        <v>45140</v>
      </c>
      <c r="D13095" s="1">
        <v>45142</v>
      </c>
      <c r="E13095">
        <v>1</v>
      </c>
      <c r="F13095" t="str">
        <f>"02-I08-02"</f>
        <v>02-I08-02</v>
      </c>
      <c r="G13095">
        <v>0.60729999999999995</v>
      </c>
      <c r="H13095" t="s">
        <v>12</v>
      </c>
      <c r="I13095" t="s">
        <v>10</v>
      </c>
    </row>
    <row r="13096" spans="1:9" x14ac:dyDescent="0.25">
      <c r="A13096" t="str">
        <f t="shared" si="310"/>
        <v>89301000</v>
      </c>
      <c r="B13096" t="str">
        <f>"8055239940"</f>
        <v>8055239940</v>
      </c>
      <c r="C13096" s="1">
        <v>44970</v>
      </c>
      <c r="D13096" s="1">
        <v>44980</v>
      </c>
      <c r="E13096">
        <v>1</v>
      </c>
      <c r="F13096" t="str">
        <f>"19-K04-02"</f>
        <v>19-K04-02</v>
      </c>
      <c r="G13096">
        <v>1.3379000000000001</v>
      </c>
      <c r="H13096" t="s">
        <v>15</v>
      </c>
      <c r="I13096" t="s">
        <v>10</v>
      </c>
    </row>
    <row r="13097" spans="1:9" x14ac:dyDescent="0.25">
      <c r="A13097" t="str">
        <f t="shared" si="310"/>
        <v>89301000</v>
      </c>
      <c r="B13097" t="str">
        <f>"8055254460"</f>
        <v>8055254460</v>
      </c>
      <c r="C13097" s="1">
        <v>45036</v>
      </c>
      <c r="D13097" s="1">
        <v>45044</v>
      </c>
      <c r="E13097">
        <v>1</v>
      </c>
      <c r="F13097" t="str">
        <f>"01-K01-02"</f>
        <v>01-K01-02</v>
      </c>
      <c r="G13097">
        <v>0.51139999999999997</v>
      </c>
      <c r="H13097" t="s">
        <v>11</v>
      </c>
      <c r="I13097" t="s">
        <v>10</v>
      </c>
    </row>
    <row r="13098" spans="1:9" x14ac:dyDescent="0.25">
      <c r="A13098" t="str">
        <f t="shared" si="310"/>
        <v>89301000</v>
      </c>
      <c r="B13098" t="str">
        <f>"8055254460"</f>
        <v>8055254460</v>
      </c>
      <c r="C13098" s="1">
        <v>45070</v>
      </c>
      <c r="D13098" s="1">
        <v>45074</v>
      </c>
      <c r="E13098">
        <v>1</v>
      </c>
      <c r="F13098" t="str">
        <f>"01-K01-02"</f>
        <v>01-K01-02</v>
      </c>
      <c r="G13098">
        <v>0.442</v>
      </c>
      <c r="H13098" t="s">
        <v>11</v>
      </c>
      <c r="I13098" t="s">
        <v>10</v>
      </c>
    </row>
    <row r="13099" spans="1:9" x14ac:dyDescent="0.25">
      <c r="A13099" t="str">
        <f t="shared" si="310"/>
        <v>89301000</v>
      </c>
      <c r="B13099" t="str">
        <f>"8055255351"</f>
        <v>8055255351</v>
      </c>
      <c r="C13099" s="1">
        <v>45000</v>
      </c>
      <c r="D13099" s="1">
        <v>45007</v>
      </c>
      <c r="E13099">
        <v>1</v>
      </c>
      <c r="F13099" t="str">
        <f>"01-K12-01"</f>
        <v>01-K12-01</v>
      </c>
      <c r="G13099">
        <v>0.72709999999999997</v>
      </c>
      <c r="H13099" t="s">
        <v>11</v>
      </c>
      <c r="I13099" t="s">
        <v>10</v>
      </c>
    </row>
    <row r="13100" spans="1:9" x14ac:dyDescent="0.25">
      <c r="A13100" t="str">
        <f t="shared" si="310"/>
        <v>89301000</v>
      </c>
      <c r="B13100" t="str">
        <f>"8055275690"</f>
        <v>8055275690</v>
      </c>
      <c r="C13100" s="1">
        <v>45181</v>
      </c>
      <c r="D13100" s="1">
        <v>45195</v>
      </c>
      <c r="E13100">
        <v>1</v>
      </c>
      <c r="F13100" t="str">
        <f>"10-I07-01"</f>
        <v>10-I07-01</v>
      </c>
      <c r="G13100">
        <v>1.4101999999999999</v>
      </c>
      <c r="H13100" t="s">
        <v>11</v>
      </c>
      <c r="I13100" t="s">
        <v>10</v>
      </c>
    </row>
    <row r="13101" spans="1:9" x14ac:dyDescent="0.25">
      <c r="A13101" t="str">
        <f t="shared" si="310"/>
        <v>89301000</v>
      </c>
      <c r="B13101" t="str">
        <f>"8055285788"</f>
        <v>8055285788</v>
      </c>
      <c r="C13101" s="1">
        <v>45105</v>
      </c>
      <c r="D13101" s="1">
        <v>45107</v>
      </c>
      <c r="E13101">
        <v>1</v>
      </c>
      <c r="F13101" t="str">
        <f>"09-I04-02"</f>
        <v>09-I04-02</v>
      </c>
      <c r="G13101">
        <v>1.0610999999999999</v>
      </c>
      <c r="H13101" t="s">
        <v>12</v>
      </c>
      <c r="I13101" t="s">
        <v>10</v>
      </c>
    </row>
    <row r="13102" spans="1:9" x14ac:dyDescent="0.25">
      <c r="A13102" t="str">
        <f t="shared" si="310"/>
        <v>89301000</v>
      </c>
      <c r="B13102" t="str">
        <f>"8056095784"</f>
        <v>8056095784</v>
      </c>
      <c r="C13102" s="1">
        <v>45087</v>
      </c>
      <c r="D13102" s="1">
        <v>45104</v>
      </c>
      <c r="E13102">
        <v>1</v>
      </c>
      <c r="F13102" t="str">
        <f>"19-K05-02"</f>
        <v>19-K05-02</v>
      </c>
      <c r="G13102">
        <v>1.7688999999999999</v>
      </c>
      <c r="H13102" t="s">
        <v>15</v>
      </c>
      <c r="I13102" t="s">
        <v>10</v>
      </c>
    </row>
    <row r="13103" spans="1:9" x14ac:dyDescent="0.25">
      <c r="A13103" t="str">
        <f t="shared" si="310"/>
        <v>89301000</v>
      </c>
      <c r="B13103" t="str">
        <f>"8056095784"</f>
        <v>8056095784</v>
      </c>
      <c r="C13103" s="1">
        <v>45115</v>
      </c>
      <c r="D13103" s="1">
        <v>45124</v>
      </c>
      <c r="E13103">
        <v>1</v>
      </c>
      <c r="F13103" t="str">
        <f>"19-K03-03"</f>
        <v>19-K03-03</v>
      </c>
      <c r="G13103">
        <v>0.90410000000000001</v>
      </c>
      <c r="H13103" t="s">
        <v>15</v>
      </c>
      <c r="I13103" t="s">
        <v>10</v>
      </c>
    </row>
    <row r="13104" spans="1:9" x14ac:dyDescent="0.25">
      <c r="A13104" t="str">
        <f t="shared" si="310"/>
        <v>89301000</v>
      </c>
      <c r="B13104" t="str">
        <f>"8056105321"</f>
        <v>8056105321</v>
      </c>
      <c r="C13104" s="1">
        <v>44958</v>
      </c>
      <c r="D13104" s="1">
        <v>44960</v>
      </c>
      <c r="E13104">
        <v>1</v>
      </c>
      <c r="F13104" t="str">
        <f>"09-I13-05"</f>
        <v>09-I13-05</v>
      </c>
      <c r="G13104">
        <v>0.42570000000000002</v>
      </c>
      <c r="H13104" t="s">
        <v>11</v>
      </c>
      <c r="I13104" t="s">
        <v>10</v>
      </c>
    </row>
    <row r="13105" spans="1:9" x14ac:dyDescent="0.25">
      <c r="A13105" t="str">
        <f t="shared" si="310"/>
        <v>89301000</v>
      </c>
      <c r="B13105" t="str">
        <f>"8056114484"</f>
        <v>8056114484</v>
      </c>
      <c r="C13105" s="1">
        <v>45228</v>
      </c>
      <c r="D13105" s="1">
        <v>45230</v>
      </c>
      <c r="E13105">
        <v>1</v>
      </c>
      <c r="F13105" t="str">
        <f>"08-I26-02"</f>
        <v>08-I26-02</v>
      </c>
      <c r="G13105">
        <v>0.83779999999999999</v>
      </c>
      <c r="H13105" t="s">
        <v>11</v>
      </c>
      <c r="I13105" t="s">
        <v>10</v>
      </c>
    </row>
    <row r="13106" spans="1:9" x14ac:dyDescent="0.25">
      <c r="A13106" t="str">
        <f t="shared" si="310"/>
        <v>89301000</v>
      </c>
      <c r="B13106" t="str">
        <f>"8056114484"</f>
        <v>8056114484</v>
      </c>
      <c r="C13106" s="1">
        <v>44998</v>
      </c>
      <c r="D13106" s="1">
        <v>44999</v>
      </c>
      <c r="E13106">
        <v>1</v>
      </c>
      <c r="F13106" t="str">
        <f>"08-I17-02"</f>
        <v>08-I17-02</v>
      </c>
      <c r="G13106">
        <v>0.89680000000000004</v>
      </c>
      <c r="H13106" t="s">
        <v>11</v>
      </c>
      <c r="I13106" t="s">
        <v>10</v>
      </c>
    </row>
    <row r="13107" spans="1:9" x14ac:dyDescent="0.25">
      <c r="A13107" t="str">
        <f t="shared" si="310"/>
        <v>89301000</v>
      </c>
      <c r="B13107" t="str">
        <f>"8056214485"</f>
        <v>8056214485</v>
      </c>
      <c r="C13107" s="1">
        <v>45082</v>
      </c>
      <c r="D13107" s="1">
        <v>45084</v>
      </c>
      <c r="E13107">
        <v>1</v>
      </c>
      <c r="F13107" t="str">
        <f>"09-I10-02"</f>
        <v>09-I10-02</v>
      </c>
      <c r="G13107">
        <v>0.87580000000000002</v>
      </c>
      <c r="H13107" t="s">
        <v>12</v>
      </c>
      <c r="I13107" t="s">
        <v>10</v>
      </c>
    </row>
    <row r="13108" spans="1:9" x14ac:dyDescent="0.25">
      <c r="A13108" t="str">
        <f t="shared" si="310"/>
        <v>89301000</v>
      </c>
      <c r="B13108" t="str">
        <f>"8056215310"</f>
        <v>8056215310</v>
      </c>
      <c r="C13108" s="1">
        <v>45180</v>
      </c>
      <c r="D13108" s="1">
        <v>45184</v>
      </c>
      <c r="E13108">
        <v>1</v>
      </c>
      <c r="F13108" t="str">
        <f>"09-I07-01"</f>
        <v>09-I07-01</v>
      </c>
      <c r="G13108">
        <v>1.6956</v>
      </c>
      <c r="H13108" t="s">
        <v>14</v>
      </c>
      <c r="I13108" t="s">
        <v>10</v>
      </c>
    </row>
    <row r="13109" spans="1:9" x14ac:dyDescent="0.25">
      <c r="A13109" t="str">
        <f t="shared" si="310"/>
        <v>89301000</v>
      </c>
      <c r="B13109" t="str">
        <f>"8056255372"</f>
        <v>8056255372</v>
      </c>
      <c r="C13109" s="1">
        <v>45263</v>
      </c>
      <c r="D13109" s="1">
        <v>45264</v>
      </c>
      <c r="E13109">
        <v>1</v>
      </c>
      <c r="F13109" t="str">
        <f>"14-I08-03"</f>
        <v>14-I08-03</v>
      </c>
      <c r="G13109">
        <v>0.2437</v>
      </c>
      <c r="H13109" t="s">
        <v>11</v>
      </c>
      <c r="I13109" t="s">
        <v>10</v>
      </c>
    </row>
    <row r="13110" spans="1:9" x14ac:dyDescent="0.25">
      <c r="A13110" t="str">
        <f t="shared" si="310"/>
        <v>89301000</v>
      </c>
      <c r="B13110" t="str">
        <f>"8056255702"</f>
        <v>8056255702</v>
      </c>
      <c r="C13110" s="1">
        <v>44969</v>
      </c>
      <c r="D13110" s="1">
        <v>44971</v>
      </c>
      <c r="E13110">
        <v>1</v>
      </c>
      <c r="F13110" t="str">
        <f>"08-M03-05"</f>
        <v>08-M03-05</v>
      </c>
      <c r="G13110">
        <v>0.46810000000000002</v>
      </c>
      <c r="H13110" t="s">
        <v>11</v>
      </c>
      <c r="I13110" t="s">
        <v>10</v>
      </c>
    </row>
    <row r="13111" spans="1:9" x14ac:dyDescent="0.25">
      <c r="A13111" t="str">
        <f t="shared" si="310"/>
        <v>89301000</v>
      </c>
      <c r="B13111" t="str">
        <f>"8057044457"</f>
        <v>8057044457</v>
      </c>
      <c r="C13111" s="1">
        <v>44984</v>
      </c>
      <c r="D13111" s="1">
        <v>44988</v>
      </c>
      <c r="E13111">
        <v>1</v>
      </c>
      <c r="F13111" t="str">
        <f>"08-K01-03"</f>
        <v>08-K01-03</v>
      </c>
      <c r="G13111">
        <v>0.59189999999999998</v>
      </c>
      <c r="H13111" t="s">
        <v>11</v>
      </c>
      <c r="I13111" t="s">
        <v>10</v>
      </c>
    </row>
    <row r="13112" spans="1:9" x14ac:dyDescent="0.25">
      <c r="A13112" t="str">
        <f t="shared" si="310"/>
        <v>89301000</v>
      </c>
      <c r="B13112" t="str">
        <f>"8057115308"</f>
        <v>8057115308</v>
      </c>
      <c r="C13112" s="1">
        <v>45090</v>
      </c>
      <c r="D13112" s="1">
        <v>45091</v>
      </c>
      <c r="E13112">
        <v>1</v>
      </c>
      <c r="F13112" t="str">
        <f>"19-K01-03"</f>
        <v>19-K01-03</v>
      </c>
      <c r="G13112">
        <v>0.55700000000000005</v>
      </c>
      <c r="H13112" t="s">
        <v>15</v>
      </c>
      <c r="I13112" t="s">
        <v>10</v>
      </c>
    </row>
    <row r="13113" spans="1:9" x14ac:dyDescent="0.25">
      <c r="A13113" t="str">
        <f t="shared" si="310"/>
        <v>89301000</v>
      </c>
      <c r="B13113" t="str">
        <f>"8057165523"</f>
        <v>8057165523</v>
      </c>
      <c r="C13113" s="1">
        <v>45094</v>
      </c>
      <c r="D13113" s="1">
        <v>45098</v>
      </c>
      <c r="E13113">
        <v>1</v>
      </c>
      <c r="F13113" t="str">
        <f>"06-K06-02"</f>
        <v>06-K06-02</v>
      </c>
      <c r="G13113">
        <v>0.64170000000000005</v>
      </c>
      <c r="H13113" t="s">
        <v>11</v>
      </c>
      <c r="I13113" t="s">
        <v>10</v>
      </c>
    </row>
    <row r="13114" spans="1:9" x14ac:dyDescent="0.25">
      <c r="A13114" t="str">
        <f t="shared" si="310"/>
        <v>89301000</v>
      </c>
      <c r="B13114" t="str">
        <f>"8057165523"</f>
        <v>8057165523</v>
      </c>
      <c r="C13114" s="1">
        <v>45180</v>
      </c>
      <c r="D13114" s="1">
        <v>45187</v>
      </c>
      <c r="E13114">
        <v>1</v>
      </c>
      <c r="F13114" t="str">
        <f>"06-I07-05"</f>
        <v>06-I07-05</v>
      </c>
      <c r="G13114">
        <v>2.7919999999999998</v>
      </c>
      <c r="H13114" t="s">
        <v>12</v>
      </c>
      <c r="I13114" t="s">
        <v>10</v>
      </c>
    </row>
    <row r="13115" spans="1:9" x14ac:dyDescent="0.25">
      <c r="A13115" t="str">
        <f t="shared" si="310"/>
        <v>89301000</v>
      </c>
      <c r="B13115" t="str">
        <f>"8057165523"</f>
        <v>8057165523</v>
      </c>
      <c r="C13115" s="1">
        <v>45117</v>
      </c>
      <c r="D13115" s="1">
        <v>45119</v>
      </c>
      <c r="E13115">
        <v>1</v>
      </c>
      <c r="F13115" t="str">
        <f>"06-K06-01"</f>
        <v>06-K06-01</v>
      </c>
      <c r="G13115">
        <v>1.1001000000000001</v>
      </c>
      <c r="H13115" t="s">
        <v>11</v>
      </c>
      <c r="I13115" t="s">
        <v>10</v>
      </c>
    </row>
    <row r="13116" spans="1:9" x14ac:dyDescent="0.25">
      <c r="A13116" t="str">
        <f t="shared" si="310"/>
        <v>89301000</v>
      </c>
      <c r="B13116" t="str">
        <f>"8057185334"</f>
        <v>8057185334</v>
      </c>
      <c r="C13116" s="1">
        <v>44971</v>
      </c>
      <c r="D13116" s="1">
        <v>44990</v>
      </c>
      <c r="E13116">
        <v>1</v>
      </c>
      <c r="F13116" t="str">
        <f>"19-K05-02"</f>
        <v>19-K05-02</v>
      </c>
      <c r="G13116">
        <v>1.7688999999999999</v>
      </c>
      <c r="H13116" t="s">
        <v>15</v>
      </c>
      <c r="I13116" t="s">
        <v>10</v>
      </c>
    </row>
    <row r="13117" spans="1:9" x14ac:dyDescent="0.25">
      <c r="A13117" t="str">
        <f t="shared" si="310"/>
        <v>89301000</v>
      </c>
      <c r="B13117" t="str">
        <f>"8057185334"</f>
        <v>8057185334</v>
      </c>
      <c r="C13117" s="1">
        <v>44998</v>
      </c>
      <c r="D13117" s="1">
        <v>45008</v>
      </c>
      <c r="E13117">
        <v>1</v>
      </c>
      <c r="F13117" t="str">
        <f>"19-K03-03"</f>
        <v>19-K03-03</v>
      </c>
      <c r="G13117">
        <v>0.90410000000000001</v>
      </c>
      <c r="H13117" t="s">
        <v>15</v>
      </c>
      <c r="I13117" t="s">
        <v>10</v>
      </c>
    </row>
    <row r="13118" spans="1:9" x14ac:dyDescent="0.25">
      <c r="A13118" t="str">
        <f t="shared" si="310"/>
        <v>89301000</v>
      </c>
      <c r="B13118" t="str">
        <f>"8057204474"</f>
        <v>8057204474</v>
      </c>
      <c r="C13118" s="1">
        <v>44970</v>
      </c>
      <c r="D13118" s="1">
        <v>44978</v>
      </c>
      <c r="E13118">
        <v>8</v>
      </c>
      <c r="F13118" t="str">
        <f>"09-K07-02"</f>
        <v>09-K07-02</v>
      </c>
      <c r="G13118">
        <v>0.49120000000000003</v>
      </c>
      <c r="H13118" t="s">
        <v>11</v>
      </c>
      <c r="I13118" t="s">
        <v>10</v>
      </c>
    </row>
    <row r="13119" spans="1:9" x14ac:dyDescent="0.25">
      <c r="A13119" t="str">
        <f t="shared" si="310"/>
        <v>89301000</v>
      </c>
      <c r="B13119" t="str">
        <f>"8057234471"</f>
        <v>8057234471</v>
      </c>
      <c r="C13119" s="1">
        <v>45243</v>
      </c>
      <c r="D13119" s="1">
        <v>45278</v>
      </c>
      <c r="E13119">
        <v>1</v>
      </c>
      <c r="F13119" t="str">
        <f>"19-K08-02"</f>
        <v>19-K08-02</v>
      </c>
      <c r="G13119">
        <v>4.4416000000000002</v>
      </c>
      <c r="H13119" t="s">
        <v>15</v>
      </c>
      <c r="I13119" t="s">
        <v>10</v>
      </c>
    </row>
    <row r="13120" spans="1:9" x14ac:dyDescent="0.25">
      <c r="A13120" t="str">
        <f t="shared" si="310"/>
        <v>89301000</v>
      </c>
      <c r="B13120" t="str">
        <f>"8057234471"</f>
        <v>8057234471</v>
      </c>
      <c r="C13120" s="1">
        <v>45058</v>
      </c>
      <c r="D13120" s="1">
        <v>45072</v>
      </c>
      <c r="E13120">
        <v>1</v>
      </c>
      <c r="F13120" t="str">
        <f>"19-K04-02"</f>
        <v>19-K04-02</v>
      </c>
      <c r="G13120">
        <v>1.3379000000000001</v>
      </c>
      <c r="H13120" t="s">
        <v>15</v>
      </c>
      <c r="I13120" t="s">
        <v>10</v>
      </c>
    </row>
    <row r="13121" spans="1:9" x14ac:dyDescent="0.25">
      <c r="A13121" t="str">
        <f t="shared" si="310"/>
        <v>89301000</v>
      </c>
      <c r="B13121" t="str">
        <f>"8057234471"</f>
        <v>8057234471</v>
      </c>
      <c r="C13121" s="1">
        <v>45012</v>
      </c>
      <c r="D13121" s="1">
        <v>45051</v>
      </c>
      <c r="E13121">
        <v>1</v>
      </c>
      <c r="F13121" t="str">
        <f>"19-K08-02"</f>
        <v>19-K08-02</v>
      </c>
      <c r="G13121">
        <v>4.4416000000000002</v>
      </c>
      <c r="H13121" t="s">
        <v>15</v>
      </c>
      <c r="I13121" t="s">
        <v>10</v>
      </c>
    </row>
    <row r="13122" spans="1:9" x14ac:dyDescent="0.25">
      <c r="A13122" t="str">
        <f t="shared" si="310"/>
        <v>89301000</v>
      </c>
      <c r="B13122" t="str">
        <f>"8057235351"</f>
        <v>8057235351</v>
      </c>
      <c r="C13122" s="1">
        <v>45253</v>
      </c>
      <c r="D13122" s="1">
        <v>45255</v>
      </c>
      <c r="E13122">
        <v>1</v>
      </c>
      <c r="F13122" t="str">
        <f>"08-I03-08"</f>
        <v>08-I03-08</v>
      </c>
      <c r="G13122">
        <v>1.9455</v>
      </c>
      <c r="H13122" t="s">
        <v>9</v>
      </c>
      <c r="I13122" t="s">
        <v>10</v>
      </c>
    </row>
    <row r="13123" spans="1:9" x14ac:dyDescent="0.25">
      <c r="A13123" t="str">
        <f t="shared" si="310"/>
        <v>89301000</v>
      </c>
      <c r="B13123" t="str">
        <f>"8057245691"</f>
        <v>8057245691</v>
      </c>
      <c r="C13123" s="1">
        <v>44948</v>
      </c>
      <c r="D13123" s="1">
        <v>44952</v>
      </c>
      <c r="E13123">
        <v>1</v>
      </c>
      <c r="F13123" t="str">
        <f>"13-I16-00"</f>
        <v>13-I16-00</v>
      </c>
      <c r="G13123">
        <v>1.1695</v>
      </c>
      <c r="H13123" t="s">
        <v>12</v>
      </c>
      <c r="I13123" t="s">
        <v>10</v>
      </c>
    </row>
    <row r="13124" spans="1:9" x14ac:dyDescent="0.25">
      <c r="A13124" t="str">
        <f t="shared" si="310"/>
        <v>89301000</v>
      </c>
      <c r="B13124" t="str">
        <f>"8057255360"</f>
        <v>8057255360</v>
      </c>
      <c r="C13124" s="1">
        <v>44987</v>
      </c>
      <c r="D13124" s="1">
        <v>44988</v>
      </c>
      <c r="E13124">
        <v>1</v>
      </c>
      <c r="F13124" t="str">
        <f>"08-M03-05"</f>
        <v>08-M03-05</v>
      </c>
      <c r="G13124">
        <v>0.46910000000000002</v>
      </c>
      <c r="H13124" t="s">
        <v>11</v>
      </c>
      <c r="I13124" t="s">
        <v>10</v>
      </c>
    </row>
    <row r="13125" spans="1:9" x14ac:dyDescent="0.25">
      <c r="A13125" t="str">
        <f t="shared" si="310"/>
        <v>89301000</v>
      </c>
      <c r="B13125" t="str">
        <f>"8057263038"</f>
        <v>8057263038</v>
      </c>
      <c r="C13125" s="1">
        <v>44930</v>
      </c>
      <c r="D13125" s="1">
        <v>44938</v>
      </c>
      <c r="E13125">
        <v>1</v>
      </c>
      <c r="F13125" t="str">
        <f>"13-K07-02"</f>
        <v>13-K07-02</v>
      </c>
      <c r="G13125">
        <v>0.43559999999999999</v>
      </c>
      <c r="H13125" t="s">
        <v>11</v>
      </c>
      <c r="I13125" t="s">
        <v>10</v>
      </c>
    </row>
    <row r="13126" spans="1:9" x14ac:dyDescent="0.25">
      <c r="A13126" t="str">
        <f t="shared" si="310"/>
        <v>89301000</v>
      </c>
      <c r="B13126" t="str">
        <f>"8057263038"</f>
        <v>8057263038</v>
      </c>
      <c r="C13126" s="1">
        <v>44979</v>
      </c>
      <c r="D13126" s="1">
        <v>44986</v>
      </c>
      <c r="E13126">
        <v>1</v>
      </c>
      <c r="F13126" t="str">
        <f>"13-K07-02"</f>
        <v>13-K07-02</v>
      </c>
      <c r="G13126">
        <v>0.46510000000000001</v>
      </c>
      <c r="H13126" t="s">
        <v>11</v>
      </c>
      <c r="I13126" t="s">
        <v>10</v>
      </c>
    </row>
    <row r="13127" spans="1:9" x14ac:dyDescent="0.25">
      <c r="A13127" t="str">
        <f t="shared" si="310"/>
        <v>89301000</v>
      </c>
      <c r="B13127" t="str">
        <f>"8058025756"</f>
        <v>8058025756</v>
      </c>
      <c r="C13127" s="1">
        <v>45081</v>
      </c>
      <c r="D13127" s="1">
        <v>45085</v>
      </c>
      <c r="E13127">
        <v>1</v>
      </c>
      <c r="F13127" t="str">
        <f>"13-I11-03"</f>
        <v>13-I11-03</v>
      </c>
      <c r="G13127">
        <v>1.4332</v>
      </c>
      <c r="H13127" t="s">
        <v>9</v>
      </c>
      <c r="I13127" t="s">
        <v>10</v>
      </c>
    </row>
    <row r="13128" spans="1:9" x14ac:dyDescent="0.25">
      <c r="A13128" t="str">
        <f t="shared" si="310"/>
        <v>89301000</v>
      </c>
      <c r="B13128" t="str">
        <f>"8058115329"</f>
        <v>8058115329</v>
      </c>
      <c r="C13128" s="1">
        <v>44984</v>
      </c>
      <c r="D13128" s="1">
        <v>44985</v>
      </c>
      <c r="E13128">
        <v>1</v>
      </c>
      <c r="F13128" t="str">
        <f>"13-I19-00"</f>
        <v>13-I19-00</v>
      </c>
      <c r="G13128">
        <v>0.28249999999999997</v>
      </c>
      <c r="H13128" t="s">
        <v>11</v>
      </c>
      <c r="I13128" t="s">
        <v>10</v>
      </c>
    </row>
    <row r="13129" spans="1:9" x14ac:dyDescent="0.25">
      <c r="A13129" t="str">
        <f t="shared" si="310"/>
        <v>89301000</v>
      </c>
      <c r="B13129" t="str">
        <f>"8058194463"</f>
        <v>8058194463</v>
      </c>
      <c r="C13129" s="1">
        <v>44995</v>
      </c>
      <c r="D13129" s="1">
        <v>44998</v>
      </c>
      <c r="E13129">
        <v>1</v>
      </c>
      <c r="F13129" t="str">
        <f>"02-K02-01"</f>
        <v>02-K02-01</v>
      </c>
      <c r="G13129">
        <v>0.91020000000000001</v>
      </c>
      <c r="H13129" t="s">
        <v>11</v>
      </c>
      <c r="I13129" t="s">
        <v>10</v>
      </c>
    </row>
    <row r="13130" spans="1:9" x14ac:dyDescent="0.25">
      <c r="A13130" t="str">
        <f t="shared" si="310"/>
        <v>89301000</v>
      </c>
      <c r="B13130" t="str">
        <f>"8058195343"</f>
        <v>8058195343</v>
      </c>
      <c r="C13130" s="1">
        <v>45044</v>
      </c>
      <c r="D13130" s="1">
        <v>45064</v>
      </c>
      <c r="E13130">
        <v>1</v>
      </c>
      <c r="F13130" t="str">
        <f>"03-I03-02"</f>
        <v>03-I03-02</v>
      </c>
      <c r="G13130">
        <v>5.4272999999999998</v>
      </c>
      <c r="H13130" t="s">
        <v>14</v>
      </c>
      <c r="I13130" t="s">
        <v>10</v>
      </c>
    </row>
    <row r="13131" spans="1:9" x14ac:dyDescent="0.25">
      <c r="A13131" t="str">
        <f t="shared" si="310"/>
        <v>89301000</v>
      </c>
      <c r="B13131" t="str">
        <f>"8058295311"</f>
        <v>8058295311</v>
      </c>
      <c r="C13131" s="1">
        <v>45141</v>
      </c>
      <c r="D13131" s="1">
        <v>45146</v>
      </c>
      <c r="E13131">
        <v>1</v>
      </c>
      <c r="F13131" t="str">
        <f>"09-K04-02"</f>
        <v>09-K04-02</v>
      </c>
      <c r="G13131">
        <v>0.64849999999999997</v>
      </c>
      <c r="H13131" t="s">
        <v>11</v>
      </c>
      <c r="I13131" t="s">
        <v>10</v>
      </c>
    </row>
    <row r="13132" spans="1:9" x14ac:dyDescent="0.25">
      <c r="A13132" t="str">
        <f t="shared" si="310"/>
        <v>89301000</v>
      </c>
      <c r="B13132" t="str">
        <f>"8058304496"</f>
        <v>8058304496</v>
      </c>
      <c r="C13132" s="1">
        <v>45273</v>
      </c>
      <c r="D13132" s="1">
        <v>45277</v>
      </c>
      <c r="E13132">
        <v>1</v>
      </c>
      <c r="F13132" t="str">
        <f>"07-I10-06"</f>
        <v>07-I10-06</v>
      </c>
      <c r="G13132">
        <v>0.98419999999999996</v>
      </c>
      <c r="H13132" t="s">
        <v>12</v>
      </c>
      <c r="I13132" t="s">
        <v>10</v>
      </c>
    </row>
    <row r="13133" spans="1:9" x14ac:dyDescent="0.25">
      <c r="A13133" t="str">
        <f t="shared" si="310"/>
        <v>89301000</v>
      </c>
      <c r="B13133" t="str">
        <f>"8058319940"</f>
        <v>8058319940</v>
      </c>
      <c r="C13133" s="1">
        <v>45056</v>
      </c>
      <c r="D13133" s="1">
        <v>45057</v>
      </c>
      <c r="E13133">
        <v>1</v>
      </c>
      <c r="F13133" t="str">
        <f>"11-M05-01"</f>
        <v>11-M05-01</v>
      </c>
      <c r="G13133">
        <v>0.83750000000000002</v>
      </c>
      <c r="H13133" t="s">
        <v>12</v>
      </c>
      <c r="I13133" t="s">
        <v>10</v>
      </c>
    </row>
    <row r="13134" spans="1:9" x14ac:dyDescent="0.25">
      <c r="A13134" t="str">
        <f t="shared" si="310"/>
        <v>89301000</v>
      </c>
      <c r="B13134" t="str">
        <f>"8059125393"</f>
        <v>8059125393</v>
      </c>
      <c r="C13134" s="1">
        <v>45116</v>
      </c>
      <c r="D13134" s="1">
        <v>45123</v>
      </c>
      <c r="E13134">
        <v>1</v>
      </c>
      <c r="F13134" t="str">
        <f>"14-M01-01"</f>
        <v>14-M01-01</v>
      </c>
      <c r="G13134">
        <v>1.3224</v>
      </c>
      <c r="H13134" t="s">
        <v>13</v>
      </c>
      <c r="I13134" t="s">
        <v>10</v>
      </c>
    </row>
    <row r="13135" spans="1:9" x14ac:dyDescent="0.25">
      <c r="A13135" t="str">
        <f t="shared" si="310"/>
        <v>89301000</v>
      </c>
      <c r="B13135" t="str">
        <f>"8059265302"</f>
        <v>8059265302</v>
      </c>
      <c r="C13135" s="1">
        <v>45202</v>
      </c>
      <c r="D13135" s="1">
        <v>45203</v>
      </c>
      <c r="E13135">
        <v>1</v>
      </c>
      <c r="F13135" t="str">
        <f>"14-I08-03"</f>
        <v>14-I08-03</v>
      </c>
      <c r="G13135">
        <v>0.2414</v>
      </c>
      <c r="H13135" t="s">
        <v>11</v>
      </c>
      <c r="I13135" t="s">
        <v>10</v>
      </c>
    </row>
    <row r="13136" spans="1:9" x14ac:dyDescent="0.25">
      <c r="A13136" t="str">
        <f t="shared" si="310"/>
        <v>89301000</v>
      </c>
      <c r="B13136" t="str">
        <f>"8060025358"</f>
        <v>8060025358</v>
      </c>
      <c r="C13136" s="1">
        <v>45055</v>
      </c>
      <c r="D13136" s="1">
        <v>45056</v>
      </c>
      <c r="E13136">
        <v>1</v>
      </c>
      <c r="F13136" t="str">
        <f>"08-I17-02"</f>
        <v>08-I17-02</v>
      </c>
      <c r="G13136">
        <v>0.89680000000000004</v>
      </c>
      <c r="H13136" t="s">
        <v>11</v>
      </c>
      <c r="I13136" t="s">
        <v>10</v>
      </c>
    </row>
    <row r="13137" spans="1:9" x14ac:dyDescent="0.25">
      <c r="A13137" t="str">
        <f t="shared" si="310"/>
        <v>89301000</v>
      </c>
      <c r="B13137" t="str">
        <f>"8060069919"</f>
        <v>8060069919</v>
      </c>
      <c r="C13137" s="1">
        <v>45106</v>
      </c>
      <c r="D13137" s="1">
        <v>45110</v>
      </c>
      <c r="E13137">
        <v>1</v>
      </c>
      <c r="F13137" t="str">
        <f>"14-K03-02"</f>
        <v>14-K03-02</v>
      </c>
      <c r="G13137">
        <v>0.30230000000000001</v>
      </c>
      <c r="H13137" t="s">
        <v>11</v>
      </c>
      <c r="I13137" t="s">
        <v>10</v>
      </c>
    </row>
    <row r="13138" spans="1:9" x14ac:dyDescent="0.25">
      <c r="A13138" t="str">
        <f t="shared" si="310"/>
        <v>89301000</v>
      </c>
      <c r="B13138" t="str">
        <f>"8060069919"</f>
        <v>8060069919</v>
      </c>
      <c r="C13138" s="1">
        <v>45194</v>
      </c>
      <c r="D13138" s="1">
        <v>45197</v>
      </c>
      <c r="E13138">
        <v>1</v>
      </c>
      <c r="F13138" t="str">
        <f>"14-M01-05"</f>
        <v>14-M01-05</v>
      </c>
      <c r="G13138">
        <v>0.56289999999999996</v>
      </c>
      <c r="H13138" t="s">
        <v>13</v>
      </c>
      <c r="I13138" t="s">
        <v>10</v>
      </c>
    </row>
    <row r="13139" spans="1:9" x14ac:dyDescent="0.25">
      <c r="A13139" t="str">
        <f t="shared" si="310"/>
        <v>89301000</v>
      </c>
      <c r="B13139" t="str">
        <f>"8060155378"</f>
        <v>8060155378</v>
      </c>
      <c r="C13139" s="1">
        <v>45095</v>
      </c>
      <c r="D13139" s="1">
        <v>45098</v>
      </c>
      <c r="E13139">
        <v>1</v>
      </c>
      <c r="F13139" t="str">
        <f>"13-I11-03"</f>
        <v>13-I11-03</v>
      </c>
      <c r="G13139">
        <v>1.4332</v>
      </c>
      <c r="H13139" t="s">
        <v>9</v>
      </c>
      <c r="I13139" t="s">
        <v>10</v>
      </c>
    </row>
    <row r="13140" spans="1:9" x14ac:dyDescent="0.25">
      <c r="A13140" t="str">
        <f t="shared" si="310"/>
        <v>89301000</v>
      </c>
      <c r="B13140" t="str">
        <f>"8060155378"</f>
        <v>8060155378</v>
      </c>
      <c r="C13140" s="1">
        <v>45161</v>
      </c>
      <c r="D13140" s="1">
        <v>45162</v>
      </c>
      <c r="E13140">
        <v>1</v>
      </c>
      <c r="F13140" t="str">
        <f>"01-D01-03"</f>
        <v>01-D01-03</v>
      </c>
      <c r="G13140">
        <v>0.16200000000000001</v>
      </c>
      <c r="H13140" t="s">
        <v>11</v>
      </c>
      <c r="I13140" t="s">
        <v>10</v>
      </c>
    </row>
    <row r="13141" spans="1:9" x14ac:dyDescent="0.25">
      <c r="A13141" t="str">
        <f t="shared" si="310"/>
        <v>89301000</v>
      </c>
      <c r="B13141" t="str">
        <f>"8060205307"</f>
        <v>8060205307</v>
      </c>
      <c r="C13141" s="1">
        <v>45197</v>
      </c>
      <c r="D13141" s="1">
        <v>45199</v>
      </c>
      <c r="E13141">
        <v>1</v>
      </c>
      <c r="F13141" t="str">
        <f>"14-I04-00"</f>
        <v>14-I04-00</v>
      </c>
      <c r="G13141">
        <v>0.79159999999999997</v>
      </c>
      <c r="H13141" t="s">
        <v>9</v>
      </c>
      <c r="I13141" t="s">
        <v>10</v>
      </c>
    </row>
    <row r="13142" spans="1:9" x14ac:dyDescent="0.25">
      <c r="A13142" t="str">
        <f t="shared" si="310"/>
        <v>89301000</v>
      </c>
      <c r="B13142" t="str">
        <f>"8060205318"</f>
        <v>8060205318</v>
      </c>
      <c r="C13142" s="1">
        <v>45146</v>
      </c>
      <c r="D13142" s="1">
        <v>45148</v>
      </c>
      <c r="E13142">
        <v>1</v>
      </c>
      <c r="F13142" t="str">
        <f>"08-M03-06"</f>
        <v>08-M03-06</v>
      </c>
      <c r="G13142">
        <v>0.39129999999999998</v>
      </c>
      <c r="H13142" t="s">
        <v>11</v>
      </c>
      <c r="I13142" t="s">
        <v>10</v>
      </c>
    </row>
    <row r="13143" spans="1:9" x14ac:dyDescent="0.25">
      <c r="A13143" t="str">
        <f t="shared" si="310"/>
        <v>89301000</v>
      </c>
      <c r="B13143" t="str">
        <f>"8060205318"</f>
        <v>8060205318</v>
      </c>
      <c r="C13143" s="1">
        <v>45127</v>
      </c>
      <c r="D13143" s="1">
        <v>45128</v>
      </c>
      <c r="E13143">
        <v>1</v>
      </c>
      <c r="F13143" t="str">
        <f>"08-K04-03"</f>
        <v>08-K04-03</v>
      </c>
      <c r="G13143">
        <v>0.41799999999999998</v>
      </c>
      <c r="H13143" t="s">
        <v>11</v>
      </c>
      <c r="I13143" t="s">
        <v>10</v>
      </c>
    </row>
    <row r="13144" spans="1:9" x14ac:dyDescent="0.25">
      <c r="A13144" t="str">
        <f t="shared" si="310"/>
        <v>89301000</v>
      </c>
      <c r="B13144" t="str">
        <f>"8060225338"</f>
        <v>8060225338</v>
      </c>
      <c r="C13144" s="1">
        <v>45109</v>
      </c>
      <c r="D13144" s="1">
        <v>45115</v>
      </c>
      <c r="E13144">
        <v>1</v>
      </c>
      <c r="F13144" t="str">
        <f>"13-K15-02"</f>
        <v>13-K15-02</v>
      </c>
      <c r="G13144">
        <v>0.33979999999999999</v>
      </c>
      <c r="H13144" t="s">
        <v>11</v>
      </c>
      <c r="I13144" t="s">
        <v>10</v>
      </c>
    </row>
    <row r="13145" spans="1:9" x14ac:dyDescent="0.25">
      <c r="A13145" t="str">
        <f t="shared" ref="A13145:A13207" si="311">"89301000"</f>
        <v>89301000</v>
      </c>
      <c r="B13145" t="str">
        <f>"8060275311"</f>
        <v>8060275311</v>
      </c>
      <c r="C13145" s="1">
        <v>45021</v>
      </c>
      <c r="D13145" s="1">
        <v>45029</v>
      </c>
      <c r="E13145">
        <v>1</v>
      </c>
      <c r="F13145" t="str">
        <f>"07-K04-04"</f>
        <v>07-K04-04</v>
      </c>
      <c r="G13145">
        <v>0.61050000000000004</v>
      </c>
      <c r="H13145" t="s">
        <v>11</v>
      </c>
      <c r="I13145" t="s">
        <v>10</v>
      </c>
    </row>
    <row r="13146" spans="1:9" x14ac:dyDescent="0.25">
      <c r="A13146" t="str">
        <f t="shared" si="311"/>
        <v>89301000</v>
      </c>
      <c r="B13146" t="str">
        <f>"8060275311"</f>
        <v>8060275311</v>
      </c>
      <c r="C13146" s="1">
        <v>45041</v>
      </c>
      <c r="D13146" s="1">
        <v>45051</v>
      </c>
      <c r="E13146">
        <v>1</v>
      </c>
      <c r="F13146" t="str">
        <f>"07-K04-03"</f>
        <v>07-K04-03</v>
      </c>
      <c r="G13146">
        <v>0.98650000000000004</v>
      </c>
      <c r="H13146" t="s">
        <v>11</v>
      </c>
      <c r="I13146" t="s">
        <v>10</v>
      </c>
    </row>
    <row r="13147" spans="1:9" x14ac:dyDescent="0.25">
      <c r="A13147" t="str">
        <f t="shared" si="311"/>
        <v>89301000</v>
      </c>
      <c r="B13147" t="str">
        <f>"8060295320"</f>
        <v>8060295320</v>
      </c>
      <c r="C13147" s="1">
        <v>45085</v>
      </c>
      <c r="D13147" s="1">
        <v>45089</v>
      </c>
      <c r="E13147">
        <v>1</v>
      </c>
      <c r="F13147" t="str">
        <f>"06-I17-04"</f>
        <v>06-I17-04</v>
      </c>
      <c r="G13147">
        <v>0.49869999999999998</v>
      </c>
      <c r="H13147" t="s">
        <v>12</v>
      </c>
      <c r="I13147" t="s">
        <v>10</v>
      </c>
    </row>
    <row r="13148" spans="1:9" x14ac:dyDescent="0.25">
      <c r="A13148" t="str">
        <f t="shared" si="311"/>
        <v>89301000</v>
      </c>
      <c r="B13148" t="str">
        <f>"8061034465"</f>
        <v>8061034465</v>
      </c>
      <c r="C13148" s="1">
        <v>45127</v>
      </c>
      <c r="D13148" s="1">
        <v>45128</v>
      </c>
      <c r="E13148">
        <v>1</v>
      </c>
      <c r="F13148" t="str">
        <f>"09-K08-02"</f>
        <v>09-K08-02</v>
      </c>
      <c r="G13148">
        <v>0.49280000000000002</v>
      </c>
      <c r="H13148" t="s">
        <v>11</v>
      </c>
      <c r="I13148" t="s">
        <v>10</v>
      </c>
    </row>
    <row r="13149" spans="1:9" x14ac:dyDescent="0.25">
      <c r="A13149" t="str">
        <f t="shared" si="311"/>
        <v>89301000</v>
      </c>
      <c r="B13149" t="str">
        <f>"8061094052"</f>
        <v>8061094052</v>
      </c>
      <c r="C13149" s="1">
        <v>45133</v>
      </c>
      <c r="D13149" s="1">
        <v>45135</v>
      </c>
      <c r="E13149">
        <v>1</v>
      </c>
      <c r="F13149" t="str">
        <f>"08-I03-05"</f>
        <v>08-I03-05</v>
      </c>
      <c r="G13149">
        <v>2.9359999999999999</v>
      </c>
      <c r="H13149" t="s">
        <v>9</v>
      </c>
      <c r="I13149" t="s">
        <v>10</v>
      </c>
    </row>
    <row r="13150" spans="1:9" x14ac:dyDescent="0.25">
      <c r="A13150" t="str">
        <f t="shared" si="311"/>
        <v>89301000</v>
      </c>
      <c r="B13150" t="str">
        <f>"8061104458"</f>
        <v>8061104458</v>
      </c>
      <c r="C13150" s="1">
        <v>45259</v>
      </c>
      <c r="D13150" s="1">
        <v>45264</v>
      </c>
      <c r="E13150">
        <v>1</v>
      </c>
      <c r="F13150" t="str">
        <f>"09-K08-01"</f>
        <v>09-K08-01</v>
      </c>
      <c r="G13150">
        <v>1.1941999999999999</v>
      </c>
      <c r="H13150" t="s">
        <v>11</v>
      </c>
      <c r="I13150" t="s">
        <v>10</v>
      </c>
    </row>
    <row r="13151" spans="1:9" x14ac:dyDescent="0.25">
      <c r="A13151" t="str">
        <f t="shared" si="311"/>
        <v>89301000</v>
      </c>
      <c r="B13151" t="str">
        <f>"8061124456"</f>
        <v>8061124456</v>
      </c>
      <c r="C13151" s="1">
        <v>45035</v>
      </c>
      <c r="D13151" s="1">
        <v>45037</v>
      </c>
      <c r="E13151">
        <v>1</v>
      </c>
      <c r="F13151" t="str">
        <f>"01-D01-03"</f>
        <v>01-D01-03</v>
      </c>
      <c r="G13151">
        <v>0.16200000000000001</v>
      </c>
      <c r="H13151" t="s">
        <v>11</v>
      </c>
      <c r="I13151" t="s">
        <v>10</v>
      </c>
    </row>
    <row r="13152" spans="1:9" x14ac:dyDescent="0.25">
      <c r="A13152" t="str">
        <f t="shared" si="311"/>
        <v>89301000</v>
      </c>
      <c r="B13152" t="str">
        <f>"8061124456"</f>
        <v>8061124456</v>
      </c>
      <c r="C13152" s="1">
        <v>44967</v>
      </c>
      <c r="D13152" s="1">
        <v>44967</v>
      </c>
      <c r="E13152">
        <v>1</v>
      </c>
      <c r="F13152" t="str">
        <f>"01-K06-00"</f>
        <v>01-K06-00</v>
      </c>
      <c r="G13152">
        <v>7.6799999999999993E-2</v>
      </c>
      <c r="H13152" t="s">
        <v>11</v>
      </c>
      <c r="I13152" t="s">
        <v>10</v>
      </c>
    </row>
    <row r="13153" spans="1:9" x14ac:dyDescent="0.25">
      <c r="A13153" t="str">
        <f t="shared" si="311"/>
        <v>89301000</v>
      </c>
      <c r="B13153" t="str">
        <f>"8061165574"</f>
        <v>8061165574</v>
      </c>
      <c r="C13153" s="1">
        <v>45036</v>
      </c>
      <c r="D13153" s="1">
        <v>45041</v>
      </c>
      <c r="E13153">
        <v>1</v>
      </c>
      <c r="F13153" t="str">
        <f>"03-I24-00"</f>
        <v>03-I24-00</v>
      </c>
      <c r="G13153">
        <v>0.40899999999999997</v>
      </c>
      <c r="H13153" t="s">
        <v>11</v>
      </c>
      <c r="I13153" t="s">
        <v>10</v>
      </c>
    </row>
    <row r="13154" spans="1:9" x14ac:dyDescent="0.25">
      <c r="A13154" t="str">
        <f t="shared" si="311"/>
        <v>89301000</v>
      </c>
      <c r="B13154" t="str">
        <f>"8061225755"</f>
        <v>8061225755</v>
      </c>
      <c r="C13154" s="1">
        <v>45098</v>
      </c>
      <c r="D13154" s="1">
        <v>45104</v>
      </c>
      <c r="E13154">
        <v>1</v>
      </c>
      <c r="F13154" t="str">
        <f>"09-I07-01"</f>
        <v>09-I07-01</v>
      </c>
      <c r="G13154">
        <v>1.6956</v>
      </c>
      <c r="H13154" t="s">
        <v>14</v>
      </c>
      <c r="I13154" t="s">
        <v>10</v>
      </c>
    </row>
    <row r="13155" spans="1:9" x14ac:dyDescent="0.25">
      <c r="A13155" t="str">
        <f t="shared" si="311"/>
        <v>89301000</v>
      </c>
      <c r="B13155" t="str">
        <f>"8061234522"</f>
        <v>8061234522</v>
      </c>
      <c r="C13155" s="1">
        <v>45155</v>
      </c>
      <c r="D13155" s="1">
        <v>45176</v>
      </c>
      <c r="E13155">
        <v>1</v>
      </c>
      <c r="F13155" t="str">
        <f>"17-C05-02"</f>
        <v>17-C05-02</v>
      </c>
      <c r="G13155">
        <v>2.3085</v>
      </c>
      <c r="H13155" t="s">
        <v>11</v>
      </c>
      <c r="I13155" t="s">
        <v>10</v>
      </c>
    </row>
    <row r="13156" spans="1:9" x14ac:dyDescent="0.25">
      <c r="A13156" t="str">
        <f t="shared" si="311"/>
        <v>89301000</v>
      </c>
      <c r="B13156" t="str">
        <f>"8061245313"</f>
        <v>8061245313</v>
      </c>
      <c r="C13156" s="1">
        <v>45128</v>
      </c>
      <c r="D13156" s="1">
        <v>45130</v>
      </c>
      <c r="E13156">
        <v>1</v>
      </c>
      <c r="F13156" t="str">
        <f>"01-K07-03"</f>
        <v>01-K07-03</v>
      </c>
      <c r="G13156">
        <v>0.48680000000000001</v>
      </c>
      <c r="H13156" t="s">
        <v>11</v>
      </c>
      <c r="I13156" t="s">
        <v>10</v>
      </c>
    </row>
    <row r="13157" spans="1:9" x14ac:dyDescent="0.25">
      <c r="A13157" t="str">
        <f t="shared" si="311"/>
        <v>89301000</v>
      </c>
      <c r="B13157" t="str">
        <f>"8061305527"</f>
        <v>8061305527</v>
      </c>
      <c r="C13157" s="1">
        <v>45164</v>
      </c>
      <c r="D13157" s="1">
        <v>45167</v>
      </c>
      <c r="E13157">
        <v>1</v>
      </c>
      <c r="F13157" t="str">
        <f>"08-I13-06"</f>
        <v>08-I13-06</v>
      </c>
      <c r="G13157">
        <v>1.9452</v>
      </c>
      <c r="H13157" t="s">
        <v>12</v>
      </c>
      <c r="I13157" t="s">
        <v>10</v>
      </c>
    </row>
    <row r="13158" spans="1:9" x14ac:dyDescent="0.25">
      <c r="A13158" t="str">
        <f t="shared" si="311"/>
        <v>89301000</v>
      </c>
      <c r="B13158" t="str">
        <f>"8062164473"</f>
        <v>8062164473</v>
      </c>
      <c r="C13158" s="1">
        <v>45056</v>
      </c>
      <c r="D13158" s="1">
        <v>45057</v>
      </c>
      <c r="E13158">
        <v>1</v>
      </c>
      <c r="F13158" t="str">
        <f>"01-D01-03"</f>
        <v>01-D01-03</v>
      </c>
      <c r="G13158">
        <v>0.16200000000000001</v>
      </c>
      <c r="H13158" t="s">
        <v>11</v>
      </c>
      <c r="I13158" t="s">
        <v>10</v>
      </c>
    </row>
    <row r="13159" spans="1:9" x14ac:dyDescent="0.25">
      <c r="A13159" t="str">
        <f t="shared" si="311"/>
        <v>89301000</v>
      </c>
      <c r="B13159" t="str">
        <f>"8062194481"</f>
        <v>8062194481</v>
      </c>
      <c r="C13159" s="1">
        <v>45242</v>
      </c>
      <c r="D13159" s="1">
        <v>45243</v>
      </c>
      <c r="E13159">
        <v>1</v>
      </c>
      <c r="F13159" t="str">
        <f>"14-M01-05"</f>
        <v>14-M01-05</v>
      </c>
      <c r="G13159">
        <v>0.56589999999999996</v>
      </c>
      <c r="H13159" t="s">
        <v>13</v>
      </c>
      <c r="I13159" t="s">
        <v>10</v>
      </c>
    </row>
    <row r="13160" spans="1:9" x14ac:dyDescent="0.25">
      <c r="A13160" t="str">
        <f t="shared" si="311"/>
        <v>89301000</v>
      </c>
      <c r="B13160" t="str">
        <f>"8062680527"</f>
        <v>8062680527</v>
      </c>
      <c r="C13160" s="1">
        <v>45194</v>
      </c>
      <c r="D13160" s="1">
        <v>45195</v>
      </c>
      <c r="E13160">
        <v>1</v>
      </c>
      <c r="F13160" t="str">
        <f>"05-I30-02"</f>
        <v>05-I30-02</v>
      </c>
      <c r="G13160">
        <v>0.41699999999999998</v>
      </c>
      <c r="H13160" t="s">
        <v>12</v>
      </c>
      <c r="I13160" t="s">
        <v>10</v>
      </c>
    </row>
    <row r="13161" spans="1:9" x14ac:dyDescent="0.25">
      <c r="A13161" t="str">
        <f t="shared" si="311"/>
        <v>89301000</v>
      </c>
      <c r="B13161" t="str">
        <f>"8101025306"</f>
        <v>8101025306</v>
      </c>
      <c r="C13161" s="1">
        <v>45070</v>
      </c>
      <c r="D13161" s="1">
        <v>45076</v>
      </c>
      <c r="E13161">
        <v>4</v>
      </c>
      <c r="F13161" t="str">
        <f>"24-M06-02"</f>
        <v>24-M06-02</v>
      </c>
      <c r="G13161">
        <v>1.0699000000000001</v>
      </c>
      <c r="H13161" t="s">
        <v>11</v>
      </c>
      <c r="I13161" t="s">
        <v>10</v>
      </c>
    </row>
    <row r="13162" spans="1:9" x14ac:dyDescent="0.25">
      <c r="A13162" t="str">
        <f t="shared" si="311"/>
        <v>89301000</v>
      </c>
      <c r="B13162" t="str">
        <f>"8101025306"</f>
        <v>8101025306</v>
      </c>
      <c r="C13162" s="1">
        <v>45060</v>
      </c>
      <c r="D13162" s="1">
        <v>45070</v>
      </c>
      <c r="E13162">
        <v>3</v>
      </c>
      <c r="F13162" t="str">
        <f>"08-I05-04"</f>
        <v>08-I05-04</v>
      </c>
      <c r="G13162">
        <v>2.4445000000000001</v>
      </c>
      <c r="H13162" t="s">
        <v>12</v>
      </c>
      <c r="I13162" t="s">
        <v>10</v>
      </c>
    </row>
    <row r="13163" spans="1:9" x14ac:dyDescent="0.25">
      <c r="A13163" t="str">
        <f t="shared" si="311"/>
        <v>89301000</v>
      </c>
      <c r="B13163" t="str">
        <f>"8101275765"</f>
        <v>8101275765</v>
      </c>
      <c r="C13163" s="1">
        <v>45036</v>
      </c>
      <c r="D13163" s="1">
        <v>45041</v>
      </c>
      <c r="E13163">
        <v>1</v>
      </c>
      <c r="F13163" t="str">
        <f>"09-K04-02"</f>
        <v>09-K04-02</v>
      </c>
      <c r="G13163">
        <v>0.64849999999999997</v>
      </c>
      <c r="H13163" t="s">
        <v>11</v>
      </c>
      <c r="I13163" t="s">
        <v>10</v>
      </c>
    </row>
    <row r="13164" spans="1:9" x14ac:dyDescent="0.25">
      <c r="A13164" t="str">
        <f t="shared" si="311"/>
        <v>89301000</v>
      </c>
      <c r="B13164" t="str">
        <f>"8102063508"</f>
        <v>8102063508</v>
      </c>
      <c r="C13164" s="1">
        <v>45042</v>
      </c>
      <c r="D13164" s="1">
        <v>45043</v>
      </c>
      <c r="E13164">
        <v>1</v>
      </c>
      <c r="F13164" t="str">
        <f>"09-K14-02"</f>
        <v>09-K14-02</v>
      </c>
      <c r="G13164">
        <v>0.5</v>
      </c>
      <c r="H13164" t="s">
        <v>11</v>
      </c>
      <c r="I13164" t="s">
        <v>10</v>
      </c>
    </row>
    <row r="13165" spans="1:9" x14ac:dyDescent="0.25">
      <c r="A13165" t="str">
        <f t="shared" si="311"/>
        <v>89301000</v>
      </c>
      <c r="B13165" t="str">
        <f>"8102075762"</f>
        <v>8102075762</v>
      </c>
      <c r="C13165" s="1">
        <v>45162</v>
      </c>
      <c r="D13165" s="1">
        <v>45165</v>
      </c>
      <c r="E13165">
        <v>1</v>
      </c>
      <c r="F13165" t="str">
        <f>"11-I16-02"</f>
        <v>11-I16-02</v>
      </c>
      <c r="G13165">
        <v>0.4546</v>
      </c>
      <c r="H13165" t="s">
        <v>11</v>
      </c>
      <c r="I13165" t="s">
        <v>10</v>
      </c>
    </row>
    <row r="13166" spans="1:9" x14ac:dyDescent="0.25">
      <c r="A13166" t="str">
        <f t="shared" si="311"/>
        <v>89301000</v>
      </c>
      <c r="B13166" t="str">
        <f>"8102085079"</f>
        <v>8102085079</v>
      </c>
      <c r="C13166" s="1">
        <v>45086</v>
      </c>
      <c r="D13166" s="1">
        <v>45091</v>
      </c>
      <c r="E13166">
        <v>1</v>
      </c>
      <c r="F13166" t="str">
        <f>"09-K07-01"</f>
        <v>09-K07-01</v>
      </c>
      <c r="G13166">
        <v>1.3172999999999999</v>
      </c>
      <c r="H13166" t="s">
        <v>11</v>
      </c>
      <c r="I13166" t="s">
        <v>10</v>
      </c>
    </row>
    <row r="13167" spans="1:9" x14ac:dyDescent="0.25">
      <c r="A13167" t="str">
        <f t="shared" si="311"/>
        <v>89301000</v>
      </c>
      <c r="B13167" t="str">
        <f>"8102085079"</f>
        <v>8102085079</v>
      </c>
      <c r="C13167" s="1">
        <v>45036</v>
      </c>
      <c r="D13167" s="1">
        <v>45043</v>
      </c>
      <c r="E13167">
        <v>1</v>
      </c>
      <c r="F13167" t="str">
        <f>"09-K07-02"</f>
        <v>09-K07-02</v>
      </c>
      <c r="G13167">
        <v>0.49120000000000003</v>
      </c>
      <c r="H13167" t="s">
        <v>11</v>
      </c>
      <c r="I13167" t="s">
        <v>10</v>
      </c>
    </row>
    <row r="13168" spans="1:9" x14ac:dyDescent="0.25">
      <c r="A13168" t="str">
        <f t="shared" si="311"/>
        <v>89301000</v>
      </c>
      <c r="B13168" t="str">
        <f>"8102085079"</f>
        <v>8102085079</v>
      </c>
      <c r="C13168" s="1">
        <v>45117</v>
      </c>
      <c r="D13168" s="1">
        <v>45118</v>
      </c>
      <c r="E13168">
        <v>1</v>
      </c>
      <c r="F13168" t="str">
        <f>"09-K07-02"</f>
        <v>09-K07-02</v>
      </c>
      <c r="G13168">
        <v>0.53210000000000002</v>
      </c>
      <c r="H13168" t="s">
        <v>11</v>
      </c>
      <c r="I13168" t="s">
        <v>10</v>
      </c>
    </row>
    <row r="13169" spans="1:9" x14ac:dyDescent="0.25">
      <c r="A13169" t="str">
        <f t="shared" si="311"/>
        <v>89301000</v>
      </c>
      <c r="B13169" t="str">
        <f>"8102085332"</f>
        <v>8102085332</v>
      </c>
      <c r="C13169" s="1">
        <v>45215</v>
      </c>
      <c r="D13169" s="1">
        <v>45216</v>
      </c>
      <c r="E13169">
        <v>1</v>
      </c>
      <c r="F13169" t="str">
        <f>"08-I16-04"</f>
        <v>08-I16-04</v>
      </c>
      <c r="G13169">
        <v>0.83040000000000003</v>
      </c>
      <c r="H13169" t="s">
        <v>12</v>
      </c>
      <c r="I13169" t="s">
        <v>10</v>
      </c>
    </row>
    <row r="13170" spans="1:9" x14ac:dyDescent="0.25">
      <c r="A13170" t="str">
        <f t="shared" si="311"/>
        <v>89301000</v>
      </c>
      <c r="B13170" t="str">
        <f>"8102194474"</f>
        <v>8102194474</v>
      </c>
      <c r="C13170" s="1">
        <v>45014</v>
      </c>
      <c r="D13170" s="1">
        <v>45018</v>
      </c>
      <c r="E13170">
        <v>1</v>
      </c>
      <c r="F13170" t="str">
        <f>"03-I24-00"</f>
        <v>03-I24-00</v>
      </c>
      <c r="G13170">
        <v>0.40899999999999997</v>
      </c>
      <c r="H13170" t="s">
        <v>11</v>
      </c>
      <c r="I13170" t="s">
        <v>10</v>
      </c>
    </row>
    <row r="13171" spans="1:9" x14ac:dyDescent="0.25">
      <c r="A13171" t="str">
        <f t="shared" si="311"/>
        <v>89301000</v>
      </c>
      <c r="B13171" t="str">
        <f>"8102225329"</f>
        <v>8102225329</v>
      </c>
      <c r="C13171" s="1">
        <v>45279</v>
      </c>
      <c r="D13171" s="1">
        <v>45281</v>
      </c>
      <c r="E13171">
        <v>1</v>
      </c>
      <c r="F13171" t="str">
        <f>"06-I22-01"</f>
        <v>06-I22-01</v>
      </c>
      <c r="G13171">
        <v>0.68120000000000003</v>
      </c>
      <c r="H13171" t="s">
        <v>12</v>
      </c>
      <c r="I13171" t="s">
        <v>10</v>
      </c>
    </row>
    <row r="13172" spans="1:9" x14ac:dyDescent="0.25">
      <c r="A13172" t="str">
        <f t="shared" si="311"/>
        <v>89301000</v>
      </c>
      <c r="B13172" t="str">
        <f>"8102245305"</f>
        <v>8102245305</v>
      </c>
      <c r="C13172" s="1">
        <v>45211</v>
      </c>
      <c r="D13172" s="1">
        <v>45211</v>
      </c>
      <c r="E13172">
        <v>1</v>
      </c>
      <c r="F13172" t="str">
        <f>"05-D01-08"</f>
        <v>05-D01-08</v>
      </c>
      <c r="G13172">
        <v>0.2303</v>
      </c>
      <c r="H13172" t="s">
        <v>11</v>
      </c>
      <c r="I13172" t="s">
        <v>10</v>
      </c>
    </row>
    <row r="13173" spans="1:9" x14ac:dyDescent="0.25">
      <c r="A13173" t="str">
        <f t="shared" si="311"/>
        <v>89301000</v>
      </c>
      <c r="B13173" t="str">
        <f>"8102275324"</f>
        <v>8102275324</v>
      </c>
      <c r="C13173" s="1">
        <v>45040</v>
      </c>
      <c r="D13173" s="1">
        <v>45042</v>
      </c>
      <c r="E13173">
        <v>1</v>
      </c>
      <c r="F13173" t="str">
        <f>"01-K07-02"</f>
        <v>01-K07-02</v>
      </c>
      <c r="G13173">
        <v>0.6341</v>
      </c>
      <c r="H13173" t="s">
        <v>11</v>
      </c>
      <c r="I13173" t="s">
        <v>10</v>
      </c>
    </row>
    <row r="13174" spans="1:9" x14ac:dyDescent="0.25">
      <c r="A13174" t="str">
        <f t="shared" si="311"/>
        <v>89301000</v>
      </c>
      <c r="B13174" t="str">
        <f>"8103125789"</f>
        <v>8103125789</v>
      </c>
      <c r="C13174" s="1">
        <v>45229</v>
      </c>
      <c r="D13174" s="1">
        <v>45233</v>
      </c>
      <c r="E13174">
        <v>1</v>
      </c>
      <c r="F13174" t="str">
        <f>"10-I13-02"</f>
        <v>10-I13-02</v>
      </c>
      <c r="G13174">
        <v>1.1124000000000001</v>
      </c>
      <c r="H13174" t="s">
        <v>9</v>
      </c>
      <c r="I13174" t="s">
        <v>10</v>
      </c>
    </row>
    <row r="13175" spans="1:9" x14ac:dyDescent="0.25">
      <c r="A13175" t="str">
        <f t="shared" si="311"/>
        <v>89301000</v>
      </c>
      <c r="B13175" t="str">
        <f>"8104035302"</f>
        <v>8104035302</v>
      </c>
      <c r="C13175" s="1">
        <v>45194</v>
      </c>
      <c r="D13175" s="1">
        <v>45196</v>
      </c>
      <c r="E13175">
        <v>1</v>
      </c>
      <c r="F13175" t="str">
        <f>"08-K08-00"</f>
        <v>08-K08-00</v>
      </c>
      <c r="G13175">
        <v>0.5272</v>
      </c>
      <c r="H13175" t="s">
        <v>11</v>
      </c>
      <c r="I13175" t="s">
        <v>10</v>
      </c>
    </row>
    <row r="13176" spans="1:9" x14ac:dyDescent="0.25">
      <c r="A13176" t="str">
        <f t="shared" si="311"/>
        <v>89301000</v>
      </c>
      <c r="B13176" t="str">
        <f>"8104055773"</f>
        <v>8104055773</v>
      </c>
      <c r="C13176" s="1">
        <v>45180</v>
      </c>
      <c r="D13176" s="1">
        <v>45181</v>
      </c>
      <c r="E13176">
        <v>1</v>
      </c>
      <c r="F13176" t="str">
        <f>"01-D01-03"</f>
        <v>01-D01-03</v>
      </c>
      <c r="G13176">
        <v>0.16200000000000001</v>
      </c>
      <c r="H13176" t="s">
        <v>11</v>
      </c>
      <c r="I13176" t="s">
        <v>10</v>
      </c>
    </row>
    <row r="13177" spans="1:9" x14ac:dyDescent="0.25">
      <c r="A13177" t="str">
        <f t="shared" si="311"/>
        <v>89301000</v>
      </c>
      <c r="B13177" t="str">
        <f>"8104084857"</f>
        <v>8104084857</v>
      </c>
      <c r="C13177" s="1">
        <v>45041</v>
      </c>
      <c r="D13177" s="1">
        <v>45049</v>
      </c>
      <c r="E13177">
        <v>1</v>
      </c>
      <c r="F13177" t="str">
        <f>"06-I07-06"</f>
        <v>06-I07-06</v>
      </c>
      <c r="G13177">
        <v>2.3725000000000001</v>
      </c>
      <c r="H13177" t="s">
        <v>12</v>
      </c>
      <c r="I13177" t="s">
        <v>10</v>
      </c>
    </row>
    <row r="13178" spans="1:9" x14ac:dyDescent="0.25">
      <c r="A13178" t="str">
        <f t="shared" si="311"/>
        <v>89301000</v>
      </c>
      <c r="B13178" t="str">
        <f>"8104084857"</f>
        <v>8104084857</v>
      </c>
      <c r="C13178" s="1">
        <v>44924</v>
      </c>
      <c r="D13178" s="1">
        <v>44932</v>
      </c>
      <c r="E13178">
        <v>1</v>
      </c>
      <c r="F13178" t="str">
        <f>"06-I07-05"</f>
        <v>06-I07-05</v>
      </c>
      <c r="G13178">
        <v>2.7919999999999998</v>
      </c>
      <c r="H13178" t="s">
        <v>12</v>
      </c>
      <c r="I13178" t="s">
        <v>10</v>
      </c>
    </row>
    <row r="13179" spans="1:9" x14ac:dyDescent="0.25">
      <c r="A13179" t="str">
        <f t="shared" si="311"/>
        <v>89301000</v>
      </c>
      <c r="B13179" t="str">
        <f>"8104305132"</f>
        <v>8104305132</v>
      </c>
      <c r="C13179" s="1">
        <v>45236</v>
      </c>
      <c r="D13179" s="1">
        <v>45240</v>
      </c>
      <c r="E13179">
        <v>1</v>
      </c>
      <c r="F13179" t="str">
        <f>"06-K11-00"</f>
        <v>06-K11-00</v>
      </c>
      <c r="G13179">
        <v>0.34639999999999999</v>
      </c>
      <c r="H13179" t="s">
        <v>11</v>
      </c>
      <c r="I13179" t="s">
        <v>10</v>
      </c>
    </row>
    <row r="13180" spans="1:9" x14ac:dyDescent="0.25">
      <c r="A13180" t="str">
        <f t="shared" si="311"/>
        <v>89301000</v>
      </c>
      <c r="B13180" t="str">
        <f>"8105075759"</f>
        <v>8105075759</v>
      </c>
      <c r="C13180" s="1">
        <v>44973</v>
      </c>
      <c r="D13180" s="1">
        <v>44975</v>
      </c>
      <c r="E13180">
        <v>1</v>
      </c>
      <c r="F13180" t="str">
        <f>"08-I32-00"</f>
        <v>08-I32-00</v>
      </c>
      <c r="G13180">
        <v>0.4093</v>
      </c>
      <c r="H13180" t="s">
        <v>11</v>
      </c>
      <c r="I13180" t="s">
        <v>10</v>
      </c>
    </row>
    <row r="13181" spans="1:9" x14ac:dyDescent="0.25">
      <c r="A13181" t="str">
        <f t="shared" si="311"/>
        <v>89301000</v>
      </c>
      <c r="B13181" t="str">
        <f>"8105145312"</f>
        <v>8105145312</v>
      </c>
      <c r="C13181" s="1">
        <v>45015</v>
      </c>
      <c r="D13181" s="1">
        <v>45017</v>
      </c>
      <c r="E13181">
        <v>1</v>
      </c>
      <c r="F13181" t="str">
        <f>"08-I15-03"</f>
        <v>08-I15-03</v>
      </c>
      <c r="G13181">
        <v>0.94059999999999999</v>
      </c>
      <c r="H13181" t="s">
        <v>12</v>
      </c>
      <c r="I13181" t="s">
        <v>10</v>
      </c>
    </row>
    <row r="13182" spans="1:9" x14ac:dyDescent="0.25">
      <c r="A13182" t="str">
        <f t="shared" si="311"/>
        <v>89301000</v>
      </c>
      <c r="B13182" t="str">
        <f>"8105254971"</f>
        <v>8105254971</v>
      </c>
      <c r="C13182" s="1">
        <v>44992</v>
      </c>
      <c r="D13182" s="1">
        <v>44994</v>
      </c>
      <c r="E13182">
        <v>1</v>
      </c>
      <c r="F13182" t="str">
        <f>"08-I25-02"</f>
        <v>08-I25-02</v>
      </c>
      <c r="G13182">
        <v>0.55279999999999996</v>
      </c>
      <c r="H13182" t="s">
        <v>11</v>
      </c>
      <c r="I13182" t="s">
        <v>10</v>
      </c>
    </row>
    <row r="13183" spans="1:9" x14ac:dyDescent="0.25">
      <c r="A13183" t="str">
        <f t="shared" si="311"/>
        <v>89301000</v>
      </c>
      <c r="B13183" t="str">
        <f>"8105275794"</f>
        <v>8105275794</v>
      </c>
      <c r="C13183" s="1">
        <v>45160</v>
      </c>
      <c r="D13183" s="1">
        <v>45162</v>
      </c>
      <c r="E13183">
        <v>1</v>
      </c>
      <c r="F13183" t="str">
        <f>"20-K02-03"</f>
        <v>20-K02-03</v>
      </c>
      <c r="G13183">
        <v>0.57520000000000004</v>
      </c>
      <c r="H13183" t="s">
        <v>11</v>
      </c>
      <c r="I13183" t="s">
        <v>10</v>
      </c>
    </row>
    <row r="13184" spans="1:9" x14ac:dyDescent="0.25">
      <c r="A13184" t="str">
        <f t="shared" si="311"/>
        <v>89301000</v>
      </c>
      <c r="B13184" t="str">
        <f>"8106074537"</f>
        <v>8106074537</v>
      </c>
      <c r="C13184" s="1">
        <v>45274</v>
      </c>
      <c r="D13184" s="1">
        <v>45277</v>
      </c>
      <c r="E13184">
        <v>1</v>
      </c>
      <c r="F13184" t="str">
        <f>"08-I22-02"</f>
        <v>08-I22-02</v>
      </c>
      <c r="G13184">
        <v>1.131</v>
      </c>
      <c r="H13184" t="s">
        <v>12</v>
      </c>
      <c r="I13184" t="s">
        <v>10</v>
      </c>
    </row>
    <row r="13185" spans="1:9" x14ac:dyDescent="0.25">
      <c r="A13185" t="str">
        <f t="shared" si="311"/>
        <v>89301000</v>
      </c>
      <c r="B13185" t="str">
        <f>"8106105348"</f>
        <v>8106105348</v>
      </c>
      <c r="C13185" s="1">
        <v>44930</v>
      </c>
      <c r="D13185" s="1">
        <v>44940</v>
      </c>
      <c r="E13185">
        <v>1</v>
      </c>
      <c r="F13185" t="str">
        <f>"24-M06-02"</f>
        <v>24-M06-02</v>
      </c>
      <c r="G13185">
        <v>1.0699000000000001</v>
      </c>
      <c r="H13185" t="s">
        <v>11</v>
      </c>
      <c r="I13185" t="s">
        <v>10</v>
      </c>
    </row>
    <row r="13186" spans="1:9" x14ac:dyDescent="0.25">
      <c r="A13186" t="str">
        <f t="shared" si="311"/>
        <v>89301000</v>
      </c>
      <c r="B13186" t="str">
        <f>"8106125764"</f>
        <v>8106125764</v>
      </c>
      <c r="C13186" s="1">
        <v>45259</v>
      </c>
      <c r="D13186" s="1">
        <v>45261</v>
      </c>
      <c r="E13186">
        <v>1</v>
      </c>
      <c r="F13186" t="str">
        <f>"09-K16-00"</f>
        <v>09-K16-00</v>
      </c>
      <c r="G13186">
        <v>0.61870000000000003</v>
      </c>
      <c r="H13186" t="s">
        <v>11</v>
      </c>
      <c r="I13186" t="s">
        <v>10</v>
      </c>
    </row>
    <row r="13187" spans="1:9" x14ac:dyDescent="0.25">
      <c r="A13187" t="str">
        <f t="shared" si="311"/>
        <v>89301000</v>
      </c>
      <c r="B13187" t="str">
        <f>"8106165331"</f>
        <v>8106165331</v>
      </c>
      <c r="C13187" s="1">
        <v>45002</v>
      </c>
      <c r="D13187" s="1">
        <v>45004</v>
      </c>
      <c r="E13187">
        <v>1</v>
      </c>
      <c r="F13187" t="str">
        <f>"10-K01-02"</f>
        <v>10-K01-02</v>
      </c>
      <c r="G13187">
        <v>0.62870000000000004</v>
      </c>
      <c r="H13187" t="s">
        <v>11</v>
      </c>
      <c r="I13187" t="s">
        <v>10</v>
      </c>
    </row>
    <row r="13188" spans="1:9" x14ac:dyDescent="0.25">
      <c r="A13188" t="str">
        <f t="shared" si="311"/>
        <v>89301000</v>
      </c>
      <c r="B13188" t="str">
        <f>"8106165331"</f>
        <v>8106165331</v>
      </c>
      <c r="C13188" s="1">
        <v>45072</v>
      </c>
      <c r="D13188" s="1">
        <v>45078</v>
      </c>
      <c r="E13188">
        <v>1</v>
      </c>
      <c r="F13188" t="str">
        <f>"10-I13-02"</f>
        <v>10-I13-02</v>
      </c>
      <c r="G13188">
        <v>1.1124000000000001</v>
      </c>
      <c r="H13188" t="s">
        <v>9</v>
      </c>
      <c r="I13188" t="s">
        <v>10</v>
      </c>
    </row>
    <row r="13189" spans="1:9" x14ac:dyDescent="0.25">
      <c r="A13189" t="str">
        <f t="shared" si="311"/>
        <v>89301000</v>
      </c>
      <c r="B13189" t="str">
        <f>"8107105325"</f>
        <v>8107105325</v>
      </c>
      <c r="C13189" s="1">
        <v>45211</v>
      </c>
      <c r="D13189" s="1">
        <v>45213</v>
      </c>
      <c r="E13189">
        <v>1</v>
      </c>
      <c r="F13189" t="str">
        <f>"08-M03-05"</f>
        <v>08-M03-05</v>
      </c>
      <c r="G13189">
        <v>0.46910000000000002</v>
      </c>
      <c r="H13189" t="s">
        <v>11</v>
      </c>
      <c r="I13189" t="s">
        <v>10</v>
      </c>
    </row>
    <row r="13190" spans="1:9" x14ac:dyDescent="0.25">
      <c r="A13190" t="str">
        <f t="shared" si="311"/>
        <v>89301000</v>
      </c>
      <c r="B13190" t="str">
        <f>"8107245773"</f>
        <v>8107245773</v>
      </c>
      <c r="C13190" s="1">
        <v>45003</v>
      </c>
      <c r="D13190" s="1">
        <v>45005</v>
      </c>
      <c r="E13190">
        <v>7</v>
      </c>
      <c r="F13190" t="str">
        <f>"25-K01-01"</f>
        <v>25-K01-01</v>
      </c>
      <c r="G13190">
        <v>3.6501000000000001</v>
      </c>
      <c r="H13190" t="s">
        <v>14</v>
      </c>
      <c r="I13190" t="s">
        <v>10</v>
      </c>
    </row>
    <row r="13191" spans="1:9" x14ac:dyDescent="0.25">
      <c r="A13191" t="str">
        <f t="shared" si="311"/>
        <v>89301000</v>
      </c>
      <c r="B13191" t="str">
        <f>"8107305756"</f>
        <v>8107305756</v>
      </c>
      <c r="C13191" s="1">
        <v>45019</v>
      </c>
      <c r="D13191" s="1">
        <v>45020</v>
      </c>
      <c r="E13191">
        <v>1</v>
      </c>
      <c r="F13191" t="str">
        <f>"01-D01-03"</f>
        <v>01-D01-03</v>
      </c>
      <c r="G13191">
        <v>0.16200000000000001</v>
      </c>
      <c r="H13191" t="s">
        <v>11</v>
      </c>
      <c r="I13191" t="s">
        <v>10</v>
      </c>
    </row>
    <row r="13192" spans="1:9" x14ac:dyDescent="0.25">
      <c r="A13192" t="str">
        <f t="shared" si="311"/>
        <v>89301000</v>
      </c>
      <c r="B13192" t="str">
        <f>"8107305756"</f>
        <v>8107305756</v>
      </c>
      <c r="C13192" s="1">
        <v>44956</v>
      </c>
      <c r="D13192" s="1">
        <v>44957</v>
      </c>
      <c r="E13192">
        <v>1</v>
      </c>
      <c r="F13192" t="str">
        <f>"10-K15-02"</f>
        <v>10-K15-02</v>
      </c>
      <c r="G13192">
        <v>0.66379999999999995</v>
      </c>
      <c r="H13192" t="s">
        <v>11</v>
      </c>
      <c r="I13192" t="s">
        <v>10</v>
      </c>
    </row>
    <row r="13193" spans="1:9" x14ac:dyDescent="0.25">
      <c r="A13193" t="str">
        <f t="shared" si="311"/>
        <v>89301000</v>
      </c>
      <c r="B13193" t="str">
        <f>"8108028005"</f>
        <v>8108028005</v>
      </c>
      <c r="C13193" s="1">
        <v>45260</v>
      </c>
      <c r="D13193" s="1">
        <v>45263</v>
      </c>
      <c r="E13193">
        <v>1</v>
      </c>
      <c r="F13193" t="str">
        <f>"05-I30-01"</f>
        <v>05-I30-01</v>
      </c>
      <c r="G13193">
        <v>0.60309999999999997</v>
      </c>
      <c r="H13193" t="s">
        <v>12</v>
      </c>
      <c r="I13193" t="s">
        <v>10</v>
      </c>
    </row>
    <row r="13194" spans="1:9" x14ac:dyDescent="0.25">
      <c r="A13194" t="str">
        <f t="shared" si="311"/>
        <v>89301000</v>
      </c>
      <c r="B13194" t="str">
        <f>"8108035287"</f>
        <v>8108035287</v>
      </c>
      <c r="C13194" s="1">
        <v>45236</v>
      </c>
      <c r="D13194" s="1">
        <v>45238</v>
      </c>
      <c r="E13194">
        <v>1</v>
      </c>
      <c r="F13194" t="str">
        <f>"03-I19-03"</f>
        <v>03-I19-03</v>
      </c>
      <c r="G13194">
        <v>0.53249999999999997</v>
      </c>
      <c r="H13194" t="s">
        <v>11</v>
      </c>
      <c r="I13194" t="s">
        <v>10</v>
      </c>
    </row>
    <row r="13195" spans="1:9" x14ac:dyDescent="0.25">
      <c r="A13195" t="str">
        <f t="shared" si="311"/>
        <v>89301000</v>
      </c>
      <c r="B13195" t="str">
        <f>"8108075734"</f>
        <v>8108075734</v>
      </c>
      <c r="C13195" s="1">
        <v>45015</v>
      </c>
      <c r="D13195" s="1">
        <v>45020</v>
      </c>
      <c r="E13195">
        <v>6</v>
      </c>
      <c r="F13195" t="str">
        <f>"20-K03-03"</f>
        <v>20-K03-03</v>
      </c>
      <c r="G13195">
        <v>0.94020000000000004</v>
      </c>
      <c r="H13195" t="s">
        <v>11</v>
      </c>
      <c r="I13195" t="s">
        <v>10</v>
      </c>
    </row>
    <row r="13196" spans="1:9" x14ac:dyDescent="0.25">
      <c r="A13196" t="str">
        <f t="shared" si="311"/>
        <v>89301000</v>
      </c>
      <c r="B13196" t="str">
        <f>"8108175339"</f>
        <v>8108175339</v>
      </c>
      <c r="C13196" s="1">
        <v>45007</v>
      </c>
      <c r="D13196" s="1">
        <v>45016</v>
      </c>
      <c r="E13196">
        <v>1</v>
      </c>
      <c r="F13196" t="str">
        <f>"01-K01-02"</f>
        <v>01-K01-02</v>
      </c>
      <c r="G13196">
        <v>0.5746</v>
      </c>
      <c r="H13196" t="s">
        <v>11</v>
      </c>
      <c r="I13196" t="s">
        <v>10</v>
      </c>
    </row>
    <row r="13197" spans="1:9" x14ac:dyDescent="0.25">
      <c r="A13197" t="str">
        <f t="shared" si="311"/>
        <v>89301000</v>
      </c>
      <c r="B13197" t="str">
        <f>"8108215302"</f>
        <v>8108215302</v>
      </c>
      <c r="C13197" s="1">
        <v>44927</v>
      </c>
      <c r="D13197" s="1">
        <v>44930</v>
      </c>
      <c r="E13197">
        <v>1</v>
      </c>
      <c r="F13197" t="str">
        <f>"06-I16-04"</f>
        <v>06-I16-04</v>
      </c>
      <c r="G13197">
        <v>0.68920000000000003</v>
      </c>
      <c r="H13197" t="s">
        <v>9</v>
      </c>
      <c r="I13197" t="s">
        <v>10</v>
      </c>
    </row>
    <row r="13198" spans="1:9" x14ac:dyDescent="0.25">
      <c r="A13198" t="str">
        <f t="shared" si="311"/>
        <v>89301000</v>
      </c>
      <c r="B13198" t="str">
        <f>"8108244320"</f>
        <v>8108244320</v>
      </c>
      <c r="C13198" s="1">
        <v>45134</v>
      </c>
      <c r="D13198" s="1">
        <v>45141</v>
      </c>
      <c r="E13198">
        <v>4</v>
      </c>
      <c r="F13198" t="str">
        <f>"20-K03-03"</f>
        <v>20-K03-03</v>
      </c>
      <c r="G13198">
        <v>0.94020000000000004</v>
      </c>
      <c r="H13198" t="s">
        <v>11</v>
      </c>
      <c r="I13198" t="s">
        <v>10</v>
      </c>
    </row>
    <row r="13199" spans="1:9" x14ac:dyDescent="0.25">
      <c r="A13199" t="str">
        <f t="shared" si="311"/>
        <v>89301000</v>
      </c>
      <c r="B13199" t="str">
        <f>"8108244320"</f>
        <v>8108244320</v>
      </c>
      <c r="C13199" s="1">
        <v>45125</v>
      </c>
      <c r="D13199" s="1">
        <v>45128</v>
      </c>
      <c r="E13199">
        <v>1</v>
      </c>
      <c r="F13199" t="str">
        <f>"20-K02-03"</f>
        <v>20-K02-03</v>
      </c>
      <c r="G13199">
        <v>0.57520000000000004</v>
      </c>
      <c r="H13199" t="s">
        <v>11</v>
      </c>
      <c r="I13199" t="s">
        <v>10</v>
      </c>
    </row>
    <row r="13200" spans="1:9" x14ac:dyDescent="0.25">
      <c r="A13200" t="str">
        <f t="shared" si="311"/>
        <v>89301000</v>
      </c>
      <c r="B13200" t="str">
        <f>"8109075348"</f>
        <v>8109075348</v>
      </c>
      <c r="C13200" s="1">
        <v>45203</v>
      </c>
      <c r="D13200" s="1">
        <v>45205</v>
      </c>
      <c r="E13200">
        <v>1</v>
      </c>
      <c r="F13200" t="str">
        <f>"03-I22-01"</f>
        <v>03-I22-01</v>
      </c>
      <c r="G13200">
        <v>0.62490000000000001</v>
      </c>
      <c r="H13200" t="s">
        <v>11</v>
      </c>
      <c r="I13200" t="s">
        <v>10</v>
      </c>
    </row>
    <row r="13201" spans="1:9" x14ac:dyDescent="0.25">
      <c r="A13201" t="str">
        <f t="shared" si="311"/>
        <v>89301000</v>
      </c>
      <c r="B13201" t="str">
        <f>"8109085325"</f>
        <v>8109085325</v>
      </c>
      <c r="C13201" s="1">
        <v>45051</v>
      </c>
      <c r="D13201" s="1">
        <v>45054</v>
      </c>
      <c r="E13201">
        <v>1</v>
      </c>
      <c r="F13201" t="str">
        <f>"01-D01-03"</f>
        <v>01-D01-03</v>
      </c>
      <c r="G13201">
        <v>0.21060000000000001</v>
      </c>
      <c r="H13201" t="s">
        <v>11</v>
      </c>
      <c r="I13201" t="s">
        <v>10</v>
      </c>
    </row>
    <row r="13202" spans="1:9" x14ac:dyDescent="0.25">
      <c r="A13202" t="str">
        <f t="shared" si="311"/>
        <v>89301000</v>
      </c>
      <c r="B13202" t="str">
        <f>"8109115366"</f>
        <v>8109115366</v>
      </c>
      <c r="C13202" s="1">
        <v>45270</v>
      </c>
      <c r="D13202" s="1">
        <v>45282</v>
      </c>
      <c r="E13202">
        <v>1</v>
      </c>
      <c r="F13202" t="str">
        <f>"20-K04-02"</f>
        <v>20-K04-02</v>
      </c>
      <c r="G13202">
        <v>1.3380000000000001</v>
      </c>
      <c r="H13202" t="s">
        <v>11</v>
      </c>
      <c r="I13202" t="s">
        <v>10</v>
      </c>
    </row>
    <row r="13203" spans="1:9" x14ac:dyDescent="0.25">
      <c r="A13203" t="str">
        <f t="shared" si="311"/>
        <v>89301000</v>
      </c>
      <c r="B13203" t="str">
        <f>"8109165372"</f>
        <v>8109165372</v>
      </c>
      <c r="C13203" s="1">
        <v>45177</v>
      </c>
      <c r="D13203" s="1">
        <v>45179</v>
      </c>
      <c r="E13203">
        <v>1</v>
      </c>
      <c r="F13203" t="str">
        <f>"07-I10-06"</f>
        <v>07-I10-06</v>
      </c>
      <c r="G13203">
        <v>0.98419999999999996</v>
      </c>
      <c r="H13203" t="s">
        <v>12</v>
      </c>
      <c r="I13203" t="s">
        <v>10</v>
      </c>
    </row>
    <row r="13204" spans="1:9" x14ac:dyDescent="0.25">
      <c r="A13204" t="str">
        <f t="shared" si="311"/>
        <v>89301000</v>
      </c>
      <c r="B13204" t="str">
        <f>"8109165372"</f>
        <v>8109165372</v>
      </c>
      <c r="C13204" s="1">
        <v>45050</v>
      </c>
      <c r="D13204" s="1">
        <v>45051</v>
      </c>
      <c r="E13204">
        <v>1</v>
      </c>
      <c r="F13204" t="str">
        <f>"07-M02-04"</f>
        <v>07-M02-04</v>
      </c>
      <c r="G13204">
        <v>0.77339999999999998</v>
      </c>
      <c r="H13204" t="s">
        <v>12</v>
      </c>
      <c r="I13204" t="s">
        <v>10</v>
      </c>
    </row>
    <row r="13205" spans="1:9" x14ac:dyDescent="0.25">
      <c r="A13205" t="str">
        <f t="shared" si="311"/>
        <v>89301000</v>
      </c>
      <c r="B13205" t="str">
        <f>"8109185304"</f>
        <v>8109185304</v>
      </c>
      <c r="C13205" s="1">
        <v>45190</v>
      </c>
      <c r="D13205" s="1">
        <v>45192</v>
      </c>
      <c r="E13205">
        <v>1</v>
      </c>
      <c r="F13205" t="str">
        <f>"08-I19-03"</f>
        <v>08-I19-03</v>
      </c>
      <c r="G13205">
        <v>0.59130000000000005</v>
      </c>
      <c r="H13205" t="s">
        <v>12</v>
      </c>
      <c r="I13205" t="s">
        <v>10</v>
      </c>
    </row>
    <row r="13206" spans="1:9" x14ac:dyDescent="0.25">
      <c r="A13206" t="str">
        <f t="shared" si="311"/>
        <v>89301000</v>
      </c>
      <c r="B13206" t="str">
        <f>"8109204466"</f>
        <v>8109204466</v>
      </c>
      <c r="C13206" s="1">
        <v>45274</v>
      </c>
      <c r="D13206" s="1">
        <v>45279</v>
      </c>
      <c r="E13206">
        <v>1</v>
      </c>
      <c r="F13206" t="str">
        <f>"01-I08-03"</f>
        <v>01-I08-03</v>
      </c>
      <c r="G13206">
        <v>2.7724000000000002</v>
      </c>
      <c r="H13206" t="s">
        <v>14</v>
      </c>
      <c r="I13206" t="s">
        <v>10</v>
      </c>
    </row>
    <row r="13207" spans="1:9" x14ac:dyDescent="0.25">
      <c r="A13207" t="str">
        <f t="shared" si="311"/>
        <v>89301000</v>
      </c>
      <c r="B13207" t="str">
        <f>"8109285349"</f>
        <v>8109285349</v>
      </c>
      <c r="C13207" s="1">
        <v>45223</v>
      </c>
      <c r="D13207" s="1">
        <v>45224</v>
      </c>
      <c r="E13207">
        <v>1</v>
      </c>
      <c r="F13207" t="str">
        <f>"08-I18-01"</f>
        <v>08-I18-01</v>
      </c>
      <c r="G13207">
        <v>0.87949999999999995</v>
      </c>
      <c r="H13207" t="s">
        <v>12</v>
      </c>
      <c r="I13207" t="s">
        <v>16</v>
      </c>
    </row>
    <row r="13208" spans="1:9" x14ac:dyDescent="0.25">
      <c r="A13208" t="str">
        <f t="shared" ref="A13208:A13271" si="312">"89301000"</f>
        <v>89301000</v>
      </c>
      <c r="B13208" t="str">
        <f>"8110061377"</f>
        <v>8110061377</v>
      </c>
      <c r="C13208" s="1">
        <v>45034</v>
      </c>
      <c r="D13208" s="1">
        <v>45036</v>
      </c>
      <c r="E13208">
        <v>1</v>
      </c>
      <c r="F13208" t="str">
        <f>"05-I30-01"</f>
        <v>05-I30-01</v>
      </c>
      <c r="G13208">
        <v>0.60350000000000004</v>
      </c>
      <c r="H13208" t="s">
        <v>12</v>
      </c>
      <c r="I13208" t="s">
        <v>10</v>
      </c>
    </row>
    <row r="13209" spans="1:9" x14ac:dyDescent="0.25">
      <c r="A13209" t="str">
        <f t="shared" si="312"/>
        <v>89301000</v>
      </c>
      <c r="B13209" t="str">
        <f>"8110061377"</f>
        <v>8110061377</v>
      </c>
      <c r="C13209" s="1">
        <v>44991</v>
      </c>
      <c r="D13209" s="1">
        <v>44994</v>
      </c>
      <c r="E13209">
        <v>1</v>
      </c>
      <c r="F13209" t="str">
        <f>"08-M03-05"</f>
        <v>08-M03-05</v>
      </c>
      <c r="G13209">
        <v>0.46810000000000002</v>
      </c>
      <c r="H13209" t="s">
        <v>11</v>
      </c>
      <c r="I13209" t="s">
        <v>10</v>
      </c>
    </row>
    <row r="13210" spans="1:9" x14ac:dyDescent="0.25">
      <c r="A13210" t="str">
        <f t="shared" si="312"/>
        <v>89301000</v>
      </c>
      <c r="B13210" t="str">
        <f>"8110072586"</f>
        <v>8110072586</v>
      </c>
      <c r="C13210" s="1">
        <v>44968</v>
      </c>
      <c r="D13210" s="1">
        <v>44969</v>
      </c>
      <c r="E13210">
        <v>1</v>
      </c>
      <c r="F13210" t="str">
        <f>"10-K13-02"</f>
        <v>10-K13-02</v>
      </c>
      <c r="G13210">
        <v>0.68710000000000004</v>
      </c>
      <c r="H13210" t="s">
        <v>11</v>
      </c>
      <c r="I13210" t="s">
        <v>10</v>
      </c>
    </row>
    <row r="13211" spans="1:9" x14ac:dyDescent="0.25">
      <c r="A13211" t="str">
        <f t="shared" si="312"/>
        <v>89301000</v>
      </c>
      <c r="B13211" t="str">
        <f>"8110125804"</f>
        <v>8110125804</v>
      </c>
      <c r="C13211" s="1">
        <v>44932</v>
      </c>
      <c r="D13211" s="1">
        <v>44935</v>
      </c>
      <c r="E13211">
        <v>1</v>
      </c>
      <c r="F13211" t="str">
        <f>"10-K15-02"</f>
        <v>10-K15-02</v>
      </c>
      <c r="G13211">
        <v>0.66379999999999995</v>
      </c>
      <c r="H13211" t="s">
        <v>11</v>
      </c>
      <c r="I13211" t="s">
        <v>10</v>
      </c>
    </row>
    <row r="13212" spans="1:9" x14ac:dyDescent="0.25">
      <c r="A13212" t="str">
        <f t="shared" si="312"/>
        <v>89301000</v>
      </c>
      <c r="B13212" t="str">
        <f>"8110135308"</f>
        <v>8110135308</v>
      </c>
      <c r="C13212" s="1">
        <v>45063</v>
      </c>
      <c r="D13212" s="1">
        <v>45066</v>
      </c>
      <c r="E13212">
        <v>1</v>
      </c>
      <c r="F13212" t="str">
        <f>"08-I21-02"</f>
        <v>08-I21-02</v>
      </c>
      <c r="G13212">
        <v>1.2658</v>
      </c>
      <c r="H13212" t="s">
        <v>12</v>
      </c>
      <c r="I13212" t="s">
        <v>10</v>
      </c>
    </row>
    <row r="13213" spans="1:9" x14ac:dyDescent="0.25">
      <c r="A13213" t="str">
        <f t="shared" si="312"/>
        <v>89301000</v>
      </c>
      <c r="B13213" t="str">
        <f>"8111045778"</f>
        <v>8111045778</v>
      </c>
      <c r="C13213" s="1">
        <v>45019</v>
      </c>
      <c r="D13213" s="1">
        <v>45020</v>
      </c>
      <c r="E13213">
        <v>1</v>
      </c>
      <c r="F13213" t="str">
        <f>"11-K03-02"</f>
        <v>11-K03-02</v>
      </c>
      <c r="G13213">
        <v>0.63990000000000002</v>
      </c>
      <c r="H13213" t="s">
        <v>11</v>
      </c>
      <c r="I13213" t="s">
        <v>10</v>
      </c>
    </row>
    <row r="13214" spans="1:9" x14ac:dyDescent="0.25">
      <c r="A13214" t="str">
        <f t="shared" si="312"/>
        <v>89301000</v>
      </c>
      <c r="B13214" t="str">
        <f>"8111105772"</f>
        <v>8111105772</v>
      </c>
      <c r="C13214" s="1">
        <v>45127</v>
      </c>
      <c r="D13214" s="1">
        <v>45131</v>
      </c>
      <c r="E13214">
        <v>1</v>
      </c>
      <c r="F13214" t="str">
        <f>"01-I07-03"</f>
        <v>01-I07-03</v>
      </c>
      <c r="G13214">
        <v>3.0371000000000001</v>
      </c>
      <c r="H13214" t="s">
        <v>12</v>
      </c>
      <c r="I13214" t="s">
        <v>10</v>
      </c>
    </row>
    <row r="13215" spans="1:9" x14ac:dyDescent="0.25">
      <c r="A13215" t="str">
        <f t="shared" si="312"/>
        <v>89301000</v>
      </c>
      <c r="B13215" t="str">
        <f>"8111105772"</f>
        <v>8111105772</v>
      </c>
      <c r="C13215" s="1">
        <v>45076</v>
      </c>
      <c r="D13215" s="1">
        <v>45078</v>
      </c>
      <c r="E13215">
        <v>1</v>
      </c>
      <c r="F13215" t="str">
        <f>"01-K07-02"</f>
        <v>01-K07-02</v>
      </c>
      <c r="G13215">
        <v>0.6341</v>
      </c>
      <c r="H13215" t="s">
        <v>11</v>
      </c>
      <c r="I13215" t="s">
        <v>10</v>
      </c>
    </row>
    <row r="13216" spans="1:9" x14ac:dyDescent="0.25">
      <c r="A13216" t="str">
        <f t="shared" si="312"/>
        <v>89301000</v>
      </c>
      <c r="B13216" t="str">
        <f>"8111165337"</f>
        <v>8111165337</v>
      </c>
      <c r="C13216" s="1">
        <v>45169</v>
      </c>
      <c r="D13216" s="1">
        <v>45170</v>
      </c>
      <c r="E13216">
        <v>1</v>
      </c>
      <c r="F13216" t="str">
        <f>"03-K06-01"</f>
        <v>03-K06-01</v>
      </c>
      <c r="G13216">
        <v>0.4713</v>
      </c>
      <c r="H13216" t="s">
        <v>11</v>
      </c>
      <c r="I13216" t="s">
        <v>10</v>
      </c>
    </row>
    <row r="13217" spans="1:9" x14ac:dyDescent="0.25">
      <c r="A13217" t="str">
        <f t="shared" si="312"/>
        <v>89301000</v>
      </c>
      <c r="B13217" t="str">
        <f>"8111195334"</f>
        <v>8111195334</v>
      </c>
      <c r="C13217" s="1">
        <v>45090</v>
      </c>
      <c r="D13217" s="1">
        <v>45091</v>
      </c>
      <c r="E13217">
        <v>1</v>
      </c>
      <c r="F13217" t="str">
        <f>"11-M05-02"</f>
        <v>11-M05-02</v>
      </c>
      <c r="G13217">
        <v>0.6694</v>
      </c>
      <c r="H13217" t="s">
        <v>12</v>
      </c>
      <c r="I13217" t="s">
        <v>10</v>
      </c>
    </row>
    <row r="13218" spans="1:9" x14ac:dyDescent="0.25">
      <c r="A13218" t="str">
        <f t="shared" si="312"/>
        <v>89301000</v>
      </c>
      <c r="B13218" t="str">
        <f>"8111305323"</f>
        <v>8111305323</v>
      </c>
      <c r="C13218" s="1">
        <v>45153</v>
      </c>
      <c r="D13218" s="1">
        <v>45154</v>
      </c>
      <c r="E13218">
        <v>1</v>
      </c>
      <c r="F13218" t="str">
        <f>"08-I19-03"</f>
        <v>08-I19-03</v>
      </c>
      <c r="G13218">
        <v>0.59130000000000005</v>
      </c>
      <c r="H13218" t="s">
        <v>12</v>
      </c>
      <c r="I13218" t="s">
        <v>10</v>
      </c>
    </row>
    <row r="13219" spans="1:9" x14ac:dyDescent="0.25">
      <c r="A13219" t="str">
        <f t="shared" si="312"/>
        <v>89301000</v>
      </c>
      <c r="B13219" t="str">
        <f>"8112025350"</f>
        <v>8112025350</v>
      </c>
      <c r="C13219" s="1">
        <v>45034</v>
      </c>
      <c r="D13219" s="1">
        <v>45036</v>
      </c>
      <c r="E13219">
        <v>1</v>
      </c>
      <c r="F13219" t="str">
        <f>"09-I13-04"</f>
        <v>09-I13-04</v>
      </c>
      <c r="G13219">
        <v>0.54139999999999999</v>
      </c>
      <c r="H13219" t="s">
        <v>11</v>
      </c>
      <c r="I13219" t="s">
        <v>10</v>
      </c>
    </row>
    <row r="13220" spans="1:9" x14ac:dyDescent="0.25">
      <c r="A13220" t="str">
        <f t="shared" si="312"/>
        <v>89301000</v>
      </c>
      <c r="B13220" t="str">
        <f>"8112123965"</f>
        <v>8112123965</v>
      </c>
      <c r="C13220" s="1">
        <v>45038</v>
      </c>
      <c r="D13220" s="1">
        <v>45041</v>
      </c>
      <c r="E13220">
        <v>1</v>
      </c>
      <c r="F13220" t="str">
        <f>"06-K10-03"</f>
        <v>06-K10-03</v>
      </c>
      <c r="G13220">
        <v>0.42630000000000001</v>
      </c>
      <c r="H13220" t="s">
        <v>11</v>
      </c>
      <c r="I13220" t="s">
        <v>10</v>
      </c>
    </row>
    <row r="13221" spans="1:9" x14ac:dyDescent="0.25">
      <c r="A13221" t="str">
        <f t="shared" si="312"/>
        <v>89301000</v>
      </c>
      <c r="B13221" t="str">
        <f>"8112255305"</f>
        <v>8112255305</v>
      </c>
      <c r="C13221" s="1">
        <v>45228</v>
      </c>
      <c r="D13221" s="1">
        <v>45230</v>
      </c>
      <c r="E13221">
        <v>1</v>
      </c>
      <c r="F13221" t="str">
        <f>"07-I10-06"</f>
        <v>07-I10-06</v>
      </c>
      <c r="G13221">
        <v>0.98419999999999996</v>
      </c>
      <c r="H13221" t="s">
        <v>12</v>
      </c>
      <c r="I13221" t="s">
        <v>10</v>
      </c>
    </row>
    <row r="13222" spans="1:9" x14ac:dyDescent="0.25">
      <c r="A13222" t="str">
        <f t="shared" si="312"/>
        <v>89301000</v>
      </c>
      <c r="B13222" t="str">
        <f>"8112285346"</f>
        <v>8112285346</v>
      </c>
      <c r="C13222" s="1">
        <v>45090</v>
      </c>
      <c r="D13222" s="1">
        <v>45098</v>
      </c>
      <c r="E13222">
        <v>1</v>
      </c>
      <c r="F13222" t="str">
        <f>"03-I19-02"</f>
        <v>03-I19-02</v>
      </c>
      <c r="G13222">
        <v>0.71340000000000003</v>
      </c>
      <c r="H13222" t="s">
        <v>11</v>
      </c>
      <c r="I13222" t="s">
        <v>10</v>
      </c>
    </row>
    <row r="13223" spans="1:9" x14ac:dyDescent="0.25">
      <c r="A13223" t="str">
        <f t="shared" si="312"/>
        <v>89301000</v>
      </c>
      <c r="B13223" t="str">
        <f>"8151033495"</f>
        <v>8151033495</v>
      </c>
      <c r="C13223" s="1">
        <v>45166</v>
      </c>
      <c r="D13223" s="1">
        <v>45169</v>
      </c>
      <c r="E13223">
        <v>1</v>
      </c>
      <c r="F13223" t="str">
        <f>"08-M03-04"</f>
        <v>08-M03-04</v>
      </c>
      <c r="G13223">
        <v>0.87760000000000005</v>
      </c>
      <c r="H13223" t="s">
        <v>11</v>
      </c>
      <c r="I13223" t="s">
        <v>10</v>
      </c>
    </row>
    <row r="13224" spans="1:9" x14ac:dyDescent="0.25">
      <c r="A13224" t="str">
        <f t="shared" si="312"/>
        <v>89301000</v>
      </c>
      <c r="B13224" t="str">
        <f>"8151125323"</f>
        <v>8151125323</v>
      </c>
      <c r="C13224" s="1">
        <v>44937</v>
      </c>
      <c r="D13224" s="1">
        <v>44939</v>
      </c>
      <c r="E13224">
        <v>1</v>
      </c>
      <c r="F13224" t="str">
        <f>"06-I17-04"</f>
        <v>06-I17-04</v>
      </c>
      <c r="G13224">
        <v>0.49869999999999998</v>
      </c>
      <c r="H13224" t="s">
        <v>12</v>
      </c>
      <c r="I13224" t="s">
        <v>10</v>
      </c>
    </row>
    <row r="13225" spans="1:9" x14ac:dyDescent="0.25">
      <c r="A13225" t="str">
        <f t="shared" si="312"/>
        <v>89301000</v>
      </c>
      <c r="B13225" t="str">
        <f>"8151215325"</f>
        <v>8151215325</v>
      </c>
      <c r="C13225" s="1">
        <v>45244</v>
      </c>
      <c r="D13225" s="1">
        <v>45252</v>
      </c>
      <c r="E13225">
        <v>1</v>
      </c>
      <c r="F13225" t="str">
        <f>"01-K07-02"</f>
        <v>01-K07-02</v>
      </c>
      <c r="G13225">
        <v>0.6341</v>
      </c>
      <c r="H13225" t="s">
        <v>11</v>
      </c>
      <c r="I13225" t="s">
        <v>10</v>
      </c>
    </row>
    <row r="13226" spans="1:9" x14ac:dyDescent="0.25">
      <c r="A13226" t="str">
        <f t="shared" si="312"/>
        <v>89301000</v>
      </c>
      <c r="B13226" t="str">
        <f>"8151225302"</f>
        <v>8151225302</v>
      </c>
      <c r="C13226" s="1">
        <v>45187</v>
      </c>
      <c r="D13226" s="1">
        <v>45189</v>
      </c>
      <c r="E13226">
        <v>1</v>
      </c>
      <c r="F13226" t="str">
        <f>"03-K06-01"</f>
        <v>03-K06-01</v>
      </c>
      <c r="G13226">
        <v>0.4713</v>
      </c>
      <c r="H13226" t="s">
        <v>11</v>
      </c>
      <c r="I13226" t="s">
        <v>10</v>
      </c>
    </row>
    <row r="13227" spans="1:9" x14ac:dyDescent="0.25">
      <c r="A13227" t="str">
        <f t="shared" si="312"/>
        <v>89301000</v>
      </c>
      <c r="B13227" t="str">
        <f>"8151265320"</f>
        <v>8151265320</v>
      </c>
      <c r="C13227" s="1">
        <v>45140</v>
      </c>
      <c r="D13227" s="1">
        <v>45144</v>
      </c>
      <c r="E13227">
        <v>1</v>
      </c>
      <c r="F13227" t="str">
        <f>"14-I01-05"</f>
        <v>14-I01-05</v>
      </c>
      <c r="G13227">
        <v>0.83340000000000003</v>
      </c>
      <c r="H13227" t="s">
        <v>13</v>
      </c>
      <c r="I13227" t="s">
        <v>10</v>
      </c>
    </row>
    <row r="13228" spans="1:9" x14ac:dyDescent="0.25">
      <c r="A13228" t="str">
        <f t="shared" si="312"/>
        <v>89301000</v>
      </c>
      <c r="B13228" t="str">
        <f>"8151265331"</f>
        <v>8151265331</v>
      </c>
      <c r="C13228" s="1">
        <v>45175</v>
      </c>
      <c r="D13228" s="1">
        <v>45175</v>
      </c>
      <c r="E13228">
        <v>1</v>
      </c>
      <c r="F13228" t="str">
        <f>"05-D01-08"</f>
        <v>05-D01-08</v>
      </c>
      <c r="G13228">
        <v>0.2303</v>
      </c>
      <c r="H13228" t="s">
        <v>11</v>
      </c>
      <c r="I13228" t="s">
        <v>10</v>
      </c>
    </row>
    <row r="13229" spans="1:9" x14ac:dyDescent="0.25">
      <c r="A13229" t="str">
        <f t="shared" si="312"/>
        <v>89301000</v>
      </c>
      <c r="B13229" t="str">
        <f>"8151288420"</f>
        <v>8151288420</v>
      </c>
      <c r="C13229" s="1">
        <v>45015</v>
      </c>
      <c r="D13229" s="1">
        <v>45019</v>
      </c>
      <c r="E13229">
        <v>1</v>
      </c>
      <c r="F13229" t="str">
        <f>"07-K05-03"</f>
        <v>07-K05-03</v>
      </c>
      <c r="G13229">
        <v>0.35659999999999997</v>
      </c>
      <c r="H13229" t="s">
        <v>11</v>
      </c>
      <c r="I13229" t="s">
        <v>10</v>
      </c>
    </row>
    <row r="13230" spans="1:9" x14ac:dyDescent="0.25">
      <c r="A13230" t="str">
        <f t="shared" si="312"/>
        <v>89301000</v>
      </c>
      <c r="B13230" t="str">
        <f>"8152054482"</f>
        <v>8152054482</v>
      </c>
      <c r="C13230" s="1">
        <v>45036</v>
      </c>
      <c r="D13230" s="1">
        <v>45056</v>
      </c>
      <c r="E13230">
        <v>1</v>
      </c>
      <c r="F13230" t="str">
        <f>"19-K04-01"</f>
        <v>19-K04-01</v>
      </c>
      <c r="G13230">
        <v>1.5724</v>
      </c>
      <c r="H13230" t="s">
        <v>15</v>
      </c>
      <c r="I13230" t="s">
        <v>10</v>
      </c>
    </row>
    <row r="13231" spans="1:9" x14ac:dyDescent="0.25">
      <c r="A13231" t="str">
        <f t="shared" si="312"/>
        <v>89301000</v>
      </c>
      <c r="B13231" t="str">
        <f>"8152055373"</f>
        <v>8152055373</v>
      </c>
      <c r="C13231" s="1">
        <v>45264</v>
      </c>
      <c r="D13231" s="1">
        <v>45267</v>
      </c>
      <c r="E13231">
        <v>1</v>
      </c>
      <c r="F13231" t="str">
        <f>"13-I11-03"</f>
        <v>13-I11-03</v>
      </c>
      <c r="G13231">
        <v>1.4332</v>
      </c>
      <c r="H13231" t="s">
        <v>9</v>
      </c>
      <c r="I13231" t="s">
        <v>10</v>
      </c>
    </row>
    <row r="13232" spans="1:9" x14ac:dyDescent="0.25">
      <c r="A13232" t="str">
        <f t="shared" si="312"/>
        <v>89301000</v>
      </c>
      <c r="B13232" t="str">
        <f>"8152075349"</f>
        <v>8152075349</v>
      </c>
      <c r="C13232" s="1">
        <v>45085</v>
      </c>
      <c r="D13232" s="1">
        <v>45087</v>
      </c>
      <c r="E13232">
        <v>1</v>
      </c>
      <c r="F13232" t="str">
        <f>"09-I06-04"</f>
        <v>09-I06-04</v>
      </c>
      <c r="G13232">
        <v>0.95069999999999999</v>
      </c>
      <c r="H13232" t="s">
        <v>12</v>
      </c>
      <c r="I13232" t="s">
        <v>10</v>
      </c>
    </row>
    <row r="13233" spans="1:9" x14ac:dyDescent="0.25">
      <c r="A13233" t="str">
        <f t="shared" si="312"/>
        <v>89301000</v>
      </c>
      <c r="B13233" t="str">
        <f>"8152090628"</f>
        <v>8152090628</v>
      </c>
      <c r="C13233" s="1">
        <v>45231</v>
      </c>
      <c r="D13233" s="1">
        <v>45237</v>
      </c>
      <c r="E13233">
        <v>1</v>
      </c>
      <c r="F13233" t="str">
        <f>"09-I04-02"</f>
        <v>09-I04-02</v>
      </c>
      <c r="G13233">
        <v>1.0899000000000001</v>
      </c>
      <c r="H13233" t="s">
        <v>12</v>
      </c>
      <c r="I13233" t="s">
        <v>10</v>
      </c>
    </row>
    <row r="13234" spans="1:9" x14ac:dyDescent="0.25">
      <c r="A13234" t="str">
        <f t="shared" si="312"/>
        <v>89301000</v>
      </c>
      <c r="B13234" t="str">
        <f>"8152094467"</f>
        <v>8152094467</v>
      </c>
      <c r="C13234" s="1">
        <v>45007</v>
      </c>
      <c r="D13234" s="1">
        <v>45009</v>
      </c>
      <c r="E13234">
        <v>1</v>
      </c>
      <c r="F13234" t="str">
        <f>"23-I10-00"</f>
        <v>23-I10-00</v>
      </c>
      <c r="G13234">
        <v>0.57330000000000003</v>
      </c>
      <c r="H13234" t="s">
        <v>11</v>
      </c>
      <c r="I13234" t="s">
        <v>10</v>
      </c>
    </row>
    <row r="13235" spans="1:9" x14ac:dyDescent="0.25">
      <c r="A13235" t="str">
        <f t="shared" si="312"/>
        <v>89301000</v>
      </c>
      <c r="B13235" t="str">
        <f>"8152126719"</f>
        <v>8152126719</v>
      </c>
      <c r="C13235" s="1">
        <v>44969</v>
      </c>
      <c r="D13235" s="1">
        <v>44974</v>
      </c>
      <c r="E13235">
        <v>1</v>
      </c>
      <c r="F13235" t="str">
        <f>"11-M02-06"</f>
        <v>11-M02-06</v>
      </c>
      <c r="G13235">
        <v>1.1301000000000001</v>
      </c>
      <c r="H13235" t="s">
        <v>11</v>
      </c>
      <c r="I13235" t="s">
        <v>10</v>
      </c>
    </row>
    <row r="13236" spans="1:9" x14ac:dyDescent="0.25">
      <c r="A13236" t="str">
        <f t="shared" si="312"/>
        <v>89301000</v>
      </c>
      <c r="B13236" t="str">
        <f>"8152255771"</f>
        <v>8152255771</v>
      </c>
      <c r="C13236" s="1">
        <v>45245</v>
      </c>
      <c r="D13236" s="1">
        <v>45245</v>
      </c>
      <c r="E13236">
        <v>1</v>
      </c>
      <c r="F13236" t="str">
        <f>"09-K01-04"</f>
        <v>09-K01-04</v>
      </c>
      <c r="G13236">
        <v>0.29670000000000002</v>
      </c>
      <c r="H13236" t="s">
        <v>11</v>
      </c>
      <c r="I13236" t="s">
        <v>10</v>
      </c>
    </row>
    <row r="13237" spans="1:9" x14ac:dyDescent="0.25">
      <c r="A13237" t="str">
        <f t="shared" si="312"/>
        <v>89301000</v>
      </c>
      <c r="B13237" t="str">
        <f>"8153105378"</f>
        <v>8153105378</v>
      </c>
      <c r="C13237" s="1">
        <v>45090</v>
      </c>
      <c r="D13237" s="1">
        <v>45091</v>
      </c>
      <c r="E13237">
        <v>1</v>
      </c>
      <c r="F13237" t="str">
        <f>"11-I14-02"</f>
        <v>11-I14-02</v>
      </c>
      <c r="G13237">
        <v>0.61839999999999995</v>
      </c>
      <c r="H13237" t="s">
        <v>9</v>
      </c>
      <c r="I13237" t="s">
        <v>10</v>
      </c>
    </row>
    <row r="13238" spans="1:9" x14ac:dyDescent="0.25">
      <c r="A13238" t="str">
        <f t="shared" si="312"/>
        <v>89301000</v>
      </c>
      <c r="B13238" t="str">
        <f>"8153114497"</f>
        <v>8153114497</v>
      </c>
      <c r="C13238" s="1">
        <v>45118</v>
      </c>
      <c r="D13238" s="1">
        <v>45119</v>
      </c>
      <c r="E13238">
        <v>1</v>
      </c>
      <c r="F13238" t="str">
        <f>"13-I19-00"</f>
        <v>13-I19-00</v>
      </c>
      <c r="G13238">
        <v>0.28249999999999997</v>
      </c>
      <c r="H13238" t="s">
        <v>11</v>
      </c>
      <c r="I13238" t="s">
        <v>10</v>
      </c>
    </row>
    <row r="13239" spans="1:9" x14ac:dyDescent="0.25">
      <c r="A13239" t="str">
        <f t="shared" si="312"/>
        <v>89301000</v>
      </c>
      <c r="B13239" t="str">
        <f>"8153115399"</f>
        <v>8153115399</v>
      </c>
      <c r="C13239" s="1">
        <v>45162</v>
      </c>
      <c r="D13239" s="1">
        <v>45163</v>
      </c>
      <c r="E13239">
        <v>1</v>
      </c>
      <c r="F13239" t="str">
        <f>"09-I04-02"</f>
        <v>09-I04-02</v>
      </c>
      <c r="G13239">
        <v>1.0899000000000001</v>
      </c>
      <c r="H13239" t="s">
        <v>12</v>
      </c>
      <c r="I13239" t="s">
        <v>10</v>
      </c>
    </row>
    <row r="13240" spans="1:9" x14ac:dyDescent="0.25">
      <c r="A13240" t="str">
        <f t="shared" si="312"/>
        <v>89301000</v>
      </c>
      <c r="B13240" t="str">
        <f>"8153115399"</f>
        <v>8153115399</v>
      </c>
      <c r="C13240" s="1">
        <v>44973</v>
      </c>
      <c r="D13240" s="1">
        <v>44974</v>
      </c>
      <c r="E13240">
        <v>1</v>
      </c>
      <c r="F13240" t="str">
        <f>"09-I04-02"</f>
        <v>09-I04-02</v>
      </c>
      <c r="G13240">
        <v>1.0899000000000001</v>
      </c>
      <c r="H13240" t="s">
        <v>12</v>
      </c>
      <c r="I13240" t="s">
        <v>10</v>
      </c>
    </row>
    <row r="13241" spans="1:9" x14ac:dyDescent="0.25">
      <c r="A13241" t="str">
        <f t="shared" si="312"/>
        <v>89301000</v>
      </c>
      <c r="B13241" t="str">
        <f>"8153175305"</f>
        <v>8153175305</v>
      </c>
      <c r="C13241" s="1">
        <v>45013</v>
      </c>
      <c r="D13241" s="1">
        <v>45017</v>
      </c>
      <c r="E13241">
        <v>1</v>
      </c>
      <c r="F13241" t="str">
        <f>"13-I11-03"</f>
        <v>13-I11-03</v>
      </c>
      <c r="G13241">
        <v>1.4332</v>
      </c>
      <c r="H13241" t="s">
        <v>9</v>
      </c>
      <c r="I13241" t="s">
        <v>10</v>
      </c>
    </row>
    <row r="13242" spans="1:9" x14ac:dyDescent="0.25">
      <c r="A13242" t="str">
        <f t="shared" si="312"/>
        <v>89301000</v>
      </c>
      <c r="B13242" t="str">
        <f>"8153195336"</f>
        <v>8153195336</v>
      </c>
      <c r="C13242" s="1">
        <v>45260</v>
      </c>
      <c r="D13242" s="1">
        <v>45263</v>
      </c>
      <c r="E13242">
        <v>1</v>
      </c>
      <c r="F13242" t="str">
        <f>"14-M01-05"</f>
        <v>14-M01-05</v>
      </c>
      <c r="G13242">
        <v>0.56289999999999996</v>
      </c>
      <c r="H13242" t="s">
        <v>13</v>
      </c>
      <c r="I13242" t="s">
        <v>10</v>
      </c>
    </row>
    <row r="13243" spans="1:9" x14ac:dyDescent="0.25">
      <c r="A13243" t="str">
        <f t="shared" si="312"/>
        <v>89301000</v>
      </c>
      <c r="B13243" t="str">
        <f>"8153264856"</f>
        <v>8153264856</v>
      </c>
      <c r="C13243" s="1">
        <v>45217</v>
      </c>
      <c r="D13243" s="1">
        <v>45219</v>
      </c>
      <c r="E13243">
        <v>1</v>
      </c>
      <c r="F13243" t="str">
        <f>"08-M03-05"</f>
        <v>08-M03-05</v>
      </c>
      <c r="G13243">
        <v>0.46810000000000002</v>
      </c>
      <c r="H13243" t="s">
        <v>11</v>
      </c>
      <c r="I13243" t="s">
        <v>10</v>
      </c>
    </row>
    <row r="13244" spans="1:9" x14ac:dyDescent="0.25">
      <c r="A13244" t="str">
        <f t="shared" si="312"/>
        <v>89301000</v>
      </c>
      <c r="B13244" t="str">
        <f>"8153264856"</f>
        <v>8153264856</v>
      </c>
      <c r="C13244" s="1">
        <v>44972</v>
      </c>
      <c r="D13244" s="1">
        <v>44975</v>
      </c>
      <c r="E13244">
        <v>1</v>
      </c>
      <c r="F13244" t="str">
        <f>"08-I22-02"</f>
        <v>08-I22-02</v>
      </c>
      <c r="G13244">
        <v>1.131</v>
      </c>
      <c r="H13244" t="s">
        <v>12</v>
      </c>
      <c r="I13244" t="s">
        <v>10</v>
      </c>
    </row>
    <row r="13245" spans="1:9" x14ac:dyDescent="0.25">
      <c r="A13245" t="str">
        <f t="shared" si="312"/>
        <v>89301000</v>
      </c>
      <c r="B13245" t="str">
        <f>"8153265351"</f>
        <v>8153265351</v>
      </c>
      <c r="C13245" s="1">
        <v>44993</v>
      </c>
      <c r="D13245" s="1">
        <v>44997</v>
      </c>
      <c r="E13245">
        <v>1</v>
      </c>
      <c r="F13245" t="str">
        <f>"14-I05-00"</f>
        <v>14-I05-00</v>
      </c>
      <c r="G13245">
        <v>0.87680000000000002</v>
      </c>
      <c r="H13245" t="s">
        <v>12</v>
      </c>
      <c r="I13245" t="s">
        <v>10</v>
      </c>
    </row>
    <row r="13246" spans="1:9" x14ac:dyDescent="0.25">
      <c r="A13246" t="str">
        <f t="shared" si="312"/>
        <v>89301000</v>
      </c>
      <c r="B13246" t="str">
        <f>"8154054469"</f>
        <v>8154054469</v>
      </c>
      <c r="C13246" s="1">
        <v>45210</v>
      </c>
      <c r="D13246" s="1">
        <v>45214</v>
      </c>
      <c r="E13246">
        <v>1</v>
      </c>
      <c r="F13246" t="str">
        <f>"13-I16-00"</f>
        <v>13-I16-00</v>
      </c>
      <c r="G13246">
        <v>1.1695</v>
      </c>
      <c r="H13246" t="s">
        <v>12</v>
      </c>
      <c r="I13246" t="s">
        <v>10</v>
      </c>
    </row>
    <row r="13247" spans="1:9" x14ac:dyDescent="0.25">
      <c r="A13247" t="str">
        <f t="shared" si="312"/>
        <v>89301000</v>
      </c>
      <c r="B13247" t="str">
        <f>"8154144207"</f>
        <v>8154144207</v>
      </c>
      <c r="C13247" s="1">
        <v>45125</v>
      </c>
      <c r="D13247" s="1">
        <v>45129</v>
      </c>
      <c r="E13247">
        <v>1</v>
      </c>
      <c r="F13247" t="str">
        <f>"02-K02-01"</f>
        <v>02-K02-01</v>
      </c>
      <c r="G13247">
        <v>0.91020000000000001</v>
      </c>
      <c r="H13247" t="s">
        <v>11</v>
      </c>
      <c r="I13247" t="s">
        <v>10</v>
      </c>
    </row>
    <row r="13248" spans="1:9" x14ac:dyDescent="0.25">
      <c r="A13248" t="str">
        <f t="shared" si="312"/>
        <v>89301000</v>
      </c>
      <c r="B13248" t="str">
        <f>"8154155350"</f>
        <v>8154155350</v>
      </c>
      <c r="C13248" s="1">
        <v>45177</v>
      </c>
      <c r="D13248" s="1">
        <v>45178</v>
      </c>
      <c r="E13248">
        <v>1</v>
      </c>
      <c r="F13248" t="str">
        <f>"13-I19-00"</f>
        <v>13-I19-00</v>
      </c>
      <c r="G13248">
        <v>0.28249999999999997</v>
      </c>
      <c r="H13248" t="s">
        <v>11</v>
      </c>
      <c r="I13248" t="s">
        <v>10</v>
      </c>
    </row>
    <row r="13249" spans="1:9" x14ac:dyDescent="0.25">
      <c r="A13249" t="str">
        <f t="shared" si="312"/>
        <v>89301000</v>
      </c>
      <c r="B13249" t="str">
        <f>"8154275305"</f>
        <v>8154275305</v>
      </c>
      <c r="C13249" s="1">
        <v>45140</v>
      </c>
      <c r="D13249" s="1">
        <v>45156</v>
      </c>
      <c r="E13249">
        <v>3</v>
      </c>
      <c r="F13249" t="str">
        <f>"04-K02-03"</f>
        <v>04-K02-03</v>
      </c>
      <c r="G13249">
        <v>1.4702</v>
      </c>
      <c r="H13249" t="s">
        <v>11</v>
      </c>
      <c r="I13249" t="s">
        <v>10</v>
      </c>
    </row>
    <row r="13250" spans="1:9" x14ac:dyDescent="0.25">
      <c r="A13250" t="str">
        <f t="shared" si="312"/>
        <v>89301000</v>
      </c>
      <c r="B13250" t="str">
        <f>"8154275305"</f>
        <v>8154275305</v>
      </c>
      <c r="C13250" s="1">
        <v>45119</v>
      </c>
      <c r="D13250" s="1">
        <v>45131</v>
      </c>
      <c r="E13250">
        <v>5</v>
      </c>
      <c r="F13250" t="str">
        <f>"00-M02-04"</f>
        <v>00-M02-04</v>
      </c>
      <c r="G13250">
        <v>12.396100000000001</v>
      </c>
      <c r="H13250" t="s">
        <v>11</v>
      </c>
      <c r="I13250" t="s">
        <v>10</v>
      </c>
    </row>
    <row r="13251" spans="1:9" x14ac:dyDescent="0.25">
      <c r="A13251" t="str">
        <f t="shared" si="312"/>
        <v>89301000</v>
      </c>
      <c r="B13251" t="str">
        <f>"8154275305"</f>
        <v>8154275305</v>
      </c>
      <c r="C13251" s="1">
        <v>45156</v>
      </c>
      <c r="D13251" s="1">
        <v>45170</v>
      </c>
      <c r="E13251">
        <v>1</v>
      </c>
      <c r="F13251" t="str">
        <f>"24-M07-02"</f>
        <v>24-M07-02</v>
      </c>
      <c r="G13251">
        <v>1.5729</v>
      </c>
      <c r="H13251" t="s">
        <v>11</v>
      </c>
      <c r="I13251" t="s">
        <v>10</v>
      </c>
    </row>
    <row r="13252" spans="1:9" x14ac:dyDescent="0.25">
      <c r="A13252" t="str">
        <f t="shared" si="312"/>
        <v>89301000</v>
      </c>
      <c r="B13252" t="str">
        <f>"8155025329"</f>
        <v>8155025329</v>
      </c>
      <c r="C13252" s="1">
        <v>45084</v>
      </c>
      <c r="D13252" s="1">
        <v>45087</v>
      </c>
      <c r="E13252">
        <v>1</v>
      </c>
      <c r="F13252" t="str">
        <f>"05-K14-03"</f>
        <v>05-K14-03</v>
      </c>
      <c r="G13252">
        <v>0.3962</v>
      </c>
      <c r="H13252" t="s">
        <v>11</v>
      </c>
      <c r="I13252" t="s">
        <v>10</v>
      </c>
    </row>
    <row r="13253" spans="1:9" x14ac:dyDescent="0.25">
      <c r="A13253" t="str">
        <f t="shared" si="312"/>
        <v>89301000</v>
      </c>
      <c r="B13253" t="str">
        <f>"8155095311"</f>
        <v>8155095311</v>
      </c>
      <c r="C13253" s="1">
        <v>45239</v>
      </c>
      <c r="D13253" s="1">
        <v>45242</v>
      </c>
      <c r="E13253">
        <v>1</v>
      </c>
      <c r="F13253" t="str">
        <f>"06-I22-01"</f>
        <v>06-I22-01</v>
      </c>
      <c r="G13253">
        <v>0.68120000000000003</v>
      </c>
      <c r="H13253" t="s">
        <v>12</v>
      </c>
      <c r="I13253" t="s">
        <v>10</v>
      </c>
    </row>
    <row r="13254" spans="1:9" x14ac:dyDescent="0.25">
      <c r="A13254" t="str">
        <f t="shared" si="312"/>
        <v>89301000</v>
      </c>
      <c r="B13254" t="str">
        <f>"8155125319"</f>
        <v>8155125319</v>
      </c>
      <c r="C13254" s="1">
        <v>45211</v>
      </c>
      <c r="D13254" s="1">
        <v>45222</v>
      </c>
      <c r="E13254">
        <v>1</v>
      </c>
      <c r="F13254" t="str">
        <f>"08-I04-03"</f>
        <v>08-I04-03</v>
      </c>
      <c r="G13254">
        <v>1.3045</v>
      </c>
      <c r="H13254" t="s">
        <v>14</v>
      </c>
      <c r="I13254" t="s">
        <v>10</v>
      </c>
    </row>
    <row r="13255" spans="1:9" x14ac:dyDescent="0.25">
      <c r="A13255" t="str">
        <f t="shared" si="312"/>
        <v>89301000</v>
      </c>
      <c r="B13255" t="str">
        <f>"8155147429"</f>
        <v>8155147429</v>
      </c>
      <c r="C13255" s="1">
        <v>45222</v>
      </c>
      <c r="D13255" s="1">
        <v>45222</v>
      </c>
      <c r="E13255">
        <v>1</v>
      </c>
      <c r="F13255" t="str">
        <f>"05-M06-08"</f>
        <v>05-M06-08</v>
      </c>
      <c r="G13255">
        <v>1.1012</v>
      </c>
      <c r="H13255" t="s">
        <v>12</v>
      </c>
      <c r="I13255" t="s">
        <v>10</v>
      </c>
    </row>
    <row r="13256" spans="1:9" x14ac:dyDescent="0.25">
      <c r="A13256" t="str">
        <f t="shared" si="312"/>
        <v>89301000</v>
      </c>
      <c r="B13256" t="str">
        <f>"8155147429"</f>
        <v>8155147429</v>
      </c>
      <c r="C13256" s="1">
        <v>45229</v>
      </c>
      <c r="D13256" s="1">
        <v>45229</v>
      </c>
      <c r="E13256">
        <v>1</v>
      </c>
      <c r="F13256" t="str">
        <f>"05-I14-04"</f>
        <v>05-I14-04</v>
      </c>
      <c r="G13256">
        <v>4.9752000000000001</v>
      </c>
      <c r="H13256" t="s">
        <v>12</v>
      </c>
      <c r="I13256" t="s">
        <v>10</v>
      </c>
    </row>
    <row r="13257" spans="1:9" x14ac:dyDescent="0.25">
      <c r="A13257" t="str">
        <f t="shared" si="312"/>
        <v>89301000</v>
      </c>
      <c r="B13257" t="str">
        <f>"8155155360"</f>
        <v>8155155360</v>
      </c>
      <c r="C13257" s="1">
        <v>44937</v>
      </c>
      <c r="D13257" s="1">
        <v>44939</v>
      </c>
      <c r="E13257">
        <v>1</v>
      </c>
      <c r="F13257" t="str">
        <f>"03-I14-02"</f>
        <v>03-I14-02</v>
      </c>
      <c r="G13257">
        <v>1.0793999999999999</v>
      </c>
      <c r="H13257" t="s">
        <v>11</v>
      </c>
      <c r="I13257" t="s">
        <v>10</v>
      </c>
    </row>
    <row r="13258" spans="1:9" x14ac:dyDescent="0.25">
      <c r="A13258" t="str">
        <f t="shared" si="312"/>
        <v>89301000</v>
      </c>
      <c r="B13258" t="str">
        <f>"8155175314"</f>
        <v>8155175314</v>
      </c>
      <c r="C13258" s="1">
        <v>44961</v>
      </c>
      <c r="D13258" s="1">
        <v>44961</v>
      </c>
      <c r="E13258">
        <v>1</v>
      </c>
      <c r="F13258" t="str">
        <f>"13-K15-02"</f>
        <v>13-K15-02</v>
      </c>
      <c r="G13258">
        <v>0.1181</v>
      </c>
      <c r="H13258" t="s">
        <v>11</v>
      </c>
      <c r="I13258" t="s">
        <v>10</v>
      </c>
    </row>
    <row r="13259" spans="1:9" x14ac:dyDescent="0.25">
      <c r="A13259" t="str">
        <f t="shared" si="312"/>
        <v>89301000</v>
      </c>
      <c r="B13259" t="str">
        <f>"8155195367"</f>
        <v>8155195367</v>
      </c>
      <c r="C13259" s="1">
        <v>45184</v>
      </c>
      <c r="D13259" s="1">
        <v>45187</v>
      </c>
      <c r="E13259">
        <v>1</v>
      </c>
      <c r="F13259" t="str">
        <f>"14-M01-05"</f>
        <v>14-M01-05</v>
      </c>
      <c r="G13259">
        <v>0.56589999999999996</v>
      </c>
      <c r="H13259" t="s">
        <v>13</v>
      </c>
      <c r="I13259" t="s">
        <v>10</v>
      </c>
    </row>
    <row r="13260" spans="1:9" x14ac:dyDescent="0.25">
      <c r="A13260" t="str">
        <f t="shared" si="312"/>
        <v>89301000</v>
      </c>
      <c r="B13260" t="str">
        <f>"8155295302"</f>
        <v>8155295302</v>
      </c>
      <c r="C13260" s="1">
        <v>45089</v>
      </c>
      <c r="D13260" s="1">
        <v>45093</v>
      </c>
      <c r="E13260">
        <v>1</v>
      </c>
      <c r="F13260" t="str">
        <f>"14-K03-02"</f>
        <v>14-K03-02</v>
      </c>
      <c r="G13260">
        <v>0.30149999999999999</v>
      </c>
      <c r="H13260" t="s">
        <v>11</v>
      </c>
      <c r="I13260" t="s">
        <v>10</v>
      </c>
    </row>
    <row r="13261" spans="1:9" x14ac:dyDescent="0.25">
      <c r="A13261" t="str">
        <f t="shared" si="312"/>
        <v>89301000</v>
      </c>
      <c r="B13261" t="str">
        <f>"8155295302"</f>
        <v>8155295302</v>
      </c>
      <c r="C13261" s="1">
        <v>45144</v>
      </c>
      <c r="D13261" s="1">
        <v>45148</v>
      </c>
      <c r="E13261">
        <v>1</v>
      </c>
      <c r="F13261" t="str">
        <f>"14-M01-05"</f>
        <v>14-M01-05</v>
      </c>
      <c r="G13261">
        <v>0.96589999999999998</v>
      </c>
      <c r="H13261" t="s">
        <v>13</v>
      </c>
      <c r="I13261" t="s">
        <v>10</v>
      </c>
    </row>
    <row r="13262" spans="1:9" x14ac:dyDescent="0.25">
      <c r="A13262" t="str">
        <f t="shared" si="312"/>
        <v>89301000</v>
      </c>
      <c r="B13262" t="str">
        <f>"8156085311"</f>
        <v>8156085311</v>
      </c>
      <c r="C13262" s="1">
        <v>45114</v>
      </c>
      <c r="D13262" s="1">
        <v>45115</v>
      </c>
      <c r="E13262">
        <v>1</v>
      </c>
      <c r="F13262" t="str">
        <f>"08-I17-02"</f>
        <v>08-I17-02</v>
      </c>
      <c r="G13262">
        <v>0.89680000000000004</v>
      </c>
      <c r="H13262" t="s">
        <v>11</v>
      </c>
      <c r="I13262" t="s">
        <v>10</v>
      </c>
    </row>
    <row r="13263" spans="1:9" x14ac:dyDescent="0.25">
      <c r="A13263" t="str">
        <f t="shared" si="312"/>
        <v>89301000</v>
      </c>
      <c r="B13263" t="str">
        <f>"8156194486"</f>
        <v>8156194486</v>
      </c>
      <c r="C13263" s="1">
        <v>45195</v>
      </c>
      <c r="D13263" s="1">
        <v>45200</v>
      </c>
      <c r="E13263">
        <v>1</v>
      </c>
      <c r="F13263" t="str">
        <f>"11-I14-02"</f>
        <v>11-I14-02</v>
      </c>
      <c r="G13263">
        <v>0.69369999999999998</v>
      </c>
      <c r="H13263" t="s">
        <v>9</v>
      </c>
      <c r="I13263" t="s">
        <v>10</v>
      </c>
    </row>
    <row r="13264" spans="1:9" x14ac:dyDescent="0.25">
      <c r="A13264" t="str">
        <f t="shared" si="312"/>
        <v>89301000</v>
      </c>
      <c r="B13264" t="str">
        <f>"8156264490"</f>
        <v>8156264490</v>
      </c>
      <c r="C13264" s="1">
        <v>44942</v>
      </c>
      <c r="D13264" s="1">
        <v>44946</v>
      </c>
      <c r="E13264">
        <v>1</v>
      </c>
      <c r="F13264" t="str">
        <f>"10-I13-02"</f>
        <v>10-I13-02</v>
      </c>
      <c r="G13264">
        <v>1.1124000000000001</v>
      </c>
      <c r="H13264" t="s">
        <v>9</v>
      </c>
      <c r="I13264" t="s">
        <v>10</v>
      </c>
    </row>
    <row r="13265" spans="1:9" x14ac:dyDescent="0.25">
      <c r="A13265" t="str">
        <f t="shared" si="312"/>
        <v>89301000</v>
      </c>
      <c r="B13265" t="str">
        <f>"8157025437"</f>
        <v>8157025437</v>
      </c>
      <c r="C13265" s="1">
        <v>45203</v>
      </c>
      <c r="D13265" s="1">
        <v>45207</v>
      </c>
      <c r="E13265">
        <v>1</v>
      </c>
      <c r="F13265" t="str">
        <f>"14-I01-05"</f>
        <v>14-I01-05</v>
      </c>
      <c r="G13265">
        <v>0.83</v>
      </c>
      <c r="H13265" t="s">
        <v>13</v>
      </c>
      <c r="I13265" t="s">
        <v>10</v>
      </c>
    </row>
    <row r="13266" spans="1:9" x14ac:dyDescent="0.25">
      <c r="A13266" t="str">
        <f t="shared" si="312"/>
        <v>89301000</v>
      </c>
      <c r="B13266" t="str">
        <f>"8157035359"</f>
        <v>8157035359</v>
      </c>
      <c r="C13266" s="1">
        <v>45249</v>
      </c>
      <c r="D13266" s="1">
        <v>45253</v>
      </c>
      <c r="E13266">
        <v>1</v>
      </c>
      <c r="F13266" t="str">
        <f>"04-K02-04"</f>
        <v>04-K02-04</v>
      </c>
      <c r="G13266">
        <v>0.82099999999999995</v>
      </c>
      <c r="H13266" t="s">
        <v>11</v>
      </c>
      <c r="I13266" t="s">
        <v>10</v>
      </c>
    </row>
    <row r="13267" spans="1:9" x14ac:dyDescent="0.25">
      <c r="A13267" t="str">
        <f t="shared" si="312"/>
        <v>89301000</v>
      </c>
      <c r="B13267" t="str">
        <f>"8157054455"</f>
        <v>8157054455</v>
      </c>
      <c r="C13267" s="1">
        <v>45006</v>
      </c>
      <c r="D13267" s="1">
        <v>45009</v>
      </c>
      <c r="E13267">
        <v>1</v>
      </c>
      <c r="F13267" t="str">
        <f>"07-I10-06"</f>
        <v>07-I10-06</v>
      </c>
      <c r="G13267">
        <v>0.98419999999999996</v>
      </c>
      <c r="H13267" t="s">
        <v>12</v>
      </c>
      <c r="I13267" t="s">
        <v>10</v>
      </c>
    </row>
    <row r="13268" spans="1:9" x14ac:dyDescent="0.25">
      <c r="A13268" t="str">
        <f t="shared" si="312"/>
        <v>89301000</v>
      </c>
      <c r="B13268" t="str">
        <f>"8157115329"</f>
        <v>8157115329</v>
      </c>
      <c r="C13268" s="1">
        <v>45250</v>
      </c>
      <c r="D13268" s="1">
        <v>45254</v>
      </c>
      <c r="E13268">
        <v>1</v>
      </c>
      <c r="F13268" t="str">
        <f>"09-K14-02"</f>
        <v>09-K14-02</v>
      </c>
      <c r="G13268">
        <v>0.5</v>
      </c>
      <c r="H13268" t="s">
        <v>11</v>
      </c>
      <c r="I13268" t="s">
        <v>10</v>
      </c>
    </row>
    <row r="13269" spans="1:9" x14ac:dyDescent="0.25">
      <c r="A13269" t="str">
        <f t="shared" si="312"/>
        <v>89301000</v>
      </c>
      <c r="B13269" t="str">
        <f>"8157254468"</f>
        <v>8157254468</v>
      </c>
      <c r="C13269" s="1">
        <v>45201</v>
      </c>
      <c r="D13269" s="1">
        <v>45204</v>
      </c>
      <c r="E13269">
        <v>1</v>
      </c>
      <c r="F13269" t="str">
        <f>"09-K04-02"</f>
        <v>09-K04-02</v>
      </c>
      <c r="G13269">
        <v>0.64849999999999997</v>
      </c>
      <c r="H13269" t="s">
        <v>11</v>
      </c>
      <c r="I13269" t="s">
        <v>10</v>
      </c>
    </row>
    <row r="13270" spans="1:9" x14ac:dyDescent="0.25">
      <c r="A13270" t="str">
        <f t="shared" si="312"/>
        <v>89301000</v>
      </c>
      <c r="B13270" t="str">
        <f>"8157284850"</f>
        <v>8157284850</v>
      </c>
      <c r="C13270" s="1">
        <v>44963</v>
      </c>
      <c r="D13270" s="1">
        <v>44965</v>
      </c>
      <c r="E13270">
        <v>1</v>
      </c>
      <c r="F13270" t="str">
        <f>"08-M03-05"</f>
        <v>08-M03-05</v>
      </c>
      <c r="G13270">
        <v>0.46810000000000002</v>
      </c>
      <c r="H13270" t="s">
        <v>11</v>
      </c>
      <c r="I13270" t="s">
        <v>10</v>
      </c>
    </row>
    <row r="13271" spans="1:9" x14ac:dyDescent="0.25">
      <c r="A13271" t="str">
        <f t="shared" si="312"/>
        <v>89301000</v>
      </c>
      <c r="B13271" t="str">
        <f>"8157285345"</f>
        <v>8157285345</v>
      </c>
      <c r="C13271" s="1">
        <v>45186</v>
      </c>
      <c r="D13271" s="1">
        <v>45190</v>
      </c>
      <c r="E13271">
        <v>1</v>
      </c>
      <c r="F13271" t="str">
        <f>"04-K03-02"</f>
        <v>04-K03-02</v>
      </c>
      <c r="G13271">
        <v>0.80810000000000004</v>
      </c>
      <c r="H13271" t="s">
        <v>11</v>
      </c>
      <c r="I13271" t="s">
        <v>10</v>
      </c>
    </row>
    <row r="13272" spans="1:9" x14ac:dyDescent="0.25">
      <c r="A13272" t="str">
        <f t="shared" ref="A13272:A13334" si="313">"89301000"</f>
        <v>89301000</v>
      </c>
      <c r="B13272" t="str">
        <f>"8157315331"</f>
        <v>8157315331</v>
      </c>
      <c r="C13272" s="1">
        <v>45184</v>
      </c>
      <c r="D13272" s="1">
        <v>45187</v>
      </c>
      <c r="E13272">
        <v>1</v>
      </c>
      <c r="F13272" t="str">
        <f>"05-M06-06"</f>
        <v>05-M06-06</v>
      </c>
      <c r="G13272">
        <v>1.8264</v>
      </c>
      <c r="H13272" t="s">
        <v>12</v>
      </c>
      <c r="I13272" t="s">
        <v>10</v>
      </c>
    </row>
    <row r="13273" spans="1:9" x14ac:dyDescent="0.25">
      <c r="A13273" t="str">
        <f t="shared" si="313"/>
        <v>89301000</v>
      </c>
      <c r="B13273" t="str">
        <f>"8157315331"</f>
        <v>8157315331</v>
      </c>
      <c r="C13273" s="1">
        <v>45063</v>
      </c>
      <c r="D13273" s="1">
        <v>45069</v>
      </c>
      <c r="E13273">
        <v>1</v>
      </c>
      <c r="F13273" t="str">
        <f>"10-K03-04"</f>
        <v>10-K03-04</v>
      </c>
      <c r="G13273">
        <v>0.67349999999999999</v>
      </c>
      <c r="H13273" t="s">
        <v>11</v>
      </c>
      <c r="I13273" t="s">
        <v>10</v>
      </c>
    </row>
    <row r="13274" spans="1:9" x14ac:dyDescent="0.25">
      <c r="A13274" t="str">
        <f t="shared" si="313"/>
        <v>89301000</v>
      </c>
      <c r="B13274" t="str">
        <f>"8157315331"</f>
        <v>8157315331</v>
      </c>
      <c r="C13274" s="1">
        <v>44953</v>
      </c>
      <c r="D13274" s="1">
        <v>44957</v>
      </c>
      <c r="E13274">
        <v>1</v>
      </c>
      <c r="F13274" t="str">
        <f>"10-K04-04"</f>
        <v>10-K04-04</v>
      </c>
      <c r="G13274">
        <v>0.54310000000000003</v>
      </c>
      <c r="H13274" t="s">
        <v>11</v>
      </c>
      <c r="I13274" t="s">
        <v>10</v>
      </c>
    </row>
    <row r="13275" spans="1:9" x14ac:dyDescent="0.25">
      <c r="A13275" t="str">
        <f t="shared" si="313"/>
        <v>89301000</v>
      </c>
      <c r="B13275" t="str">
        <f>"8158024468"</f>
        <v>8158024468</v>
      </c>
      <c r="C13275" s="1">
        <v>44959</v>
      </c>
      <c r="D13275" s="1">
        <v>44962</v>
      </c>
      <c r="E13275">
        <v>1</v>
      </c>
      <c r="F13275" t="str">
        <f>"23-I08-00"</f>
        <v>23-I08-00</v>
      </c>
      <c r="G13275">
        <v>0.81740000000000002</v>
      </c>
      <c r="H13275" t="s">
        <v>9</v>
      </c>
      <c r="I13275" t="s">
        <v>10</v>
      </c>
    </row>
    <row r="13276" spans="1:9" x14ac:dyDescent="0.25">
      <c r="A13276" t="str">
        <f t="shared" si="313"/>
        <v>89301000</v>
      </c>
      <c r="B13276" t="str">
        <f>"8158024468"</f>
        <v>8158024468</v>
      </c>
      <c r="C13276" s="1">
        <v>45250</v>
      </c>
      <c r="D13276" s="1">
        <v>45252</v>
      </c>
      <c r="E13276">
        <v>1</v>
      </c>
      <c r="F13276" t="str">
        <f>"09-I04-02"</f>
        <v>09-I04-02</v>
      </c>
      <c r="G13276">
        <v>1.0899000000000001</v>
      </c>
      <c r="H13276" t="s">
        <v>12</v>
      </c>
      <c r="I13276" t="s">
        <v>10</v>
      </c>
    </row>
    <row r="13277" spans="1:9" x14ac:dyDescent="0.25">
      <c r="A13277" t="str">
        <f t="shared" si="313"/>
        <v>89301000</v>
      </c>
      <c r="B13277" t="str">
        <f>"8158045313"</f>
        <v>8158045313</v>
      </c>
      <c r="C13277" s="1">
        <v>45161</v>
      </c>
      <c r="D13277" s="1">
        <v>45164</v>
      </c>
      <c r="E13277">
        <v>1</v>
      </c>
      <c r="F13277" t="str">
        <f>"08-M03-04"</f>
        <v>08-M03-04</v>
      </c>
      <c r="G13277">
        <v>0.87760000000000005</v>
      </c>
      <c r="H13277" t="s">
        <v>11</v>
      </c>
      <c r="I13277" t="s">
        <v>10</v>
      </c>
    </row>
    <row r="13278" spans="1:9" x14ac:dyDescent="0.25">
      <c r="A13278" t="str">
        <f t="shared" si="313"/>
        <v>89301000</v>
      </c>
      <c r="B13278" t="str">
        <f>"8158055334"</f>
        <v>8158055334</v>
      </c>
      <c r="C13278" s="1">
        <v>44964</v>
      </c>
      <c r="D13278" s="1">
        <v>44966</v>
      </c>
      <c r="E13278">
        <v>1</v>
      </c>
      <c r="F13278" t="str">
        <f>"13-I14-03"</f>
        <v>13-I14-03</v>
      </c>
      <c r="G13278">
        <v>0.87760000000000005</v>
      </c>
      <c r="H13278" t="s">
        <v>9</v>
      </c>
      <c r="I13278" t="s">
        <v>10</v>
      </c>
    </row>
    <row r="13279" spans="1:9" x14ac:dyDescent="0.25">
      <c r="A13279" t="str">
        <f t="shared" si="313"/>
        <v>89301000</v>
      </c>
      <c r="B13279" t="str">
        <f>"8158195804"</f>
        <v>8158195804</v>
      </c>
      <c r="C13279" s="1">
        <v>44942</v>
      </c>
      <c r="D13279" s="1">
        <v>44944</v>
      </c>
      <c r="E13279">
        <v>1</v>
      </c>
      <c r="F13279" t="str">
        <f>"13-I14-03"</f>
        <v>13-I14-03</v>
      </c>
      <c r="G13279">
        <v>0.87760000000000005</v>
      </c>
      <c r="H13279" t="s">
        <v>9</v>
      </c>
      <c r="I13279" t="s">
        <v>10</v>
      </c>
    </row>
    <row r="13280" spans="1:9" x14ac:dyDescent="0.25">
      <c r="A13280" t="str">
        <f t="shared" si="313"/>
        <v>89301000</v>
      </c>
      <c r="B13280" t="str">
        <f>"8158244468"</f>
        <v>8158244468</v>
      </c>
      <c r="C13280" s="1">
        <v>45052</v>
      </c>
      <c r="D13280" s="1">
        <v>45075</v>
      </c>
      <c r="E13280">
        <v>1</v>
      </c>
      <c r="F13280" t="str">
        <f>"19-K06-02"</f>
        <v>19-K06-02</v>
      </c>
      <c r="G13280">
        <v>2.2334999999999998</v>
      </c>
      <c r="H13280" t="s">
        <v>15</v>
      </c>
      <c r="I13280" t="s">
        <v>10</v>
      </c>
    </row>
    <row r="13281" spans="1:9" x14ac:dyDescent="0.25">
      <c r="A13281" t="str">
        <f t="shared" si="313"/>
        <v>89301000</v>
      </c>
      <c r="B13281" t="str">
        <f>"8158244468"</f>
        <v>8158244468</v>
      </c>
      <c r="C13281" s="1">
        <v>45202</v>
      </c>
      <c r="D13281" s="1">
        <v>45238</v>
      </c>
      <c r="E13281">
        <v>1</v>
      </c>
      <c r="F13281" t="str">
        <f>"19-K08-02"</f>
        <v>19-K08-02</v>
      </c>
      <c r="G13281">
        <v>4.4416000000000002</v>
      </c>
      <c r="H13281" t="s">
        <v>15</v>
      </c>
      <c r="I13281" t="s">
        <v>10</v>
      </c>
    </row>
    <row r="13282" spans="1:9" x14ac:dyDescent="0.25">
      <c r="A13282" t="str">
        <f t="shared" si="313"/>
        <v>89301000</v>
      </c>
      <c r="B13282" t="str">
        <f>"8159135435"</f>
        <v>8159135435</v>
      </c>
      <c r="C13282" s="1">
        <v>45219</v>
      </c>
      <c r="D13282" s="1">
        <v>45225</v>
      </c>
      <c r="E13282">
        <v>1</v>
      </c>
      <c r="F13282" t="str">
        <f>"08-I04-03"</f>
        <v>08-I04-03</v>
      </c>
      <c r="G13282">
        <v>1.3045</v>
      </c>
      <c r="H13282" t="s">
        <v>14</v>
      </c>
      <c r="I13282" t="s">
        <v>10</v>
      </c>
    </row>
    <row r="13283" spans="1:9" x14ac:dyDescent="0.25">
      <c r="A13283" t="str">
        <f t="shared" si="313"/>
        <v>89301000</v>
      </c>
      <c r="B13283" t="str">
        <f>"8159135435"</f>
        <v>8159135435</v>
      </c>
      <c r="C13283" s="1">
        <v>45211</v>
      </c>
      <c r="D13283" s="1">
        <v>45215</v>
      </c>
      <c r="E13283">
        <v>1</v>
      </c>
      <c r="F13283" t="str">
        <f>"08-I04-03"</f>
        <v>08-I04-03</v>
      </c>
      <c r="G13283">
        <v>1.3045</v>
      </c>
      <c r="H13283" t="s">
        <v>14</v>
      </c>
      <c r="I13283" t="s">
        <v>10</v>
      </c>
    </row>
    <row r="13284" spans="1:9" x14ac:dyDescent="0.25">
      <c r="A13284" t="str">
        <f t="shared" si="313"/>
        <v>89301000</v>
      </c>
      <c r="B13284" t="str">
        <f>"8159205329"</f>
        <v>8159205329</v>
      </c>
      <c r="C13284" s="1">
        <v>45008</v>
      </c>
      <c r="D13284" s="1">
        <v>45011</v>
      </c>
      <c r="E13284">
        <v>1</v>
      </c>
      <c r="F13284" t="str">
        <f>"05-I30-01"</f>
        <v>05-I30-01</v>
      </c>
      <c r="G13284">
        <v>0.60309999999999997</v>
      </c>
      <c r="H13284" t="s">
        <v>12</v>
      </c>
      <c r="I13284" t="s">
        <v>10</v>
      </c>
    </row>
    <row r="13285" spans="1:9" x14ac:dyDescent="0.25">
      <c r="A13285" t="str">
        <f t="shared" si="313"/>
        <v>89301000</v>
      </c>
      <c r="B13285" t="str">
        <f>"8159227076"</f>
        <v>8159227076</v>
      </c>
      <c r="C13285" s="1">
        <v>45082</v>
      </c>
      <c r="D13285" s="1">
        <v>45083</v>
      </c>
      <c r="E13285">
        <v>1</v>
      </c>
      <c r="F13285" t="str">
        <f>"05-M05-03"</f>
        <v>05-M05-03</v>
      </c>
      <c r="G13285">
        <v>2.0312999999999999</v>
      </c>
      <c r="H13285" t="s">
        <v>14</v>
      </c>
      <c r="I13285" t="s">
        <v>10</v>
      </c>
    </row>
    <row r="13286" spans="1:9" x14ac:dyDescent="0.25">
      <c r="A13286" t="str">
        <f t="shared" si="313"/>
        <v>89301000</v>
      </c>
      <c r="B13286" t="str">
        <f>"8159244852"</f>
        <v>8159244852</v>
      </c>
      <c r="C13286" s="1">
        <v>45105</v>
      </c>
      <c r="D13286" s="1">
        <v>45107</v>
      </c>
      <c r="E13286">
        <v>1</v>
      </c>
      <c r="F13286" t="str">
        <f>"10-K04-04"</f>
        <v>10-K04-04</v>
      </c>
      <c r="G13286">
        <v>0.53949999999999998</v>
      </c>
      <c r="H13286" t="s">
        <v>11</v>
      </c>
      <c r="I13286" t="s">
        <v>10</v>
      </c>
    </row>
    <row r="13287" spans="1:9" x14ac:dyDescent="0.25">
      <c r="A13287" t="str">
        <f t="shared" si="313"/>
        <v>89301000</v>
      </c>
      <c r="B13287" t="str">
        <f>"8160035763"</f>
        <v>8160035763</v>
      </c>
      <c r="C13287" s="1">
        <v>45056</v>
      </c>
      <c r="D13287" s="1">
        <v>45057</v>
      </c>
      <c r="E13287">
        <v>1</v>
      </c>
      <c r="F13287" t="str">
        <f>"05-M05-02"</f>
        <v>05-M05-02</v>
      </c>
      <c r="G13287">
        <v>3.4817999999999998</v>
      </c>
      <c r="H13287" t="s">
        <v>14</v>
      </c>
      <c r="I13287" t="s">
        <v>10</v>
      </c>
    </row>
    <row r="13288" spans="1:9" x14ac:dyDescent="0.25">
      <c r="A13288" t="str">
        <f t="shared" si="313"/>
        <v>89301000</v>
      </c>
      <c r="B13288" t="str">
        <f>"8160125347"</f>
        <v>8160125347</v>
      </c>
      <c r="C13288" s="1">
        <v>45222</v>
      </c>
      <c r="D13288" s="1">
        <v>45225</v>
      </c>
      <c r="E13288">
        <v>1</v>
      </c>
      <c r="F13288" t="str">
        <f>"05-I30-01"</f>
        <v>05-I30-01</v>
      </c>
      <c r="G13288">
        <v>0.60309999999999997</v>
      </c>
      <c r="H13288" t="s">
        <v>12</v>
      </c>
      <c r="I13288" t="s">
        <v>10</v>
      </c>
    </row>
    <row r="13289" spans="1:9" x14ac:dyDescent="0.25">
      <c r="A13289" t="str">
        <f t="shared" si="313"/>
        <v>89301000</v>
      </c>
      <c r="B13289" t="str">
        <f>"8160135324"</f>
        <v>8160135324</v>
      </c>
      <c r="C13289" s="1">
        <v>44950</v>
      </c>
      <c r="D13289" s="1">
        <v>44952</v>
      </c>
      <c r="E13289">
        <v>1</v>
      </c>
      <c r="F13289" t="str">
        <f>"13-I19-00"</f>
        <v>13-I19-00</v>
      </c>
      <c r="G13289">
        <v>0.28249999999999997</v>
      </c>
      <c r="H13289" t="s">
        <v>11</v>
      </c>
      <c r="I13289" t="s">
        <v>10</v>
      </c>
    </row>
    <row r="13290" spans="1:9" x14ac:dyDescent="0.25">
      <c r="A13290" t="str">
        <f t="shared" si="313"/>
        <v>89301000</v>
      </c>
      <c r="B13290" t="str">
        <f>"8160155333"</f>
        <v>8160155333</v>
      </c>
      <c r="C13290" s="1">
        <v>45120</v>
      </c>
      <c r="D13290" s="1">
        <v>45121</v>
      </c>
      <c r="E13290">
        <v>1</v>
      </c>
      <c r="F13290" t="str">
        <f>"01-K07-03"</f>
        <v>01-K07-03</v>
      </c>
      <c r="G13290">
        <v>0.48680000000000001</v>
      </c>
      <c r="H13290" t="s">
        <v>11</v>
      </c>
      <c r="I13290" t="s">
        <v>10</v>
      </c>
    </row>
    <row r="13291" spans="1:9" x14ac:dyDescent="0.25">
      <c r="A13291" t="str">
        <f t="shared" si="313"/>
        <v>89301000</v>
      </c>
      <c r="B13291" t="str">
        <f>"8160155333"</f>
        <v>8160155333</v>
      </c>
      <c r="C13291" s="1">
        <v>44998</v>
      </c>
      <c r="D13291" s="1">
        <v>45000</v>
      </c>
      <c r="E13291">
        <v>1</v>
      </c>
      <c r="F13291" t="str">
        <f>"01-K01-02"</f>
        <v>01-K01-02</v>
      </c>
      <c r="G13291">
        <v>0.442</v>
      </c>
      <c r="H13291" t="s">
        <v>11</v>
      </c>
      <c r="I13291" t="s">
        <v>10</v>
      </c>
    </row>
    <row r="13292" spans="1:9" x14ac:dyDescent="0.25">
      <c r="A13292" t="str">
        <f t="shared" si="313"/>
        <v>89301000</v>
      </c>
      <c r="B13292" t="str">
        <f>"8160175320"</f>
        <v>8160175320</v>
      </c>
      <c r="C13292" s="1">
        <v>45026</v>
      </c>
      <c r="D13292" s="1">
        <v>45040</v>
      </c>
      <c r="E13292">
        <v>1</v>
      </c>
      <c r="F13292" t="str">
        <f>"14-I01-02"</f>
        <v>14-I01-02</v>
      </c>
      <c r="G13292">
        <v>2.0750000000000002</v>
      </c>
      <c r="H13292" t="s">
        <v>13</v>
      </c>
      <c r="I13292" t="s">
        <v>10</v>
      </c>
    </row>
    <row r="13293" spans="1:9" x14ac:dyDescent="0.25">
      <c r="A13293" t="str">
        <f t="shared" si="313"/>
        <v>89301000</v>
      </c>
      <c r="B13293" t="str">
        <f>"8160235754"</f>
        <v>8160235754</v>
      </c>
      <c r="C13293" s="1">
        <v>45205</v>
      </c>
      <c r="D13293" s="1">
        <v>45208</v>
      </c>
      <c r="E13293">
        <v>1</v>
      </c>
      <c r="F13293" t="str">
        <f>"14-M01-05"</f>
        <v>14-M01-05</v>
      </c>
      <c r="G13293">
        <v>0.56289999999999996</v>
      </c>
      <c r="H13293" t="s">
        <v>13</v>
      </c>
      <c r="I13293" t="s">
        <v>10</v>
      </c>
    </row>
    <row r="13294" spans="1:9" x14ac:dyDescent="0.25">
      <c r="A13294" t="str">
        <f t="shared" si="313"/>
        <v>89301000</v>
      </c>
      <c r="B13294" t="str">
        <f>"8160275343"</f>
        <v>8160275343</v>
      </c>
      <c r="C13294" s="1">
        <v>44962</v>
      </c>
      <c r="D13294" s="1">
        <v>44965</v>
      </c>
      <c r="E13294">
        <v>1</v>
      </c>
      <c r="F13294" t="str">
        <f>"17-I08-02"</f>
        <v>17-I08-02</v>
      </c>
      <c r="G13294">
        <v>1.1373</v>
      </c>
      <c r="H13294" t="s">
        <v>11</v>
      </c>
      <c r="I13294" t="s">
        <v>10</v>
      </c>
    </row>
    <row r="13295" spans="1:9" x14ac:dyDescent="0.25">
      <c r="A13295" t="str">
        <f t="shared" si="313"/>
        <v>89301000</v>
      </c>
      <c r="B13295" t="str">
        <f>"8160315768"</f>
        <v>8160315768</v>
      </c>
      <c r="C13295" s="1">
        <v>45218</v>
      </c>
      <c r="D13295" s="1">
        <v>45220</v>
      </c>
      <c r="E13295">
        <v>1</v>
      </c>
      <c r="F13295" t="str">
        <f>"09-I09-05"</f>
        <v>09-I09-05</v>
      </c>
      <c r="G13295">
        <v>0.46870000000000001</v>
      </c>
      <c r="H13295" t="s">
        <v>12</v>
      </c>
      <c r="I13295" t="s">
        <v>10</v>
      </c>
    </row>
    <row r="13296" spans="1:9" x14ac:dyDescent="0.25">
      <c r="A13296" t="str">
        <f t="shared" si="313"/>
        <v>89301000</v>
      </c>
      <c r="B13296" t="str">
        <f>"8161035762"</f>
        <v>8161035762</v>
      </c>
      <c r="C13296" s="1">
        <v>45222</v>
      </c>
      <c r="D13296" s="1">
        <v>45223</v>
      </c>
      <c r="E13296">
        <v>1</v>
      </c>
      <c r="F13296" t="str">
        <f>"13-K04-00"</f>
        <v>13-K04-00</v>
      </c>
      <c r="G13296">
        <v>0.46960000000000002</v>
      </c>
      <c r="H13296" t="s">
        <v>11</v>
      </c>
      <c r="I13296" t="s">
        <v>10</v>
      </c>
    </row>
    <row r="13297" spans="1:9" x14ac:dyDescent="0.25">
      <c r="A13297" t="str">
        <f t="shared" si="313"/>
        <v>89301000</v>
      </c>
      <c r="B13297" t="str">
        <f>"8161055342"</f>
        <v>8161055342</v>
      </c>
      <c r="C13297" s="1">
        <v>45152</v>
      </c>
      <c r="D13297" s="1">
        <v>45153</v>
      </c>
      <c r="E13297">
        <v>1</v>
      </c>
      <c r="F13297" t="str">
        <f>"11-M05-02"</f>
        <v>11-M05-02</v>
      </c>
      <c r="G13297">
        <v>0.6694</v>
      </c>
      <c r="H13297" t="s">
        <v>12</v>
      </c>
      <c r="I13297" t="s">
        <v>10</v>
      </c>
    </row>
    <row r="13298" spans="1:9" x14ac:dyDescent="0.25">
      <c r="A13298" t="str">
        <f t="shared" si="313"/>
        <v>89301000</v>
      </c>
      <c r="B13298" t="str">
        <f>"8161055353"</f>
        <v>8161055353</v>
      </c>
      <c r="C13298" s="1">
        <v>45238</v>
      </c>
      <c r="D13298" s="1">
        <v>45243</v>
      </c>
      <c r="E13298">
        <v>1</v>
      </c>
      <c r="F13298" t="str">
        <f>"23-K05-01"</f>
        <v>23-K05-01</v>
      </c>
      <c r="G13298">
        <v>0.56269999999999998</v>
      </c>
      <c r="H13298" t="s">
        <v>11</v>
      </c>
      <c r="I13298" t="s">
        <v>10</v>
      </c>
    </row>
    <row r="13299" spans="1:9" x14ac:dyDescent="0.25">
      <c r="A13299" t="str">
        <f t="shared" si="313"/>
        <v>89301000</v>
      </c>
      <c r="B13299" t="str">
        <f>"8161214457"</f>
        <v>8161214457</v>
      </c>
      <c r="C13299" s="1">
        <v>45129</v>
      </c>
      <c r="D13299" s="1">
        <v>45139</v>
      </c>
      <c r="E13299">
        <v>1</v>
      </c>
      <c r="F13299" t="str">
        <f>"08-K08-00"</f>
        <v>08-K08-00</v>
      </c>
      <c r="G13299">
        <v>0.5272</v>
      </c>
      <c r="H13299" t="s">
        <v>11</v>
      </c>
      <c r="I13299" t="s">
        <v>10</v>
      </c>
    </row>
    <row r="13300" spans="1:9" x14ac:dyDescent="0.25">
      <c r="A13300" t="str">
        <f t="shared" si="313"/>
        <v>89301000</v>
      </c>
      <c r="B13300" t="str">
        <f>"8161245763"</f>
        <v>8161245763</v>
      </c>
      <c r="C13300" s="1">
        <v>45202</v>
      </c>
      <c r="D13300" s="1">
        <v>45203</v>
      </c>
      <c r="E13300">
        <v>1</v>
      </c>
      <c r="F13300" t="str">
        <f>"08-I17-02"</f>
        <v>08-I17-02</v>
      </c>
      <c r="G13300">
        <v>0.89680000000000004</v>
      </c>
      <c r="H13300" t="s">
        <v>11</v>
      </c>
      <c r="I13300" t="s">
        <v>10</v>
      </c>
    </row>
    <row r="13301" spans="1:9" x14ac:dyDescent="0.25">
      <c r="A13301" t="str">
        <f t="shared" si="313"/>
        <v>89301000</v>
      </c>
      <c r="B13301" t="str">
        <f>"8162045760"</f>
        <v>8162045760</v>
      </c>
      <c r="C13301" s="1">
        <v>44993</v>
      </c>
      <c r="D13301" s="1">
        <v>44994</v>
      </c>
      <c r="E13301">
        <v>1</v>
      </c>
      <c r="F13301" t="str">
        <f>"11-M05-02"</f>
        <v>11-M05-02</v>
      </c>
      <c r="G13301">
        <v>0.6694</v>
      </c>
      <c r="H13301" t="s">
        <v>12</v>
      </c>
      <c r="I13301" t="s">
        <v>10</v>
      </c>
    </row>
    <row r="13302" spans="1:9" x14ac:dyDescent="0.25">
      <c r="A13302" t="str">
        <f t="shared" si="313"/>
        <v>89301000</v>
      </c>
      <c r="B13302" t="str">
        <f>"8162153505"</f>
        <v>8162153505</v>
      </c>
      <c r="C13302" s="1">
        <v>44932</v>
      </c>
      <c r="D13302" s="1">
        <v>44934</v>
      </c>
      <c r="E13302">
        <v>1</v>
      </c>
      <c r="F13302" t="str">
        <f>"01-K01-02"</f>
        <v>01-K01-02</v>
      </c>
      <c r="G13302">
        <v>0.442</v>
      </c>
      <c r="H13302" t="s">
        <v>11</v>
      </c>
      <c r="I13302" t="s">
        <v>10</v>
      </c>
    </row>
    <row r="13303" spans="1:9" x14ac:dyDescent="0.25">
      <c r="A13303" t="str">
        <f t="shared" si="313"/>
        <v>89301000</v>
      </c>
      <c r="B13303" t="str">
        <f>"8162153505"</f>
        <v>8162153505</v>
      </c>
      <c r="C13303" s="1">
        <v>45212</v>
      </c>
      <c r="D13303" s="1">
        <v>45215</v>
      </c>
      <c r="E13303">
        <v>1</v>
      </c>
      <c r="F13303" t="str">
        <f>"03-K04-01"</f>
        <v>03-K04-01</v>
      </c>
      <c r="G13303">
        <v>0.46479999999999999</v>
      </c>
      <c r="H13303" t="s">
        <v>11</v>
      </c>
      <c r="I13303" t="s">
        <v>10</v>
      </c>
    </row>
    <row r="13304" spans="1:9" x14ac:dyDescent="0.25">
      <c r="A13304" t="str">
        <f t="shared" si="313"/>
        <v>89301000</v>
      </c>
      <c r="B13304" t="str">
        <f>"8162283954"</f>
        <v>8162283954</v>
      </c>
      <c r="C13304" s="1">
        <v>45012</v>
      </c>
      <c r="D13304" s="1">
        <v>45015</v>
      </c>
      <c r="E13304">
        <v>1</v>
      </c>
      <c r="F13304" t="str">
        <f>"14-M01-05"</f>
        <v>14-M01-05</v>
      </c>
      <c r="G13304">
        <v>0.56589999999999996</v>
      </c>
      <c r="H13304" t="s">
        <v>13</v>
      </c>
      <c r="I13304" t="s">
        <v>10</v>
      </c>
    </row>
    <row r="13305" spans="1:9" x14ac:dyDescent="0.25">
      <c r="A13305" t="str">
        <f t="shared" si="313"/>
        <v>89301000</v>
      </c>
      <c r="B13305" t="str">
        <f>"8201195849"</f>
        <v>8201195849</v>
      </c>
      <c r="C13305" s="1">
        <v>45070</v>
      </c>
      <c r="D13305" s="1">
        <v>45071</v>
      </c>
      <c r="E13305">
        <v>1</v>
      </c>
      <c r="F13305" t="str">
        <f>"08-I16-04"</f>
        <v>08-I16-04</v>
      </c>
      <c r="G13305">
        <v>0.83040000000000003</v>
      </c>
      <c r="H13305" t="s">
        <v>12</v>
      </c>
      <c r="I13305" t="s">
        <v>10</v>
      </c>
    </row>
    <row r="13306" spans="1:9" x14ac:dyDescent="0.25">
      <c r="A13306" t="str">
        <f t="shared" si="313"/>
        <v>89301000</v>
      </c>
      <c r="B13306" t="str">
        <f>"8201215792"</f>
        <v>8201215792</v>
      </c>
      <c r="C13306" s="1">
        <v>45242</v>
      </c>
      <c r="D13306" s="1">
        <v>45244</v>
      </c>
      <c r="E13306">
        <v>1</v>
      </c>
      <c r="F13306" t="str">
        <f>"20-K02-03"</f>
        <v>20-K02-03</v>
      </c>
      <c r="G13306">
        <v>0.57520000000000004</v>
      </c>
      <c r="H13306" t="s">
        <v>11</v>
      </c>
      <c r="I13306" t="s">
        <v>10</v>
      </c>
    </row>
    <row r="13307" spans="1:9" x14ac:dyDescent="0.25">
      <c r="A13307" t="str">
        <f t="shared" si="313"/>
        <v>89301000</v>
      </c>
      <c r="B13307" t="str">
        <f>"8201215792"</f>
        <v>8201215792</v>
      </c>
      <c r="C13307" s="1">
        <v>45226</v>
      </c>
      <c r="D13307" s="1">
        <v>45238</v>
      </c>
      <c r="E13307">
        <v>1</v>
      </c>
      <c r="F13307" t="str">
        <f>"20-K04-01"</f>
        <v>20-K04-01</v>
      </c>
      <c r="G13307">
        <v>1.5724</v>
      </c>
      <c r="H13307" t="s">
        <v>11</v>
      </c>
      <c r="I13307" t="s">
        <v>10</v>
      </c>
    </row>
    <row r="13308" spans="1:9" x14ac:dyDescent="0.25">
      <c r="A13308" t="str">
        <f t="shared" si="313"/>
        <v>89301000</v>
      </c>
      <c r="B13308" t="str">
        <f>"8201305343"</f>
        <v>8201305343</v>
      </c>
      <c r="C13308" s="1">
        <v>45027</v>
      </c>
      <c r="D13308" s="1">
        <v>45035</v>
      </c>
      <c r="E13308">
        <v>4</v>
      </c>
      <c r="F13308" t="str">
        <f>"23-K05-02"</f>
        <v>23-K05-02</v>
      </c>
      <c r="G13308">
        <v>0.5121</v>
      </c>
      <c r="H13308" t="s">
        <v>11</v>
      </c>
      <c r="I13308" t="s">
        <v>10</v>
      </c>
    </row>
    <row r="13309" spans="1:9" x14ac:dyDescent="0.25">
      <c r="A13309" t="str">
        <f t="shared" si="313"/>
        <v>89301000</v>
      </c>
      <c r="B13309" t="str">
        <f>"8201305343"</f>
        <v>8201305343</v>
      </c>
      <c r="C13309" s="1">
        <v>45004</v>
      </c>
      <c r="D13309" s="1">
        <v>45015</v>
      </c>
      <c r="E13309">
        <v>4</v>
      </c>
      <c r="F13309" t="str">
        <f>"00-M02-01"</f>
        <v>00-M02-01</v>
      </c>
      <c r="G13309">
        <v>20.563500000000001</v>
      </c>
      <c r="H13309" t="s">
        <v>11</v>
      </c>
      <c r="I13309" t="s">
        <v>10</v>
      </c>
    </row>
    <row r="13310" spans="1:9" x14ac:dyDescent="0.25">
      <c r="A13310" t="str">
        <f t="shared" si="313"/>
        <v>89301000</v>
      </c>
      <c r="B13310" t="str">
        <f>"8201305343"</f>
        <v>8201305343</v>
      </c>
      <c r="C13310" s="1">
        <v>45054</v>
      </c>
      <c r="D13310" s="1">
        <v>45056</v>
      </c>
      <c r="E13310">
        <v>4</v>
      </c>
      <c r="F13310" t="str">
        <f>"25-K01-02"</f>
        <v>25-K01-02</v>
      </c>
      <c r="G13310">
        <v>2.72</v>
      </c>
      <c r="H13310" t="s">
        <v>14</v>
      </c>
      <c r="I13310" t="s">
        <v>10</v>
      </c>
    </row>
    <row r="13311" spans="1:9" x14ac:dyDescent="0.25">
      <c r="A13311" t="str">
        <f t="shared" si="313"/>
        <v>89301000</v>
      </c>
      <c r="B13311" t="str">
        <f>"8202065311"</f>
        <v>8202065311</v>
      </c>
      <c r="C13311" s="1">
        <v>45020</v>
      </c>
      <c r="D13311" s="1">
        <v>45040</v>
      </c>
      <c r="E13311">
        <v>1</v>
      </c>
      <c r="F13311" t="str">
        <f>"02-I09-02"</f>
        <v>02-I09-02</v>
      </c>
      <c r="G13311">
        <v>1.919</v>
      </c>
      <c r="H13311" t="s">
        <v>11</v>
      </c>
      <c r="I13311" t="s">
        <v>10</v>
      </c>
    </row>
    <row r="13312" spans="1:9" x14ac:dyDescent="0.25">
      <c r="A13312" t="str">
        <f t="shared" si="313"/>
        <v>89301000</v>
      </c>
      <c r="B13312" t="str">
        <f>"8202065311"</f>
        <v>8202065311</v>
      </c>
      <c r="C13312" s="1">
        <v>44991</v>
      </c>
      <c r="D13312" s="1">
        <v>45014</v>
      </c>
      <c r="E13312">
        <v>1</v>
      </c>
      <c r="F13312" t="str">
        <f>"02-I06-01"</f>
        <v>02-I06-01</v>
      </c>
      <c r="G13312">
        <v>2.9609000000000001</v>
      </c>
      <c r="H13312" t="s">
        <v>12</v>
      </c>
      <c r="I13312" t="s">
        <v>10</v>
      </c>
    </row>
    <row r="13313" spans="1:9" x14ac:dyDescent="0.25">
      <c r="A13313" t="str">
        <f t="shared" si="313"/>
        <v>89301000</v>
      </c>
      <c r="B13313" t="str">
        <f>"8202234480"</f>
        <v>8202234480</v>
      </c>
      <c r="C13313" s="1">
        <v>45271</v>
      </c>
      <c r="D13313" s="1">
        <v>45272</v>
      </c>
      <c r="E13313">
        <v>1</v>
      </c>
      <c r="F13313" t="str">
        <f>"08-M03-05"</f>
        <v>08-M03-05</v>
      </c>
      <c r="G13313">
        <v>0.46810000000000002</v>
      </c>
      <c r="H13313" t="s">
        <v>11</v>
      </c>
      <c r="I13313" t="s">
        <v>10</v>
      </c>
    </row>
    <row r="13314" spans="1:9" x14ac:dyDescent="0.25">
      <c r="A13314" t="str">
        <f t="shared" si="313"/>
        <v>89301000</v>
      </c>
      <c r="B13314" t="str">
        <f>"8202245315"</f>
        <v>8202245315</v>
      </c>
      <c r="C13314" s="1">
        <v>45271</v>
      </c>
      <c r="D13314" s="1">
        <v>45275</v>
      </c>
      <c r="E13314">
        <v>1</v>
      </c>
      <c r="F13314" t="str">
        <f>"08-I13-06"</f>
        <v>08-I13-06</v>
      </c>
      <c r="G13314">
        <v>1.9452</v>
      </c>
      <c r="H13314" t="s">
        <v>12</v>
      </c>
      <c r="I13314" t="s">
        <v>10</v>
      </c>
    </row>
    <row r="13315" spans="1:9" x14ac:dyDescent="0.25">
      <c r="A13315" t="str">
        <f t="shared" si="313"/>
        <v>89301000</v>
      </c>
      <c r="B13315" t="str">
        <f>"8203115316"</f>
        <v>8203115316</v>
      </c>
      <c r="C13315" s="1">
        <v>45228</v>
      </c>
      <c r="D13315" s="1">
        <v>45232</v>
      </c>
      <c r="E13315">
        <v>1</v>
      </c>
      <c r="F13315" t="str">
        <f>"06-K11-00"</f>
        <v>06-K11-00</v>
      </c>
      <c r="G13315">
        <v>0.34639999999999999</v>
      </c>
      <c r="H13315" t="s">
        <v>11</v>
      </c>
      <c r="I13315" t="s">
        <v>10</v>
      </c>
    </row>
    <row r="13316" spans="1:9" x14ac:dyDescent="0.25">
      <c r="A13316" t="str">
        <f t="shared" si="313"/>
        <v>89301000</v>
      </c>
      <c r="B13316" t="str">
        <f>"8203255324"</f>
        <v>8203255324</v>
      </c>
      <c r="C13316" s="1">
        <v>45126</v>
      </c>
      <c r="D13316" s="1">
        <v>45127</v>
      </c>
      <c r="E13316">
        <v>1</v>
      </c>
      <c r="F13316" t="str">
        <f>"08-I18-02"</f>
        <v>08-I18-02</v>
      </c>
      <c r="G13316">
        <v>0.62509999999999999</v>
      </c>
      <c r="H13316" t="s">
        <v>12</v>
      </c>
      <c r="I13316" t="s">
        <v>10</v>
      </c>
    </row>
    <row r="13317" spans="1:9" x14ac:dyDescent="0.25">
      <c r="A13317" t="str">
        <f t="shared" si="313"/>
        <v>89301000</v>
      </c>
      <c r="B13317" t="str">
        <f>"8203274475"</f>
        <v>8203274475</v>
      </c>
      <c r="C13317" s="1">
        <v>44998</v>
      </c>
      <c r="D13317" s="1">
        <v>44999</v>
      </c>
      <c r="E13317">
        <v>1</v>
      </c>
      <c r="F13317" t="str">
        <f>"23-K04-02"</f>
        <v>23-K04-02</v>
      </c>
      <c r="G13317">
        <v>0.38150000000000001</v>
      </c>
      <c r="H13317" t="s">
        <v>11</v>
      </c>
      <c r="I13317" t="s">
        <v>10</v>
      </c>
    </row>
    <row r="13318" spans="1:9" x14ac:dyDescent="0.25">
      <c r="A13318" t="str">
        <f t="shared" si="313"/>
        <v>89301000</v>
      </c>
      <c r="B13318" t="str">
        <f>"8203274475"</f>
        <v>8203274475</v>
      </c>
      <c r="C13318" s="1">
        <v>45224</v>
      </c>
      <c r="D13318" s="1">
        <v>45226</v>
      </c>
      <c r="E13318">
        <v>1</v>
      </c>
      <c r="F13318" t="str">
        <f>"01-K16-06"</f>
        <v>01-K16-06</v>
      </c>
      <c r="G13318">
        <v>0.27150000000000002</v>
      </c>
      <c r="H13318" t="s">
        <v>11</v>
      </c>
      <c r="I13318" t="s">
        <v>10</v>
      </c>
    </row>
    <row r="13319" spans="1:9" x14ac:dyDescent="0.25">
      <c r="A13319" t="str">
        <f t="shared" si="313"/>
        <v>89301000</v>
      </c>
      <c r="B13319" t="str">
        <f>"8204014852"</f>
        <v>8204014852</v>
      </c>
      <c r="C13319" s="1">
        <v>44979</v>
      </c>
      <c r="D13319" s="1">
        <v>44983</v>
      </c>
      <c r="E13319">
        <v>1</v>
      </c>
      <c r="F13319" t="str">
        <f>"07-I10-06"</f>
        <v>07-I10-06</v>
      </c>
      <c r="G13319">
        <v>0.98419999999999996</v>
      </c>
      <c r="H13319" t="s">
        <v>12</v>
      </c>
      <c r="I13319" t="s">
        <v>10</v>
      </c>
    </row>
    <row r="13320" spans="1:9" x14ac:dyDescent="0.25">
      <c r="A13320" t="str">
        <f t="shared" si="313"/>
        <v>89301000</v>
      </c>
      <c r="B13320" t="str">
        <f>"8204114963"</f>
        <v>8204114963</v>
      </c>
      <c r="C13320" s="1">
        <v>44963</v>
      </c>
      <c r="D13320" s="1">
        <v>44967</v>
      </c>
      <c r="E13320">
        <v>1</v>
      </c>
      <c r="F13320" t="str">
        <f>"01-C02-02"</f>
        <v>01-C02-02</v>
      </c>
      <c r="G13320">
        <v>1.6685000000000001</v>
      </c>
      <c r="H13320" t="s">
        <v>11</v>
      </c>
      <c r="I13320" t="s">
        <v>10</v>
      </c>
    </row>
    <row r="13321" spans="1:9" x14ac:dyDescent="0.25">
      <c r="A13321" t="str">
        <f t="shared" si="313"/>
        <v>89301000</v>
      </c>
      <c r="B13321" t="str">
        <f>"8204134840"</f>
        <v>8204134840</v>
      </c>
      <c r="C13321" s="1">
        <v>45133</v>
      </c>
      <c r="D13321" s="1">
        <v>45135</v>
      </c>
      <c r="E13321">
        <v>1</v>
      </c>
      <c r="F13321" t="str">
        <f>"02-I06-03"</f>
        <v>02-I06-03</v>
      </c>
      <c r="G13321">
        <v>0.99260000000000004</v>
      </c>
      <c r="H13321" t="s">
        <v>12</v>
      </c>
      <c r="I13321" t="s">
        <v>10</v>
      </c>
    </row>
    <row r="13322" spans="1:9" x14ac:dyDescent="0.25">
      <c r="A13322" t="str">
        <f t="shared" si="313"/>
        <v>89301000</v>
      </c>
      <c r="B13322" t="str">
        <f>"8204134840"</f>
        <v>8204134840</v>
      </c>
      <c r="C13322" s="1">
        <v>45252</v>
      </c>
      <c r="D13322" s="1">
        <v>45254</v>
      </c>
      <c r="E13322">
        <v>1</v>
      </c>
      <c r="F13322" t="str">
        <f>"23-I10-00"</f>
        <v>23-I10-00</v>
      </c>
      <c r="G13322">
        <v>0.57010000000000005</v>
      </c>
      <c r="H13322" t="s">
        <v>11</v>
      </c>
      <c r="I13322" t="s">
        <v>10</v>
      </c>
    </row>
    <row r="13323" spans="1:9" x14ac:dyDescent="0.25">
      <c r="A13323" t="str">
        <f t="shared" si="313"/>
        <v>89301000</v>
      </c>
      <c r="B13323" t="str">
        <f>"8204134840"</f>
        <v>8204134840</v>
      </c>
      <c r="C13323" s="1">
        <v>45153</v>
      </c>
      <c r="D13323" s="1">
        <v>45155</v>
      </c>
      <c r="E13323">
        <v>1</v>
      </c>
      <c r="F13323" t="str">
        <f>"02-I12-02"</f>
        <v>02-I12-02</v>
      </c>
      <c r="G13323">
        <v>0.78639999999999999</v>
      </c>
      <c r="H13323" t="s">
        <v>11</v>
      </c>
      <c r="I13323" t="s">
        <v>10</v>
      </c>
    </row>
    <row r="13324" spans="1:9" x14ac:dyDescent="0.25">
      <c r="A13324" t="str">
        <f t="shared" si="313"/>
        <v>89301000</v>
      </c>
      <c r="B13324" t="str">
        <f>"8204254476"</f>
        <v>8204254476</v>
      </c>
      <c r="C13324" s="1">
        <v>45206</v>
      </c>
      <c r="D13324" s="1">
        <v>45210</v>
      </c>
      <c r="E13324">
        <v>1</v>
      </c>
      <c r="F13324" t="str">
        <f>"07-K02-03"</f>
        <v>07-K02-03</v>
      </c>
      <c r="G13324">
        <v>0.78139999999999998</v>
      </c>
      <c r="H13324" t="s">
        <v>11</v>
      </c>
      <c r="I13324" t="s">
        <v>10</v>
      </c>
    </row>
    <row r="13325" spans="1:9" x14ac:dyDescent="0.25">
      <c r="A13325" t="str">
        <f t="shared" si="313"/>
        <v>89301000</v>
      </c>
      <c r="B13325" t="str">
        <f>"8204254476"</f>
        <v>8204254476</v>
      </c>
      <c r="C13325" s="1">
        <v>45258</v>
      </c>
      <c r="D13325" s="1">
        <v>45259</v>
      </c>
      <c r="E13325">
        <v>1</v>
      </c>
      <c r="F13325" t="str">
        <f>"07-M02-04"</f>
        <v>07-M02-04</v>
      </c>
      <c r="G13325">
        <v>0.79139999999999999</v>
      </c>
      <c r="H13325" t="s">
        <v>12</v>
      </c>
      <c r="I13325" t="s">
        <v>10</v>
      </c>
    </row>
    <row r="13326" spans="1:9" x14ac:dyDescent="0.25">
      <c r="A13326" t="str">
        <f t="shared" si="313"/>
        <v>89301000</v>
      </c>
      <c r="B13326" t="str">
        <f>"8204254476"</f>
        <v>8204254476</v>
      </c>
      <c r="C13326" s="1">
        <v>45096</v>
      </c>
      <c r="D13326" s="1">
        <v>45188</v>
      </c>
      <c r="E13326">
        <v>1</v>
      </c>
      <c r="F13326" t="str">
        <f>"00-M03-02"</f>
        <v>00-M03-02</v>
      </c>
      <c r="G13326">
        <v>41.718400000000003</v>
      </c>
      <c r="H13326" t="s">
        <v>11</v>
      </c>
      <c r="I13326" t="s">
        <v>10</v>
      </c>
    </row>
    <row r="13327" spans="1:9" x14ac:dyDescent="0.25">
      <c r="A13327" t="str">
        <f t="shared" si="313"/>
        <v>89301000</v>
      </c>
      <c r="B13327" t="str">
        <f>"8205094953"</f>
        <v>8205094953</v>
      </c>
      <c r="C13327" s="1">
        <v>45273</v>
      </c>
      <c r="D13327" s="1">
        <v>45275</v>
      </c>
      <c r="E13327">
        <v>1</v>
      </c>
      <c r="F13327" t="str">
        <f>"10-K15-02"</f>
        <v>10-K15-02</v>
      </c>
      <c r="G13327">
        <v>0.66379999999999995</v>
      </c>
      <c r="H13327" t="s">
        <v>11</v>
      </c>
      <c r="I13327" t="s">
        <v>10</v>
      </c>
    </row>
    <row r="13328" spans="1:9" x14ac:dyDescent="0.25">
      <c r="A13328" t="str">
        <f t="shared" si="313"/>
        <v>89301000</v>
      </c>
      <c r="B13328" t="str">
        <f>"8205225677"</f>
        <v>8205225677</v>
      </c>
      <c r="C13328" s="1">
        <v>44934</v>
      </c>
      <c r="D13328" s="1">
        <v>44936</v>
      </c>
      <c r="E13328">
        <v>1</v>
      </c>
      <c r="F13328" t="str">
        <f>"05-M05-03"</f>
        <v>05-M05-03</v>
      </c>
      <c r="G13328">
        <v>2.0312999999999999</v>
      </c>
      <c r="H13328" t="s">
        <v>14</v>
      </c>
      <c r="I13328" t="s">
        <v>10</v>
      </c>
    </row>
    <row r="13329" spans="1:9" x14ac:dyDescent="0.25">
      <c r="A13329" t="str">
        <f t="shared" si="313"/>
        <v>89301000</v>
      </c>
      <c r="B13329" t="str">
        <f>"8206105314"</f>
        <v>8206105314</v>
      </c>
      <c r="C13329" s="1">
        <v>45029</v>
      </c>
      <c r="D13329" s="1">
        <v>45029</v>
      </c>
      <c r="E13329">
        <v>1</v>
      </c>
      <c r="F13329" t="str">
        <f>"05-I14-04"</f>
        <v>05-I14-04</v>
      </c>
      <c r="G13329">
        <v>4.9752000000000001</v>
      </c>
      <c r="H13329" t="s">
        <v>12</v>
      </c>
      <c r="I13329" t="s">
        <v>10</v>
      </c>
    </row>
    <row r="13330" spans="1:9" x14ac:dyDescent="0.25">
      <c r="A13330" t="str">
        <f t="shared" si="313"/>
        <v>89301000</v>
      </c>
      <c r="B13330" t="str">
        <f>"8206245322"</f>
        <v>8206245322</v>
      </c>
      <c r="C13330" s="1">
        <v>45261</v>
      </c>
      <c r="D13330" s="1">
        <v>45263</v>
      </c>
      <c r="E13330">
        <v>1</v>
      </c>
      <c r="F13330" t="str">
        <f>"12-I08-03"</f>
        <v>12-I08-03</v>
      </c>
      <c r="G13330">
        <v>0.75429999999999997</v>
      </c>
      <c r="H13330" t="s">
        <v>11</v>
      </c>
      <c r="I13330" t="s">
        <v>10</v>
      </c>
    </row>
    <row r="13331" spans="1:9" x14ac:dyDescent="0.25">
      <c r="A13331" t="str">
        <f t="shared" si="313"/>
        <v>89301000</v>
      </c>
      <c r="B13331" t="str">
        <f>"8206305338"</f>
        <v>8206305338</v>
      </c>
      <c r="C13331" s="1">
        <v>45199</v>
      </c>
      <c r="D13331" s="1">
        <v>45201</v>
      </c>
      <c r="E13331">
        <v>1</v>
      </c>
      <c r="F13331" t="str">
        <f>"08-I15-03"</f>
        <v>08-I15-03</v>
      </c>
      <c r="G13331">
        <v>0.94059999999999999</v>
      </c>
      <c r="H13331" t="s">
        <v>12</v>
      </c>
      <c r="I13331" t="s">
        <v>10</v>
      </c>
    </row>
    <row r="13332" spans="1:9" x14ac:dyDescent="0.25">
      <c r="A13332" t="str">
        <f t="shared" si="313"/>
        <v>89301000</v>
      </c>
      <c r="B13332" t="str">
        <f>"8207025398"</f>
        <v>8207025398</v>
      </c>
      <c r="C13332" s="1">
        <v>45061</v>
      </c>
      <c r="D13332" s="1">
        <v>45062</v>
      </c>
      <c r="E13332">
        <v>1</v>
      </c>
      <c r="F13332" t="str">
        <f>"08-I32-00"</f>
        <v>08-I32-00</v>
      </c>
      <c r="G13332">
        <v>0.4093</v>
      </c>
      <c r="H13332" t="s">
        <v>11</v>
      </c>
      <c r="I13332" t="s">
        <v>10</v>
      </c>
    </row>
    <row r="13333" spans="1:9" x14ac:dyDescent="0.25">
      <c r="A13333" t="str">
        <f t="shared" si="313"/>
        <v>89301000</v>
      </c>
      <c r="B13333" t="str">
        <f>"8207025398"</f>
        <v>8207025398</v>
      </c>
      <c r="C13333" s="1">
        <v>44985</v>
      </c>
      <c r="D13333" s="1">
        <v>44987</v>
      </c>
      <c r="E13333">
        <v>1</v>
      </c>
      <c r="F13333" t="str">
        <f>"08-I16-04"</f>
        <v>08-I16-04</v>
      </c>
      <c r="G13333">
        <v>0.83040000000000003</v>
      </c>
      <c r="H13333" t="s">
        <v>12</v>
      </c>
      <c r="I13333" t="s">
        <v>10</v>
      </c>
    </row>
    <row r="13334" spans="1:9" x14ac:dyDescent="0.25">
      <c r="A13334" t="str">
        <f t="shared" si="313"/>
        <v>89301000</v>
      </c>
      <c r="B13334" t="str">
        <f>"8207137378"</f>
        <v>8207137378</v>
      </c>
      <c r="C13334" s="1">
        <v>45030</v>
      </c>
      <c r="D13334" s="1">
        <v>45035</v>
      </c>
      <c r="E13334">
        <v>1</v>
      </c>
      <c r="F13334" t="str">
        <f>"06-I18-03"</f>
        <v>06-I18-03</v>
      </c>
      <c r="G13334">
        <v>1.3418000000000001</v>
      </c>
      <c r="H13334" t="s">
        <v>9</v>
      </c>
      <c r="I13334" t="s">
        <v>10</v>
      </c>
    </row>
    <row r="13335" spans="1:9" x14ac:dyDescent="0.25">
      <c r="A13335" t="str">
        <f t="shared" ref="A13335:A13398" si="314">"89301000"</f>
        <v>89301000</v>
      </c>
      <c r="B13335" t="str">
        <f>"8207137378"</f>
        <v>8207137378</v>
      </c>
      <c r="C13335" s="1">
        <v>44961</v>
      </c>
      <c r="D13335" s="1">
        <v>44963</v>
      </c>
      <c r="E13335">
        <v>6</v>
      </c>
      <c r="F13335" t="str">
        <f>"05-M06-06"</f>
        <v>05-M06-06</v>
      </c>
      <c r="G13335">
        <v>1.8264</v>
      </c>
      <c r="H13335" t="s">
        <v>12</v>
      </c>
      <c r="I13335" t="s">
        <v>10</v>
      </c>
    </row>
    <row r="13336" spans="1:9" x14ac:dyDescent="0.25">
      <c r="A13336" t="str">
        <f t="shared" si="314"/>
        <v>89301000</v>
      </c>
      <c r="B13336" t="str">
        <f>"8207185690"</f>
        <v>8207185690</v>
      </c>
      <c r="C13336" s="1">
        <v>45106</v>
      </c>
      <c r="D13336" s="1">
        <v>45109</v>
      </c>
      <c r="E13336">
        <v>1</v>
      </c>
      <c r="F13336" t="str">
        <f>"08-I24-02"</f>
        <v>08-I24-02</v>
      </c>
      <c r="G13336">
        <v>0.73599999999999999</v>
      </c>
      <c r="H13336" t="s">
        <v>11</v>
      </c>
      <c r="I13336" t="s">
        <v>10</v>
      </c>
    </row>
    <row r="13337" spans="1:9" x14ac:dyDescent="0.25">
      <c r="A13337" t="str">
        <f t="shared" si="314"/>
        <v>89301000</v>
      </c>
      <c r="B13337" t="str">
        <f>"8207205347"</f>
        <v>8207205347</v>
      </c>
      <c r="C13337" s="1">
        <v>45077</v>
      </c>
      <c r="D13337" s="1">
        <v>45083</v>
      </c>
      <c r="E13337">
        <v>1</v>
      </c>
      <c r="F13337" t="str">
        <f>"01-K08-02"</f>
        <v>01-K08-02</v>
      </c>
      <c r="G13337">
        <v>0.60619999999999996</v>
      </c>
      <c r="H13337" t="s">
        <v>11</v>
      </c>
      <c r="I13337" t="s">
        <v>10</v>
      </c>
    </row>
    <row r="13338" spans="1:9" x14ac:dyDescent="0.25">
      <c r="A13338" t="str">
        <f t="shared" si="314"/>
        <v>89301000</v>
      </c>
      <c r="B13338" t="str">
        <f>"8207205347"</f>
        <v>8207205347</v>
      </c>
      <c r="C13338" s="1">
        <v>45131</v>
      </c>
      <c r="D13338" s="1">
        <v>45135</v>
      </c>
      <c r="E13338">
        <v>1</v>
      </c>
      <c r="F13338" t="str">
        <f>"01-C01-01"</f>
        <v>01-C01-01</v>
      </c>
      <c r="G13338">
        <v>5.9936999999999996</v>
      </c>
      <c r="H13338" t="s">
        <v>11</v>
      </c>
      <c r="I13338" t="s">
        <v>10</v>
      </c>
    </row>
    <row r="13339" spans="1:9" x14ac:dyDescent="0.25">
      <c r="A13339" t="str">
        <f t="shared" si="314"/>
        <v>89301000</v>
      </c>
      <c r="B13339" t="str">
        <f>"8207245761"</f>
        <v>8207245761</v>
      </c>
      <c r="C13339" s="1">
        <v>45140</v>
      </c>
      <c r="D13339" s="1">
        <v>45141</v>
      </c>
      <c r="E13339">
        <v>1</v>
      </c>
      <c r="F13339" t="str">
        <f>"21-K04-00"</f>
        <v>21-K04-00</v>
      </c>
      <c r="G13339">
        <v>0.2397</v>
      </c>
      <c r="H13339" t="s">
        <v>11</v>
      </c>
      <c r="I13339" t="s">
        <v>10</v>
      </c>
    </row>
    <row r="13340" spans="1:9" x14ac:dyDescent="0.25">
      <c r="A13340" t="str">
        <f t="shared" si="314"/>
        <v>89301000</v>
      </c>
      <c r="B13340" t="str">
        <f>"8207285317"</f>
        <v>8207285317</v>
      </c>
      <c r="C13340" s="1">
        <v>45133</v>
      </c>
      <c r="D13340" s="1">
        <v>45134</v>
      </c>
      <c r="E13340">
        <v>1</v>
      </c>
      <c r="F13340" t="str">
        <f>"01-D01-03"</f>
        <v>01-D01-03</v>
      </c>
      <c r="G13340">
        <v>0.16200000000000001</v>
      </c>
      <c r="H13340" t="s">
        <v>11</v>
      </c>
      <c r="I13340" t="s">
        <v>10</v>
      </c>
    </row>
    <row r="13341" spans="1:9" x14ac:dyDescent="0.25">
      <c r="A13341" t="str">
        <f t="shared" si="314"/>
        <v>89301000</v>
      </c>
      <c r="B13341" t="str">
        <f>"8208055328"</f>
        <v>8208055328</v>
      </c>
      <c r="C13341" s="1">
        <v>45117</v>
      </c>
      <c r="D13341" s="1">
        <v>45138</v>
      </c>
      <c r="E13341">
        <v>4</v>
      </c>
      <c r="F13341" t="str">
        <f>"00-M01-04"</f>
        <v>00-M01-04</v>
      </c>
      <c r="G13341">
        <v>7.2366999999999999</v>
      </c>
      <c r="H13341" t="s">
        <v>11</v>
      </c>
      <c r="I13341" t="s">
        <v>10</v>
      </c>
    </row>
    <row r="13342" spans="1:9" x14ac:dyDescent="0.25">
      <c r="A13342" t="str">
        <f t="shared" si="314"/>
        <v>89301000</v>
      </c>
      <c r="B13342" t="str">
        <f>"8208075337"</f>
        <v>8208075337</v>
      </c>
      <c r="C13342" s="1">
        <v>45204</v>
      </c>
      <c r="D13342" s="1">
        <v>45205</v>
      </c>
      <c r="E13342">
        <v>1</v>
      </c>
      <c r="F13342" t="str">
        <f>"05-K14-03"</f>
        <v>05-K14-03</v>
      </c>
      <c r="G13342">
        <v>0.3997</v>
      </c>
      <c r="H13342" t="s">
        <v>11</v>
      </c>
      <c r="I13342" t="s">
        <v>10</v>
      </c>
    </row>
    <row r="13343" spans="1:9" x14ac:dyDescent="0.25">
      <c r="A13343" t="str">
        <f t="shared" si="314"/>
        <v>89301000</v>
      </c>
      <c r="B13343" t="str">
        <f>"8208315764"</f>
        <v>8208315764</v>
      </c>
      <c r="C13343" s="1">
        <v>45195</v>
      </c>
      <c r="D13343" s="1">
        <v>45210</v>
      </c>
      <c r="E13343">
        <v>4</v>
      </c>
      <c r="F13343" t="str">
        <f>"19-K04-01"</f>
        <v>19-K04-01</v>
      </c>
      <c r="G13343">
        <v>1.5724</v>
      </c>
      <c r="H13343" t="s">
        <v>15</v>
      </c>
      <c r="I13343" t="s">
        <v>10</v>
      </c>
    </row>
    <row r="13344" spans="1:9" x14ac:dyDescent="0.25">
      <c r="A13344" t="str">
        <f t="shared" si="314"/>
        <v>89301000</v>
      </c>
      <c r="B13344" t="str">
        <f>"8209075314"</f>
        <v>8209075314</v>
      </c>
      <c r="C13344" s="1">
        <v>45105</v>
      </c>
      <c r="D13344" s="1">
        <v>45107</v>
      </c>
      <c r="E13344">
        <v>1</v>
      </c>
      <c r="F13344" t="str">
        <f>"11-M06-03"</f>
        <v>11-M06-03</v>
      </c>
      <c r="G13344">
        <v>0.62009999999999998</v>
      </c>
      <c r="H13344" t="s">
        <v>12</v>
      </c>
      <c r="I13344" t="s">
        <v>10</v>
      </c>
    </row>
    <row r="13345" spans="1:9" x14ac:dyDescent="0.25">
      <c r="A13345" t="str">
        <f t="shared" si="314"/>
        <v>89301000</v>
      </c>
      <c r="B13345" t="str">
        <f>"8210135307"</f>
        <v>8210135307</v>
      </c>
      <c r="C13345" s="1">
        <v>45217</v>
      </c>
      <c r="D13345" s="1">
        <v>45218</v>
      </c>
      <c r="E13345">
        <v>1</v>
      </c>
      <c r="F13345" t="str">
        <f>"06-I16-03"</f>
        <v>06-I16-03</v>
      </c>
      <c r="G13345">
        <v>0.83740000000000003</v>
      </c>
      <c r="H13345" t="s">
        <v>9</v>
      </c>
      <c r="I13345" t="s">
        <v>10</v>
      </c>
    </row>
    <row r="13346" spans="1:9" x14ac:dyDescent="0.25">
      <c r="A13346" t="str">
        <f t="shared" si="314"/>
        <v>89301000</v>
      </c>
      <c r="B13346" t="str">
        <f>"8211221282"</f>
        <v>8211221282</v>
      </c>
      <c r="C13346" s="1">
        <v>45199</v>
      </c>
      <c r="D13346" s="1">
        <v>45218</v>
      </c>
      <c r="E13346">
        <v>1</v>
      </c>
      <c r="F13346" t="str">
        <f>"09-I05-02"</f>
        <v>09-I05-02</v>
      </c>
      <c r="G13346">
        <v>1.7806</v>
      </c>
      <c r="H13346" t="s">
        <v>11</v>
      </c>
      <c r="I13346" t="s">
        <v>10</v>
      </c>
    </row>
    <row r="13347" spans="1:9" x14ac:dyDescent="0.25">
      <c r="A13347" t="str">
        <f t="shared" si="314"/>
        <v>89301000</v>
      </c>
      <c r="B13347" t="str">
        <f>"8211245317"</f>
        <v>8211245317</v>
      </c>
      <c r="C13347" s="1">
        <v>45052</v>
      </c>
      <c r="D13347" s="1">
        <v>45065</v>
      </c>
      <c r="E13347">
        <v>1</v>
      </c>
      <c r="F13347" t="str">
        <f>"08-K08-00"</f>
        <v>08-K08-00</v>
      </c>
      <c r="G13347">
        <v>0.63260000000000005</v>
      </c>
      <c r="H13347" t="s">
        <v>11</v>
      </c>
      <c r="I13347" t="s">
        <v>10</v>
      </c>
    </row>
    <row r="13348" spans="1:9" x14ac:dyDescent="0.25">
      <c r="A13348" t="str">
        <f t="shared" si="314"/>
        <v>89301000</v>
      </c>
      <c r="B13348" t="str">
        <f>"8211275303"</f>
        <v>8211275303</v>
      </c>
      <c r="C13348" s="1">
        <v>44975</v>
      </c>
      <c r="D13348" s="1">
        <v>44985</v>
      </c>
      <c r="E13348">
        <v>1</v>
      </c>
      <c r="F13348" t="str">
        <f>"02-I05-02"</f>
        <v>02-I05-02</v>
      </c>
      <c r="G13348">
        <v>1.6623000000000001</v>
      </c>
      <c r="H13348" t="s">
        <v>12</v>
      </c>
      <c r="I13348" t="s">
        <v>10</v>
      </c>
    </row>
    <row r="13349" spans="1:9" x14ac:dyDescent="0.25">
      <c r="A13349" t="str">
        <f t="shared" si="314"/>
        <v>89301000</v>
      </c>
      <c r="B13349" t="str">
        <f>"8211295873"</f>
        <v>8211295873</v>
      </c>
      <c r="C13349" s="1">
        <v>45028</v>
      </c>
      <c r="D13349" s="1">
        <v>45030</v>
      </c>
      <c r="E13349">
        <v>1</v>
      </c>
      <c r="F13349" t="str">
        <f>"10-K15-02"</f>
        <v>10-K15-02</v>
      </c>
      <c r="G13349">
        <v>0.66379999999999995</v>
      </c>
      <c r="H13349" t="s">
        <v>11</v>
      </c>
      <c r="I13349" t="s">
        <v>10</v>
      </c>
    </row>
    <row r="13350" spans="1:9" x14ac:dyDescent="0.25">
      <c r="A13350" t="str">
        <f t="shared" si="314"/>
        <v>89301000</v>
      </c>
      <c r="B13350" t="str">
        <f>"8212015768"</f>
        <v>8212015768</v>
      </c>
      <c r="C13350" s="1">
        <v>45181</v>
      </c>
      <c r="D13350" s="1">
        <v>45190</v>
      </c>
      <c r="E13350">
        <v>1</v>
      </c>
      <c r="F13350" t="str">
        <f>"20-K03-02"</f>
        <v>20-K03-02</v>
      </c>
      <c r="G13350">
        <v>1.2786</v>
      </c>
      <c r="H13350" t="s">
        <v>11</v>
      </c>
      <c r="I13350" t="s">
        <v>10</v>
      </c>
    </row>
    <row r="13351" spans="1:9" x14ac:dyDescent="0.25">
      <c r="A13351" t="str">
        <f t="shared" si="314"/>
        <v>89301000</v>
      </c>
      <c r="B13351" t="str">
        <f>"8212035689"</f>
        <v>8212035689</v>
      </c>
      <c r="C13351" s="1">
        <v>45183</v>
      </c>
      <c r="D13351" s="1">
        <v>45184</v>
      </c>
      <c r="E13351">
        <v>1</v>
      </c>
      <c r="F13351" t="str">
        <f>"01-D01-03"</f>
        <v>01-D01-03</v>
      </c>
      <c r="G13351">
        <v>0.16200000000000001</v>
      </c>
      <c r="H13351" t="s">
        <v>11</v>
      </c>
      <c r="I13351" t="s">
        <v>10</v>
      </c>
    </row>
    <row r="13352" spans="1:9" x14ac:dyDescent="0.25">
      <c r="A13352" t="str">
        <f t="shared" si="314"/>
        <v>89301000</v>
      </c>
      <c r="B13352" t="str">
        <f>"8212035689"</f>
        <v>8212035689</v>
      </c>
      <c r="C13352" s="1">
        <v>45275</v>
      </c>
      <c r="D13352" s="1">
        <v>45278</v>
      </c>
      <c r="E13352">
        <v>1</v>
      </c>
      <c r="F13352" t="str">
        <f>"01-D01-03"</f>
        <v>01-D01-03</v>
      </c>
      <c r="G13352">
        <v>0.21060000000000001</v>
      </c>
      <c r="H13352" t="s">
        <v>11</v>
      </c>
      <c r="I13352" t="s">
        <v>10</v>
      </c>
    </row>
    <row r="13353" spans="1:9" x14ac:dyDescent="0.25">
      <c r="A13353" t="str">
        <f t="shared" si="314"/>
        <v>89301000</v>
      </c>
      <c r="B13353" t="str">
        <f>"8212145326"</f>
        <v>8212145326</v>
      </c>
      <c r="C13353" s="1">
        <v>45016</v>
      </c>
      <c r="D13353" s="1">
        <v>45021</v>
      </c>
      <c r="E13353">
        <v>1</v>
      </c>
      <c r="F13353" t="str">
        <f>"18-K01-06"</f>
        <v>18-K01-06</v>
      </c>
      <c r="G13353">
        <v>1.4659</v>
      </c>
      <c r="H13353" t="s">
        <v>11</v>
      </c>
      <c r="I13353" t="s">
        <v>10</v>
      </c>
    </row>
    <row r="13354" spans="1:9" x14ac:dyDescent="0.25">
      <c r="A13354" t="str">
        <f t="shared" si="314"/>
        <v>89301000</v>
      </c>
      <c r="B13354" t="str">
        <f>"8212165313"</f>
        <v>8212165313</v>
      </c>
      <c r="C13354" s="1">
        <v>45267</v>
      </c>
      <c r="D13354" s="1">
        <v>45269</v>
      </c>
      <c r="E13354">
        <v>1</v>
      </c>
      <c r="F13354" t="str">
        <f>"08-I19-03"</f>
        <v>08-I19-03</v>
      </c>
      <c r="G13354">
        <v>0.59130000000000005</v>
      </c>
      <c r="H13354" t="s">
        <v>12</v>
      </c>
      <c r="I13354" t="s">
        <v>10</v>
      </c>
    </row>
    <row r="13355" spans="1:9" x14ac:dyDescent="0.25">
      <c r="A13355" t="str">
        <f t="shared" si="314"/>
        <v>89301000</v>
      </c>
      <c r="B13355" t="str">
        <f>"8212185333"</f>
        <v>8212185333</v>
      </c>
      <c r="C13355" s="1">
        <v>45082</v>
      </c>
      <c r="D13355" s="1">
        <v>45092</v>
      </c>
      <c r="E13355">
        <v>3</v>
      </c>
      <c r="F13355" t="str">
        <f>"01-M01-03"</f>
        <v>01-M01-03</v>
      </c>
      <c r="G13355">
        <v>4.3034999999999997</v>
      </c>
      <c r="H13355" t="s">
        <v>14</v>
      </c>
      <c r="I13355" t="s">
        <v>10</v>
      </c>
    </row>
    <row r="13356" spans="1:9" x14ac:dyDescent="0.25">
      <c r="A13356" t="str">
        <f t="shared" si="314"/>
        <v>89301000</v>
      </c>
      <c r="B13356" t="str">
        <f>"8212185333"</f>
        <v>8212185333</v>
      </c>
      <c r="C13356" s="1">
        <v>45049</v>
      </c>
      <c r="D13356" s="1">
        <v>45051</v>
      </c>
      <c r="E13356">
        <v>1</v>
      </c>
      <c r="F13356" t="str">
        <f>"01-K15-00"</f>
        <v>01-K15-00</v>
      </c>
      <c r="G13356">
        <v>0.61829999999999996</v>
      </c>
      <c r="H13356" t="s">
        <v>11</v>
      </c>
      <c r="I13356" t="s">
        <v>10</v>
      </c>
    </row>
    <row r="13357" spans="1:9" x14ac:dyDescent="0.25">
      <c r="A13357" t="str">
        <f t="shared" si="314"/>
        <v>89301000</v>
      </c>
      <c r="B13357" t="str">
        <f>"8212185333"</f>
        <v>8212185333</v>
      </c>
      <c r="C13357" s="1">
        <v>45092</v>
      </c>
      <c r="D13357" s="1">
        <v>45121</v>
      </c>
      <c r="E13357">
        <v>1</v>
      </c>
      <c r="F13357" t="str">
        <f>"24-M09-01"</f>
        <v>24-M09-01</v>
      </c>
      <c r="G13357">
        <v>3.2307999999999999</v>
      </c>
      <c r="H13357" t="s">
        <v>11</v>
      </c>
      <c r="I13357" t="s">
        <v>10</v>
      </c>
    </row>
    <row r="13358" spans="1:9" x14ac:dyDescent="0.25">
      <c r="A13358" t="str">
        <f t="shared" si="314"/>
        <v>89301000</v>
      </c>
      <c r="B13358" t="str">
        <f>"8212295311"</f>
        <v>8212295311</v>
      </c>
      <c r="C13358" s="1">
        <v>44934</v>
      </c>
      <c r="D13358" s="1">
        <v>44936</v>
      </c>
      <c r="E13358">
        <v>1</v>
      </c>
      <c r="F13358" t="str">
        <f>"02-I11-02"</f>
        <v>02-I11-02</v>
      </c>
      <c r="G13358">
        <v>0.67259999999999998</v>
      </c>
      <c r="H13358" t="s">
        <v>12</v>
      </c>
      <c r="I13358" t="s">
        <v>10</v>
      </c>
    </row>
    <row r="13359" spans="1:9" x14ac:dyDescent="0.25">
      <c r="A13359" t="str">
        <f t="shared" si="314"/>
        <v>89301000</v>
      </c>
      <c r="B13359" t="str">
        <f>"8251125333"</f>
        <v>8251125333</v>
      </c>
      <c r="C13359" s="1">
        <v>44998</v>
      </c>
      <c r="D13359" s="1">
        <v>45000</v>
      </c>
      <c r="E13359">
        <v>1</v>
      </c>
      <c r="F13359" t="str">
        <f>"10-K04-04"</f>
        <v>10-K04-04</v>
      </c>
      <c r="G13359">
        <v>0.53949999999999998</v>
      </c>
      <c r="H13359" t="s">
        <v>11</v>
      </c>
      <c r="I13359" t="s">
        <v>10</v>
      </c>
    </row>
    <row r="13360" spans="1:9" x14ac:dyDescent="0.25">
      <c r="A13360" t="str">
        <f t="shared" si="314"/>
        <v>89301000</v>
      </c>
      <c r="B13360" t="str">
        <f>"8251125355"</f>
        <v>8251125355</v>
      </c>
      <c r="C13360" s="1">
        <v>45037</v>
      </c>
      <c r="D13360" s="1">
        <v>45039</v>
      </c>
      <c r="E13360">
        <v>1</v>
      </c>
      <c r="F13360" t="str">
        <f>"09-K02-00"</f>
        <v>09-K02-00</v>
      </c>
      <c r="G13360">
        <v>0.74660000000000004</v>
      </c>
      <c r="H13360" t="s">
        <v>11</v>
      </c>
      <c r="I13360" t="s">
        <v>10</v>
      </c>
    </row>
    <row r="13361" spans="1:9" x14ac:dyDescent="0.25">
      <c r="A13361" t="str">
        <f t="shared" si="314"/>
        <v>89301000</v>
      </c>
      <c r="B13361" t="str">
        <f>"8251234464"</f>
        <v>8251234464</v>
      </c>
      <c r="C13361" s="1">
        <v>45226</v>
      </c>
      <c r="D13361" s="1">
        <v>45229</v>
      </c>
      <c r="E13361">
        <v>1</v>
      </c>
      <c r="F13361" t="str">
        <f>"13-I11-03"</f>
        <v>13-I11-03</v>
      </c>
      <c r="G13361">
        <v>1.4332</v>
      </c>
      <c r="H13361" t="s">
        <v>9</v>
      </c>
      <c r="I13361" t="s">
        <v>10</v>
      </c>
    </row>
    <row r="13362" spans="1:9" x14ac:dyDescent="0.25">
      <c r="A13362" t="str">
        <f t="shared" si="314"/>
        <v>89301000</v>
      </c>
      <c r="B13362" t="str">
        <f>"8251255353"</f>
        <v>8251255353</v>
      </c>
      <c r="C13362" s="1">
        <v>44894</v>
      </c>
      <c r="D13362" s="1">
        <v>44957</v>
      </c>
      <c r="E13362">
        <v>1</v>
      </c>
      <c r="F13362" t="str">
        <f>"14-I07-00"</f>
        <v>14-I07-00</v>
      </c>
      <c r="G13362">
        <v>4.0662000000000003</v>
      </c>
      <c r="H13362" t="s">
        <v>11</v>
      </c>
      <c r="I13362" t="s">
        <v>10</v>
      </c>
    </row>
    <row r="13363" spans="1:9" x14ac:dyDescent="0.25">
      <c r="A13363" t="str">
        <f t="shared" si="314"/>
        <v>89301000</v>
      </c>
      <c r="B13363" t="str">
        <f>"8251255353"</f>
        <v>8251255353</v>
      </c>
      <c r="C13363" s="1">
        <v>44974</v>
      </c>
      <c r="D13363" s="1">
        <v>44981</v>
      </c>
      <c r="E13363">
        <v>1</v>
      </c>
      <c r="F13363" t="str">
        <f>"14-M01-05"</f>
        <v>14-M01-05</v>
      </c>
      <c r="G13363">
        <v>0.63039999999999996</v>
      </c>
      <c r="H13363" t="s">
        <v>13</v>
      </c>
      <c r="I13363" t="s">
        <v>10</v>
      </c>
    </row>
    <row r="13364" spans="1:9" x14ac:dyDescent="0.25">
      <c r="A13364" t="str">
        <f t="shared" si="314"/>
        <v>89301000</v>
      </c>
      <c r="B13364" t="str">
        <f>"8252063050"</f>
        <v>8252063050</v>
      </c>
      <c r="C13364" s="1">
        <v>45096</v>
      </c>
      <c r="D13364" s="1">
        <v>45099</v>
      </c>
      <c r="E13364">
        <v>1</v>
      </c>
      <c r="F13364" t="str">
        <f>"08-M03-05"</f>
        <v>08-M03-05</v>
      </c>
      <c r="G13364">
        <v>0.46810000000000002</v>
      </c>
      <c r="H13364" t="s">
        <v>11</v>
      </c>
      <c r="I13364" t="s">
        <v>10</v>
      </c>
    </row>
    <row r="13365" spans="1:9" x14ac:dyDescent="0.25">
      <c r="A13365" t="str">
        <f t="shared" si="314"/>
        <v>89301000</v>
      </c>
      <c r="B13365" t="str">
        <f>"8252064480"</f>
        <v>8252064480</v>
      </c>
      <c r="C13365" s="1">
        <v>45181</v>
      </c>
      <c r="D13365" s="1">
        <v>45183</v>
      </c>
      <c r="E13365">
        <v>1</v>
      </c>
      <c r="F13365" t="str">
        <f>"01-I14-02"</f>
        <v>01-I14-02</v>
      </c>
      <c r="G13365">
        <v>1.2322</v>
      </c>
      <c r="H13365" t="s">
        <v>12</v>
      </c>
      <c r="I13365" t="s">
        <v>10</v>
      </c>
    </row>
    <row r="13366" spans="1:9" x14ac:dyDescent="0.25">
      <c r="A13366" t="str">
        <f t="shared" si="314"/>
        <v>89301000</v>
      </c>
      <c r="B13366" t="str">
        <f>"8252065305"</f>
        <v>8252065305</v>
      </c>
      <c r="C13366" s="1">
        <v>44936</v>
      </c>
      <c r="D13366" s="1">
        <v>44938</v>
      </c>
      <c r="E13366">
        <v>1</v>
      </c>
      <c r="F13366" t="str">
        <f>"03-I14-02"</f>
        <v>03-I14-02</v>
      </c>
      <c r="G13366">
        <v>1.0793999999999999</v>
      </c>
      <c r="H13366" t="s">
        <v>11</v>
      </c>
      <c r="I13366" t="s">
        <v>10</v>
      </c>
    </row>
    <row r="13367" spans="1:9" x14ac:dyDescent="0.25">
      <c r="A13367" t="str">
        <f t="shared" si="314"/>
        <v>89301000</v>
      </c>
      <c r="B13367" t="str">
        <f>"8252103288"</f>
        <v>8252103288</v>
      </c>
      <c r="C13367" s="1">
        <v>45103</v>
      </c>
      <c r="D13367" s="1">
        <v>45104</v>
      </c>
      <c r="E13367">
        <v>1</v>
      </c>
      <c r="F13367" t="str">
        <f>"02-I11-02"</f>
        <v>02-I11-02</v>
      </c>
      <c r="G13367">
        <v>0.67259999999999998</v>
      </c>
      <c r="H13367" t="s">
        <v>12</v>
      </c>
      <c r="I13367" t="s">
        <v>10</v>
      </c>
    </row>
    <row r="13368" spans="1:9" x14ac:dyDescent="0.25">
      <c r="A13368" t="str">
        <f t="shared" si="314"/>
        <v>89301000</v>
      </c>
      <c r="B13368" t="str">
        <f>"8252105312"</f>
        <v>8252105312</v>
      </c>
      <c r="C13368" s="1">
        <v>44937</v>
      </c>
      <c r="D13368" s="1">
        <v>44940</v>
      </c>
      <c r="E13368">
        <v>1</v>
      </c>
      <c r="F13368" t="str">
        <f>"06-K02-04"</f>
        <v>06-K02-04</v>
      </c>
      <c r="G13368">
        <v>0.37809999999999999</v>
      </c>
      <c r="H13368" t="s">
        <v>11</v>
      </c>
      <c r="I13368" t="s">
        <v>10</v>
      </c>
    </row>
    <row r="13369" spans="1:9" x14ac:dyDescent="0.25">
      <c r="A13369" t="str">
        <f t="shared" si="314"/>
        <v>89301000</v>
      </c>
      <c r="B13369" t="str">
        <f>"8252105312"</f>
        <v>8252105312</v>
      </c>
      <c r="C13369" s="1">
        <v>45116</v>
      </c>
      <c r="D13369" s="1">
        <v>45118</v>
      </c>
      <c r="E13369">
        <v>1</v>
      </c>
      <c r="F13369" t="str">
        <f>"08-I17-02"</f>
        <v>08-I17-02</v>
      </c>
      <c r="G13369">
        <v>0.89680000000000004</v>
      </c>
      <c r="H13369" t="s">
        <v>11</v>
      </c>
      <c r="I13369" t="s">
        <v>10</v>
      </c>
    </row>
    <row r="13370" spans="1:9" x14ac:dyDescent="0.25">
      <c r="A13370" t="str">
        <f t="shared" si="314"/>
        <v>89301000</v>
      </c>
      <c r="B13370" t="str">
        <f>"8252115333"</f>
        <v>8252115333</v>
      </c>
      <c r="C13370" s="1">
        <v>45179</v>
      </c>
      <c r="D13370" s="1">
        <v>45181</v>
      </c>
      <c r="E13370">
        <v>1</v>
      </c>
      <c r="F13370" t="str">
        <f>"06-I14-02"</f>
        <v>06-I14-02</v>
      </c>
      <c r="G13370">
        <v>1.4552</v>
      </c>
      <c r="H13370" t="s">
        <v>11</v>
      </c>
      <c r="I13370" t="s">
        <v>10</v>
      </c>
    </row>
    <row r="13371" spans="1:9" x14ac:dyDescent="0.25">
      <c r="A13371" t="str">
        <f t="shared" si="314"/>
        <v>89301000</v>
      </c>
      <c r="B13371" t="str">
        <f>"8252225311"</f>
        <v>8252225311</v>
      </c>
      <c r="C13371" s="1">
        <v>45179</v>
      </c>
      <c r="D13371" s="1">
        <v>45180</v>
      </c>
      <c r="E13371">
        <v>1</v>
      </c>
      <c r="F13371" t="str">
        <f>"14-I08-03"</f>
        <v>14-I08-03</v>
      </c>
      <c r="G13371">
        <v>0.2414</v>
      </c>
      <c r="H13371" t="s">
        <v>11</v>
      </c>
      <c r="I13371" t="s">
        <v>10</v>
      </c>
    </row>
    <row r="13372" spans="1:9" x14ac:dyDescent="0.25">
      <c r="A13372" t="str">
        <f t="shared" si="314"/>
        <v>89301000</v>
      </c>
      <c r="B13372" t="str">
        <f>"8252245177"</f>
        <v>8252245177</v>
      </c>
      <c r="C13372" s="1">
        <v>44973</v>
      </c>
      <c r="D13372" s="1">
        <v>44975</v>
      </c>
      <c r="E13372">
        <v>1</v>
      </c>
      <c r="F13372" t="str">
        <f>"03-I19-03"</f>
        <v>03-I19-03</v>
      </c>
      <c r="G13372">
        <v>0.53420000000000001</v>
      </c>
      <c r="H13372" t="s">
        <v>11</v>
      </c>
      <c r="I13372" t="s">
        <v>10</v>
      </c>
    </row>
    <row r="13373" spans="1:9" x14ac:dyDescent="0.25">
      <c r="A13373" t="str">
        <f t="shared" si="314"/>
        <v>89301000</v>
      </c>
      <c r="B13373" t="str">
        <f>"8253035846"</f>
        <v>8253035846</v>
      </c>
      <c r="C13373" s="1">
        <v>45173</v>
      </c>
      <c r="D13373" s="1">
        <v>45175</v>
      </c>
      <c r="E13373">
        <v>1</v>
      </c>
      <c r="F13373" t="str">
        <f>"08-I03-08"</f>
        <v>08-I03-08</v>
      </c>
      <c r="G13373">
        <v>1.9455</v>
      </c>
      <c r="H13373" t="s">
        <v>9</v>
      </c>
      <c r="I13373" t="s">
        <v>10</v>
      </c>
    </row>
    <row r="13374" spans="1:9" x14ac:dyDescent="0.25">
      <c r="A13374" t="str">
        <f t="shared" si="314"/>
        <v>89301000</v>
      </c>
      <c r="B13374" t="str">
        <f>"8253144471"</f>
        <v>8253144471</v>
      </c>
      <c r="C13374" s="1">
        <v>45257</v>
      </c>
      <c r="D13374" s="1">
        <v>45260</v>
      </c>
      <c r="E13374">
        <v>1</v>
      </c>
      <c r="F13374" t="str">
        <f>"09-I09-02"</f>
        <v>09-I09-02</v>
      </c>
      <c r="G13374">
        <v>0.76900000000000002</v>
      </c>
      <c r="H13374" t="s">
        <v>12</v>
      </c>
      <c r="I13374" t="s">
        <v>10</v>
      </c>
    </row>
    <row r="13375" spans="1:9" x14ac:dyDescent="0.25">
      <c r="A13375" t="str">
        <f t="shared" si="314"/>
        <v>89301000</v>
      </c>
      <c r="B13375" t="str">
        <f>"8253194466"</f>
        <v>8253194466</v>
      </c>
      <c r="C13375" s="1">
        <v>45163</v>
      </c>
      <c r="D13375" s="1">
        <v>45167</v>
      </c>
      <c r="E13375">
        <v>1</v>
      </c>
      <c r="F13375" t="str">
        <f>"14-I08-03"</f>
        <v>14-I08-03</v>
      </c>
      <c r="G13375">
        <v>0.68049999999999999</v>
      </c>
      <c r="H13375" t="s">
        <v>11</v>
      </c>
      <c r="I13375" t="s">
        <v>10</v>
      </c>
    </row>
    <row r="13376" spans="1:9" x14ac:dyDescent="0.25">
      <c r="A13376" t="str">
        <f t="shared" si="314"/>
        <v>89301000</v>
      </c>
      <c r="B13376" t="str">
        <f>"8253244505"</f>
        <v>8253244505</v>
      </c>
      <c r="C13376" s="1">
        <v>45223</v>
      </c>
      <c r="D13376" s="1">
        <v>45229</v>
      </c>
      <c r="E13376">
        <v>1</v>
      </c>
      <c r="F13376" t="str">
        <f>"06-I07-06"</f>
        <v>06-I07-06</v>
      </c>
      <c r="G13376">
        <v>2.3725000000000001</v>
      </c>
      <c r="H13376" t="s">
        <v>12</v>
      </c>
      <c r="I13376" t="s">
        <v>10</v>
      </c>
    </row>
    <row r="13377" spans="1:9" x14ac:dyDescent="0.25">
      <c r="A13377" t="str">
        <f t="shared" si="314"/>
        <v>89301000</v>
      </c>
      <c r="B13377" t="str">
        <f>"8253261951"</f>
        <v>8253261951</v>
      </c>
      <c r="C13377" s="1">
        <v>44941</v>
      </c>
      <c r="D13377" s="1">
        <v>44944</v>
      </c>
      <c r="E13377">
        <v>1</v>
      </c>
      <c r="F13377" t="str">
        <f>"06-I22-01"</f>
        <v>06-I22-01</v>
      </c>
      <c r="G13377">
        <v>0.68120000000000003</v>
      </c>
      <c r="H13377" t="s">
        <v>12</v>
      </c>
      <c r="I13377" t="s">
        <v>10</v>
      </c>
    </row>
    <row r="13378" spans="1:9" x14ac:dyDescent="0.25">
      <c r="A13378" t="str">
        <f t="shared" si="314"/>
        <v>89301000</v>
      </c>
      <c r="B13378" t="str">
        <f>"8253314036"</f>
        <v>8253314036</v>
      </c>
      <c r="C13378" s="1">
        <v>44957</v>
      </c>
      <c r="D13378" s="1">
        <v>44958</v>
      </c>
      <c r="E13378">
        <v>1</v>
      </c>
      <c r="F13378" t="str">
        <f>"03-K04-01"</f>
        <v>03-K04-01</v>
      </c>
      <c r="G13378">
        <v>0.46479999999999999</v>
      </c>
      <c r="H13378" t="s">
        <v>11</v>
      </c>
      <c r="I13378" t="s">
        <v>10</v>
      </c>
    </row>
    <row r="13379" spans="1:9" x14ac:dyDescent="0.25">
      <c r="A13379" t="str">
        <f t="shared" si="314"/>
        <v>89301000</v>
      </c>
      <c r="B13379" t="str">
        <f>"8254025340"</f>
        <v>8254025340</v>
      </c>
      <c r="C13379" s="1">
        <v>45159</v>
      </c>
      <c r="D13379" s="1">
        <v>45161</v>
      </c>
      <c r="E13379">
        <v>1</v>
      </c>
      <c r="F13379" t="str">
        <f>"08-I26-03"</f>
        <v>08-I26-03</v>
      </c>
      <c r="G13379">
        <v>0.47699999999999998</v>
      </c>
      <c r="H13379" t="s">
        <v>11</v>
      </c>
      <c r="I13379" t="s">
        <v>10</v>
      </c>
    </row>
    <row r="13380" spans="1:9" x14ac:dyDescent="0.25">
      <c r="A13380" t="str">
        <f t="shared" si="314"/>
        <v>89301000</v>
      </c>
      <c r="B13380" t="str">
        <f>"8254047230"</f>
        <v>8254047230</v>
      </c>
      <c r="C13380" s="1">
        <v>45265</v>
      </c>
      <c r="D13380" s="1">
        <v>45268</v>
      </c>
      <c r="E13380">
        <v>1</v>
      </c>
      <c r="F13380" t="str">
        <f>"13-I14-03"</f>
        <v>13-I14-03</v>
      </c>
      <c r="G13380">
        <v>0.87760000000000005</v>
      </c>
      <c r="H13380" t="s">
        <v>9</v>
      </c>
      <c r="I13380" t="s">
        <v>10</v>
      </c>
    </row>
    <row r="13381" spans="1:9" x14ac:dyDescent="0.25">
      <c r="A13381" t="str">
        <f t="shared" si="314"/>
        <v>89301000</v>
      </c>
      <c r="B13381" t="str">
        <f>"8254055777"</f>
        <v>8254055777</v>
      </c>
      <c r="C13381" s="1">
        <v>45063</v>
      </c>
      <c r="D13381" s="1">
        <v>45066</v>
      </c>
      <c r="E13381">
        <v>1</v>
      </c>
      <c r="F13381" t="str">
        <f>"14-I01-05"</f>
        <v>14-I01-05</v>
      </c>
      <c r="G13381">
        <v>0.83340000000000003</v>
      </c>
      <c r="H13381" t="s">
        <v>13</v>
      </c>
      <c r="I13381" t="s">
        <v>10</v>
      </c>
    </row>
    <row r="13382" spans="1:9" x14ac:dyDescent="0.25">
      <c r="A13382" t="str">
        <f t="shared" si="314"/>
        <v>89301000</v>
      </c>
      <c r="B13382" t="str">
        <f>"8254094464"</f>
        <v>8254094464</v>
      </c>
      <c r="C13382" s="1">
        <v>44953</v>
      </c>
      <c r="D13382" s="1">
        <v>44956</v>
      </c>
      <c r="E13382">
        <v>1</v>
      </c>
      <c r="F13382" t="str">
        <f>"14-M01-05"</f>
        <v>14-M01-05</v>
      </c>
      <c r="G13382">
        <v>0.56289999999999996</v>
      </c>
      <c r="H13382" t="s">
        <v>13</v>
      </c>
      <c r="I13382" t="s">
        <v>10</v>
      </c>
    </row>
    <row r="13383" spans="1:9" x14ac:dyDescent="0.25">
      <c r="A13383" t="str">
        <f t="shared" si="314"/>
        <v>89301000</v>
      </c>
      <c r="B13383" t="str">
        <f>"8254095410"</f>
        <v>8254095410</v>
      </c>
      <c r="C13383" s="1">
        <v>45063</v>
      </c>
      <c r="D13383" s="1">
        <v>45064</v>
      </c>
      <c r="E13383">
        <v>1</v>
      </c>
      <c r="F13383" t="str">
        <f>"08-I19-03"</f>
        <v>08-I19-03</v>
      </c>
      <c r="G13383">
        <v>0.59130000000000005</v>
      </c>
      <c r="H13383" t="s">
        <v>12</v>
      </c>
      <c r="I13383" t="s">
        <v>10</v>
      </c>
    </row>
    <row r="13384" spans="1:9" x14ac:dyDescent="0.25">
      <c r="A13384" t="str">
        <f t="shared" si="314"/>
        <v>89301000</v>
      </c>
      <c r="B13384" t="str">
        <f>"8254095410"</f>
        <v>8254095410</v>
      </c>
      <c r="C13384" s="1">
        <v>44998</v>
      </c>
      <c r="D13384" s="1">
        <v>44999</v>
      </c>
      <c r="E13384">
        <v>1</v>
      </c>
      <c r="F13384" t="str">
        <f>"08-I19-03"</f>
        <v>08-I19-03</v>
      </c>
      <c r="G13384">
        <v>0.59130000000000005</v>
      </c>
      <c r="H13384" t="s">
        <v>12</v>
      </c>
      <c r="I13384" t="s">
        <v>10</v>
      </c>
    </row>
    <row r="13385" spans="1:9" x14ac:dyDescent="0.25">
      <c r="A13385" t="str">
        <f t="shared" si="314"/>
        <v>89301000</v>
      </c>
      <c r="B13385" t="str">
        <f>"8254105816"</f>
        <v>8254105816</v>
      </c>
      <c r="C13385" s="1">
        <v>45103</v>
      </c>
      <c r="D13385" s="1">
        <v>45105</v>
      </c>
      <c r="E13385">
        <v>1</v>
      </c>
      <c r="F13385" t="str">
        <f>"03-I24-00"</f>
        <v>03-I24-00</v>
      </c>
      <c r="G13385">
        <v>0.40670000000000001</v>
      </c>
      <c r="H13385" t="s">
        <v>11</v>
      </c>
      <c r="I13385" t="s">
        <v>10</v>
      </c>
    </row>
    <row r="13386" spans="1:9" x14ac:dyDescent="0.25">
      <c r="A13386" t="str">
        <f t="shared" si="314"/>
        <v>89301000</v>
      </c>
      <c r="B13386" t="str">
        <f>"8254135395"</f>
        <v>8254135395</v>
      </c>
      <c r="C13386" s="1">
        <v>45131</v>
      </c>
      <c r="D13386" s="1">
        <v>45132</v>
      </c>
      <c r="E13386">
        <v>1</v>
      </c>
      <c r="F13386" t="str">
        <f>"13-I19-00"</f>
        <v>13-I19-00</v>
      </c>
      <c r="G13386">
        <v>0.28249999999999997</v>
      </c>
      <c r="H13386" t="s">
        <v>11</v>
      </c>
      <c r="I13386" t="s">
        <v>10</v>
      </c>
    </row>
    <row r="13387" spans="1:9" x14ac:dyDescent="0.25">
      <c r="A13387" t="str">
        <f t="shared" si="314"/>
        <v>89301000</v>
      </c>
      <c r="B13387" t="str">
        <f>"8254205377"</f>
        <v>8254205377</v>
      </c>
      <c r="C13387" s="1">
        <v>45142</v>
      </c>
      <c r="D13387" s="1">
        <v>45147</v>
      </c>
      <c r="E13387">
        <v>1</v>
      </c>
      <c r="F13387" t="str">
        <f>"08-K02-03"</f>
        <v>08-K02-03</v>
      </c>
      <c r="G13387">
        <v>0.6361</v>
      </c>
      <c r="H13387" t="s">
        <v>11</v>
      </c>
      <c r="I13387" t="s">
        <v>10</v>
      </c>
    </row>
    <row r="13388" spans="1:9" x14ac:dyDescent="0.25">
      <c r="A13388" t="str">
        <f t="shared" si="314"/>
        <v>89301000</v>
      </c>
      <c r="B13388" t="str">
        <f>"8254254459"</f>
        <v>8254254459</v>
      </c>
      <c r="C13388" s="1">
        <v>45030</v>
      </c>
      <c r="D13388" s="1">
        <v>45033</v>
      </c>
      <c r="E13388">
        <v>1</v>
      </c>
      <c r="F13388" t="str">
        <f>"11-K03-02"</f>
        <v>11-K03-02</v>
      </c>
      <c r="G13388">
        <v>0.622</v>
      </c>
      <c r="H13388" t="s">
        <v>11</v>
      </c>
      <c r="I13388" t="s">
        <v>10</v>
      </c>
    </row>
    <row r="13389" spans="1:9" x14ac:dyDescent="0.25">
      <c r="A13389" t="str">
        <f t="shared" si="314"/>
        <v>89301000</v>
      </c>
      <c r="B13389" t="str">
        <f>"8254255779"</f>
        <v>8254255779</v>
      </c>
      <c r="C13389" s="1">
        <v>44935</v>
      </c>
      <c r="D13389" s="1">
        <v>44937</v>
      </c>
      <c r="E13389">
        <v>1</v>
      </c>
      <c r="F13389" t="str">
        <f>"05-I30-02"</f>
        <v>05-I30-02</v>
      </c>
      <c r="G13389">
        <v>0.41699999999999998</v>
      </c>
      <c r="H13389" t="s">
        <v>12</v>
      </c>
      <c r="I13389" t="s">
        <v>10</v>
      </c>
    </row>
    <row r="13390" spans="1:9" x14ac:dyDescent="0.25">
      <c r="A13390" t="str">
        <f t="shared" si="314"/>
        <v>89301000</v>
      </c>
      <c r="B13390" t="str">
        <f>"8254265371"</f>
        <v>8254265371</v>
      </c>
      <c r="C13390" s="1">
        <v>45080</v>
      </c>
      <c r="D13390" s="1">
        <v>45083</v>
      </c>
      <c r="E13390">
        <v>1</v>
      </c>
      <c r="F13390" t="str">
        <f>"14-M01-05"</f>
        <v>14-M01-05</v>
      </c>
      <c r="G13390">
        <v>0.56289999999999996</v>
      </c>
      <c r="H13390" t="s">
        <v>13</v>
      </c>
      <c r="I13390" t="s">
        <v>10</v>
      </c>
    </row>
    <row r="13391" spans="1:9" x14ac:dyDescent="0.25">
      <c r="A13391" t="str">
        <f t="shared" si="314"/>
        <v>89301000</v>
      </c>
      <c r="B13391" t="str">
        <f>"8254295698"</f>
        <v>8254295698</v>
      </c>
      <c r="C13391" s="1">
        <v>45202</v>
      </c>
      <c r="D13391" s="1">
        <v>45204</v>
      </c>
      <c r="E13391">
        <v>1</v>
      </c>
      <c r="F13391" t="str">
        <f>"13-I14-03"</f>
        <v>13-I14-03</v>
      </c>
      <c r="G13391">
        <v>0.87760000000000005</v>
      </c>
      <c r="H13391" t="s">
        <v>9</v>
      </c>
      <c r="I13391" t="s">
        <v>10</v>
      </c>
    </row>
    <row r="13392" spans="1:9" x14ac:dyDescent="0.25">
      <c r="A13392" t="str">
        <f t="shared" si="314"/>
        <v>89301000</v>
      </c>
      <c r="B13392" t="str">
        <f t="shared" ref="B13392:B13399" si="315">"8254305312"</f>
        <v>8254305312</v>
      </c>
      <c r="C13392" s="1">
        <v>44986</v>
      </c>
      <c r="D13392" s="1">
        <v>44988</v>
      </c>
      <c r="E13392">
        <v>1</v>
      </c>
      <c r="F13392" t="str">
        <f t="shared" ref="F13392:F13398" si="316">"02-K11-02"</f>
        <v>02-K11-02</v>
      </c>
      <c r="G13392">
        <v>0.56559999999999999</v>
      </c>
      <c r="H13392" t="s">
        <v>11</v>
      </c>
      <c r="I13392" t="s">
        <v>10</v>
      </c>
    </row>
    <row r="13393" spans="1:9" x14ac:dyDescent="0.25">
      <c r="A13393" t="str">
        <f t="shared" si="314"/>
        <v>89301000</v>
      </c>
      <c r="B13393" t="str">
        <f t="shared" si="315"/>
        <v>8254305312</v>
      </c>
      <c r="C13393" s="1">
        <v>45030</v>
      </c>
      <c r="D13393" s="1">
        <v>45032</v>
      </c>
      <c r="E13393">
        <v>1</v>
      </c>
      <c r="F13393" t="str">
        <f t="shared" si="316"/>
        <v>02-K11-02</v>
      </c>
      <c r="G13393">
        <v>0.56559999999999999</v>
      </c>
      <c r="H13393" t="s">
        <v>11</v>
      </c>
      <c r="I13393" t="s">
        <v>10</v>
      </c>
    </row>
    <row r="13394" spans="1:9" x14ac:dyDescent="0.25">
      <c r="A13394" t="str">
        <f t="shared" si="314"/>
        <v>89301000</v>
      </c>
      <c r="B13394" t="str">
        <f t="shared" si="315"/>
        <v>8254305312</v>
      </c>
      <c r="C13394" s="1">
        <v>45092</v>
      </c>
      <c r="D13394" s="1">
        <v>45093</v>
      </c>
      <c r="E13394">
        <v>1</v>
      </c>
      <c r="F13394" t="str">
        <f t="shared" si="316"/>
        <v>02-K11-02</v>
      </c>
      <c r="G13394">
        <v>0.56559999999999999</v>
      </c>
      <c r="H13394" t="s">
        <v>11</v>
      </c>
      <c r="I13394" t="s">
        <v>10</v>
      </c>
    </row>
    <row r="13395" spans="1:9" x14ac:dyDescent="0.25">
      <c r="A13395" t="str">
        <f t="shared" si="314"/>
        <v>89301000</v>
      </c>
      <c r="B13395" t="str">
        <f t="shared" si="315"/>
        <v>8254305312</v>
      </c>
      <c r="C13395" s="1">
        <v>45106</v>
      </c>
      <c r="D13395" s="1">
        <v>45107</v>
      </c>
      <c r="E13395">
        <v>1</v>
      </c>
      <c r="F13395" t="str">
        <f t="shared" si="316"/>
        <v>02-K11-02</v>
      </c>
      <c r="G13395">
        <v>0.56559999999999999</v>
      </c>
      <c r="H13395" t="s">
        <v>11</v>
      </c>
      <c r="I13395" t="s">
        <v>10</v>
      </c>
    </row>
    <row r="13396" spans="1:9" x14ac:dyDescent="0.25">
      <c r="A13396" t="str">
        <f t="shared" si="314"/>
        <v>89301000</v>
      </c>
      <c r="B13396" t="str">
        <f t="shared" si="315"/>
        <v>8254305312</v>
      </c>
      <c r="C13396" s="1">
        <v>45119</v>
      </c>
      <c r="D13396" s="1">
        <v>45120</v>
      </c>
      <c r="E13396">
        <v>1</v>
      </c>
      <c r="F13396" t="str">
        <f t="shared" si="316"/>
        <v>02-K11-02</v>
      </c>
      <c r="G13396">
        <v>0.56559999999999999</v>
      </c>
      <c r="H13396" t="s">
        <v>11</v>
      </c>
      <c r="I13396" t="s">
        <v>10</v>
      </c>
    </row>
    <row r="13397" spans="1:9" x14ac:dyDescent="0.25">
      <c r="A13397" t="str">
        <f t="shared" si="314"/>
        <v>89301000</v>
      </c>
      <c r="B13397" t="str">
        <f t="shared" si="315"/>
        <v>8254305312</v>
      </c>
      <c r="C13397" s="1">
        <v>45141</v>
      </c>
      <c r="D13397" s="1">
        <v>45142</v>
      </c>
      <c r="E13397">
        <v>1</v>
      </c>
      <c r="F13397" t="str">
        <f t="shared" si="316"/>
        <v>02-K11-02</v>
      </c>
      <c r="G13397">
        <v>0.56559999999999999</v>
      </c>
      <c r="H13397" t="s">
        <v>11</v>
      </c>
      <c r="I13397" t="s">
        <v>10</v>
      </c>
    </row>
    <row r="13398" spans="1:9" x14ac:dyDescent="0.25">
      <c r="A13398" t="str">
        <f t="shared" si="314"/>
        <v>89301000</v>
      </c>
      <c r="B13398" t="str">
        <f t="shared" si="315"/>
        <v>8254305312</v>
      </c>
      <c r="C13398" s="1">
        <v>44932</v>
      </c>
      <c r="D13398" s="1">
        <v>44934</v>
      </c>
      <c r="E13398">
        <v>1</v>
      </c>
      <c r="F13398" t="str">
        <f t="shared" si="316"/>
        <v>02-K11-02</v>
      </c>
      <c r="G13398">
        <v>0.56559999999999999</v>
      </c>
      <c r="H13398" t="s">
        <v>11</v>
      </c>
      <c r="I13398" t="s">
        <v>10</v>
      </c>
    </row>
    <row r="13399" spans="1:9" x14ac:dyDescent="0.25">
      <c r="A13399" t="str">
        <f t="shared" ref="A13399:A13462" si="317">"89301000"</f>
        <v>89301000</v>
      </c>
      <c r="B13399" t="str">
        <f t="shared" si="315"/>
        <v>8254305312</v>
      </c>
      <c r="C13399" s="1">
        <v>44956</v>
      </c>
      <c r="D13399" s="1">
        <v>44962</v>
      </c>
      <c r="E13399">
        <v>1</v>
      </c>
      <c r="F13399" t="str">
        <f>"10-I13-02"</f>
        <v>10-I13-02</v>
      </c>
      <c r="G13399">
        <v>1.1124000000000001</v>
      </c>
      <c r="H13399" t="s">
        <v>9</v>
      </c>
      <c r="I13399" t="s">
        <v>10</v>
      </c>
    </row>
    <row r="13400" spans="1:9" x14ac:dyDescent="0.25">
      <c r="A13400" t="str">
        <f t="shared" si="317"/>
        <v>89301000</v>
      </c>
      <c r="B13400" t="str">
        <f>"8254305378"</f>
        <v>8254305378</v>
      </c>
      <c r="C13400" s="1">
        <v>45111</v>
      </c>
      <c r="D13400" s="1">
        <v>45116</v>
      </c>
      <c r="E13400">
        <v>1</v>
      </c>
      <c r="F13400" t="str">
        <f>"07-M02-04"</f>
        <v>07-M02-04</v>
      </c>
      <c r="G13400">
        <v>0.79179999999999995</v>
      </c>
      <c r="H13400" t="s">
        <v>12</v>
      </c>
      <c r="I13400" t="s">
        <v>10</v>
      </c>
    </row>
    <row r="13401" spans="1:9" x14ac:dyDescent="0.25">
      <c r="A13401" t="str">
        <f t="shared" si="317"/>
        <v>89301000</v>
      </c>
      <c r="B13401" t="str">
        <f>"8254305378"</f>
        <v>8254305378</v>
      </c>
      <c r="C13401" s="1">
        <v>45159</v>
      </c>
      <c r="D13401" s="1">
        <v>45162</v>
      </c>
      <c r="E13401">
        <v>1</v>
      </c>
      <c r="F13401" t="str">
        <f>"07-I10-06"</f>
        <v>07-I10-06</v>
      </c>
      <c r="G13401">
        <v>0.98419999999999996</v>
      </c>
      <c r="H13401" t="s">
        <v>12</v>
      </c>
      <c r="I13401" t="s">
        <v>10</v>
      </c>
    </row>
    <row r="13402" spans="1:9" x14ac:dyDescent="0.25">
      <c r="A13402" t="str">
        <f t="shared" si="317"/>
        <v>89301000</v>
      </c>
      <c r="B13402" t="str">
        <f>"8255035316"</f>
        <v>8255035316</v>
      </c>
      <c r="C13402" s="1">
        <v>45210</v>
      </c>
      <c r="D13402" s="1">
        <v>45212</v>
      </c>
      <c r="E13402">
        <v>1</v>
      </c>
      <c r="F13402" t="str">
        <f>"01-K18-04"</f>
        <v>01-K18-04</v>
      </c>
      <c r="G13402">
        <v>0.54610000000000003</v>
      </c>
      <c r="H13402" t="s">
        <v>11</v>
      </c>
      <c r="I13402" t="s">
        <v>10</v>
      </c>
    </row>
    <row r="13403" spans="1:9" x14ac:dyDescent="0.25">
      <c r="A13403" t="str">
        <f t="shared" si="317"/>
        <v>89301000</v>
      </c>
      <c r="B13403" t="str">
        <f>"8255035316"</f>
        <v>8255035316</v>
      </c>
      <c r="C13403" s="1">
        <v>45065</v>
      </c>
      <c r="D13403" s="1">
        <v>45070</v>
      </c>
      <c r="E13403">
        <v>1</v>
      </c>
      <c r="F13403" t="str">
        <f>"01-K18-04"</f>
        <v>01-K18-04</v>
      </c>
      <c r="G13403">
        <v>2.3681000000000001</v>
      </c>
      <c r="H13403" t="s">
        <v>11</v>
      </c>
      <c r="I13403" t="s">
        <v>10</v>
      </c>
    </row>
    <row r="13404" spans="1:9" x14ac:dyDescent="0.25">
      <c r="A13404" t="str">
        <f t="shared" si="317"/>
        <v>89301000</v>
      </c>
      <c r="B13404" t="str">
        <f>"8255044468"</f>
        <v>8255044468</v>
      </c>
      <c r="C13404" s="1">
        <v>44971</v>
      </c>
      <c r="D13404" s="1">
        <v>44977</v>
      </c>
      <c r="E13404">
        <v>1</v>
      </c>
      <c r="F13404" t="str">
        <f>"09-K14-02"</f>
        <v>09-K14-02</v>
      </c>
      <c r="G13404">
        <v>0.5</v>
      </c>
      <c r="H13404" t="s">
        <v>11</v>
      </c>
      <c r="I13404" t="s">
        <v>10</v>
      </c>
    </row>
    <row r="13405" spans="1:9" x14ac:dyDescent="0.25">
      <c r="A13405" t="str">
        <f t="shared" si="317"/>
        <v>89301000</v>
      </c>
      <c r="B13405" t="str">
        <f>"8255044468"</f>
        <v>8255044468</v>
      </c>
      <c r="C13405" s="1">
        <v>45062</v>
      </c>
      <c r="D13405" s="1">
        <v>45063</v>
      </c>
      <c r="E13405">
        <v>1</v>
      </c>
      <c r="F13405" t="str">
        <f>"14-I08-03"</f>
        <v>14-I08-03</v>
      </c>
      <c r="G13405">
        <v>0.2437</v>
      </c>
      <c r="H13405" t="s">
        <v>11</v>
      </c>
      <c r="I13405" t="s">
        <v>10</v>
      </c>
    </row>
    <row r="13406" spans="1:9" x14ac:dyDescent="0.25">
      <c r="A13406" t="str">
        <f t="shared" si="317"/>
        <v>89301000</v>
      </c>
      <c r="B13406" t="str">
        <f>"8255055391"</f>
        <v>8255055391</v>
      </c>
      <c r="C13406" s="1">
        <v>45278</v>
      </c>
      <c r="D13406" s="1">
        <v>45280</v>
      </c>
      <c r="E13406">
        <v>1</v>
      </c>
      <c r="F13406" t="str">
        <f>"08-I24-02"</f>
        <v>08-I24-02</v>
      </c>
      <c r="G13406">
        <v>0.73599999999999999</v>
      </c>
      <c r="H13406" t="s">
        <v>11</v>
      </c>
      <c r="I13406" t="s">
        <v>10</v>
      </c>
    </row>
    <row r="13407" spans="1:9" x14ac:dyDescent="0.25">
      <c r="A13407" t="str">
        <f t="shared" si="317"/>
        <v>89301000</v>
      </c>
      <c r="B13407" t="str">
        <f>"8255065324"</f>
        <v>8255065324</v>
      </c>
      <c r="C13407" s="1">
        <v>45180</v>
      </c>
      <c r="D13407" s="1">
        <v>45182</v>
      </c>
      <c r="E13407">
        <v>1</v>
      </c>
      <c r="F13407" t="str">
        <f>"05-I30-02"</f>
        <v>05-I30-02</v>
      </c>
      <c r="G13407">
        <v>0.41699999999999998</v>
      </c>
      <c r="H13407" t="s">
        <v>12</v>
      </c>
      <c r="I13407" t="s">
        <v>10</v>
      </c>
    </row>
    <row r="13408" spans="1:9" x14ac:dyDescent="0.25">
      <c r="A13408" t="str">
        <f t="shared" si="317"/>
        <v>89301000</v>
      </c>
      <c r="B13408" t="str">
        <f>"8255104484"</f>
        <v>8255104484</v>
      </c>
      <c r="C13408" s="1">
        <v>45051</v>
      </c>
      <c r="D13408" s="1">
        <v>45056</v>
      </c>
      <c r="E13408">
        <v>1</v>
      </c>
      <c r="F13408" t="str">
        <f>"14-I01-05"</f>
        <v>14-I01-05</v>
      </c>
      <c r="G13408">
        <v>0.83340000000000003</v>
      </c>
      <c r="H13408" t="s">
        <v>13</v>
      </c>
      <c r="I13408" t="s">
        <v>10</v>
      </c>
    </row>
    <row r="13409" spans="1:9" x14ac:dyDescent="0.25">
      <c r="A13409" t="str">
        <f t="shared" si="317"/>
        <v>89301000</v>
      </c>
      <c r="B13409" t="str">
        <f>"8255134492"</f>
        <v>8255134492</v>
      </c>
      <c r="C13409" s="1">
        <v>44963</v>
      </c>
      <c r="D13409" s="1">
        <v>44967</v>
      </c>
      <c r="E13409">
        <v>1</v>
      </c>
      <c r="F13409" t="str">
        <f>"14-I01-05"</f>
        <v>14-I01-05</v>
      </c>
      <c r="G13409">
        <v>0.83340000000000003</v>
      </c>
      <c r="H13409" t="s">
        <v>13</v>
      </c>
      <c r="I13409" t="s">
        <v>10</v>
      </c>
    </row>
    <row r="13410" spans="1:9" x14ac:dyDescent="0.25">
      <c r="A13410" t="str">
        <f t="shared" si="317"/>
        <v>89301000</v>
      </c>
      <c r="B13410" t="str">
        <f>"8255223449"</f>
        <v>8255223449</v>
      </c>
      <c r="C13410" s="1">
        <v>45159</v>
      </c>
      <c r="D13410" s="1">
        <v>45166</v>
      </c>
      <c r="E13410">
        <v>1</v>
      </c>
      <c r="F13410" t="str">
        <f>"25-I02-02"</f>
        <v>25-I02-02</v>
      </c>
      <c r="G13410">
        <v>6.6189999999999998</v>
      </c>
      <c r="H13410" t="s">
        <v>14</v>
      </c>
      <c r="I13410" t="s">
        <v>10</v>
      </c>
    </row>
    <row r="13411" spans="1:9" x14ac:dyDescent="0.25">
      <c r="A13411" t="str">
        <f t="shared" si="317"/>
        <v>89301000</v>
      </c>
      <c r="B13411" t="str">
        <f>"8256025690"</f>
        <v>8256025690</v>
      </c>
      <c r="C13411" s="1">
        <v>45064</v>
      </c>
      <c r="D13411" s="1">
        <v>45066</v>
      </c>
      <c r="E13411">
        <v>1</v>
      </c>
      <c r="F13411" t="str">
        <f>"05-M05-02"</f>
        <v>05-M05-02</v>
      </c>
      <c r="G13411">
        <v>3.4817999999999998</v>
      </c>
      <c r="H13411" t="s">
        <v>14</v>
      </c>
      <c r="I13411" t="s">
        <v>10</v>
      </c>
    </row>
    <row r="13412" spans="1:9" x14ac:dyDescent="0.25">
      <c r="A13412" t="str">
        <f t="shared" si="317"/>
        <v>89301000</v>
      </c>
      <c r="B13412" t="str">
        <f>"8256135316"</f>
        <v>8256135316</v>
      </c>
      <c r="C13412" s="1">
        <v>45119</v>
      </c>
      <c r="D13412" s="1">
        <v>45124</v>
      </c>
      <c r="E13412">
        <v>1</v>
      </c>
      <c r="F13412" t="str">
        <f>"10-K03-04"</f>
        <v>10-K03-04</v>
      </c>
      <c r="G13412">
        <v>0.67159999999999997</v>
      </c>
      <c r="H13412" t="s">
        <v>11</v>
      </c>
      <c r="I13412" t="s">
        <v>10</v>
      </c>
    </row>
    <row r="13413" spans="1:9" x14ac:dyDescent="0.25">
      <c r="A13413" t="str">
        <f t="shared" si="317"/>
        <v>89301000</v>
      </c>
      <c r="B13413" t="str">
        <f>"8256172243"</f>
        <v>8256172243</v>
      </c>
      <c r="C13413" s="1">
        <v>45270</v>
      </c>
      <c r="D13413" s="1">
        <v>45275</v>
      </c>
      <c r="E13413">
        <v>1</v>
      </c>
      <c r="F13413" t="str">
        <f>"14-I01-05"</f>
        <v>14-I01-05</v>
      </c>
      <c r="G13413">
        <v>0.83340000000000003</v>
      </c>
      <c r="H13413" t="s">
        <v>13</v>
      </c>
      <c r="I13413" t="s">
        <v>10</v>
      </c>
    </row>
    <row r="13414" spans="1:9" x14ac:dyDescent="0.25">
      <c r="A13414" t="str">
        <f t="shared" si="317"/>
        <v>89301000</v>
      </c>
      <c r="B13414" t="str">
        <f>"8256215803"</f>
        <v>8256215803</v>
      </c>
      <c r="C13414" s="1">
        <v>45195</v>
      </c>
      <c r="D13414" s="1">
        <v>45197</v>
      </c>
      <c r="E13414">
        <v>1</v>
      </c>
      <c r="F13414" t="str">
        <f>"03-I19-02"</f>
        <v>03-I19-02</v>
      </c>
      <c r="G13414">
        <v>0.7016</v>
      </c>
      <c r="H13414" t="s">
        <v>11</v>
      </c>
      <c r="I13414" t="s">
        <v>10</v>
      </c>
    </row>
    <row r="13415" spans="1:9" x14ac:dyDescent="0.25">
      <c r="A13415" t="str">
        <f t="shared" si="317"/>
        <v>89301000</v>
      </c>
      <c r="B13415" t="str">
        <f>"8256255326"</f>
        <v>8256255326</v>
      </c>
      <c r="C13415" s="1">
        <v>45075</v>
      </c>
      <c r="D13415" s="1">
        <v>45077</v>
      </c>
      <c r="E13415">
        <v>1</v>
      </c>
      <c r="F13415" t="str">
        <f>"08-I31-04"</f>
        <v>08-I31-04</v>
      </c>
      <c r="G13415">
        <v>0.4894</v>
      </c>
      <c r="H13415" t="s">
        <v>11</v>
      </c>
      <c r="I13415" t="s">
        <v>10</v>
      </c>
    </row>
    <row r="13416" spans="1:9" x14ac:dyDescent="0.25">
      <c r="A13416" t="str">
        <f t="shared" si="317"/>
        <v>89301000</v>
      </c>
      <c r="B13416" t="str">
        <f>"8257035314"</f>
        <v>8257035314</v>
      </c>
      <c r="C13416" s="1">
        <v>44970</v>
      </c>
      <c r="D13416" s="1">
        <v>44972</v>
      </c>
      <c r="E13416">
        <v>1</v>
      </c>
      <c r="F13416" t="str">
        <f>"01-K01-02"</f>
        <v>01-K01-02</v>
      </c>
      <c r="G13416">
        <v>0.442</v>
      </c>
      <c r="H13416" t="s">
        <v>11</v>
      </c>
      <c r="I13416" t="s">
        <v>10</v>
      </c>
    </row>
    <row r="13417" spans="1:9" x14ac:dyDescent="0.25">
      <c r="A13417" t="str">
        <f t="shared" si="317"/>
        <v>89301000</v>
      </c>
      <c r="B13417" t="str">
        <f>"8257045830"</f>
        <v>8257045830</v>
      </c>
      <c r="C13417" s="1">
        <v>44944</v>
      </c>
      <c r="D13417" s="1">
        <v>44949</v>
      </c>
      <c r="E13417">
        <v>1</v>
      </c>
      <c r="F13417" t="str">
        <f>"23-K05-01"</f>
        <v>23-K05-01</v>
      </c>
      <c r="G13417">
        <v>0.56269999999999998</v>
      </c>
      <c r="H13417" t="s">
        <v>11</v>
      </c>
      <c r="I13417" t="s">
        <v>10</v>
      </c>
    </row>
    <row r="13418" spans="1:9" x14ac:dyDescent="0.25">
      <c r="A13418" t="str">
        <f t="shared" si="317"/>
        <v>89301000</v>
      </c>
      <c r="B13418" t="str">
        <f>"8257055334"</f>
        <v>8257055334</v>
      </c>
      <c r="C13418" s="1">
        <v>45068</v>
      </c>
      <c r="D13418" s="1">
        <v>45070</v>
      </c>
      <c r="E13418">
        <v>1</v>
      </c>
      <c r="F13418" t="str">
        <f>"08-I24-02"</f>
        <v>08-I24-02</v>
      </c>
      <c r="G13418">
        <v>0.73599999999999999</v>
      </c>
      <c r="H13418" t="s">
        <v>11</v>
      </c>
      <c r="I13418" t="s">
        <v>10</v>
      </c>
    </row>
    <row r="13419" spans="1:9" x14ac:dyDescent="0.25">
      <c r="A13419" t="str">
        <f t="shared" si="317"/>
        <v>89301000</v>
      </c>
      <c r="B13419" t="str">
        <f>"8257125316"</f>
        <v>8257125316</v>
      </c>
      <c r="C13419" s="1">
        <v>45231</v>
      </c>
      <c r="D13419" s="1">
        <v>45235</v>
      </c>
      <c r="E13419">
        <v>1</v>
      </c>
      <c r="F13419" t="str">
        <f>"10-I13-02"</f>
        <v>10-I13-02</v>
      </c>
      <c r="G13419">
        <v>1.1124000000000001</v>
      </c>
      <c r="H13419" t="s">
        <v>9</v>
      </c>
      <c r="I13419" t="s">
        <v>10</v>
      </c>
    </row>
    <row r="13420" spans="1:9" x14ac:dyDescent="0.25">
      <c r="A13420" t="str">
        <f t="shared" si="317"/>
        <v>89301000</v>
      </c>
      <c r="B13420" t="str">
        <f>"8257125800"</f>
        <v>8257125800</v>
      </c>
      <c r="C13420" s="1">
        <v>44990</v>
      </c>
      <c r="D13420" s="1">
        <v>44994</v>
      </c>
      <c r="E13420">
        <v>1</v>
      </c>
      <c r="F13420" t="str">
        <f>"03-I12-02"</f>
        <v>03-I12-02</v>
      </c>
      <c r="G13420">
        <v>1.2831999999999999</v>
      </c>
      <c r="H13420" t="s">
        <v>12</v>
      </c>
      <c r="I13420" t="s">
        <v>10</v>
      </c>
    </row>
    <row r="13421" spans="1:9" x14ac:dyDescent="0.25">
      <c r="A13421" t="str">
        <f t="shared" si="317"/>
        <v>89301000</v>
      </c>
      <c r="B13421" t="str">
        <f>"8257165345"</f>
        <v>8257165345</v>
      </c>
      <c r="C13421" s="1">
        <v>45160</v>
      </c>
      <c r="D13421" s="1">
        <v>45166</v>
      </c>
      <c r="E13421">
        <v>1</v>
      </c>
      <c r="F13421" t="str">
        <f>"06-K02-03"</f>
        <v>06-K02-03</v>
      </c>
      <c r="G13421">
        <v>0.50470000000000004</v>
      </c>
      <c r="H13421" t="s">
        <v>11</v>
      </c>
      <c r="I13421" t="s">
        <v>10</v>
      </c>
    </row>
    <row r="13422" spans="1:9" x14ac:dyDescent="0.25">
      <c r="A13422" t="str">
        <f t="shared" si="317"/>
        <v>89301000</v>
      </c>
      <c r="B13422" t="str">
        <f>"8257165345"</f>
        <v>8257165345</v>
      </c>
      <c r="C13422" s="1">
        <v>45174</v>
      </c>
      <c r="D13422" s="1">
        <v>45177</v>
      </c>
      <c r="E13422">
        <v>1</v>
      </c>
      <c r="F13422" t="str">
        <f>"04-K05-03"</f>
        <v>04-K05-03</v>
      </c>
      <c r="G13422">
        <v>0.74039999999999995</v>
      </c>
      <c r="H13422" t="s">
        <v>11</v>
      </c>
      <c r="I13422" t="s">
        <v>10</v>
      </c>
    </row>
    <row r="13423" spans="1:9" x14ac:dyDescent="0.25">
      <c r="A13423" t="str">
        <f t="shared" si="317"/>
        <v>89301000</v>
      </c>
      <c r="B13423" t="str">
        <f>"8257165356"</f>
        <v>8257165356</v>
      </c>
      <c r="C13423" s="1">
        <v>45259</v>
      </c>
      <c r="D13423" s="1">
        <v>45261</v>
      </c>
      <c r="E13423">
        <v>1</v>
      </c>
      <c r="F13423" t="str">
        <f>"08-M03-05"</f>
        <v>08-M03-05</v>
      </c>
      <c r="G13423">
        <v>0.46910000000000002</v>
      </c>
      <c r="H13423" t="s">
        <v>11</v>
      </c>
      <c r="I13423" t="s">
        <v>10</v>
      </c>
    </row>
    <row r="13424" spans="1:9" x14ac:dyDescent="0.25">
      <c r="A13424" t="str">
        <f t="shared" si="317"/>
        <v>89301000</v>
      </c>
      <c r="B13424" t="str">
        <f>"8257264862"</f>
        <v>8257264862</v>
      </c>
      <c r="C13424" s="1">
        <v>44967</v>
      </c>
      <c r="D13424" s="1">
        <v>44968</v>
      </c>
      <c r="E13424">
        <v>1</v>
      </c>
      <c r="F13424" t="str">
        <f>"10-K12-03"</f>
        <v>10-K12-03</v>
      </c>
      <c r="G13424">
        <v>0.51359999999999995</v>
      </c>
      <c r="H13424" t="s">
        <v>11</v>
      </c>
      <c r="I13424" t="s">
        <v>10</v>
      </c>
    </row>
    <row r="13425" spans="1:9" x14ac:dyDescent="0.25">
      <c r="A13425" t="str">
        <f t="shared" si="317"/>
        <v>89301000</v>
      </c>
      <c r="B13425" t="str">
        <f>"8257600538"</f>
        <v>8257600538</v>
      </c>
      <c r="C13425" s="1">
        <v>44992</v>
      </c>
      <c r="D13425" s="1">
        <v>45020</v>
      </c>
      <c r="E13425">
        <v>1</v>
      </c>
      <c r="F13425" t="str">
        <f>"01-I06-04"</f>
        <v>01-I06-04</v>
      </c>
      <c r="G13425">
        <v>5.5250000000000004</v>
      </c>
      <c r="H13425" t="s">
        <v>12</v>
      </c>
      <c r="I13425" t="s">
        <v>10</v>
      </c>
    </row>
    <row r="13426" spans="1:9" x14ac:dyDescent="0.25">
      <c r="A13426" t="str">
        <f t="shared" si="317"/>
        <v>89301000</v>
      </c>
      <c r="B13426" t="str">
        <f>"8258034587"</f>
        <v>8258034587</v>
      </c>
      <c r="C13426" s="1">
        <v>44929</v>
      </c>
      <c r="D13426" s="1">
        <v>44933</v>
      </c>
      <c r="E13426">
        <v>1</v>
      </c>
      <c r="F13426" t="str">
        <f>"03-I17-00"</f>
        <v>03-I17-00</v>
      </c>
      <c r="G13426">
        <v>0.83489999999999998</v>
      </c>
      <c r="H13426" t="s">
        <v>9</v>
      </c>
      <c r="I13426" t="s">
        <v>10</v>
      </c>
    </row>
    <row r="13427" spans="1:9" x14ac:dyDescent="0.25">
      <c r="A13427" t="str">
        <f t="shared" si="317"/>
        <v>89301000</v>
      </c>
      <c r="B13427" t="str">
        <f>"8258104349"</f>
        <v>8258104349</v>
      </c>
      <c r="C13427" s="1">
        <v>45068</v>
      </c>
      <c r="D13427" s="1">
        <v>45071</v>
      </c>
      <c r="E13427">
        <v>1</v>
      </c>
      <c r="F13427" t="str">
        <f>"01-K18-04"</f>
        <v>01-K18-04</v>
      </c>
      <c r="G13427">
        <v>0.54610000000000003</v>
      </c>
      <c r="H13427" t="s">
        <v>11</v>
      </c>
      <c r="I13427" t="s">
        <v>10</v>
      </c>
    </row>
    <row r="13428" spans="1:9" x14ac:dyDescent="0.25">
      <c r="A13428" t="str">
        <f t="shared" si="317"/>
        <v>89301000</v>
      </c>
      <c r="B13428" t="str">
        <f>"8258185320"</f>
        <v>8258185320</v>
      </c>
      <c r="C13428" s="1">
        <v>45253</v>
      </c>
      <c r="D13428" s="1">
        <v>45254</v>
      </c>
      <c r="E13428">
        <v>1</v>
      </c>
      <c r="F13428" t="str">
        <f>"13-I18-03"</f>
        <v>13-I18-03</v>
      </c>
      <c r="G13428">
        <v>0.57909999999999995</v>
      </c>
      <c r="H13428" t="s">
        <v>11</v>
      </c>
      <c r="I13428" t="s">
        <v>10</v>
      </c>
    </row>
    <row r="13429" spans="1:9" x14ac:dyDescent="0.25">
      <c r="A13429" t="str">
        <f t="shared" si="317"/>
        <v>89301000</v>
      </c>
      <c r="B13429" t="str">
        <f>"8258255313"</f>
        <v>8258255313</v>
      </c>
      <c r="C13429" s="1">
        <v>45196</v>
      </c>
      <c r="D13429" s="1">
        <v>45209</v>
      </c>
      <c r="E13429">
        <v>1</v>
      </c>
      <c r="F13429" t="str">
        <f>"19-K04-02"</f>
        <v>19-K04-02</v>
      </c>
      <c r="G13429">
        <v>1.3379000000000001</v>
      </c>
      <c r="H13429" t="s">
        <v>15</v>
      </c>
      <c r="I13429" t="s">
        <v>10</v>
      </c>
    </row>
    <row r="13430" spans="1:9" x14ac:dyDescent="0.25">
      <c r="A13430" t="str">
        <f t="shared" si="317"/>
        <v>89301000</v>
      </c>
      <c r="B13430" t="str">
        <f>"8258294473"</f>
        <v>8258294473</v>
      </c>
      <c r="C13430" s="1">
        <v>45265</v>
      </c>
      <c r="D13430" s="1">
        <v>45268</v>
      </c>
      <c r="E13430">
        <v>1</v>
      </c>
      <c r="F13430" t="str">
        <f>"08-I03-08"</f>
        <v>08-I03-08</v>
      </c>
      <c r="G13430">
        <v>1.9455</v>
      </c>
      <c r="H13430" t="s">
        <v>9</v>
      </c>
      <c r="I13430" t="s">
        <v>10</v>
      </c>
    </row>
    <row r="13431" spans="1:9" x14ac:dyDescent="0.25">
      <c r="A13431" t="str">
        <f t="shared" si="317"/>
        <v>89301000</v>
      </c>
      <c r="B13431" t="str">
        <f>"8258295342"</f>
        <v>8258295342</v>
      </c>
      <c r="C13431" s="1">
        <v>45009</v>
      </c>
      <c r="D13431" s="1">
        <v>45013</v>
      </c>
      <c r="E13431">
        <v>1</v>
      </c>
      <c r="F13431" t="str">
        <f>"06-K21-03"</f>
        <v>06-K21-03</v>
      </c>
      <c r="G13431">
        <v>0.38469999999999999</v>
      </c>
      <c r="H13431" t="s">
        <v>11</v>
      </c>
      <c r="I13431" t="s">
        <v>10</v>
      </c>
    </row>
    <row r="13432" spans="1:9" x14ac:dyDescent="0.25">
      <c r="A13432" t="str">
        <f t="shared" si="317"/>
        <v>89301000</v>
      </c>
      <c r="B13432" t="str">
        <f>"8258295342"</f>
        <v>8258295342</v>
      </c>
      <c r="C13432" s="1">
        <v>45147</v>
      </c>
      <c r="D13432" s="1">
        <v>45153</v>
      </c>
      <c r="E13432">
        <v>1</v>
      </c>
      <c r="F13432" t="str">
        <f>"06-I07-05"</f>
        <v>06-I07-05</v>
      </c>
      <c r="G13432">
        <v>2.7919999999999998</v>
      </c>
      <c r="H13432" t="s">
        <v>12</v>
      </c>
      <c r="I13432" t="s">
        <v>10</v>
      </c>
    </row>
    <row r="13433" spans="1:9" x14ac:dyDescent="0.25">
      <c r="A13433" t="str">
        <f t="shared" si="317"/>
        <v>89301000</v>
      </c>
      <c r="B13433" t="str">
        <f t="shared" ref="B13433:B13438" si="318">"8258304846"</f>
        <v>8258304846</v>
      </c>
      <c r="C13433" s="1">
        <v>45090</v>
      </c>
      <c r="D13433" s="1">
        <v>45099</v>
      </c>
      <c r="E13433">
        <v>1</v>
      </c>
      <c r="F13433" t="str">
        <f>"03-I03-02"</f>
        <v>03-I03-02</v>
      </c>
      <c r="G13433">
        <v>5.4272999999999998</v>
      </c>
      <c r="H13433" t="s">
        <v>14</v>
      </c>
      <c r="I13433" t="s">
        <v>10</v>
      </c>
    </row>
    <row r="13434" spans="1:9" x14ac:dyDescent="0.25">
      <c r="A13434" t="str">
        <f t="shared" si="317"/>
        <v>89301000</v>
      </c>
      <c r="B13434" t="str">
        <f t="shared" si="318"/>
        <v>8258304846</v>
      </c>
      <c r="C13434" s="1">
        <v>45173</v>
      </c>
      <c r="D13434" s="1">
        <v>45178</v>
      </c>
      <c r="E13434">
        <v>1</v>
      </c>
      <c r="F13434" t="str">
        <f>"03-C01-02"</f>
        <v>03-C01-02</v>
      </c>
      <c r="G13434">
        <v>0.45800000000000002</v>
      </c>
      <c r="H13434" t="s">
        <v>11</v>
      </c>
      <c r="I13434" t="s">
        <v>10</v>
      </c>
    </row>
    <row r="13435" spans="1:9" x14ac:dyDescent="0.25">
      <c r="A13435" t="str">
        <f t="shared" si="317"/>
        <v>89301000</v>
      </c>
      <c r="B13435" t="str">
        <f t="shared" si="318"/>
        <v>8258304846</v>
      </c>
      <c r="C13435" s="1">
        <v>45194</v>
      </c>
      <c r="D13435" s="1">
        <v>45199</v>
      </c>
      <c r="E13435">
        <v>1</v>
      </c>
      <c r="F13435" t="str">
        <f>"03-C01-02"</f>
        <v>03-C01-02</v>
      </c>
      <c r="G13435">
        <v>0.45800000000000002</v>
      </c>
      <c r="H13435" t="s">
        <v>11</v>
      </c>
      <c r="I13435" t="s">
        <v>10</v>
      </c>
    </row>
    <row r="13436" spans="1:9" x14ac:dyDescent="0.25">
      <c r="A13436" t="str">
        <f t="shared" si="317"/>
        <v>89301000</v>
      </c>
      <c r="B13436" t="str">
        <f t="shared" si="318"/>
        <v>8258304846</v>
      </c>
      <c r="C13436" s="1">
        <v>45215</v>
      </c>
      <c r="D13436" s="1">
        <v>45220</v>
      </c>
      <c r="E13436">
        <v>1</v>
      </c>
      <c r="F13436" t="str">
        <f>"03-C01-02"</f>
        <v>03-C01-02</v>
      </c>
      <c r="G13436">
        <v>0.45800000000000002</v>
      </c>
      <c r="H13436" t="s">
        <v>11</v>
      </c>
      <c r="I13436" t="s">
        <v>10</v>
      </c>
    </row>
    <row r="13437" spans="1:9" x14ac:dyDescent="0.25">
      <c r="A13437" t="str">
        <f t="shared" si="317"/>
        <v>89301000</v>
      </c>
      <c r="B13437" t="str">
        <f t="shared" si="318"/>
        <v>8258304846</v>
      </c>
      <c r="C13437" s="1">
        <v>45236</v>
      </c>
      <c r="D13437" s="1">
        <v>45241</v>
      </c>
      <c r="E13437">
        <v>1</v>
      </c>
      <c r="F13437" t="str">
        <f>"03-C01-02"</f>
        <v>03-C01-02</v>
      </c>
      <c r="G13437">
        <v>0.45800000000000002</v>
      </c>
      <c r="H13437" t="s">
        <v>11</v>
      </c>
      <c r="I13437" t="s">
        <v>10</v>
      </c>
    </row>
    <row r="13438" spans="1:9" x14ac:dyDescent="0.25">
      <c r="A13438" t="str">
        <f t="shared" si="317"/>
        <v>89301000</v>
      </c>
      <c r="B13438" t="str">
        <f t="shared" si="318"/>
        <v>8258304846</v>
      </c>
      <c r="C13438" s="1">
        <v>45257</v>
      </c>
      <c r="D13438" s="1">
        <v>45262</v>
      </c>
      <c r="E13438">
        <v>1</v>
      </c>
      <c r="F13438" t="str">
        <f>"03-C01-02"</f>
        <v>03-C01-02</v>
      </c>
      <c r="G13438">
        <v>0.45800000000000002</v>
      </c>
      <c r="H13438" t="s">
        <v>11</v>
      </c>
      <c r="I13438" t="s">
        <v>10</v>
      </c>
    </row>
    <row r="13439" spans="1:9" x14ac:dyDescent="0.25">
      <c r="A13439" t="str">
        <f t="shared" si="317"/>
        <v>89301000</v>
      </c>
      <c r="B13439" t="str">
        <f>"8258305363"</f>
        <v>8258305363</v>
      </c>
      <c r="C13439" s="1">
        <v>44942</v>
      </c>
      <c r="D13439" s="1">
        <v>44944</v>
      </c>
      <c r="E13439">
        <v>1</v>
      </c>
      <c r="F13439" t="str">
        <f>"09-I09-02"</f>
        <v>09-I09-02</v>
      </c>
      <c r="G13439">
        <v>0.76900000000000002</v>
      </c>
      <c r="H13439" t="s">
        <v>12</v>
      </c>
      <c r="I13439" t="s">
        <v>10</v>
      </c>
    </row>
    <row r="13440" spans="1:9" x14ac:dyDescent="0.25">
      <c r="A13440" t="str">
        <f t="shared" si="317"/>
        <v>89301000</v>
      </c>
      <c r="B13440" t="str">
        <f>"8259075781"</f>
        <v>8259075781</v>
      </c>
      <c r="C13440" s="1">
        <v>45091</v>
      </c>
      <c r="D13440" s="1">
        <v>45100</v>
      </c>
      <c r="E13440">
        <v>1</v>
      </c>
      <c r="F13440" t="str">
        <f>"13-R01-08"</f>
        <v>13-R01-08</v>
      </c>
      <c r="G13440">
        <v>0.86129999999999995</v>
      </c>
      <c r="H13440" t="s">
        <v>11</v>
      </c>
      <c r="I13440" t="s">
        <v>10</v>
      </c>
    </row>
    <row r="13441" spans="1:9" x14ac:dyDescent="0.25">
      <c r="A13441" t="str">
        <f t="shared" si="317"/>
        <v>89301000</v>
      </c>
      <c r="B13441" t="str">
        <f>"8259075781"</f>
        <v>8259075781</v>
      </c>
      <c r="C13441" s="1">
        <v>45044</v>
      </c>
      <c r="D13441" s="1">
        <v>45046</v>
      </c>
      <c r="E13441">
        <v>1</v>
      </c>
      <c r="F13441" t="str">
        <f>"16-K02-03"</f>
        <v>16-K02-03</v>
      </c>
      <c r="G13441">
        <v>0.58299999999999996</v>
      </c>
      <c r="H13441" t="s">
        <v>11</v>
      </c>
      <c r="I13441" t="s">
        <v>10</v>
      </c>
    </row>
    <row r="13442" spans="1:9" x14ac:dyDescent="0.25">
      <c r="A13442" t="str">
        <f t="shared" si="317"/>
        <v>89301000</v>
      </c>
      <c r="B13442" t="str">
        <f>"8259075781"</f>
        <v>8259075781</v>
      </c>
      <c r="C13442" s="1">
        <v>45103</v>
      </c>
      <c r="D13442" s="1">
        <v>45107</v>
      </c>
      <c r="E13442">
        <v>1</v>
      </c>
      <c r="F13442" t="str">
        <f>"13-R02-01"</f>
        <v>13-R02-01</v>
      </c>
      <c r="G13442">
        <v>1.7144999999999999</v>
      </c>
      <c r="H13442" t="s">
        <v>11</v>
      </c>
      <c r="I13442" t="s">
        <v>10</v>
      </c>
    </row>
    <row r="13443" spans="1:9" x14ac:dyDescent="0.25">
      <c r="A13443" t="str">
        <f t="shared" si="317"/>
        <v>89301000</v>
      </c>
      <c r="B13443" t="str">
        <f>"8259085329"</f>
        <v>8259085329</v>
      </c>
      <c r="C13443" s="1">
        <v>45208</v>
      </c>
      <c r="D13443" s="1">
        <v>45210</v>
      </c>
      <c r="E13443">
        <v>1</v>
      </c>
      <c r="F13443" t="str">
        <f>"04-K15-03"</f>
        <v>04-K15-03</v>
      </c>
      <c r="G13443">
        <v>0.48670000000000002</v>
      </c>
      <c r="H13443" t="s">
        <v>11</v>
      </c>
      <c r="I13443" t="s">
        <v>10</v>
      </c>
    </row>
    <row r="13444" spans="1:9" x14ac:dyDescent="0.25">
      <c r="A13444" t="str">
        <f t="shared" si="317"/>
        <v>89301000</v>
      </c>
      <c r="B13444" t="str">
        <f>"8259104964"</f>
        <v>8259104964</v>
      </c>
      <c r="C13444" s="1">
        <v>45034</v>
      </c>
      <c r="D13444" s="1">
        <v>45036</v>
      </c>
      <c r="E13444">
        <v>1</v>
      </c>
      <c r="F13444" t="str">
        <f>"03-I14-02"</f>
        <v>03-I14-02</v>
      </c>
      <c r="G13444">
        <v>1.0793999999999999</v>
      </c>
      <c r="H13444" t="s">
        <v>11</v>
      </c>
      <c r="I13444" t="s">
        <v>10</v>
      </c>
    </row>
    <row r="13445" spans="1:9" x14ac:dyDescent="0.25">
      <c r="A13445" t="str">
        <f t="shared" si="317"/>
        <v>89301000</v>
      </c>
      <c r="B13445" t="str">
        <f>"8259194592"</f>
        <v>8259194592</v>
      </c>
      <c r="C13445" s="1">
        <v>45093</v>
      </c>
      <c r="D13445" s="1">
        <v>45097</v>
      </c>
      <c r="E13445">
        <v>1</v>
      </c>
      <c r="F13445" t="str">
        <f>"14-M01-05"</f>
        <v>14-M01-05</v>
      </c>
      <c r="G13445">
        <v>0.56589999999999996</v>
      </c>
      <c r="H13445" t="s">
        <v>13</v>
      </c>
      <c r="I13445" t="s">
        <v>10</v>
      </c>
    </row>
    <row r="13446" spans="1:9" x14ac:dyDescent="0.25">
      <c r="A13446" t="str">
        <f t="shared" si="317"/>
        <v>89301000</v>
      </c>
      <c r="B13446" t="str">
        <f>"8259215316"</f>
        <v>8259215316</v>
      </c>
      <c r="C13446" s="1">
        <v>45036</v>
      </c>
      <c r="D13446" s="1">
        <v>45036</v>
      </c>
      <c r="E13446">
        <v>1</v>
      </c>
      <c r="F13446" t="str">
        <f>"14-K03-02"</f>
        <v>14-K03-02</v>
      </c>
      <c r="G13446">
        <v>0.15079999999999999</v>
      </c>
      <c r="H13446" t="s">
        <v>11</v>
      </c>
      <c r="I13446" t="s">
        <v>10</v>
      </c>
    </row>
    <row r="13447" spans="1:9" x14ac:dyDescent="0.25">
      <c r="A13447" t="str">
        <f t="shared" si="317"/>
        <v>89301000</v>
      </c>
      <c r="B13447" t="str">
        <f>"8259215316"</f>
        <v>8259215316</v>
      </c>
      <c r="C13447" s="1">
        <v>45053</v>
      </c>
      <c r="D13447" s="1">
        <v>45057</v>
      </c>
      <c r="E13447">
        <v>1</v>
      </c>
      <c r="F13447" t="str">
        <f>"14-M01-05"</f>
        <v>14-M01-05</v>
      </c>
      <c r="G13447">
        <v>0.56589999999999996</v>
      </c>
      <c r="H13447" t="s">
        <v>13</v>
      </c>
      <c r="I13447" t="s">
        <v>10</v>
      </c>
    </row>
    <row r="13448" spans="1:9" x14ac:dyDescent="0.25">
      <c r="A13448" t="str">
        <f t="shared" si="317"/>
        <v>89301000</v>
      </c>
      <c r="B13448" t="str">
        <f>"8259305307"</f>
        <v>8259305307</v>
      </c>
      <c r="C13448" s="1">
        <v>45125</v>
      </c>
      <c r="D13448" s="1">
        <v>45127</v>
      </c>
      <c r="E13448">
        <v>1</v>
      </c>
      <c r="F13448" t="str">
        <f>"08-M03-05"</f>
        <v>08-M03-05</v>
      </c>
      <c r="G13448">
        <v>0.46810000000000002</v>
      </c>
      <c r="H13448" t="s">
        <v>11</v>
      </c>
      <c r="I13448" t="s">
        <v>10</v>
      </c>
    </row>
    <row r="13449" spans="1:9" x14ac:dyDescent="0.25">
      <c r="A13449" t="str">
        <f t="shared" si="317"/>
        <v>89301000</v>
      </c>
      <c r="B13449" t="str">
        <f>"8260045332"</f>
        <v>8260045332</v>
      </c>
      <c r="C13449" s="1">
        <v>45010</v>
      </c>
      <c r="D13449" s="1">
        <v>45013</v>
      </c>
      <c r="E13449">
        <v>1</v>
      </c>
      <c r="F13449" t="str">
        <f>"08-I03-08"</f>
        <v>08-I03-08</v>
      </c>
      <c r="G13449">
        <v>1.9455</v>
      </c>
      <c r="H13449" t="s">
        <v>9</v>
      </c>
      <c r="I13449" t="s">
        <v>10</v>
      </c>
    </row>
    <row r="13450" spans="1:9" x14ac:dyDescent="0.25">
      <c r="A13450" t="str">
        <f t="shared" si="317"/>
        <v>89301000</v>
      </c>
      <c r="B13450" t="str">
        <f>"8260054957"</f>
        <v>8260054957</v>
      </c>
      <c r="C13450" s="1">
        <v>45159</v>
      </c>
      <c r="D13450" s="1">
        <v>45163</v>
      </c>
      <c r="E13450">
        <v>1</v>
      </c>
      <c r="F13450" t="str">
        <f>"07-K04-04"</f>
        <v>07-K04-04</v>
      </c>
      <c r="G13450">
        <v>0.61050000000000004</v>
      </c>
      <c r="H13450" t="s">
        <v>11</v>
      </c>
      <c r="I13450" t="s">
        <v>10</v>
      </c>
    </row>
    <row r="13451" spans="1:9" x14ac:dyDescent="0.25">
      <c r="A13451" t="str">
        <f t="shared" si="317"/>
        <v>89301000</v>
      </c>
      <c r="B13451" t="str">
        <f>"8260075758"</f>
        <v>8260075758</v>
      </c>
      <c r="C13451" s="1">
        <v>45201</v>
      </c>
      <c r="D13451" s="1">
        <v>45203</v>
      </c>
      <c r="E13451">
        <v>1</v>
      </c>
      <c r="F13451" t="str">
        <f>"07-I10-06"</f>
        <v>07-I10-06</v>
      </c>
      <c r="G13451">
        <v>0.98419999999999996</v>
      </c>
      <c r="H13451" t="s">
        <v>12</v>
      </c>
      <c r="I13451" t="s">
        <v>10</v>
      </c>
    </row>
    <row r="13452" spans="1:9" x14ac:dyDescent="0.25">
      <c r="A13452" t="str">
        <f t="shared" si="317"/>
        <v>89301000</v>
      </c>
      <c r="B13452" t="str">
        <f>"8261135201"</f>
        <v>8261135201</v>
      </c>
      <c r="C13452" s="1">
        <v>45244</v>
      </c>
      <c r="D13452" s="1">
        <v>45281</v>
      </c>
      <c r="E13452">
        <v>1</v>
      </c>
      <c r="F13452" t="str">
        <f>"19-K08-02"</f>
        <v>19-K08-02</v>
      </c>
      <c r="G13452">
        <v>4.4416000000000002</v>
      </c>
      <c r="H13452" t="s">
        <v>15</v>
      </c>
      <c r="I13452" t="s">
        <v>10</v>
      </c>
    </row>
    <row r="13453" spans="1:9" x14ac:dyDescent="0.25">
      <c r="A13453" t="str">
        <f t="shared" si="317"/>
        <v>89301000</v>
      </c>
      <c r="B13453" t="str">
        <f>"8261185328"</f>
        <v>8261185328</v>
      </c>
      <c r="C13453" s="1">
        <v>45195</v>
      </c>
      <c r="D13453" s="1">
        <v>45201</v>
      </c>
      <c r="E13453">
        <v>1</v>
      </c>
      <c r="F13453" t="str">
        <f>"06-K02-03"</f>
        <v>06-K02-03</v>
      </c>
      <c r="G13453">
        <v>0.50470000000000004</v>
      </c>
      <c r="H13453" t="s">
        <v>11</v>
      </c>
      <c r="I13453" t="s">
        <v>10</v>
      </c>
    </row>
    <row r="13454" spans="1:9" x14ac:dyDescent="0.25">
      <c r="A13454" t="str">
        <f t="shared" si="317"/>
        <v>89301000</v>
      </c>
      <c r="B13454" t="str">
        <f>"8261273493"</f>
        <v>8261273493</v>
      </c>
      <c r="C13454" s="1">
        <v>44973</v>
      </c>
      <c r="D13454" s="1">
        <v>44976</v>
      </c>
      <c r="E13454">
        <v>1</v>
      </c>
      <c r="F13454" t="str">
        <f>"14-M01-05"</f>
        <v>14-M01-05</v>
      </c>
      <c r="G13454">
        <v>0.56289999999999996</v>
      </c>
      <c r="H13454" t="s">
        <v>13</v>
      </c>
      <c r="I13454" t="s">
        <v>10</v>
      </c>
    </row>
    <row r="13455" spans="1:9" x14ac:dyDescent="0.25">
      <c r="A13455" t="str">
        <f t="shared" si="317"/>
        <v>89301000</v>
      </c>
      <c r="B13455" t="str">
        <f>"8261285351"</f>
        <v>8261285351</v>
      </c>
      <c r="C13455" s="1">
        <v>45147</v>
      </c>
      <c r="D13455" s="1">
        <v>45150</v>
      </c>
      <c r="E13455">
        <v>1</v>
      </c>
      <c r="F13455" t="str">
        <f>"13-I14-03"</f>
        <v>13-I14-03</v>
      </c>
      <c r="G13455">
        <v>0.87760000000000005</v>
      </c>
      <c r="H13455" t="s">
        <v>9</v>
      </c>
      <c r="I13455" t="s">
        <v>10</v>
      </c>
    </row>
    <row r="13456" spans="1:9" x14ac:dyDescent="0.25">
      <c r="A13456" t="str">
        <f t="shared" si="317"/>
        <v>89301000</v>
      </c>
      <c r="B13456" t="str">
        <f>"8262025354"</f>
        <v>8262025354</v>
      </c>
      <c r="C13456" s="1">
        <v>45170</v>
      </c>
      <c r="D13456" s="1">
        <v>45172</v>
      </c>
      <c r="E13456">
        <v>1</v>
      </c>
      <c r="F13456" t="str">
        <f>"06-I22-02"</f>
        <v>06-I22-02</v>
      </c>
      <c r="G13456">
        <v>0.41810000000000003</v>
      </c>
      <c r="H13456" t="s">
        <v>12</v>
      </c>
      <c r="I13456" t="s">
        <v>10</v>
      </c>
    </row>
    <row r="13457" spans="1:9" x14ac:dyDescent="0.25">
      <c r="A13457" t="str">
        <f t="shared" si="317"/>
        <v>89301000</v>
      </c>
      <c r="B13457" t="str">
        <f>"8262035364"</f>
        <v>8262035364</v>
      </c>
      <c r="C13457" s="1">
        <v>45101</v>
      </c>
      <c r="D13457" s="1">
        <v>45102</v>
      </c>
      <c r="E13457">
        <v>6</v>
      </c>
      <c r="F13457" t="str">
        <f>"18-K03-02"</f>
        <v>18-K03-02</v>
      </c>
      <c r="G13457">
        <v>0.62429999999999997</v>
      </c>
      <c r="H13457" t="s">
        <v>11</v>
      </c>
      <c r="I13457" t="s">
        <v>10</v>
      </c>
    </row>
    <row r="13458" spans="1:9" x14ac:dyDescent="0.25">
      <c r="A13458" t="str">
        <f t="shared" si="317"/>
        <v>89301000</v>
      </c>
      <c r="B13458" t="str">
        <f>"8262045308"</f>
        <v>8262045308</v>
      </c>
      <c r="C13458" s="1">
        <v>45121</v>
      </c>
      <c r="D13458" s="1">
        <v>45128</v>
      </c>
      <c r="E13458">
        <v>1</v>
      </c>
      <c r="F13458" t="str">
        <f>"14-M01-02"</f>
        <v>14-M01-02</v>
      </c>
      <c r="G13458">
        <v>0.80049999999999999</v>
      </c>
      <c r="H13458" t="s">
        <v>13</v>
      </c>
      <c r="I13458" t="s">
        <v>10</v>
      </c>
    </row>
    <row r="13459" spans="1:9" x14ac:dyDescent="0.25">
      <c r="A13459" t="str">
        <f t="shared" si="317"/>
        <v>89301000</v>
      </c>
      <c r="B13459" t="str">
        <f>"8262155308"</f>
        <v>8262155308</v>
      </c>
      <c r="C13459" s="1">
        <v>45249</v>
      </c>
      <c r="D13459" s="1">
        <v>45258</v>
      </c>
      <c r="E13459">
        <v>1</v>
      </c>
      <c r="F13459" t="str">
        <f>"09-K14-02"</f>
        <v>09-K14-02</v>
      </c>
      <c r="G13459">
        <v>0.5</v>
      </c>
      <c r="H13459" t="s">
        <v>11</v>
      </c>
      <c r="I13459" t="s">
        <v>10</v>
      </c>
    </row>
    <row r="13460" spans="1:9" x14ac:dyDescent="0.25">
      <c r="A13460" t="str">
        <f t="shared" si="317"/>
        <v>89301000</v>
      </c>
      <c r="B13460" t="str">
        <f>"8262165307"</f>
        <v>8262165307</v>
      </c>
      <c r="C13460" s="1">
        <v>45222</v>
      </c>
      <c r="D13460" s="1">
        <v>45224</v>
      </c>
      <c r="E13460">
        <v>1</v>
      </c>
      <c r="F13460" t="str">
        <f>"14-M01-05"</f>
        <v>14-M01-05</v>
      </c>
      <c r="G13460">
        <v>0.56289999999999996</v>
      </c>
      <c r="H13460" t="s">
        <v>13</v>
      </c>
      <c r="I13460" t="s">
        <v>10</v>
      </c>
    </row>
    <row r="13461" spans="1:9" x14ac:dyDescent="0.25">
      <c r="A13461" t="str">
        <f t="shared" si="317"/>
        <v>89301000</v>
      </c>
      <c r="B13461" t="str">
        <f>"8262245310"</f>
        <v>8262245310</v>
      </c>
      <c r="C13461" s="1">
        <v>45110</v>
      </c>
      <c r="D13461" s="1">
        <v>45117</v>
      </c>
      <c r="E13461">
        <v>1</v>
      </c>
      <c r="F13461" t="str">
        <f>"09-K05-00"</f>
        <v>09-K05-00</v>
      </c>
      <c r="G13461">
        <v>0.8054</v>
      </c>
      <c r="H13461" t="s">
        <v>11</v>
      </c>
      <c r="I13461" t="s">
        <v>10</v>
      </c>
    </row>
    <row r="13462" spans="1:9" x14ac:dyDescent="0.25">
      <c r="A13462" t="str">
        <f t="shared" si="317"/>
        <v>89301000</v>
      </c>
      <c r="B13462" t="str">
        <f>"8262265308"</f>
        <v>8262265308</v>
      </c>
      <c r="C13462" s="1">
        <v>45187</v>
      </c>
      <c r="D13462" s="1">
        <v>45189</v>
      </c>
      <c r="E13462">
        <v>1</v>
      </c>
      <c r="F13462" t="str">
        <f>"11-M05-02"</f>
        <v>11-M05-02</v>
      </c>
      <c r="G13462">
        <v>0.6694</v>
      </c>
      <c r="H13462" t="s">
        <v>12</v>
      </c>
      <c r="I13462" t="s">
        <v>10</v>
      </c>
    </row>
    <row r="13463" spans="1:9" x14ac:dyDescent="0.25">
      <c r="A13463" t="str">
        <f t="shared" ref="A13463:A13525" si="319">"89301000"</f>
        <v>89301000</v>
      </c>
      <c r="B13463" t="str">
        <f>"8262272579"</f>
        <v>8262272579</v>
      </c>
      <c r="C13463" s="1">
        <v>45166</v>
      </c>
      <c r="D13463" s="1">
        <v>45170</v>
      </c>
      <c r="E13463">
        <v>1</v>
      </c>
      <c r="F13463" t="str">
        <f>"14-I01-05"</f>
        <v>14-I01-05</v>
      </c>
      <c r="G13463">
        <v>0.83</v>
      </c>
      <c r="H13463" t="s">
        <v>13</v>
      </c>
      <c r="I13463" t="s">
        <v>10</v>
      </c>
    </row>
    <row r="13464" spans="1:9" x14ac:dyDescent="0.25">
      <c r="A13464" t="str">
        <f t="shared" si="319"/>
        <v>89301000</v>
      </c>
      <c r="B13464" t="str">
        <f>"8262284844"</f>
        <v>8262284844</v>
      </c>
      <c r="C13464" s="1">
        <v>44949</v>
      </c>
      <c r="D13464" s="1">
        <v>44953</v>
      </c>
      <c r="E13464">
        <v>1</v>
      </c>
      <c r="F13464" t="str">
        <f>"06-I17-02"</f>
        <v>06-I17-02</v>
      </c>
      <c r="G13464">
        <v>1.0106999999999999</v>
      </c>
      <c r="H13464" t="s">
        <v>12</v>
      </c>
      <c r="I13464" t="s">
        <v>10</v>
      </c>
    </row>
    <row r="13465" spans="1:9" x14ac:dyDescent="0.25">
      <c r="A13465" t="str">
        <f t="shared" si="319"/>
        <v>89301000</v>
      </c>
      <c r="B13465" t="str">
        <f>"8301035314"</f>
        <v>8301035314</v>
      </c>
      <c r="C13465" s="1">
        <v>45195</v>
      </c>
      <c r="D13465" s="1">
        <v>45202</v>
      </c>
      <c r="E13465">
        <v>3</v>
      </c>
      <c r="F13465" t="str">
        <f>"08-I05-04"</f>
        <v>08-I05-04</v>
      </c>
      <c r="G13465">
        <v>2.4445000000000001</v>
      </c>
      <c r="H13465" t="s">
        <v>12</v>
      </c>
      <c r="I13465" t="s">
        <v>10</v>
      </c>
    </row>
    <row r="13466" spans="1:9" x14ac:dyDescent="0.25">
      <c r="A13466" t="str">
        <f t="shared" si="319"/>
        <v>89301000</v>
      </c>
      <c r="B13466" t="str">
        <f>"8301035314"</f>
        <v>8301035314</v>
      </c>
      <c r="C13466" s="1">
        <v>45202</v>
      </c>
      <c r="D13466" s="1">
        <v>45208</v>
      </c>
      <c r="E13466">
        <v>4</v>
      </c>
      <c r="F13466" t="str">
        <f>"24-M06-02"</f>
        <v>24-M06-02</v>
      </c>
      <c r="G13466">
        <v>1.0699000000000001</v>
      </c>
      <c r="H13466" t="s">
        <v>11</v>
      </c>
      <c r="I13466" t="s">
        <v>10</v>
      </c>
    </row>
    <row r="13467" spans="1:9" x14ac:dyDescent="0.25">
      <c r="A13467" t="str">
        <f t="shared" si="319"/>
        <v>89301000</v>
      </c>
      <c r="B13467" t="str">
        <f>"8301165323"</f>
        <v>8301165323</v>
      </c>
      <c r="C13467" s="1">
        <v>45175</v>
      </c>
      <c r="D13467" s="1">
        <v>45183</v>
      </c>
      <c r="E13467">
        <v>1</v>
      </c>
      <c r="F13467" t="str">
        <f>"09-K02-00"</f>
        <v>09-K02-00</v>
      </c>
      <c r="G13467">
        <v>0.99539999999999995</v>
      </c>
      <c r="H13467" t="s">
        <v>11</v>
      </c>
      <c r="I13467" t="s">
        <v>10</v>
      </c>
    </row>
    <row r="13468" spans="1:9" x14ac:dyDescent="0.25">
      <c r="A13468" t="str">
        <f t="shared" si="319"/>
        <v>89301000</v>
      </c>
      <c r="B13468" t="str">
        <f>"8301285366"</f>
        <v>8301285366</v>
      </c>
      <c r="C13468" s="1">
        <v>44959</v>
      </c>
      <c r="D13468" s="1">
        <v>44966</v>
      </c>
      <c r="E13468">
        <v>1</v>
      </c>
      <c r="F13468" t="str">
        <f>"08-I14-01"</f>
        <v>08-I14-01</v>
      </c>
      <c r="G13468">
        <v>3.5514999999999999</v>
      </c>
      <c r="H13468" t="s">
        <v>12</v>
      </c>
      <c r="I13468" t="s">
        <v>10</v>
      </c>
    </row>
    <row r="13469" spans="1:9" x14ac:dyDescent="0.25">
      <c r="A13469" t="str">
        <f t="shared" si="319"/>
        <v>89301000</v>
      </c>
      <c r="B13469" t="str">
        <f>"8301285366"</f>
        <v>8301285366</v>
      </c>
      <c r="C13469" s="1">
        <v>45270</v>
      </c>
      <c r="D13469" s="1">
        <v>45272</v>
      </c>
      <c r="E13469">
        <v>1</v>
      </c>
      <c r="F13469" t="str">
        <f>"08-I32-00"</f>
        <v>08-I32-00</v>
      </c>
      <c r="G13469">
        <v>0.4093</v>
      </c>
      <c r="H13469" t="s">
        <v>11</v>
      </c>
      <c r="I13469" t="s">
        <v>10</v>
      </c>
    </row>
    <row r="13470" spans="1:9" x14ac:dyDescent="0.25">
      <c r="A13470" t="str">
        <f t="shared" si="319"/>
        <v>89301000</v>
      </c>
      <c r="B13470" t="str">
        <f>"8301295343"</f>
        <v>8301295343</v>
      </c>
      <c r="C13470" s="1">
        <v>45030</v>
      </c>
      <c r="D13470" s="1">
        <v>45033</v>
      </c>
      <c r="E13470">
        <v>1</v>
      </c>
      <c r="F13470" t="str">
        <f>"01-D01-03"</f>
        <v>01-D01-03</v>
      </c>
      <c r="G13470">
        <v>0.21060000000000001</v>
      </c>
      <c r="H13470" t="s">
        <v>11</v>
      </c>
      <c r="I13470" t="s">
        <v>10</v>
      </c>
    </row>
    <row r="13471" spans="1:9" x14ac:dyDescent="0.25">
      <c r="A13471" t="str">
        <f t="shared" si="319"/>
        <v>89301000</v>
      </c>
      <c r="B13471" t="str">
        <f>"8302085330"</f>
        <v>8302085330</v>
      </c>
      <c r="C13471" s="1">
        <v>44934</v>
      </c>
      <c r="D13471" s="1">
        <v>44939</v>
      </c>
      <c r="E13471">
        <v>1</v>
      </c>
      <c r="F13471" t="str">
        <f>"11-I10-01"</f>
        <v>11-I10-01</v>
      </c>
      <c r="G13471">
        <v>3.0842000000000001</v>
      </c>
      <c r="H13471" t="s">
        <v>12</v>
      </c>
      <c r="I13471" t="s">
        <v>10</v>
      </c>
    </row>
    <row r="13472" spans="1:9" x14ac:dyDescent="0.25">
      <c r="A13472" t="str">
        <f t="shared" si="319"/>
        <v>89301000</v>
      </c>
      <c r="B13472" t="str">
        <f>"8302167599"</f>
        <v>8302167599</v>
      </c>
      <c r="C13472" s="1">
        <v>45156</v>
      </c>
      <c r="D13472" s="1">
        <v>45159</v>
      </c>
      <c r="E13472">
        <v>1</v>
      </c>
      <c r="F13472" t="str">
        <f>"01-D01-03"</f>
        <v>01-D01-03</v>
      </c>
      <c r="G13472">
        <v>0.21060000000000001</v>
      </c>
      <c r="H13472" t="s">
        <v>11</v>
      </c>
      <c r="I13472" t="s">
        <v>10</v>
      </c>
    </row>
    <row r="13473" spans="1:9" x14ac:dyDescent="0.25">
      <c r="A13473" t="str">
        <f t="shared" si="319"/>
        <v>89301000</v>
      </c>
      <c r="B13473" t="str">
        <f>"8302177323"</f>
        <v>8302177323</v>
      </c>
      <c r="C13473" s="1">
        <v>45000</v>
      </c>
      <c r="D13473" s="1">
        <v>45001</v>
      </c>
      <c r="E13473">
        <v>1</v>
      </c>
      <c r="F13473" t="str">
        <f>"01-K01-02"</f>
        <v>01-K01-02</v>
      </c>
      <c r="G13473">
        <v>0.442</v>
      </c>
      <c r="H13473" t="s">
        <v>11</v>
      </c>
      <c r="I13473" t="s">
        <v>10</v>
      </c>
    </row>
    <row r="13474" spans="1:9" x14ac:dyDescent="0.25">
      <c r="A13474" t="str">
        <f t="shared" si="319"/>
        <v>89301000</v>
      </c>
      <c r="B13474" t="str">
        <f>"8302177323"</f>
        <v>8302177323</v>
      </c>
      <c r="C13474" s="1">
        <v>44986</v>
      </c>
      <c r="D13474" s="1">
        <v>44987</v>
      </c>
      <c r="E13474">
        <v>1</v>
      </c>
      <c r="F13474" t="str">
        <f>"01-K01-02"</f>
        <v>01-K01-02</v>
      </c>
      <c r="G13474">
        <v>0.442</v>
      </c>
      <c r="H13474" t="s">
        <v>11</v>
      </c>
      <c r="I13474" t="s">
        <v>10</v>
      </c>
    </row>
    <row r="13475" spans="1:9" x14ac:dyDescent="0.25">
      <c r="A13475" t="str">
        <f t="shared" si="319"/>
        <v>89301000</v>
      </c>
      <c r="B13475" t="str">
        <f>"8302224458"</f>
        <v>8302224458</v>
      </c>
      <c r="C13475" s="1">
        <v>45072</v>
      </c>
      <c r="D13475" s="1">
        <v>45073</v>
      </c>
      <c r="E13475">
        <v>1</v>
      </c>
      <c r="F13475" t="str">
        <f>"08-I19-03"</f>
        <v>08-I19-03</v>
      </c>
      <c r="G13475">
        <v>0.59130000000000005</v>
      </c>
      <c r="H13475" t="s">
        <v>12</v>
      </c>
      <c r="I13475" t="s">
        <v>10</v>
      </c>
    </row>
    <row r="13476" spans="1:9" x14ac:dyDescent="0.25">
      <c r="A13476" t="str">
        <f t="shared" si="319"/>
        <v>89301000</v>
      </c>
      <c r="B13476" t="str">
        <f>"8303015314"</f>
        <v>8303015314</v>
      </c>
      <c r="C13476" s="1">
        <v>44948</v>
      </c>
      <c r="D13476" s="1">
        <v>44957</v>
      </c>
      <c r="E13476">
        <v>1</v>
      </c>
      <c r="F13476" t="str">
        <f>"06-I07-05"</f>
        <v>06-I07-05</v>
      </c>
      <c r="G13476">
        <v>2.7919999999999998</v>
      </c>
      <c r="H13476" t="s">
        <v>12</v>
      </c>
      <c r="I13476" t="s">
        <v>10</v>
      </c>
    </row>
    <row r="13477" spans="1:9" x14ac:dyDescent="0.25">
      <c r="A13477" t="str">
        <f t="shared" si="319"/>
        <v>89301000</v>
      </c>
      <c r="B13477" t="str">
        <f>"8303015314"</f>
        <v>8303015314</v>
      </c>
      <c r="C13477" s="1">
        <v>45207</v>
      </c>
      <c r="D13477" s="1">
        <v>45209</v>
      </c>
      <c r="E13477">
        <v>1</v>
      </c>
      <c r="F13477" t="str">
        <f>"06-K06-01"</f>
        <v>06-K06-01</v>
      </c>
      <c r="G13477">
        <v>1.1001000000000001</v>
      </c>
      <c r="H13477" t="s">
        <v>11</v>
      </c>
      <c r="I13477" t="s">
        <v>10</v>
      </c>
    </row>
    <row r="13478" spans="1:9" x14ac:dyDescent="0.25">
      <c r="A13478" t="str">
        <f t="shared" si="319"/>
        <v>89301000</v>
      </c>
      <c r="B13478" t="str">
        <f>"8303294934"</f>
        <v>8303294934</v>
      </c>
      <c r="C13478" s="1">
        <v>45122</v>
      </c>
      <c r="D13478" s="1">
        <v>45125</v>
      </c>
      <c r="E13478">
        <v>1</v>
      </c>
      <c r="F13478" t="str">
        <f>"04-K09-02"</f>
        <v>04-K09-02</v>
      </c>
      <c r="G13478">
        <v>1.155</v>
      </c>
      <c r="H13478" t="s">
        <v>11</v>
      </c>
      <c r="I13478" t="s">
        <v>10</v>
      </c>
    </row>
    <row r="13479" spans="1:9" x14ac:dyDescent="0.25">
      <c r="A13479" t="str">
        <f t="shared" si="319"/>
        <v>89301000</v>
      </c>
      <c r="B13479" t="str">
        <f>"8303294934"</f>
        <v>8303294934</v>
      </c>
      <c r="C13479" s="1">
        <v>44987</v>
      </c>
      <c r="D13479" s="1">
        <v>44998</v>
      </c>
      <c r="E13479">
        <v>1</v>
      </c>
      <c r="F13479" t="str">
        <f>"04-R02-07"</f>
        <v>04-R02-07</v>
      </c>
      <c r="G13479">
        <v>1.4739</v>
      </c>
      <c r="H13479" t="s">
        <v>11</v>
      </c>
      <c r="I13479" t="s">
        <v>10</v>
      </c>
    </row>
    <row r="13480" spans="1:9" x14ac:dyDescent="0.25">
      <c r="A13480" t="str">
        <f t="shared" si="319"/>
        <v>89301000</v>
      </c>
      <c r="B13480" t="str">
        <f>"8303294934"</f>
        <v>8303294934</v>
      </c>
      <c r="C13480" s="1">
        <v>45217</v>
      </c>
      <c r="D13480" s="1">
        <v>45252</v>
      </c>
      <c r="E13480">
        <v>1</v>
      </c>
      <c r="F13480" t="str">
        <f>"04-I08-01"</f>
        <v>04-I08-01</v>
      </c>
      <c r="G13480">
        <v>3.4285000000000001</v>
      </c>
      <c r="H13480" t="s">
        <v>11</v>
      </c>
      <c r="I13480" t="s">
        <v>10</v>
      </c>
    </row>
    <row r="13481" spans="1:9" x14ac:dyDescent="0.25">
      <c r="A13481" t="str">
        <f t="shared" si="319"/>
        <v>89301000</v>
      </c>
      <c r="B13481" t="str">
        <f>"8303295330"</f>
        <v>8303295330</v>
      </c>
      <c r="C13481" s="1">
        <v>45126</v>
      </c>
      <c r="D13481" s="1">
        <v>45128</v>
      </c>
      <c r="E13481">
        <v>1</v>
      </c>
      <c r="F13481" t="str">
        <f>"08-I25-02"</f>
        <v>08-I25-02</v>
      </c>
      <c r="G13481">
        <v>0.55279999999999996</v>
      </c>
      <c r="H13481" t="s">
        <v>11</v>
      </c>
      <c r="I13481" t="s">
        <v>10</v>
      </c>
    </row>
    <row r="13482" spans="1:9" x14ac:dyDescent="0.25">
      <c r="A13482" t="str">
        <f t="shared" si="319"/>
        <v>89301000</v>
      </c>
      <c r="B13482" t="str">
        <f>"8304055342"</f>
        <v>8304055342</v>
      </c>
      <c r="C13482" s="1">
        <v>45031</v>
      </c>
      <c r="D13482" s="1">
        <v>45036</v>
      </c>
      <c r="E13482">
        <v>1</v>
      </c>
      <c r="F13482" t="str">
        <f>"06-I18-05"</f>
        <v>06-I18-05</v>
      </c>
      <c r="G13482">
        <v>0.82420000000000004</v>
      </c>
      <c r="H13482" t="s">
        <v>9</v>
      </c>
      <c r="I13482" t="s">
        <v>10</v>
      </c>
    </row>
    <row r="13483" spans="1:9" x14ac:dyDescent="0.25">
      <c r="A13483" t="str">
        <f t="shared" si="319"/>
        <v>89301000</v>
      </c>
      <c r="B13483" t="str">
        <f>"8304055793"</f>
        <v>8304055793</v>
      </c>
      <c r="C13483" s="1">
        <v>45047</v>
      </c>
      <c r="D13483" s="1">
        <v>45049</v>
      </c>
      <c r="E13483">
        <v>1</v>
      </c>
      <c r="F13483" t="str">
        <f>"05-I30-02"</f>
        <v>05-I30-02</v>
      </c>
      <c r="G13483">
        <v>0.41699999999999998</v>
      </c>
      <c r="H13483" t="s">
        <v>12</v>
      </c>
      <c r="I13483" t="s">
        <v>10</v>
      </c>
    </row>
    <row r="13484" spans="1:9" x14ac:dyDescent="0.25">
      <c r="A13484" t="str">
        <f t="shared" si="319"/>
        <v>89301000</v>
      </c>
      <c r="B13484" t="str">
        <f>"8304104468"</f>
        <v>8304104468</v>
      </c>
      <c r="C13484" s="1">
        <v>44950</v>
      </c>
      <c r="D13484" s="1">
        <v>44965</v>
      </c>
      <c r="E13484">
        <v>1</v>
      </c>
      <c r="F13484" t="str">
        <f>"08-I14-01"</f>
        <v>08-I14-01</v>
      </c>
      <c r="G13484">
        <v>3.5514999999999999</v>
      </c>
      <c r="H13484" t="s">
        <v>12</v>
      </c>
      <c r="I13484" t="s">
        <v>10</v>
      </c>
    </row>
    <row r="13485" spans="1:9" x14ac:dyDescent="0.25">
      <c r="A13485" t="str">
        <f t="shared" si="319"/>
        <v>89301000</v>
      </c>
      <c r="B13485" t="str">
        <f>"8304165760"</f>
        <v>8304165760</v>
      </c>
      <c r="C13485" s="1">
        <v>45174</v>
      </c>
      <c r="D13485" s="1">
        <v>45178</v>
      </c>
      <c r="E13485">
        <v>1</v>
      </c>
      <c r="F13485" t="str">
        <f>"18-K02-03"</f>
        <v>18-K02-03</v>
      </c>
      <c r="G13485">
        <v>0.89670000000000005</v>
      </c>
      <c r="H13485" t="s">
        <v>11</v>
      </c>
      <c r="I13485" t="s">
        <v>10</v>
      </c>
    </row>
    <row r="13486" spans="1:9" x14ac:dyDescent="0.25">
      <c r="A13486" t="str">
        <f t="shared" si="319"/>
        <v>89301000</v>
      </c>
      <c r="B13486" t="str">
        <f>"8304215315"</f>
        <v>8304215315</v>
      </c>
      <c r="C13486" s="1">
        <v>45264</v>
      </c>
      <c r="D13486" s="1">
        <v>45267</v>
      </c>
      <c r="E13486">
        <v>1</v>
      </c>
      <c r="F13486" t="str">
        <f>"09-K14-02"</f>
        <v>09-K14-02</v>
      </c>
      <c r="G13486">
        <v>0.5</v>
      </c>
      <c r="H13486" t="s">
        <v>11</v>
      </c>
      <c r="I13486" t="s">
        <v>10</v>
      </c>
    </row>
    <row r="13487" spans="1:9" x14ac:dyDescent="0.25">
      <c r="A13487" t="str">
        <f t="shared" si="319"/>
        <v>89301000</v>
      </c>
      <c r="B13487" t="str">
        <f>"8304215315"</f>
        <v>8304215315</v>
      </c>
      <c r="C13487" s="1">
        <v>45096</v>
      </c>
      <c r="D13487" s="1">
        <v>45098</v>
      </c>
      <c r="E13487">
        <v>1</v>
      </c>
      <c r="F13487" t="str">
        <f>"09-I13-04"</f>
        <v>09-I13-04</v>
      </c>
      <c r="G13487">
        <v>0.54139999999999999</v>
      </c>
      <c r="H13487" t="s">
        <v>11</v>
      </c>
      <c r="I13487" t="s">
        <v>10</v>
      </c>
    </row>
    <row r="13488" spans="1:9" x14ac:dyDescent="0.25">
      <c r="A13488" t="str">
        <f t="shared" si="319"/>
        <v>89301000</v>
      </c>
      <c r="B13488" t="str">
        <f>"8304264485"</f>
        <v>8304264485</v>
      </c>
      <c r="C13488" s="1">
        <v>45249</v>
      </c>
      <c r="D13488" s="1">
        <v>45255</v>
      </c>
      <c r="E13488">
        <v>1</v>
      </c>
      <c r="F13488" t="str">
        <f>"12-K01-02"</f>
        <v>12-K01-02</v>
      </c>
      <c r="G13488">
        <v>0.56440000000000001</v>
      </c>
      <c r="H13488" t="s">
        <v>11</v>
      </c>
      <c r="I13488" t="s">
        <v>10</v>
      </c>
    </row>
    <row r="13489" spans="1:9" x14ac:dyDescent="0.25">
      <c r="A13489" t="str">
        <f t="shared" si="319"/>
        <v>89301000</v>
      </c>
      <c r="B13489" t="str">
        <f>"8304265684"</f>
        <v>8304265684</v>
      </c>
      <c r="C13489" s="1">
        <v>45174</v>
      </c>
      <c r="D13489" s="1">
        <v>45187</v>
      </c>
      <c r="E13489">
        <v>1</v>
      </c>
      <c r="F13489" t="str">
        <f>"08-I13-03"</f>
        <v>08-I13-03</v>
      </c>
      <c r="G13489">
        <v>2.8662000000000001</v>
      </c>
      <c r="H13489" t="s">
        <v>12</v>
      </c>
      <c r="I13489" t="s">
        <v>10</v>
      </c>
    </row>
    <row r="13490" spans="1:9" x14ac:dyDescent="0.25">
      <c r="A13490" t="str">
        <f t="shared" si="319"/>
        <v>89301000</v>
      </c>
      <c r="B13490" t="str">
        <f>"8305025333"</f>
        <v>8305025333</v>
      </c>
      <c r="C13490" s="1">
        <v>45077</v>
      </c>
      <c r="D13490" s="1">
        <v>45082</v>
      </c>
      <c r="E13490">
        <v>1</v>
      </c>
      <c r="F13490" t="str">
        <f>"08-K03-03"</f>
        <v>08-K03-03</v>
      </c>
      <c r="G13490">
        <v>0.7903</v>
      </c>
      <c r="H13490" t="s">
        <v>11</v>
      </c>
      <c r="I13490" t="s">
        <v>10</v>
      </c>
    </row>
    <row r="13491" spans="1:9" x14ac:dyDescent="0.25">
      <c r="A13491" t="str">
        <f t="shared" si="319"/>
        <v>89301000</v>
      </c>
      <c r="B13491" t="str">
        <f>"8305044275"</f>
        <v>8305044275</v>
      </c>
      <c r="C13491" s="1">
        <v>44952</v>
      </c>
      <c r="D13491" s="1">
        <v>44957</v>
      </c>
      <c r="E13491">
        <v>1</v>
      </c>
      <c r="F13491" t="str">
        <f>"09-K02-00"</f>
        <v>09-K02-00</v>
      </c>
      <c r="G13491">
        <v>0.99539999999999995</v>
      </c>
      <c r="H13491" t="s">
        <v>11</v>
      </c>
      <c r="I13491" t="s">
        <v>10</v>
      </c>
    </row>
    <row r="13492" spans="1:9" x14ac:dyDescent="0.25">
      <c r="A13492" t="str">
        <f t="shared" si="319"/>
        <v>89301000</v>
      </c>
      <c r="B13492" t="str">
        <f>"8305055319"</f>
        <v>8305055319</v>
      </c>
      <c r="C13492" s="1">
        <v>45264</v>
      </c>
      <c r="D13492" s="1">
        <v>45267</v>
      </c>
      <c r="E13492">
        <v>1</v>
      </c>
      <c r="F13492" t="str">
        <f>"08-I15-03"</f>
        <v>08-I15-03</v>
      </c>
      <c r="G13492">
        <v>0.94059999999999999</v>
      </c>
      <c r="H13492" t="s">
        <v>12</v>
      </c>
      <c r="I13492" t="s">
        <v>10</v>
      </c>
    </row>
    <row r="13493" spans="1:9" x14ac:dyDescent="0.25">
      <c r="A13493" t="str">
        <f t="shared" si="319"/>
        <v>89301000</v>
      </c>
      <c r="B13493" t="str">
        <f>"8305115302"</f>
        <v>8305115302</v>
      </c>
      <c r="C13493" s="1">
        <v>44970</v>
      </c>
      <c r="D13493" s="1">
        <v>44981</v>
      </c>
      <c r="E13493">
        <v>1</v>
      </c>
      <c r="F13493" t="str">
        <f>"20-K04-02"</f>
        <v>20-K04-02</v>
      </c>
      <c r="G13493">
        <v>1.3379000000000001</v>
      </c>
      <c r="H13493" t="s">
        <v>11</v>
      </c>
      <c r="I13493" t="s">
        <v>10</v>
      </c>
    </row>
    <row r="13494" spans="1:9" x14ac:dyDescent="0.25">
      <c r="A13494" t="str">
        <f t="shared" si="319"/>
        <v>89301000</v>
      </c>
      <c r="B13494" t="str">
        <f>"8305155320"</f>
        <v>8305155320</v>
      </c>
      <c r="C13494" s="1">
        <v>45011</v>
      </c>
      <c r="D13494" s="1">
        <v>45014</v>
      </c>
      <c r="E13494">
        <v>1</v>
      </c>
      <c r="F13494" t="str">
        <f>"06-I16-03"</f>
        <v>06-I16-03</v>
      </c>
      <c r="G13494">
        <v>0.86480000000000001</v>
      </c>
      <c r="H13494" t="s">
        <v>9</v>
      </c>
      <c r="I13494" t="s">
        <v>10</v>
      </c>
    </row>
    <row r="13495" spans="1:9" x14ac:dyDescent="0.25">
      <c r="A13495" t="str">
        <f t="shared" si="319"/>
        <v>89301000</v>
      </c>
      <c r="B13495" t="str">
        <f>"8305185790"</f>
        <v>8305185790</v>
      </c>
      <c r="C13495" s="1">
        <v>45033</v>
      </c>
      <c r="D13495" s="1">
        <v>45044</v>
      </c>
      <c r="E13495">
        <v>1</v>
      </c>
      <c r="F13495" t="str">
        <f>"06-I07-05"</f>
        <v>06-I07-05</v>
      </c>
      <c r="G13495">
        <v>2.7919999999999998</v>
      </c>
      <c r="H13495" t="s">
        <v>12</v>
      </c>
      <c r="I13495" t="s">
        <v>10</v>
      </c>
    </row>
    <row r="13496" spans="1:9" x14ac:dyDescent="0.25">
      <c r="A13496" t="str">
        <f t="shared" si="319"/>
        <v>89301000</v>
      </c>
      <c r="B13496" t="str">
        <f>"8305185790"</f>
        <v>8305185790</v>
      </c>
      <c r="C13496" s="1">
        <v>45222</v>
      </c>
      <c r="D13496" s="1">
        <v>45224</v>
      </c>
      <c r="E13496">
        <v>1</v>
      </c>
      <c r="F13496" t="str">
        <f>"08-I17-02"</f>
        <v>08-I17-02</v>
      </c>
      <c r="G13496">
        <v>0.89680000000000004</v>
      </c>
      <c r="H13496" t="s">
        <v>11</v>
      </c>
      <c r="I13496" t="s">
        <v>10</v>
      </c>
    </row>
    <row r="13497" spans="1:9" x14ac:dyDescent="0.25">
      <c r="A13497" t="str">
        <f t="shared" si="319"/>
        <v>89301000</v>
      </c>
      <c r="B13497" t="str">
        <f>"8305185790"</f>
        <v>8305185790</v>
      </c>
      <c r="C13497" s="1">
        <v>44956</v>
      </c>
      <c r="D13497" s="1">
        <v>44963</v>
      </c>
      <c r="E13497">
        <v>1</v>
      </c>
      <c r="F13497" t="str">
        <f>"06-K19-03"</f>
        <v>06-K19-03</v>
      </c>
      <c r="G13497">
        <v>0.84150000000000003</v>
      </c>
      <c r="H13497" t="s">
        <v>11</v>
      </c>
      <c r="I13497" t="s">
        <v>10</v>
      </c>
    </row>
    <row r="13498" spans="1:9" x14ac:dyDescent="0.25">
      <c r="A13498" t="str">
        <f t="shared" si="319"/>
        <v>89301000</v>
      </c>
      <c r="B13498" t="str">
        <f>"8307014463"</f>
        <v>8307014463</v>
      </c>
      <c r="C13498" s="1">
        <v>45096</v>
      </c>
      <c r="D13498" s="1">
        <v>45098</v>
      </c>
      <c r="E13498">
        <v>1</v>
      </c>
      <c r="F13498" t="str">
        <f>"03-I22-01"</f>
        <v>03-I22-01</v>
      </c>
      <c r="G13498">
        <v>0.62490000000000001</v>
      </c>
      <c r="H13498" t="s">
        <v>11</v>
      </c>
      <c r="I13498" t="s">
        <v>10</v>
      </c>
    </row>
    <row r="13499" spans="1:9" x14ac:dyDescent="0.25">
      <c r="A13499" t="str">
        <f t="shared" si="319"/>
        <v>89301000</v>
      </c>
      <c r="B13499" t="str">
        <f>"8307014463"</f>
        <v>8307014463</v>
      </c>
      <c r="C13499" s="1">
        <v>44945</v>
      </c>
      <c r="D13499" s="1">
        <v>44947</v>
      </c>
      <c r="E13499">
        <v>1</v>
      </c>
      <c r="F13499" t="str">
        <f>"03-I22-01"</f>
        <v>03-I22-01</v>
      </c>
      <c r="G13499">
        <v>0.62490000000000001</v>
      </c>
      <c r="H13499" t="s">
        <v>11</v>
      </c>
      <c r="I13499" t="s">
        <v>10</v>
      </c>
    </row>
    <row r="13500" spans="1:9" x14ac:dyDescent="0.25">
      <c r="A13500" t="str">
        <f t="shared" si="319"/>
        <v>89301000</v>
      </c>
      <c r="B13500" t="str">
        <f>"8307105345"</f>
        <v>8307105345</v>
      </c>
      <c r="C13500" s="1">
        <v>45005</v>
      </c>
      <c r="D13500" s="1">
        <v>45010</v>
      </c>
      <c r="E13500">
        <v>1</v>
      </c>
      <c r="F13500" t="str">
        <f>"03-I16-02"</f>
        <v>03-I16-02</v>
      </c>
      <c r="G13500">
        <v>0.93030000000000002</v>
      </c>
      <c r="H13500" t="s">
        <v>9</v>
      </c>
      <c r="I13500" t="s">
        <v>10</v>
      </c>
    </row>
    <row r="13501" spans="1:9" x14ac:dyDescent="0.25">
      <c r="A13501" t="str">
        <f t="shared" si="319"/>
        <v>89301000</v>
      </c>
      <c r="B13501" t="str">
        <f>"8307144494"</f>
        <v>8307144494</v>
      </c>
      <c r="C13501" s="1">
        <v>45039</v>
      </c>
      <c r="D13501" s="1">
        <v>45041</v>
      </c>
      <c r="E13501">
        <v>1</v>
      </c>
      <c r="F13501" t="str">
        <f>"08-I16-03"</f>
        <v>08-I16-03</v>
      </c>
      <c r="G13501">
        <v>1.3762000000000001</v>
      </c>
      <c r="H13501" t="s">
        <v>12</v>
      </c>
      <c r="I13501" t="s">
        <v>10</v>
      </c>
    </row>
    <row r="13502" spans="1:9" x14ac:dyDescent="0.25">
      <c r="A13502" t="str">
        <f t="shared" si="319"/>
        <v>89301000</v>
      </c>
      <c r="B13502" t="str">
        <f>"8307155362"</f>
        <v>8307155362</v>
      </c>
      <c r="C13502" s="1">
        <v>45013</v>
      </c>
      <c r="D13502" s="1">
        <v>45014</v>
      </c>
      <c r="E13502">
        <v>1</v>
      </c>
      <c r="F13502" t="str">
        <f>"11-M05-02"</f>
        <v>11-M05-02</v>
      </c>
      <c r="G13502">
        <v>0.6694</v>
      </c>
      <c r="H13502" t="s">
        <v>12</v>
      </c>
      <c r="I13502" t="s">
        <v>10</v>
      </c>
    </row>
    <row r="13503" spans="1:9" x14ac:dyDescent="0.25">
      <c r="A13503" t="str">
        <f t="shared" si="319"/>
        <v>89301000</v>
      </c>
      <c r="B13503" t="str">
        <f>"8308025341"</f>
        <v>8308025341</v>
      </c>
      <c r="C13503" s="1">
        <v>44991</v>
      </c>
      <c r="D13503" s="1">
        <v>44993</v>
      </c>
      <c r="E13503">
        <v>1</v>
      </c>
      <c r="F13503" t="str">
        <f>"05-I30-02"</f>
        <v>05-I30-02</v>
      </c>
      <c r="G13503">
        <v>0.41699999999999998</v>
      </c>
      <c r="H13503" t="s">
        <v>12</v>
      </c>
      <c r="I13503" t="s">
        <v>10</v>
      </c>
    </row>
    <row r="13504" spans="1:9" x14ac:dyDescent="0.25">
      <c r="A13504" t="str">
        <f t="shared" si="319"/>
        <v>89301000</v>
      </c>
      <c r="B13504" t="str">
        <f>"8308035318"</f>
        <v>8308035318</v>
      </c>
      <c r="C13504" s="1">
        <v>45216</v>
      </c>
      <c r="D13504" s="1">
        <v>45218</v>
      </c>
      <c r="E13504">
        <v>1</v>
      </c>
      <c r="F13504" t="str">
        <f>"06-I16-04"</f>
        <v>06-I16-04</v>
      </c>
      <c r="G13504">
        <v>0.68920000000000003</v>
      </c>
      <c r="H13504" t="s">
        <v>9</v>
      </c>
      <c r="I13504" t="s">
        <v>10</v>
      </c>
    </row>
    <row r="13505" spans="1:9" x14ac:dyDescent="0.25">
      <c r="A13505" t="str">
        <f t="shared" si="319"/>
        <v>89301000</v>
      </c>
      <c r="B13505" t="str">
        <f>"8308055305"</f>
        <v>8308055305</v>
      </c>
      <c r="C13505" s="1">
        <v>45055</v>
      </c>
      <c r="D13505" s="1">
        <v>45056</v>
      </c>
      <c r="E13505">
        <v>1</v>
      </c>
      <c r="F13505" t="str">
        <f>"08-K04-03"</f>
        <v>08-K04-03</v>
      </c>
      <c r="G13505">
        <v>0.41799999999999998</v>
      </c>
      <c r="H13505" t="s">
        <v>11</v>
      </c>
      <c r="I13505" t="s">
        <v>10</v>
      </c>
    </row>
    <row r="13506" spans="1:9" x14ac:dyDescent="0.25">
      <c r="A13506" t="str">
        <f t="shared" si="319"/>
        <v>89301000</v>
      </c>
      <c r="B13506" t="str">
        <f>"8308175326"</f>
        <v>8308175326</v>
      </c>
      <c r="C13506" s="1">
        <v>45166</v>
      </c>
      <c r="D13506" s="1">
        <v>45168</v>
      </c>
      <c r="E13506">
        <v>1</v>
      </c>
      <c r="F13506" t="str">
        <f>"08-I18-02"</f>
        <v>08-I18-02</v>
      </c>
      <c r="G13506">
        <v>0.62509999999999999</v>
      </c>
      <c r="H13506" t="s">
        <v>12</v>
      </c>
      <c r="I13506" t="s">
        <v>10</v>
      </c>
    </row>
    <row r="13507" spans="1:9" x14ac:dyDescent="0.25">
      <c r="A13507" t="str">
        <f t="shared" si="319"/>
        <v>89301000</v>
      </c>
      <c r="B13507" t="str">
        <f>"8309025351"</f>
        <v>8309025351</v>
      </c>
      <c r="C13507" s="1">
        <v>45047</v>
      </c>
      <c r="D13507" s="1">
        <v>45063</v>
      </c>
      <c r="E13507">
        <v>1</v>
      </c>
      <c r="F13507" t="str">
        <f>"06-I07-06"</f>
        <v>06-I07-06</v>
      </c>
      <c r="G13507">
        <v>2.5047999999999999</v>
      </c>
      <c r="H13507" t="s">
        <v>12</v>
      </c>
      <c r="I13507" t="s">
        <v>10</v>
      </c>
    </row>
    <row r="13508" spans="1:9" x14ac:dyDescent="0.25">
      <c r="A13508" t="str">
        <f t="shared" si="319"/>
        <v>89301000</v>
      </c>
      <c r="B13508" t="str">
        <f>"8309045305"</f>
        <v>8309045305</v>
      </c>
      <c r="C13508" s="1">
        <v>44984</v>
      </c>
      <c r="D13508" s="1">
        <v>44986</v>
      </c>
      <c r="E13508">
        <v>1</v>
      </c>
      <c r="F13508" t="str">
        <f>"08-I17-02"</f>
        <v>08-I17-02</v>
      </c>
      <c r="G13508">
        <v>0.89680000000000004</v>
      </c>
      <c r="H13508" t="s">
        <v>11</v>
      </c>
      <c r="I13508" t="s">
        <v>10</v>
      </c>
    </row>
    <row r="13509" spans="1:9" x14ac:dyDescent="0.25">
      <c r="A13509" t="str">
        <f t="shared" si="319"/>
        <v>89301000</v>
      </c>
      <c r="B13509" t="str">
        <f>"8309054391"</f>
        <v>8309054391</v>
      </c>
      <c r="C13509" s="1">
        <v>45259</v>
      </c>
      <c r="D13509" s="1">
        <v>45262</v>
      </c>
      <c r="E13509">
        <v>1</v>
      </c>
      <c r="F13509" t="str">
        <f>"08-M03-04"</f>
        <v>08-M03-04</v>
      </c>
      <c r="G13509">
        <v>0.87760000000000005</v>
      </c>
      <c r="H13509" t="s">
        <v>11</v>
      </c>
      <c r="I13509" t="s">
        <v>10</v>
      </c>
    </row>
    <row r="13510" spans="1:9" x14ac:dyDescent="0.25">
      <c r="A13510" t="str">
        <f t="shared" si="319"/>
        <v>89301000</v>
      </c>
      <c r="B13510" t="str">
        <f>"8309075335"</f>
        <v>8309075335</v>
      </c>
      <c r="C13510" s="1">
        <v>44950</v>
      </c>
      <c r="D13510" s="1">
        <v>44952</v>
      </c>
      <c r="E13510">
        <v>1</v>
      </c>
      <c r="F13510" t="str">
        <f>"08-M03-05"</f>
        <v>08-M03-05</v>
      </c>
      <c r="G13510">
        <v>0.46810000000000002</v>
      </c>
      <c r="H13510" t="s">
        <v>11</v>
      </c>
      <c r="I13510" t="s">
        <v>10</v>
      </c>
    </row>
    <row r="13511" spans="1:9" x14ac:dyDescent="0.25">
      <c r="A13511" t="str">
        <f t="shared" si="319"/>
        <v>89301000</v>
      </c>
      <c r="B13511" t="str">
        <f>"8309195741"</f>
        <v>8309195741</v>
      </c>
      <c r="C13511" s="1">
        <v>45180</v>
      </c>
      <c r="D13511" s="1">
        <v>45182</v>
      </c>
      <c r="E13511">
        <v>1</v>
      </c>
      <c r="F13511" t="str">
        <f>"01-K03-08"</f>
        <v>01-K03-08</v>
      </c>
      <c r="G13511">
        <v>0.38429999999999997</v>
      </c>
      <c r="H13511" t="s">
        <v>11</v>
      </c>
      <c r="I13511" t="s">
        <v>10</v>
      </c>
    </row>
    <row r="13512" spans="1:9" x14ac:dyDescent="0.25">
      <c r="A13512" t="str">
        <f t="shared" si="319"/>
        <v>89301000</v>
      </c>
      <c r="B13512" t="str">
        <f>"8309195741"</f>
        <v>8309195741</v>
      </c>
      <c r="C13512" s="1">
        <v>45188</v>
      </c>
      <c r="D13512" s="1">
        <v>45190</v>
      </c>
      <c r="E13512">
        <v>1</v>
      </c>
      <c r="F13512" t="str">
        <f>"01-K18-04"</f>
        <v>01-K18-04</v>
      </c>
      <c r="G13512">
        <v>0.54610000000000003</v>
      </c>
      <c r="H13512" t="s">
        <v>11</v>
      </c>
      <c r="I13512" t="s">
        <v>10</v>
      </c>
    </row>
    <row r="13513" spans="1:9" x14ac:dyDescent="0.25">
      <c r="A13513" t="str">
        <f t="shared" si="319"/>
        <v>89301000</v>
      </c>
      <c r="B13513" t="str">
        <f>"8309215772"</f>
        <v>8309215772</v>
      </c>
      <c r="C13513" s="1">
        <v>44971</v>
      </c>
      <c r="D13513" s="1">
        <v>45008</v>
      </c>
      <c r="E13513">
        <v>1</v>
      </c>
      <c r="F13513" t="str">
        <f>"19-K08-02"</f>
        <v>19-K08-02</v>
      </c>
      <c r="G13513">
        <v>4.4416000000000002</v>
      </c>
      <c r="H13513" t="s">
        <v>15</v>
      </c>
      <c r="I13513" t="s">
        <v>10</v>
      </c>
    </row>
    <row r="13514" spans="1:9" x14ac:dyDescent="0.25">
      <c r="A13514" t="str">
        <f t="shared" si="319"/>
        <v>89301000</v>
      </c>
      <c r="B13514" t="str">
        <f>"8309224484"</f>
        <v>8309224484</v>
      </c>
      <c r="C13514" s="1">
        <v>44991</v>
      </c>
      <c r="D13514" s="1">
        <v>44995</v>
      </c>
      <c r="E13514">
        <v>1</v>
      </c>
      <c r="F13514" t="str">
        <f>"08-I32-00"</f>
        <v>08-I32-00</v>
      </c>
      <c r="G13514">
        <v>0.4093</v>
      </c>
      <c r="H13514" t="s">
        <v>11</v>
      </c>
      <c r="I13514" t="s">
        <v>10</v>
      </c>
    </row>
    <row r="13515" spans="1:9" x14ac:dyDescent="0.25">
      <c r="A13515" t="str">
        <f t="shared" si="319"/>
        <v>89301000</v>
      </c>
      <c r="B13515" t="str">
        <f>"8309224484"</f>
        <v>8309224484</v>
      </c>
      <c r="C13515" s="1">
        <v>45062</v>
      </c>
      <c r="D13515" s="1">
        <v>45065</v>
      </c>
      <c r="E13515">
        <v>1</v>
      </c>
      <c r="F13515" t="str">
        <f>"08-I22-01"</f>
        <v>08-I22-01</v>
      </c>
      <c r="G13515">
        <v>1.9497</v>
      </c>
      <c r="H13515" t="s">
        <v>12</v>
      </c>
      <c r="I13515" t="s">
        <v>10</v>
      </c>
    </row>
    <row r="13516" spans="1:9" x14ac:dyDescent="0.25">
      <c r="A13516" t="str">
        <f t="shared" si="319"/>
        <v>89301000</v>
      </c>
      <c r="B13516" t="str">
        <f>"8309224484"</f>
        <v>8309224484</v>
      </c>
      <c r="C13516" s="1">
        <v>45166</v>
      </c>
      <c r="D13516" s="1">
        <v>45170</v>
      </c>
      <c r="E13516">
        <v>1</v>
      </c>
      <c r="F13516" t="str">
        <f>"08-I22-01"</f>
        <v>08-I22-01</v>
      </c>
      <c r="G13516">
        <v>1.9497</v>
      </c>
      <c r="H13516" t="s">
        <v>12</v>
      </c>
      <c r="I13516" t="s">
        <v>10</v>
      </c>
    </row>
    <row r="13517" spans="1:9" x14ac:dyDescent="0.25">
      <c r="A13517" t="str">
        <f t="shared" si="319"/>
        <v>89301000</v>
      </c>
      <c r="B13517" t="str">
        <f>"8311025338"</f>
        <v>8311025338</v>
      </c>
      <c r="C13517" s="1">
        <v>45258</v>
      </c>
      <c r="D13517" s="1">
        <v>45259</v>
      </c>
      <c r="E13517">
        <v>1</v>
      </c>
      <c r="F13517" t="str">
        <f>"06-I17-04"</f>
        <v>06-I17-04</v>
      </c>
      <c r="G13517">
        <v>0.49869999999999998</v>
      </c>
      <c r="H13517" t="s">
        <v>12</v>
      </c>
      <c r="I13517" t="s">
        <v>10</v>
      </c>
    </row>
    <row r="13518" spans="1:9" x14ac:dyDescent="0.25">
      <c r="A13518" t="str">
        <f t="shared" si="319"/>
        <v>89301000</v>
      </c>
      <c r="B13518" t="str">
        <f>"8311145304"</f>
        <v>8311145304</v>
      </c>
      <c r="C13518" s="1">
        <v>45264</v>
      </c>
      <c r="D13518" s="1">
        <v>45265</v>
      </c>
      <c r="E13518">
        <v>1</v>
      </c>
      <c r="F13518" t="str">
        <f>"08-M03-02"</f>
        <v>08-M03-02</v>
      </c>
      <c r="G13518">
        <v>0.91359999999999997</v>
      </c>
      <c r="H13518" t="s">
        <v>11</v>
      </c>
      <c r="I13518" t="s">
        <v>10</v>
      </c>
    </row>
    <row r="13519" spans="1:9" x14ac:dyDescent="0.25">
      <c r="A13519" t="str">
        <f t="shared" si="319"/>
        <v>89301000</v>
      </c>
      <c r="B13519" t="str">
        <f>"8311225318"</f>
        <v>8311225318</v>
      </c>
      <c r="C13519" s="1">
        <v>44959</v>
      </c>
      <c r="D13519" s="1">
        <v>44960</v>
      </c>
      <c r="E13519">
        <v>1</v>
      </c>
      <c r="F13519" t="str">
        <f>"02-I12-02"</f>
        <v>02-I12-02</v>
      </c>
      <c r="G13519">
        <v>0.78639999999999999</v>
      </c>
      <c r="H13519" t="s">
        <v>11</v>
      </c>
      <c r="I13519" t="s">
        <v>10</v>
      </c>
    </row>
    <row r="13520" spans="1:9" x14ac:dyDescent="0.25">
      <c r="A13520" t="str">
        <f t="shared" si="319"/>
        <v>89301000</v>
      </c>
      <c r="B13520" t="str">
        <f>"8311225318"</f>
        <v>8311225318</v>
      </c>
      <c r="C13520" s="1">
        <v>44931</v>
      </c>
      <c r="D13520" s="1">
        <v>44932</v>
      </c>
      <c r="E13520">
        <v>1</v>
      </c>
      <c r="F13520" t="str">
        <f>"02-I12-02"</f>
        <v>02-I12-02</v>
      </c>
      <c r="G13520">
        <v>0.78639999999999999</v>
      </c>
      <c r="H13520" t="s">
        <v>11</v>
      </c>
      <c r="I13520" t="s">
        <v>10</v>
      </c>
    </row>
    <row r="13521" spans="1:9" x14ac:dyDescent="0.25">
      <c r="A13521" t="str">
        <f t="shared" si="319"/>
        <v>89301000</v>
      </c>
      <c r="B13521" t="str">
        <f>"8311255315"</f>
        <v>8311255315</v>
      </c>
      <c r="C13521" s="1">
        <v>45208</v>
      </c>
      <c r="D13521" s="1">
        <v>45212</v>
      </c>
      <c r="E13521">
        <v>6</v>
      </c>
      <c r="F13521" t="str">
        <f>"07-K02-03"</f>
        <v>07-K02-03</v>
      </c>
      <c r="G13521">
        <v>0.78139999999999998</v>
      </c>
      <c r="H13521" t="s">
        <v>11</v>
      </c>
      <c r="I13521" t="s">
        <v>10</v>
      </c>
    </row>
    <row r="13522" spans="1:9" x14ac:dyDescent="0.25">
      <c r="A13522" t="str">
        <f t="shared" si="319"/>
        <v>89301000</v>
      </c>
      <c r="B13522" t="str">
        <f>"8311255315"</f>
        <v>8311255315</v>
      </c>
      <c r="C13522" s="1">
        <v>45279</v>
      </c>
      <c r="D13522" s="1">
        <v>45282</v>
      </c>
      <c r="E13522">
        <v>1</v>
      </c>
      <c r="F13522" t="str">
        <f>"07-M02-04"</f>
        <v>07-M02-04</v>
      </c>
      <c r="G13522">
        <v>1.3373999999999999</v>
      </c>
      <c r="H13522" t="s">
        <v>12</v>
      </c>
      <c r="I13522" t="s">
        <v>10</v>
      </c>
    </row>
    <row r="13523" spans="1:9" x14ac:dyDescent="0.25">
      <c r="A13523" t="str">
        <f t="shared" si="319"/>
        <v>89301000</v>
      </c>
      <c r="B13523" t="str">
        <f>"8312205352"</f>
        <v>8312205352</v>
      </c>
      <c r="C13523" s="1">
        <v>45212</v>
      </c>
      <c r="D13523" s="1">
        <v>45222</v>
      </c>
      <c r="E13523">
        <v>1</v>
      </c>
      <c r="F13523" t="str">
        <f>"08-I25-01"</f>
        <v>08-I25-01</v>
      </c>
      <c r="G13523">
        <v>1.0461</v>
      </c>
      <c r="H13523" t="s">
        <v>11</v>
      </c>
      <c r="I13523" t="s">
        <v>10</v>
      </c>
    </row>
    <row r="13524" spans="1:9" x14ac:dyDescent="0.25">
      <c r="A13524" t="str">
        <f t="shared" si="319"/>
        <v>89301000</v>
      </c>
      <c r="B13524" t="str">
        <f>"8312205352"</f>
        <v>8312205352</v>
      </c>
      <c r="C13524" s="1">
        <v>45140</v>
      </c>
      <c r="D13524" s="1">
        <v>45145</v>
      </c>
      <c r="E13524">
        <v>1</v>
      </c>
      <c r="F13524" t="str">
        <f>"08-I25-01"</f>
        <v>08-I25-01</v>
      </c>
      <c r="G13524">
        <v>0.95720000000000005</v>
      </c>
      <c r="H13524" t="s">
        <v>11</v>
      </c>
      <c r="I13524" t="s">
        <v>10</v>
      </c>
    </row>
    <row r="13525" spans="1:9" x14ac:dyDescent="0.25">
      <c r="A13525" t="str">
        <f t="shared" si="319"/>
        <v>89301000</v>
      </c>
      <c r="B13525" t="str">
        <f>"8312205352"</f>
        <v>8312205352</v>
      </c>
      <c r="C13525" s="1">
        <v>44957</v>
      </c>
      <c r="D13525" s="1">
        <v>44963</v>
      </c>
      <c r="E13525">
        <v>1</v>
      </c>
      <c r="F13525" t="str">
        <f>"08-I22-01"</f>
        <v>08-I22-01</v>
      </c>
      <c r="G13525">
        <v>1.9497</v>
      </c>
      <c r="H13525" t="s">
        <v>12</v>
      </c>
      <c r="I13525" t="s">
        <v>10</v>
      </c>
    </row>
    <row r="13526" spans="1:9" x14ac:dyDescent="0.25">
      <c r="A13526" t="str">
        <f t="shared" ref="A13526:A13586" si="320">"89301000"</f>
        <v>89301000</v>
      </c>
      <c r="B13526" t="str">
        <f>"8312205352"</f>
        <v>8312205352</v>
      </c>
      <c r="C13526" s="1">
        <v>45077</v>
      </c>
      <c r="D13526" s="1">
        <v>45101</v>
      </c>
      <c r="E13526">
        <v>1</v>
      </c>
      <c r="F13526" t="str">
        <f>"08-I23-01"</f>
        <v>08-I23-01</v>
      </c>
      <c r="G13526">
        <v>2.3304999999999998</v>
      </c>
      <c r="H13526" t="s">
        <v>12</v>
      </c>
      <c r="I13526" t="s">
        <v>10</v>
      </c>
    </row>
    <row r="13527" spans="1:9" x14ac:dyDescent="0.25">
      <c r="A13527" t="str">
        <f t="shared" si="320"/>
        <v>89301000</v>
      </c>
      <c r="B13527" t="str">
        <f>"8351034483"</f>
        <v>8351034483</v>
      </c>
      <c r="C13527" s="1">
        <v>45056</v>
      </c>
      <c r="D13527" s="1">
        <v>45061</v>
      </c>
      <c r="E13527">
        <v>1</v>
      </c>
      <c r="F13527" t="str">
        <f>"23-K05-01"</f>
        <v>23-K05-01</v>
      </c>
      <c r="G13527">
        <v>0.56269999999999998</v>
      </c>
      <c r="H13527" t="s">
        <v>11</v>
      </c>
      <c r="I13527" t="s">
        <v>10</v>
      </c>
    </row>
    <row r="13528" spans="1:9" x14ac:dyDescent="0.25">
      <c r="A13528" t="str">
        <f t="shared" si="320"/>
        <v>89301000</v>
      </c>
      <c r="B13528" t="str">
        <f>"8351123319"</f>
        <v>8351123319</v>
      </c>
      <c r="C13528" s="1">
        <v>45147</v>
      </c>
      <c r="D13528" s="1">
        <v>45152</v>
      </c>
      <c r="E13528">
        <v>1</v>
      </c>
      <c r="F13528" t="str">
        <f>"13-I04-01"</f>
        <v>13-I04-01</v>
      </c>
      <c r="G13528">
        <v>2.8856000000000002</v>
      </c>
      <c r="H13528" t="s">
        <v>14</v>
      </c>
      <c r="I13528" t="s">
        <v>10</v>
      </c>
    </row>
    <row r="13529" spans="1:9" x14ac:dyDescent="0.25">
      <c r="A13529" t="str">
        <f t="shared" si="320"/>
        <v>89301000</v>
      </c>
      <c r="B13529" t="str">
        <f>"8351125365"</f>
        <v>8351125365</v>
      </c>
      <c r="C13529" s="1">
        <v>44973</v>
      </c>
      <c r="D13529" s="1">
        <v>44976</v>
      </c>
      <c r="E13529">
        <v>1</v>
      </c>
      <c r="F13529" t="str">
        <f>"08-M03-04"</f>
        <v>08-M03-04</v>
      </c>
      <c r="G13529">
        <v>0.87760000000000005</v>
      </c>
      <c r="H13529" t="s">
        <v>11</v>
      </c>
      <c r="I13529" t="s">
        <v>10</v>
      </c>
    </row>
    <row r="13530" spans="1:9" x14ac:dyDescent="0.25">
      <c r="A13530" t="str">
        <f t="shared" si="320"/>
        <v>89301000</v>
      </c>
      <c r="B13530" t="str">
        <f>"8351195314"</f>
        <v>8351195314</v>
      </c>
      <c r="C13530" s="1">
        <v>45040</v>
      </c>
      <c r="D13530" s="1">
        <v>45041</v>
      </c>
      <c r="E13530">
        <v>1</v>
      </c>
      <c r="F13530" t="str">
        <f>"05-M05-02"</f>
        <v>05-M05-02</v>
      </c>
      <c r="G13530">
        <v>3.2363</v>
      </c>
      <c r="H13530" t="s">
        <v>14</v>
      </c>
      <c r="I13530" t="s">
        <v>10</v>
      </c>
    </row>
    <row r="13531" spans="1:9" x14ac:dyDescent="0.25">
      <c r="A13531" t="str">
        <f t="shared" si="320"/>
        <v>89301000</v>
      </c>
      <c r="B13531" t="str">
        <f>"8351255770"</f>
        <v>8351255770</v>
      </c>
      <c r="C13531" s="1">
        <v>45022</v>
      </c>
      <c r="D13531" s="1">
        <v>45024</v>
      </c>
      <c r="E13531">
        <v>1</v>
      </c>
      <c r="F13531" t="str">
        <f>"23-K04-02"</f>
        <v>23-K04-02</v>
      </c>
      <c r="G13531">
        <v>0.38429999999999997</v>
      </c>
      <c r="H13531" t="s">
        <v>11</v>
      </c>
      <c r="I13531" t="s">
        <v>10</v>
      </c>
    </row>
    <row r="13532" spans="1:9" x14ac:dyDescent="0.25">
      <c r="A13532" t="str">
        <f t="shared" si="320"/>
        <v>89301000</v>
      </c>
      <c r="B13532" t="str">
        <f>"8351305303"</f>
        <v>8351305303</v>
      </c>
      <c r="C13532" s="1">
        <v>45048</v>
      </c>
      <c r="D13532" s="1">
        <v>45050</v>
      </c>
      <c r="E13532">
        <v>1</v>
      </c>
      <c r="F13532" t="str">
        <f>"14-I04-00"</f>
        <v>14-I04-00</v>
      </c>
      <c r="G13532">
        <v>0.79159999999999997</v>
      </c>
      <c r="H13532" t="s">
        <v>9</v>
      </c>
      <c r="I13532" t="s">
        <v>10</v>
      </c>
    </row>
    <row r="13533" spans="1:9" x14ac:dyDescent="0.25">
      <c r="A13533" t="str">
        <f t="shared" si="320"/>
        <v>89301000</v>
      </c>
      <c r="B13533" t="str">
        <f>"8351305347"</f>
        <v>8351305347</v>
      </c>
      <c r="C13533" s="1">
        <v>45181</v>
      </c>
      <c r="D13533" s="1">
        <v>45186</v>
      </c>
      <c r="E13533">
        <v>1</v>
      </c>
      <c r="F13533" t="str">
        <f>"09-I07-01"</f>
        <v>09-I07-01</v>
      </c>
      <c r="G13533">
        <v>1.6956</v>
      </c>
      <c r="H13533" t="s">
        <v>14</v>
      </c>
      <c r="I13533" t="s">
        <v>10</v>
      </c>
    </row>
    <row r="13534" spans="1:9" x14ac:dyDescent="0.25">
      <c r="A13534" t="str">
        <f t="shared" si="320"/>
        <v>89301000</v>
      </c>
      <c r="B13534" t="str">
        <f>"8352035692"</f>
        <v>8352035692</v>
      </c>
      <c r="C13534" s="1">
        <v>45128</v>
      </c>
      <c r="D13534" s="1">
        <v>45129</v>
      </c>
      <c r="E13534">
        <v>1</v>
      </c>
      <c r="F13534" t="str">
        <f>"13-I19-00"</f>
        <v>13-I19-00</v>
      </c>
      <c r="G13534">
        <v>0.28249999999999997</v>
      </c>
      <c r="H13534" t="s">
        <v>11</v>
      </c>
      <c r="I13534" t="s">
        <v>10</v>
      </c>
    </row>
    <row r="13535" spans="1:9" x14ac:dyDescent="0.25">
      <c r="A13535" t="str">
        <f t="shared" si="320"/>
        <v>89301000</v>
      </c>
      <c r="B13535" t="str">
        <f>"8352083674"</f>
        <v>8352083674</v>
      </c>
      <c r="C13535" s="1">
        <v>45139</v>
      </c>
      <c r="D13535" s="1">
        <v>45147</v>
      </c>
      <c r="E13535">
        <v>1</v>
      </c>
      <c r="F13535" t="str">
        <f>"06-I13-02"</f>
        <v>06-I13-02</v>
      </c>
      <c r="G13535">
        <v>2.1128999999999998</v>
      </c>
      <c r="H13535" t="s">
        <v>11</v>
      </c>
      <c r="I13535" t="s">
        <v>10</v>
      </c>
    </row>
    <row r="13536" spans="1:9" x14ac:dyDescent="0.25">
      <c r="A13536" t="str">
        <f t="shared" si="320"/>
        <v>89301000</v>
      </c>
      <c r="B13536" t="str">
        <f>"8352255351"</f>
        <v>8352255351</v>
      </c>
      <c r="C13536" s="1">
        <v>45230</v>
      </c>
      <c r="D13536" s="1">
        <v>45231</v>
      </c>
      <c r="E13536">
        <v>1</v>
      </c>
      <c r="F13536" t="str">
        <f>"20-K01-06"</f>
        <v>20-K01-06</v>
      </c>
      <c r="G13536">
        <v>0.26919999999999999</v>
      </c>
      <c r="H13536" t="s">
        <v>11</v>
      </c>
      <c r="I13536" t="s">
        <v>10</v>
      </c>
    </row>
    <row r="13537" spans="1:9" x14ac:dyDescent="0.25">
      <c r="A13537" t="str">
        <f t="shared" si="320"/>
        <v>89301000</v>
      </c>
      <c r="B13537" t="str">
        <f>"8352255351"</f>
        <v>8352255351</v>
      </c>
      <c r="C13537" s="1">
        <v>45210</v>
      </c>
      <c r="D13537" s="1">
        <v>45218</v>
      </c>
      <c r="E13537">
        <v>1</v>
      </c>
      <c r="F13537" t="str">
        <f>"20-K03-03"</f>
        <v>20-K03-03</v>
      </c>
      <c r="G13537">
        <v>0.94020000000000004</v>
      </c>
      <c r="H13537" t="s">
        <v>11</v>
      </c>
      <c r="I13537" t="s">
        <v>10</v>
      </c>
    </row>
    <row r="13538" spans="1:9" x14ac:dyDescent="0.25">
      <c r="A13538" t="str">
        <f t="shared" si="320"/>
        <v>89301000</v>
      </c>
      <c r="B13538" t="str">
        <f>"8352255351"</f>
        <v>8352255351</v>
      </c>
      <c r="C13538" s="1">
        <v>45104</v>
      </c>
      <c r="D13538" s="1">
        <v>45112</v>
      </c>
      <c r="E13538">
        <v>1</v>
      </c>
      <c r="F13538" t="str">
        <f>"20-K03-03"</f>
        <v>20-K03-03</v>
      </c>
      <c r="G13538">
        <v>0.94020000000000004</v>
      </c>
      <c r="H13538" t="s">
        <v>11</v>
      </c>
      <c r="I13538" t="s">
        <v>10</v>
      </c>
    </row>
    <row r="13539" spans="1:9" x14ac:dyDescent="0.25">
      <c r="A13539" t="str">
        <f t="shared" si="320"/>
        <v>89301000</v>
      </c>
      <c r="B13539" t="str">
        <f>"8352255351"</f>
        <v>8352255351</v>
      </c>
      <c r="C13539" s="1">
        <v>45007</v>
      </c>
      <c r="D13539" s="1">
        <v>45016</v>
      </c>
      <c r="E13539">
        <v>1</v>
      </c>
      <c r="F13539" t="str">
        <f>"20-K03-03"</f>
        <v>20-K03-03</v>
      </c>
      <c r="G13539">
        <v>0.94020000000000004</v>
      </c>
      <c r="H13539" t="s">
        <v>11</v>
      </c>
      <c r="I13539" t="s">
        <v>10</v>
      </c>
    </row>
    <row r="13540" spans="1:9" x14ac:dyDescent="0.25">
      <c r="A13540" t="str">
        <f t="shared" si="320"/>
        <v>89301000</v>
      </c>
      <c r="B13540" t="str">
        <f>"8352284479"</f>
        <v>8352284479</v>
      </c>
      <c r="C13540" s="1">
        <v>45211</v>
      </c>
      <c r="D13540" s="1">
        <v>45214</v>
      </c>
      <c r="E13540">
        <v>1</v>
      </c>
      <c r="F13540" t="str">
        <f>"14-M01-05"</f>
        <v>14-M01-05</v>
      </c>
      <c r="G13540">
        <v>0.56289999999999996</v>
      </c>
      <c r="H13540" t="s">
        <v>13</v>
      </c>
      <c r="I13540" t="s">
        <v>10</v>
      </c>
    </row>
    <row r="13541" spans="1:9" x14ac:dyDescent="0.25">
      <c r="A13541" t="str">
        <f t="shared" si="320"/>
        <v>89301000</v>
      </c>
      <c r="B13541" t="str">
        <f>"8353105772"</f>
        <v>8353105772</v>
      </c>
      <c r="C13541" s="1">
        <v>44950</v>
      </c>
      <c r="D13541" s="1">
        <v>44960</v>
      </c>
      <c r="E13541">
        <v>1</v>
      </c>
      <c r="F13541" t="str">
        <f>"05-I14-02"</f>
        <v>05-I14-02</v>
      </c>
      <c r="G13541">
        <v>6.4595000000000002</v>
      </c>
      <c r="H13541" t="s">
        <v>12</v>
      </c>
      <c r="I13541" t="s">
        <v>10</v>
      </c>
    </row>
    <row r="13542" spans="1:9" x14ac:dyDescent="0.25">
      <c r="A13542" t="str">
        <f t="shared" si="320"/>
        <v>89301000</v>
      </c>
      <c r="B13542" t="str">
        <f>"8353105772"</f>
        <v>8353105772</v>
      </c>
      <c r="C13542" s="1">
        <v>44986</v>
      </c>
      <c r="D13542" s="1">
        <v>44999</v>
      </c>
      <c r="E13542">
        <v>1</v>
      </c>
      <c r="F13542" t="str">
        <f>"05-I21-02"</f>
        <v>05-I21-02</v>
      </c>
      <c r="G13542">
        <v>3.2633999999999999</v>
      </c>
      <c r="H13542" t="s">
        <v>12</v>
      </c>
      <c r="I13542" t="s">
        <v>10</v>
      </c>
    </row>
    <row r="13543" spans="1:9" x14ac:dyDescent="0.25">
      <c r="A13543" t="str">
        <f t="shared" si="320"/>
        <v>89301000</v>
      </c>
      <c r="B13543" t="str">
        <f>"8353144470"</f>
        <v>8353144470</v>
      </c>
      <c r="C13543" s="1">
        <v>45067</v>
      </c>
      <c r="D13543" s="1">
        <v>45076</v>
      </c>
      <c r="E13543">
        <v>1</v>
      </c>
      <c r="F13543" t="str">
        <f>"03-I07-02"</f>
        <v>03-I07-02</v>
      </c>
      <c r="G13543">
        <v>2.8237000000000001</v>
      </c>
      <c r="H13543" t="s">
        <v>12</v>
      </c>
      <c r="I13543" t="s">
        <v>10</v>
      </c>
    </row>
    <row r="13544" spans="1:9" x14ac:dyDescent="0.25">
      <c r="A13544" t="str">
        <f t="shared" si="320"/>
        <v>89301000</v>
      </c>
      <c r="B13544" t="str">
        <f>"8353144470"</f>
        <v>8353144470</v>
      </c>
      <c r="C13544" s="1">
        <v>45271</v>
      </c>
      <c r="D13544" s="1">
        <v>45275</v>
      </c>
      <c r="E13544">
        <v>1</v>
      </c>
      <c r="F13544" t="str">
        <f>"17-I09-02"</f>
        <v>17-I09-02</v>
      </c>
      <c r="G13544">
        <v>1.0943000000000001</v>
      </c>
      <c r="H13544" t="s">
        <v>11</v>
      </c>
      <c r="I13544" t="s">
        <v>10</v>
      </c>
    </row>
    <row r="13545" spans="1:9" x14ac:dyDescent="0.25">
      <c r="A13545" t="str">
        <f t="shared" si="320"/>
        <v>89301000</v>
      </c>
      <c r="B13545" t="str">
        <f>"8353145383"</f>
        <v>8353145383</v>
      </c>
      <c r="C13545" s="1">
        <v>45208</v>
      </c>
      <c r="D13545" s="1">
        <v>45209</v>
      </c>
      <c r="E13545">
        <v>1</v>
      </c>
      <c r="F13545" t="str">
        <f>"13-I19-00"</f>
        <v>13-I19-00</v>
      </c>
      <c r="G13545">
        <v>0.28270000000000001</v>
      </c>
      <c r="H13545" t="s">
        <v>11</v>
      </c>
      <c r="I13545" t="s">
        <v>10</v>
      </c>
    </row>
    <row r="13546" spans="1:9" x14ac:dyDescent="0.25">
      <c r="A13546" t="str">
        <f t="shared" si="320"/>
        <v>89301000</v>
      </c>
      <c r="B13546" t="str">
        <f>"8353164468"</f>
        <v>8353164468</v>
      </c>
      <c r="C13546" s="1">
        <v>45150</v>
      </c>
      <c r="D13546" s="1">
        <v>45155</v>
      </c>
      <c r="E13546">
        <v>1</v>
      </c>
      <c r="F13546" t="str">
        <f>"14-I01-02"</f>
        <v>14-I01-02</v>
      </c>
      <c r="G13546">
        <v>1.2988999999999999</v>
      </c>
      <c r="H13546" t="s">
        <v>13</v>
      </c>
      <c r="I13546" t="s">
        <v>10</v>
      </c>
    </row>
    <row r="13547" spans="1:9" x14ac:dyDescent="0.25">
      <c r="A13547" t="str">
        <f t="shared" si="320"/>
        <v>89301000</v>
      </c>
      <c r="B13547" t="str">
        <f>"8353254954"</f>
        <v>8353254954</v>
      </c>
      <c r="C13547" s="1">
        <v>45027</v>
      </c>
      <c r="D13547" s="1">
        <v>45030</v>
      </c>
      <c r="E13547">
        <v>1</v>
      </c>
      <c r="F13547" t="str">
        <f>"14-M01-05"</f>
        <v>14-M01-05</v>
      </c>
      <c r="G13547">
        <v>0.56289999999999996</v>
      </c>
      <c r="H13547" t="s">
        <v>13</v>
      </c>
      <c r="I13547" t="s">
        <v>10</v>
      </c>
    </row>
    <row r="13548" spans="1:9" x14ac:dyDescent="0.25">
      <c r="A13548" t="str">
        <f t="shared" si="320"/>
        <v>89301000</v>
      </c>
      <c r="B13548" t="str">
        <f>"8354015758"</f>
        <v>8354015758</v>
      </c>
      <c r="C13548" s="1">
        <v>45069</v>
      </c>
      <c r="D13548" s="1">
        <v>45072</v>
      </c>
      <c r="E13548">
        <v>1</v>
      </c>
      <c r="F13548" t="str">
        <f>"13-I11-03"</f>
        <v>13-I11-03</v>
      </c>
      <c r="G13548">
        <v>1.4332</v>
      </c>
      <c r="H13548" t="s">
        <v>9</v>
      </c>
      <c r="I13548" t="s">
        <v>10</v>
      </c>
    </row>
    <row r="13549" spans="1:9" x14ac:dyDescent="0.25">
      <c r="A13549" t="str">
        <f t="shared" si="320"/>
        <v>89301000</v>
      </c>
      <c r="B13549" t="str">
        <f>"8354019916"</f>
        <v>8354019916</v>
      </c>
      <c r="C13549" s="1">
        <v>45131</v>
      </c>
      <c r="D13549" s="1">
        <v>45138</v>
      </c>
      <c r="E13549">
        <v>1</v>
      </c>
      <c r="F13549" t="str">
        <f>"10-R02-01"</f>
        <v>10-R02-01</v>
      </c>
      <c r="G13549">
        <v>0.92279999999999995</v>
      </c>
      <c r="H13549" t="s">
        <v>9</v>
      </c>
      <c r="I13549" t="s">
        <v>10</v>
      </c>
    </row>
    <row r="13550" spans="1:9" x14ac:dyDescent="0.25">
      <c r="A13550" t="str">
        <f t="shared" si="320"/>
        <v>89301000</v>
      </c>
      <c r="B13550" t="str">
        <f>"8354025317"</f>
        <v>8354025317</v>
      </c>
      <c r="C13550" s="1">
        <v>44977</v>
      </c>
      <c r="D13550" s="1">
        <v>44986</v>
      </c>
      <c r="E13550">
        <v>1</v>
      </c>
      <c r="F13550" t="str">
        <f>"10-R02-01"</f>
        <v>10-R02-01</v>
      </c>
      <c r="G13550">
        <v>0.92279999999999995</v>
      </c>
      <c r="H13550" t="s">
        <v>9</v>
      </c>
      <c r="I13550" t="s">
        <v>10</v>
      </c>
    </row>
    <row r="13551" spans="1:9" x14ac:dyDescent="0.25">
      <c r="A13551" t="str">
        <f t="shared" si="320"/>
        <v>89301000</v>
      </c>
      <c r="B13551" t="str">
        <f>"8354025317"</f>
        <v>8354025317</v>
      </c>
      <c r="C13551" s="1">
        <v>45182</v>
      </c>
      <c r="D13551" s="1">
        <v>45187</v>
      </c>
      <c r="E13551">
        <v>1</v>
      </c>
      <c r="F13551" t="str">
        <f>"23-K05-01"</f>
        <v>23-K05-01</v>
      </c>
      <c r="G13551">
        <v>0.56269999999999998</v>
      </c>
      <c r="H13551" t="s">
        <v>11</v>
      </c>
      <c r="I13551" t="s">
        <v>10</v>
      </c>
    </row>
    <row r="13552" spans="1:9" x14ac:dyDescent="0.25">
      <c r="A13552" t="str">
        <f t="shared" si="320"/>
        <v>89301000</v>
      </c>
      <c r="B13552" t="str">
        <f>"8354044468"</f>
        <v>8354044468</v>
      </c>
      <c r="C13552" s="1">
        <v>44978</v>
      </c>
      <c r="D13552" s="1">
        <v>44980</v>
      </c>
      <c r="E13552">
        <v>1</v>
      </c>
      <c r="F13552" t="str">
        <f>"08-I03-08"</f>
        <v>08-I03-08</v>
      </c>
      <c r="G13552">
        <v>1.9455</v>
      </c>
      <c r="H13552" t="s">
        <v>9</v>
      </c>
      <c r="I13552" t="s">
        <v>10</v>
      </c>
    </row>
    <row r="13553" spans="1:9" x14ac:dyDescent="0.25">
      <c r="A13553" t="str">
        <f t="shared" si="320"/>
        <v>89301000</v>
      </c>
      <c r="B13553" t="str">
        <f>"8354095310"</f>
        <v>8354095310</v>
      </c>
      <c r="C13553" s="1">
        <v>45215</v>
      </c>
      <c r="D13553" s="1">
        <v>45219</v>
      </c>
      <c r="E13553">
        <v>1</v>
      </c>
      <c r="F13553" t="str">
        <f>"14-M01-05"</f>
        <v>14-M01-05</v>
      </c>
      <c r="G13553">
        <v>0.56589999999999996</v>
      </c>
      <c r="H13553" t="s">
        <v>13</v>
      </c>
      <c r="I13553" t="s">
        <v>10</v>
      </c>
    </row>
    <row r="13554" spans="1:9" x14ac:dyDescent="0.25">
      <c r="A13554" t="str">
        <f t="shared" si="320"/>
        <v>89301000</v>
      </c>
      <c r="B13554" t="str">
        <f>"8354095310"</f>
        <v>8354095310</v>
      </c>
      <c r="C13554" s="1">
        <v>45044</v>
      </c>
      <c r="D13554" s="1">
        <v>45046</v>
      </c>
      <c r="E13554">
        <v>1</v>
      </c>
      <c r="F13554" t="str">
        <f>"14-K03-02"</f>
        <v>14-K03-02</v>
      </c>
      <c r="G13554">
        <v>0.30149999999999999</v>
      </c>
      <c r="H13554" t="s">
        <v>11</v>
      </c>
      <c r="I13554" t="s">
        <v>10</v>
      </c>
    </row>
    <row r="13555" spans="1:9" x14ac:dyDescent="0.25">
      <c r="A13555" t="str">
        <f t="shared" si="320"/>
        <v>89301000</v>
      </c>
      <c r="B13555" t="str">
        <f>"8354115792"</f>
        <v>8354115792</v>
      </c>
      <c r="C13555" s="1">
        <v>45092</v>
      </c>
      <c r="D13555" s="1">
        <v>45093</v>
      </c>
      <c r="E13555">
        <v>1</v>
      </c>
      <c r="F13555" t="str">
        <f>"13-I19-00"</f>
        <v>13-I19-00</v>
      </c>
      <c r="G13555">
        <v>0.28270000000000001</v>
      </c>
      <c r="H13555" t="s">
        <v>11</v>
      </c>
      <c r="I13555" t="s">
        <v>10</v>
      </c>
    </row>
    <row r="13556" spans="1:9" x14ac:dyDescent="0.25">
      <c r="A13556" t="str">
        <f t="shared" si="320"/>
        <v>89301000</v>
      </c>
      <c r="B13556" t="str">
        <f>"8354125417"</f>
        <v>8354125417</v>
      </c>
      <c r="C13556" s="1">
        <v>45065</v>
      </c>
      <c r="D13556" s="1">
        <v>45066</v>
      </c>
      <c r="E13556">
        <v>1</v>
      </c>
      <c r="F13556" t="str">
        <f>"14-I08-03"</f>
        <v>14-I08-03</v>
      </c>
      <c r="G13556">
        <v>0.2414</v>
      </c>
      <c r="H13556" t="s">
        <v>11</v>
      </c>
      <c r="I13556" t="s">
        <v>10</v>
      </c>
    </row>
    <row r="13557" spans="1:9" x14ac:dyDescent="0.25">
      <c r="A13557" t="str">
        <f t="shared" si="320"/>
        <v>89301000</v>
      </c>
      <c r="B13557" t="str">
        <f>"8354215364"</f>
        <v>8354215364</v>
      </c>
      <c r="C13557" s="1">
        <v>44981</v>
      </c>
      <c r="D13557" s="1">
        <v>44983</v>
      </c>
      <c r="E13557">
        <v>1</v>
      </c>
      <c r="F13557" t="str">
        <f>"13-I14-03"</f>
        <v>13-I14-03</v>
      </c>
      <c r="G13557">
        <v>0.87760000000000005</v>
      </c>
      <c r="H13557" t="s">
        <v>9</v>
      </c>
      <c r="I13557" t="s">
        <v>10</v>
      </c>
    </row>
    <row r="13558" spans="1:9" x14ac:dyDescent="0.25">
      <c r="A13558" t="str">
        <f t="shared" si="320"/>
        <v>89301000</v>
      </c>
      <c r="B13558" t="str">
        <f>"8354215386"</f>
        <v>8354215386</v>
      </c>
      <c r="C13558" s="1">
        <v>44901</v>
      </c>
      <c r="D13558" s="1">
        <v>44927</v>
      </c>
      <c r="E13558">
        <v>1</v>
      </c>
      <c r="F13558" t="str">
        <f>"14-I01-01"</f>
        <v>14-I01-01</v>
      </c>
      <c r="G13558">
        <v>2.4758</v>
      </c>
      <c r="H13558" t="s">
        <v>13</v>
      </c>
      <c r="I13558" t="s">
        <v>10</v>
      </c>
    </row>
    <row r="13559" spans="1:9" x14ac:dyDescent="0.25">
      <c r="A13559" t="str">
        <f t="shared" si="320"/>
        <v>89301000</v>
      </c>
      <c r="B13559" t="str">
        <f>"8354235780"</f>
        <v>8354235780</v>
      </c>
      <c r="C13559" s="1">
        <v>45026</v>
      </c>
      <c r="D13559" s="1">
        <v>45030</v>
      </c>
      <c r="E13559">
        <v>1</v>
      </c>
      <c r="F13559" t="str">
        <f>"09-I06-04"</f>
        <v>09-I06-04</v>
      </c>
      <c r="G13559">
        <v>0.95069999999999999</v>
      </c>
      <c r="H13559" t="s">
        <v>12</v>
      </c>
      <c r="I13559" t="s">
        <v>10</v>
      </c>
    </row>
    <row r="13560" spans="1:9" x14ac:dyDescent="0.25">
      <c r="A13560" t="str">
        <f t="shared" si="320"/>
        <v>89301000</v>
      </c>
      <c r="B13560" t="str">
        <f>"8354264457"</f>
        <v>8354264457</v>
      </c>
      <c r="C13560" s="1">
        <v>45094</v>
      </c>
      <c r="D13560" s="1">
        <v>45096</v>
      </c>
      <c r="E13560">
        <v>1</v>
      </c>
      <c r="F13560" t="str">
        <f>"08-K11-02"</f>
        <v>08-K11-02</v>
      </c>
      <c r="G13560">
        <v>0.57040000000000002</v>
      </c>
      <c r="H13560" t="s">
        <v>11</v>
      </c>
      <c r="I13560" t="s">
        <v>10</v>
      </c>
    </row>
    <row r="13561" spans="1:9" x14ac:dyDescent="0.25">
      <c r="A13561" t="str">
        <f t="shared" si="320"/>
        <v>89301000</v>
      </c>
      <c r="B13561" t="str">
        <f>"8354270034"</f>
        <v>8354270034</v>
      </c>
      <c r="C13561" s="1">
        <v>45244</v>
      </c>
      <c r="D13561" s="1">
        <v>45250</v>
      </c>
      <c r="E13561">
        <v>1</v>
      </c>
      <c r="F13561" t="str">
        <f>"07-M02-04"</f>
        <v>07-M02-04</v>
      </c>
      <c r="G13561">
        <v>0.77339999999999998</v>
      </c>
      <c r="H13561" t="s">
        <v>12</v>
      </c>
      <c r="I13561" t="s">
        <v>10</v>
      </c>
    </row>
    <row r="13562" spans="1:9" x14ac:dyDescent="0.25">
      <c r="A13562" t="str">
        <f t="shared" si="320"/>
        <v>89301000</v>
      </c>
      <c r="B13562" t="str">
        <f>"8354270034"</f>
        <v>8354270034</v>
      </c>
      <c r="C13562" s="1">
        <v>45278</v>
      </c>
      <c r="D13562" s="1">
        <v>45281</v>
      </c>
      <c r="E13562">
        <v>1</v>
      </c>
      <c r="F13562" t="str">
        <f>"07-I10-06"</f>
        <v>07-I10-06</v>
      </c>
      <c r="G13562">
        <v>0.98419999999999996</v>
      </c>
      <c r="H13562" t="s">
        <v>12</v>
      </c>
      <c r="I13562" t="s">
        <v>10</v>
      </c>
    </row>
    <row r="13563" spans="1:9" x14ac:dyDescent="0.25">
      <c r="A13563" t="str">
        <f t="shared" si="320"/>
        <v>89301000</v>
      </c>
      <c r="B13563" t="str">
        <f>"8355135327"</f>
        <v>8355135327</v>
      </c>
      <c r="C13563" s="1">
        <v>44944</v>
      </c>
      <c r="D13563" s="1">
        <v>44945</v>
      </c>
      <c r="E13563">
        <v>1</v>
      </c>
      <c r="F13563" t="str">
        <f>"14-I08-03"</f>
        <v>14-I08-03</v>
      </c>
      <c r="G13563">
        <v>0.2414</v>
      </c>
      <c r="H13563" t="s">
        <v>11</v>
      </c>
      <c r="I13563" t="s">
        <v>10</v>
      </c>
    </row>
    <row r="13564" spans="1:9" x14ac:dyDescent="0.25">
      <c r="A13564" t="str">
        <f t="shared" si="320"/>
        <v>89301000</v>
      </c>
      <c r="B13564" t="str">
        <f>"8355193825"</f>
        <v>8355193825</v>
      </c>
      <c r="C13564" s="1">
        <v>44943</v>
      </c>
      <c r="D13564" s="1">
        <v>44946</v>
      </c>
      <c r="E13564">
        <v>1</v>
      </c>
      <c r="F13564" t="str">
        <f>"08-M03-05"</f>
        <v>08-M03-05</v>
      </c>
      <c r="G13564">
        <v>0.46810000000000002</v>
      </c>
      <c r="H13564" t="s">
        <v>11</v>
      </c>
      <c r="I13564" t="s">
        <v>10</v>
      </c>
    </row>
    <row r="13565" spans="1:9" x14ac:dyDescent="0.25">
      <c r="A13565" t="str">
        <f t="shared" si="320"/>
        <v>89301000</v>
      </c>
      <c r="B13565" t="str">
        <f>"8355205353"</f>
        <v>8355205353</v>
      </c>
      <c r="C13565" s="1">
        <v>44980</v>
      </c>
      <c r="D13565" s="1">
        <v>44984</v>
      </c>
      <c r="E13565">
        <v>1</v>
      </c>
      <c r="F13565" t="str">
        <f>"14-I01-05"</f>
        <v>14-I01-05</v>
      </c>
      <c r="G13565">
        <v>0.83340000000000003</v>
      </c>
      <c r="H13565" t="s">
        <v>13</v>
      </c>
      <c r="I13565" t="s">
        <v>10</v>
      </c>
    </row>
    <row r="13566" spans="1:9" x14ac:dyDescent="0.25">
      <c r="A13566" t="str">
        <f t="shared" si="320"/>
        <v>89301000</v>
      </c>
      <c r="B13566" t="str">
        <f>"8355205793"</f>
        <v>8355205793</v>
      </c>
      <c r="C13566" s="1">
        <v>45225</v>
      </c>
      <c r="D13566" s="1">
        <v>45227</v>
      </c>
      <c r="E13566">
        <v>1</v>
      </c>
      <c r="F13566" t="str">
        <f>"09-I09-05"</f>
        <v>09-I09-05</v>
      </c>
      <c r="G13566">
        <v>0.4748</v>
      </c>
      <c r="H13566" t="s">
        <v>12</v>
      </c>
      <c r="I13566" t="s">
        <v>10</v>
      </c>
    </row>
    <row r="13567" spans="1:9" x14ac:dyDescent="0.25">
      <c r="A13567" t="str">
        <f t="shared" si="320"/>
        <v>89301000</v>
      </c>
      <c r="B13567" t="str">
        <f>"8356045841"</f>
        <v>8356045841</v>
      </c>
      <c r="C13567" s="1">
        <v>45000</v>
      </c>
      <c r="D13567" s="1">
        <v>45003</v>
      </c>
      <c r="E13567">
        <v>1</v>
      </c>
      <c r="F13567" t="str">
        <f>"13-I16-00"</f>
        <v>13-I16-00</v>
      </c>
      <c r="G13567">
        <v>1.1695</v>
      </c>
      <c r="H13567" t="s">
        <v>12</v>
      </c>
      <c r="I13567" t="s">
        <v>10</v>
      </c>
    </row>
    <row r="13568" spans="1:9" x14ac:dyDescent="0.25">
      <c r="A13568" t="str">
        <f t="shared" si="320"/>
        <v>89301000</v>
      </c>
      <c r="B13568" t="str">
        <f>"8356055334"</f>
        <v>8356055334</v>
      </c>
      <c r="C13568" s="1">
        <v>45258</v>
      </c>
      <c r="D13568" s="1">
        <v>45260</v>
      </c>
      <c r="E13568">
        <v>1</v>
      </c>
      <c r="F13568" t="str">
        <f>"13-I14-03"</f>
        <v>13-I14-03</v>
      </c>
      <c r="G13568">
        <v>0.87760000000000005</v>
      </c>
      <c r="H13568" t="s">
        <v>9</v>
      </c>
      <c r="I13568" t="s">
        <v>10</v>
      </c>
    </row>
    <row r="13569" spans="1:9" x14ac:dyDescent="0.25">
      <c r="A13569" t="str">
        <f t="shared" si="320"/>
        <v>89301000</v>
      </c>
      <c r="B13569" t="str">
        <f>"8356055763"</f>
        <v>8356055763</v>
      </c>
      <c r="C13569" s="1">
        <v>44990</v>
      </c>
      <c r="D13569" s="1">
        <v>44993</v>
      </c>
      <c r="E13569">
        <v>1</v>
      </c>
      <c r="F13569" t="str">
        <f>"13-I14-03"</f>
        <v>13-I14-03</v>
      </c>
      <c r="G13569">
        <v>0.87760000000000005</v>
      </c>
      <c r="H13569" t="s">
        <v>9</v>
      </c>
      <c r="I13569" t="s">
        <v>10</v>
      </c>
    </row>
    <row r="13570" spans="1:9" x14ac:dyDescent="0.25">
      <c r="A13570" t="str">
        <f t="shared" si="320"/>
        <v>89301000</v>
      </c>
      <c r="B13570" t="str">
        <f>"8356083670"</f>
        <v>8356083670</v>
      </c>
      <c r="C13570" s="1">
        <v>44951</v>
      </c>
      <c r="D13570" s="1">
        <v>44958</v>
      </c>
      <c r="E13570">
        <v>1</v>
      </c>
      <c r="F13570" t="str">
        <f>"13-I16-00"</f>
        <v>13-I16-00</v>
      </c>
      <c r="G13570">
        <v>1.6414</v>
      </c>
      <c r="H13570" t="s">
        <v>12</v>
      </c>
      <c r="I13570" t="s">
        <v>10</v>
      </c>
    </row>
    <row r="13571" spans="1:9" x14ac:dyDescent="0.25">
      <c r="A13571" t="str">
        <f t="shared" si="320"/>
        <v>89301000</v>
      </c>
      <c r="B13571" t="str">
        <f>"8356085331"</f>
        <v>8356085331</v>
      </c>
      <c r="C13571" s="1">
        <v>44991</v>
      </c>
      <c r="D13571" s="1">
        <v>44998</v>
      </c>
      <c r="E13571">
        <v>1</v>
      </c>
      <c r="F13571" t="str">
        <f>"14-M01-05"</f>
        <v>14-M01-05</v>
      </c>
      <c r="G13571">
        <v>0.63339999999999996</v>
      </c>
      <c r="H13571" t="s">
        <v>13</v>
      </c>
      <c r="I13571" t="s">
        <v>10</v>
      </c>
    </row>
    <row r="13572" spans="1:9" x14ac:dyDescent="0.25">
      <c r="A13572" t="str">
        <f t="shared" si="320"/>
        <v>89301000</v>
      </c>
      <c r="B13572" t="str">
        <f>"8356085353"</f>
        <v>8356085353</v>
      </c>
      <c r="C13572" s="1">
        <v>45164</v>
      </c>
      <c r="D13572" s="1">
        <v>45167</v>
      </c>
      <c r="E13572">
        <v>1</v>
      </c>
      <c r="F13572" t="str">
        <f>"14-M01-05"</f>
        <v>14-M01-05</v>
      </c>
      <c r="G13572">
        <v>0.56289999999999996</v>
      </c>
      <c r="H13572" t="s">
        <v>13</v>
      </c>
      <c r="I13572" t="s">
        <v>10</v>
      </c>
    </row>
    <row r="13573" spans="1:9" x14ac:dyDescent="0.25">
      <c r="A13573" t="str">
        <f t="shared" si="320"/>
        <v>89301000</v>
      </c>
      <c r="B13573" t="str">
        <f>"8356125338"</f>
        <v>8356125338</v>
      </c>
      <c r="C13573" s="1">
        <v>45258</v>
      </c>
      <c r="D13573" s="1">
        <v>45261</v>
      </c>
      <c r="E13573">
        <v>1</v>
      </c>
      <c r="F13573" t="str">
        <f>"06-I22-02"</f>
        <v>06-I22-02</v>
      </c>
      <c r="G13573">
        <v>0.41749999999999998</v>
      </c>
      <c r="H13573" t="s">
        <v>12</v>
      </c>
      <c r="I13573" t="s">
        <v>10</v>
      </c>
    </row>
    <row r="13574" spans="1:9" x14ac:dyDescent="0.25">
      <c r="A13574" t="str">
        <f t="shared" si="320"/>
        <v>89301000</v>
      </c>
      <c r="B13574" t="str">
        <f>"8356149912"</f>
        <v>8356149912</v>
      </c>
      <c r="C13574" s="1">
        <v>45068</v>
      </c>
      <c r="D13574" s="1">
        <v>45072</v>
      </c>
      <c r="E13574">
        <v>1</v>
      </c>
      <c r="F13574" t="str">
        <f>"11-M03-02"</f>
        <v>11-M03-02</v>
      </c>
      <c r="G13574">
        <v>1.4410000000000001</v>
      </c>
      <c r="H13574" t="s">
        <v>12</v>
      </c>
      <c r="I13574" t="s">
        <v>10</v>
      </c>
    </row>
    <row r="13575" spans="1:9" x14ac:dyDescent="0.25">
      <c r="A13575" t="str">
        <f t="shared" si="320"/>
        <v>89301000</v>
      </c>
      <c r="B13575" t="str">
        <f>"8356225779"</f>
        <v>8356225779</v>
      </c>
      <c r="C13575" s="1">
        <v>45077</v>
      </c>
      <c r="D13575" s="1">
        <v>45081</v>
      </c>
      <c r="E13575">
        <v>1</v>
      </c>
      <c r="F13575" t="str">
        <f>"08-I04-03"</f>
        <v>08-I04-03</v>
      </c>
      <c r="G13575">
        <v>1.3045</v>
      </c>
      <c r="H13575" t="s">
        <v>14</v>
      </c>
      <c r="I13575" t="s">
        <v>10</v>
      </c>
    </row>
    <row r="13576" spans="1:9" x14ac:dyDescent="0.25">
      <c r="A13576" t="str">
        <f t="shared" si="320"/>
        <v>89301000</v>
      </c>
      <c r="B13576" t="str">
        <f>"8356235800"</f>
        <v>8356235800</v>
      </c>
      <c r="C13576" s="1">
        <v>44927</v>
      </c>
      <c r="D13576" s="1">
        <v>44943</v>
      </c>
      <c r="E13576">
        <v>1</v>
      </c>
      <c r="F13576" t="str">
        <f>"02-I05-01"</f>
        <v>02-I05-01</v>
      </c>
      <c r="G13576">
        <v>3.0609000000000002</v>
      </c>
      <c r="H13576" t="s">
        <v>12</v>
      </c>
      <c r="I13576" t="s">
        <v>10</v>
      </c>
    </row>
    <row r="13577" spans="1:9" x14ac:dyDescent="0.25">
      <c r="A13577" t="str">
        <f t="shared" si="320"/>
        <v>89301000</v>
      </c>
      <c r="B13577" t="str">
        <f>"8356550521"</f>
        <v>8356550521</v>
      </c>
      <c r="C13577" s="1">
        <v>45076</v>
      </c>
      <c r="D13577" s="1">
        <v>45079</v>
      </c>
      <c r="E13577">
        <v>1</v>
      </c>
      <c r="F13577" t="str">
        <f>"14-M01-05"</f>
        <v>14-M01-05</v>
      </c>
      <c r="G13577">
        <v>0.56289999999999996</v>
      </c>
      <c r="H13577" t="s">
        <v>13</v>
      </c>
      <c r="I13577" t="s">
        <v>10</v>
      </c>
    </row>
    <row r="13578" spans="1:9" x14ac:dyDescent="0.25">
      <c r="A13578" t="str">
        <f t="shared" si="320"/>
        <v>89301000</v>
      </c>
      <c r="B13578" t="str">
        <f>"8357075375"</f>
        <v>8357075375</v>
      </c>
      <c r="C13578" s="1">
        <v>44948</v>
      </c>
      <c r="D13578" s="1">
        <v>44955</v>
      </c>
      <c r="E13578">
        <v>1</v>
      </c>
      <c r="F13578" t="str">
        <f>"14-I01-02"</f>
        <v>14-I01-02</v>
      </c>
      <c r="G13578">
        <v>1.2988999999999999</v>
      </c>
      <c r="H13578" t="s">
        <v>13</v>
      </c>
      <c r="I13578" t="s">
        <v>10</v>
      </c>
    </row>
    <row r="13579" spans="1:9" x14ac:dyDescent="0.25">
      <c r="A13579" t="str">
        <f t="shared" si="320"/>
        <v>89301000</v>
      </c>
      <c r="B13579" t="str">
        <f>"8357184462"</f>
        <v>8357184462</v>
      </c>
      <c r="C13579" s="1">
        <v>44977</v>
      </c>
      <c r="D13579" s="1">
        <v>44981</v>
      </c>
      <c r="E13579">
        <v>1</v>
      </c>
      <c r="F13579" t="str">
        <f>"01-K18-04"</f>
        <v>01-K18-04</v>
      </c>
      <c r="G13579">
        <v>0.54610000000000003</v>
      </c>
      <c r="H13579" t="s">
        <v>11</v>
      </c>
      <c r="I13579" t="s">
        <v>10</v>
      </c>
    </row>
    <row r="13580" spans="1:9" x14ac:dyDescent="0.25">
      <c r="A13580" t="str">
        <f t="shared" si="320"/>
        <v>89301000</v>
      </c>
      <c r="B13580" t="str">
        <f>"8358164958"</f>
        <v>8358164958</v>
      </c>
      <c r="C13580" s="1">
        <v>45069</v>
      </c>
      <c r="D13580" s="1">
        <v>45073</v>
      </c>
      <c r="E13580">
        <v>1</v>
      </c>
      <c r="F13580" t="str">
        <f>"13-I11-03"</f>
        <v>13-I11-03</v>
      </c>
      <c r="G13580">
        <v>1.4332</v>
      </c>
      <c r="H13580" t="s">
        <v>9</v>
      </c>
      <c r="I13580" t="s">
        <v>10</v>
      </c>
    </row>
    <row r="13581" spans="1:9" x14ac:dyDescent="0.25">
      <c r="A13581" t="str">
        <f t="shared" si="320"/>
        <v>89301000</v>
      </c>
      <c r="B13581" t="str">
        <f>"8358185319"</f>
        <v>8358185319</v>
      </c>
      <c r="C13581" s="1">
        <v>45154</v>
      </c>
      <c r="D13581" s="1">
        <v>45159</v>
      </c>
      <c r="E13581">
        <v>1</v>
      </c>
      <c r="F13581" t="str">
        <f>"13-I11-03"</f>
        <v>13-I11-03</v>
      </c>
      <c r="G13581">
        <v>1.4332</v>
      </c>
      <c r="H13581" t="s">
        <v>9</v>
      </c>
      <c r="I13581" t="s">
        <v>10</v>
      </c>
    </row>
    <row r="13582" spans="1:9" x14ac:dyDescent="0.25">
      <c r="A13582" t="str">
        <f t="shared" si="320"/>
        <v>89301000</v>
      </c>
      <c r="B13582" t="str">
        <f>"8358255785"</f>
        <v>8358255785</v>
      </c>
      <c r="C13582" s="1">
        <v>45120</v>
      </c>
      <c r="D13582" s="1">
        <v>45124</v>
      </c>
      <c r="E13582">
        <v>1</v>
      </c>
      <c r="F13582" t="str">
        <f>"23-K05-01"</f>
        <v>23-K05-01</v>
      </c>
      <c r="G13582">
        <v>0.56269999999999998</v>
      </c>
      <c r="H13582" t="s">
        <v>11</v>
      </c>
      <c r="I13582" t="s">
        <v>10</v>
      </c>
    </row>
    <row r="13583" spans="1:9" x14ac:dyDescent="0.25">
      <c r="A13583" t="str">
        <f t="shared" si="320"/>
        <v>89301000</v>
      </c>
      <c r="B13583" t="str">
        <f>"8358274474"</f>
        <v>8358274474</v>
      </c>
      <c r="C13583" s="1">
        <v>45259</v>
      </c>
      <c r="D13583" s="1">
        <v>45261</v>
      </c>
      <c r="E13583">
        <v>1</v>
      </c>
      <c r="F13583" t="str">
        <f>"09-I12-02"</f>
        <v>09-I12-02</v>
      </c>
      <c r="G13583">
        <v>0.66720000000000002</v>
      </c>
      <c r="H13583" t="s">
        <v>11</v>
      </c>
      <c r="I13583" t="s">
        <v>10</v>
      </c>
    </row>
    <row r="13584" spans="1:9" x14ac:dyDescent="0.25">
      <c r="A13584" t="str">
        <f t="shared" si="320"/>
        <v>89301000</v>
      </c>
      <c r="B13584" t="str">
        <f>"8358314481"</f>
        <v>8358314481</v>
      </c>
      <c r="C13584" s="1">
        <v>44936</v>
      </c>
      <c r="D13584" s="1">
        <v>44945</v>
      </c>
      <c r="E13584">
        <v>1</v>
      </c>
      <c r="F13584" t="str">
        <f>"14-K03-01"</f>
        <v>14-K03-01</v>
      </c>
      <c r="G13584">
        <v>0.54830000000000001</v>
      </c>
      <c r="H13584" t="s">
        <v>11</v>
      </c>
      <c r="I13584" t="s">
        <v>10</v>
      </c>
    </row>
    <row r="13585" spans="1:9" x14ac:dyDescent="0.25">
      <c r="A13585" t="str">
        <f t="shared" si="320"/>
        <v>89301000</v>
      </c>
      <c r="B13585" t="str">
        <f>"8358314481"</f>
        <v>8358314481</v>
      </c>
      <c r="C13585" s="1">
        <v>44974</v>
      </c>
      <c r="D13585" s="1">
        <v>44978</v>
      </c>
      <c r="E13585">
        <v>1</v>
      </c>
      <c r="F13585" t="str">
        <f>"14-I01-02"</f>
        <v>14-I01-02</v>
      </c>
      <c r="G13585">
        <v>1.2988999999999999</v>
      </c>
      <c r="H13585" t="s">
        <v>13</v>
      </c>
      <c r="I13585" t="s">
        <v>10</v>
      </c>
    </row>
    <row r="13586" spans="1:9" x14ac:dyDescent="0.25">
      <c r="A13586" t="str">
        <f t="shared" si="320"/>
        <v>89301000</v>
      </c>
      <c r="B13586" t="str">
        <f>"8359015522"</f>
        <v>8359015522</v>
      </c>
      <c r="C13586" s="1">
        <v>45174</v>
      </c>
      <c r="D13586" s="1">
        <v>45179</v>
      </c>
      <c r="E13586">
        <v>1</v>
      </c>
      <c r="F13586" t="str">
        <f>"13-I11-03"</f>
        <v>13-I11-03</v>
      </c>
      <c r="G13586">
        <v>1.4332</v>
      </c>
      <c r="H13586" t="s">
        <v>9</v>
      </c>
      <c r="I13586" t="s">
        <v>10</v>
      </c>
    </row>
    <row r="13587" spans="1:9" x14ac:dyDescent="0.25">
      <c r="A13587" t="str">
        <f t="shared" ref="A13587:A13649" si="321">"89301000"</f>
        <v>89301000</v>
      </c>
      <c r="B13587" t="str">
        <f>"8359075318"</f>
        <v>8359075318</v>
      </c>
      <c r="C13587" s="1">
        <v>45212</v>
      </c>
      <c r="D13587" s="1">
        <v>45217</v>
      </c>
      <c r="E13587">
        <v>1</v>
      </c>
      <c r="F13587" t="str">
        <f>"14-I01-02"</f>
        <v>14-I01-02</v>
      </c>
      <c r="G13587">
        <v>1.2988999999999999</v>
      </c>
      <c r="H13587" t="s">
        <v>13</v>
      </c>
      <c r="I13587" t="s">
        <v>10</v>
      </c>
    </row>
    <row r="13588" spans="1:9" x14ac:dyDescent="0.25">
      <c r="A13588" t="str">
        <f t="shared" si="321"/>
        <v>89301000</v>
      </c>
      <c r="B13588" t="str">
        <f>"8359135697"</f>
        <v>8359135697</v>
      </c>
      <c r="C13588" s="1">
        <v>45200</v>
      </c>
      <c r="D13588" s="1">
        <v>45203</v>
      </c>
      <c r="E13588">
        <v>1</v>
      </c>
      <c r="F13588" t="str">
        <f>"23-I08-00"</f>
        <v>23-I08-00</v>
      </c>
      <c r="G13588">
        <v>0.81740000000000002</v>
      </c>
      <c r="H13588" t="s">
        <v>9</v>
      </c>
      <c r="I13588" t="s">
        <v>10</v>
      </c>
    </row>
    <row r="13589" spans="1:9" x14ac:dyDescent="0.25">
      <c r="A13589" t="str">
        <f t="shared" si="321"/>
        <v>89301000</v>
      </c>
      <c r="B13589" t="str">
        <f>"8359175319"</f>
        <v>8359175319</v>
      </c>
      <c r="C13589" s="1">
        <v>45181</v>
      </c>
      <c r="D13589" s="1">
        <v>45190</v>
      </c>
      <c r="E13589">
        <v>1</v>
      </c>
      <c r="F13589" t="str">
        <f>"07-I10-04"</f>
        <v>07-I10-04</v>
      </c>
      <c r="G13589">
        <v>1.4211</v>
      </c>
      <c r="H13589" t="s">
        <v>12</v>
      </c>
      <c r="I13589" t="s">
        <v>10</v>
      </c>
    </row>
    <row r="13590" spans="1:9" x14ac:dyDescent="0.25">
      <c r="A13590" t="str">
        <f t="shared" si="321"/>
        <v>89301000</v>
      </c>
      <c r="B13590" t="str">
        <f>"8359265321"</f>
        <v>8359265321</v>
      </c>
      <c r="C13590" s="1">
        <v>45039</v>
      </c>
      <c r="D13590" s="1">
        <v>45042</v>
      </c>
      <c r="E13590">
        <v>1</v>
      </c>
      <c r="F13590" t="str">
        <f>"14-M01-05"</f>
        <v>14-M01-05</v>
      </c>
      <c r="G13590">
        <v>0.56289999999999996</v>
      </c>
      <c r="H13590" t="s">
        <v>13</v>
      </c>
      <c r="I13590" t="s">
        <v>10</v>
      </c>
    </row>
    <row r="13591" spans="1:9" x14ac:dyDescent="0.25">
      <c r="A13591" t="str">
        <f t="shared" si="321"/>
        <v>89301000</v>
      </c>
      <c r="B13591" t="str">
        <f>"8359274473"</f>
        <v>8359274473</v>
      </c>
      <c r="C13591" s="1">
        <v>45056</v>
      </c>
      <c r="D13591" s="1">
        <v>45060</v>
      </c>
      <c r="E13591">
        <v>1</v>
      </c>
      <c r="F13591" t="str">
        <f>"10-I13-02"</f>
        <v>10-I13-02</v>
      </c>
      <c r="G13591">
        <v>1.1124000000000001</v>
      </c>
      <c r="H13591" t="s">
        <v>9</v>
      </c>
      <c r="I13591" t="s">
        <v>10</v>
      </c>
    </row>
    <row r="13592" spans="1:9" x14ac:dyDescent="0.25">
      <c r="A13592" t="str">
        <f t="shared" si="321"/>
        <v>89301000</v>
      </c>
      <c r="B13592" t="str">
        <f>"8360045353"</f>
        <v>8360045353</v>
      </c>
      <c r="C13592" s="1">
        <v>44994</v>
      </c>
      <c r="D13592" s="1">
        <v>44995</v>
      </c>
      <c r="E13592">
        <v>1</v>
      </c>
      <c r="F13592" t="str">
        <f>"13-I19-00"</f>
        <v>13-I19-00</v>
      </c>
      <c r="G13592">
        <v>0.28249999999999997</v>
      </c>
      <c r="H13592" t="s">
        <v>11</v>
      </c>
      <c r="I13592" t="s">
        <v>10</v>
      </c>
    </row>
    <row r="13593" spans="1:9" x14ac:dyDescent="0.25">
      <c r="A13593" t="str">
        <f t="shared" si="321"/>
        <v>89301000</v>
      </c>
      <c r="B13593" t="str">
        <f>"8360054472"</f>
        <v>8360054472</v>
      </c>
      <c r="C13593" s="1">
        <v>45214</v>
      </c>
      <c r="D13593" s="1">
        <v>45217</v>
      </c>
      <c r="E13593">
        <v>6</v>
      </c>
      <c r="F13593" t="str">
        <f>"10-I13-02"</f>
        <v>10-I13-02</v>
      </c>
      <c r="G13593">
        <v>1.1124000000000001</v>
      </c>
      <c r="H13593" t="s">
        <v>9</v>
      </c>
      <c r="I13593" t="s">
        <v>10</v>
      </c>
    </row>
    <row r="13594" spans="1:9" x14ac:dyDescent="0.25">
      <c r="A13594" t="str">
        <f t="shared" si="321"/>
        <v>89301000</v>
      </c>
      <c r="B13594" t="str">
        <f>"8360105314"</f>
        <v>8360105314</v>
      </c>
      <c r="C13594" s="1">
        <v>44922</v>
      </c>
      <c r="D13594" s="1">
        <v>44927</v>
      </c>
      <c r="E13594">
        <v>1</v>
      </c>
      <c r="F13594" t="str">
        <f>"14-I01-05"</f>
        <v>14-I01-05</v>
      </c>
      <c r="G13594">
        <v>0.83340000000000003</v>
      </c>
      <c r="H13594" t="s">
        <v>13</v>
      </c>
      <c r="I13594" t="s">
        <v>10</v>
      </c>
    </row>
    <row r="13595" spans="1:9" x14ac:dyDescent="0.25">
      <c r="A13595" t="str">
        <f t="shared" si="321"/>
        <v>89301000</v>
      </c>
      <c r="B13595" t="str">
        <f>"8360105809"</f>
        <v>8360105809</v>
      </c>
      <c r="C13595" s="1">
        <v>45253</v>
      </c>
      <c r="D13595" s="1">
        <v>45261</v>
      </c>
      <c r="E13595">
        <v>1</v>
      </c>
      <c r="F13595" t="str">
        <f>"04-K09-03"</f>
        <v>04-K09-03</v>
      </c>
      <c r="G13595">
        <v>0.65600000000000003</v>
      </c>
      <c r="H13595" t="s">
        <v>11</v>
      </c>
      <c r="I13595" t="s">
        <v>10</v>
      </c>
    </row>
    <row r="13596" spans="1:9" x14ac:dyDescent="0.25">
      <c r="A13596" t="str">
        <f t="shared" si="321"/>
        <v>89301000</v>
      </c>
      <c r="B13596" t="str">
        <f>"8360105809"</f>
        <v>8360105809</v>
      </c>
      <c r="C13596" s="1">
        <v>45265</v>
      </c>
      <c r="D13596" s="1">
        <v>45268</v>
      </c>
      <c r="E13596">
        <v>1</v>
      </c>
      <c r="F13596" t="str">
        <f>"04-K09-03"</f>
        <v>04-K09-03</v>
      </c>
      <c r="G13596">
        <v>0.629</v>
      </c>
      <c r="H13596" t="s">
        <v>11</v>
      </c>
      <c r="I13596" t="s">
        <v>10</v>
      </c>
    </row>
    <row r="13597" spans="1:9" x14ac:dyDescent="0.25">
      <c r="A13597" t="str">
        <f t="shared" si="321"/>
        <v>89301000</v>
      </c>
      <c r="B13597" t="str">
        <f>"8360264396"</f>
        <v>8360264396</v>
      </c>
      <c r="C13597" s="1">
        <v>45050</v>
      </c>
      <c r="D13597" s="1">
        <v>45051</v>
      </c>
      <c r="E13597">
        <v>1</v>
      </c>
      <c r="F13597" t="str">
        <f>"14-I08-03"</f>
        <v>14-I08-03</v>
      </c>
      <c r="G13597">
        <v>0.2414</v>
      </c>
      <c r="H13597" t="s">
        <v>11</v>
      </c>
      <c r="I13597" t="s">
        <v>10</v>
      </c>
    </row>
    <row r="13598" spans="1:9" x14ac:dyDescent="0.25">
      <c r="A13598" t="str">
        <f t="shared" si="321"/>
        <v>89301000</v>
      </c>
      <c r="B13598" t="str">
        <f>"8360265320"</f>
        <v>8360265320</v>
      </c>
      <c r="C13598" s="1">
        <v>45217</v>
      </c>
      <c r="D13598" s="1">
        <v>45223</v>
      </c>
      <c r="E13598">
        <v>1</v>
      </c>
      <c r="F13598" t="str">
        <f>"03-I16-02"</f>
        <v>03-I16-02</v>
      </c>
      <c r="G13598">
        <v>0.92579999999999996</v>
      </c>
      <c r="H13598" t="s">
        <v>9</v>
      </c>
      <c r="I13598" t="s">
        <v>10</v>
      </c>
    </row>
    <row r="13599" spans="1:9" x14ac:dyDescent="0.25">
      <c r="A13599" t="str">
        <f t="shared" si="321"/>
        <v>89301000</v>
      </c>
      <c r="B13599" t="str">
        <f>"8360294712"</f>
        <v>8360294712</v>
      </c>
      <c r="C13599" s="1">
        <v>45071</v>
      </c>
      <c r="D13599" s="1">
        <v>45072</v>
      </c>
      <c r="E13599">
        <v>1</v>
      </c>
      <c r="F13599" t="str">
        <f>"13-I19-00"</f>
        <v>13-I19-00</v>
      </c>
      <c r="G13599">
        <v>0.28249999999999997</v>
      </c>
      <c r="H13599" t="s">
        <v>11</v>
      </c>
      <c r="I13599" t="s">
        <v>10</v>
      </c>
    </row>
    <row r="13600" spans="1:9" x14ac:dyDescent="0.25">
      <c r="A13600" t="str">
        <f t="shared" si="321"/>
        <v>89301000</v>
      </c>
      <c r="B13600" t="str">
        <f>"8361055307"</f>
        <v>8361055307</v>
      </c>
      <c r="C13600" s="1">
        <v>44972</v>
      </c>
      <c r="D13600" s="1">
        <v>44976</v>
      </c>
      <c r="E13600">
        <v>1</v>
      </c>
      <c r="F13600" t="str">
        <f>"07-I10-06"</f>
        <v>07-I10-06</v>
      </c>
      <c r="G13600">
        <v>0.98419999999999996</v>
      </c>
      <c r="H13600" t="s">
        <v>12</v>
      </c>
      <c r="I13600" t="s">
        <v>10</v>
      </c>
    </row>
    <row r="13601" spans="1:9" x14ac:dyDescent="0.25">
      <c r="A13601" t="str">
        <f t="shared" si="321"/>
        <v>89301000</v>
      </c>
      <c r="B13601" t="str">
        <f>"8361115312"</f>
        <v>8361115312</v>
      </c>
      <c r="C13601" s="1">
        <v>45238</v>
      </c>
      <c r="D13601" s="1">
        <v>45244</v>
      </c>
      <c r="E13601">
        <v>1</v>
      </c>
      <c r="F13601" t="str">
        <f>"14-I01-05"</f>
        <v>14-I01-05</v>
      </c>
      <c r="G13601">
        <v>0.83340000000000003</v>
      </c>
      <c r="H13601" t="s">
        <v>13</v>
      </c>
      <c r="I13601" t="s">
        <v>10</v>
      </c>
    </row>
    <row r="13602" spans="1:9" x14ac:dyDescent="0.25">
      <c r="A13602" t="str">
        <f t="shared" si="321"/>
        <v>89301000</v>
      </c>
      <c r="B13602" t="str">
        <f>"8361274460"</f>
        <v>8361274460</v>
      </c>
      <c r="C13602" s="1">
        <v>44929</v>
      </c>
      <c r="D13602" s="1">
        <v>44935</v>
      </c>
      <c r="E13602">
        <v>1</v>
      </c>
      <c r="F13602" t="str">
        <f>"17-C05-05"</f>
        <v>17-C05-05</v>
      </c>
      <c r="G13602">
        <v>0.66069999999999995</v>
      </c>
      <c r="H13602" t="s">
        <v>11</v>
      </c>
      <c r="I13602" t="s">
        <v>10</v>
      </c>
    </row>
    <row r="13603" spans="1:9" x14ac:dyDescent="0.25">
      <c r="A13603" t="str">
        <f t="shared" si="321"/>
        <v>89301000</v>
      </c>
      <c r="B13603" t="str">
        <f>"8362055339"</f>
        <v>8362055339</v>
      </c>
      <c r="C13603" s="1">
        <v>45252</v>
      </c>
      <c r="D13603" s="1">
        <v>45255</v>
      </c>
      <c r="E13603">
        <v>1</v>
      </c>
      <c r="F13603" t="str">
        <f>"05-I30-01"</f>
        <v>05-I30-01</v>
      </c>
      <c r="G13603">
        <v>0.60309999999999997</v>
      </c>
      <c r="H13603" t="s">
        <v>12</v>
      </c>
      <c r="I13603" t="s">
        <v>10</v>
      </c>
    </row>
    <row r="13604" spans="1:9" x14ac:dyDescent="0.25">
      <c r="A13604" t="str">
        <f t="shared" si="321"/>
        <v>89301000</v>
      </c>
      <c r="B13604" t="str">
        <f>"8362075304"</f>
        <v>8362075304</v>
      </c>
      <c r="C13604" s="1">
        <v>44941</v>
      </c>
      <c r="D13604" s="1">
        <v>44944</v>
      </c>
      <c r="E13604">
        <v>1</v>
      </c>
      <c r="F13604" t="str">
        <f>"14-M01-05"</f>
        <v>14-M01-05</v>
      </c>
      <c r="G13604">
        <v>0.56289999999999996</v>
      </c>
      <c r="H13604" t="s">
        <v>13</v>
      </c>
      <c r="I13604" t="s">
        <v>10</v>
      </c>
    </row>
    <row r="13605" spans="1:9" x14ac:dyDescent="0.25">
      <c r="A13605" t="str">
        <f t="shared" si="321"/>
        <v>89301000</v>
      </c>
      <c r="B13605" t="str">
        <f>"8362175305"</f>
        <v>8362175305</v>
      </c>
      <c r="C13605" s="1">
        <v>45183</v>
      </c>
      <c r="D13605" s="1">
        <v>45185</v>
      </c>
      <c r="E13605">
        <v>1</v>
      </c>
      <c r="F13605" t="str">
        <f>"14-M01-05"</f>
        <v>14-M01-05</v>
      </c>
      <c r="G13605">
        <v>0.56289999999999996</v>
      </c>
      <c r="H13605" t="s">
        <v>13</v>
      </c>
      <c r="I13605" t="s">
        <v>10</v>
      </c>
    </row>
    <row r="13606" spans="1:9" x14ac:dyDescent="0.25">
      <c r="A13606" t="str">
        <f t="shared" si="321"/>
        <v>89301000</v>
      </c>
      <c r="B13606" t="str">
        <f>"8362255319"</f>
        <v>8362255319</v>
      </c>
      <c r="C13606" s="1">
        <v>45019</v>
      </c>
      <c r="D13606" s="1">
        <v>45022</v>
      </c>
      <c r="E13606">
        <v>1</v>
      </c>
      <c r="F13606" t="str">
        <f>"09-K04-02"</f>
        <v>09-K04-02</v>
      </c>
      <c r="G13606">
        <v>0.64849999999999997</v>
      </c>
      <c r="H13606" t="s">
        <v>11</v>
      </c>
      <c r="I13606" t="s">
        <v>10</v>
      </c>
    </row>
    <row r="13607" spans="1:9" x14ac:dyDescent="0.25">
      <c r="A13607" t="str">
        <f t="shared" si="321"/>
        <v>89301000</v>
      </c>
      <c r="B13607" t="str">
        <f>"8362274404"</f>
        <v>8362274404</v>
      </c>
      <c r="C13607" s="1">
        <v>45061</v>
      </c>
      <c r="D13607" s="1">
        <v>45064</v>
      </c>
      <c r="E13607">
        <v>1</v>
      </c>
      <c r="F13607" t="str">
        <f>"14-I01-05"</f>
        <v>14-I01-05</v>
      </c>
      <c r="G13607">
        <v>0.83340000000000003</v>
      </c>
      <c r="H13607" t="s">
        <v>13</v>
      </c>
      <c r="I13607" t="s">
        <v>10</v>
      </c>
    </row>
    <row r="13608" spans="1:9" x14ac:dyDescent="0.25">
      <c r="A13608" t="str">
        <f t="shared" si="321"/>
        <v>89301000</v>
      </c>
      <c r="B13608" t="str">
        <f>"8362295337"</f>
        <v>8362295337</v>
      </c>
      <c r="C13608" s="1">
        <v>45223</v>
      </c>
      <c r="D13608" s="1">
        <v>45224</v>
      </c>
      <c r="E13608">
        <v>1</v>
      </c>
      <c r="F13608" t="str">
        <f>"03-I14-02"</f>
        <v>03-I14-02</v>
      </c>
      <c r="G13608">
        <v>1.0793999999999999</v>
      </c>
      <c r="H13608" t="s">
        <v>11</v>
      </c>
      <c r="I13608" t="s">
        <v>10</v>
      </c>
    </row>
    <row r="13609" spans="1:9" x14ac:dyDescent="0.25">
      <c r="A13609" t="str">
        <f t="shared" si="321"/>
        <v>89301000</v>
      </c>
      <c r="B13609" t="str">
        <f>"8401034598"</f>
        <v>8401034598</v>
      </c>
      <c r="C13609" s="1">
        <v>45244</v>
      </c>
      <c r="D13609" s="1">
        <v>45246</v>
      </c>
      <c r="E13609">
        <v>1</v>
      </c>
      <c r="F13609" t="str">
        <f>"08-M03-05"</f>
        <v>08-M03-05</v>
      </c>
      <c r="G13609">
        <v>0.46910000000000002</v>
      </c>
      <c r="H13609" t="s">
        <v>11</v>
      </c>
      <c r="I13609" t="s">
        <v>10</v>
      </c>
    </row>
    <row r="13610" spans="1:9" x14ac:dyDescent="0.25">
      <c r="A13610" t="str">
        <f t="shared" si="321"/>
        <v>89301000</v>
      </c>
      <c r="B13610" t="str">
        <f>"8401085308"</f>
        <v>8401085308</v>
      </c>
      <c r="C13610" s="1">
        <v>44942</v>
      </c>
      <c r="D13610" s="1">
        <v>44945</v>
      </c>
      <c r="E13610">
        <v>1</v>
      </c>
      <c r="F13610" t="str">
        <f>"19-K02-03"</f>
        <v>19-K02-03</v>
      </c>
      <c r="G13610">
        <v>0.71950000000000003</v>
      </c>
      <c r="H13610" t="s">
        <v>15</v>
      </c>
      <c r="I13610" t="s">
        <v>10</v>
      </c>
    </row>
    <row r="13611" spans="1:9" x14ac:dyDescent="0.25">
      <c r="A13611" t="str">
        <f t="shared" si="321"/>
        <v>89301000</v>
      </c>
      <c r="B13611" t="str">
        <f>"8401144279"</f>
        <v>8401144279</v>
      </c>
      <c r="C13611" s="1">
        <v>45158</v>
      </c>
      <c r="D13611" s="1">
        <v>45175</v>
      </c>
      <c r="E13611">
        <v>1</v>
      </c>
      <c r="F13611" t="str">
        <f>"05-I17-00"</f>
        <v>05-I17-00</v>
      </c>
      <c r="G13611">
        <v>4.0366999999999997</v>
      </c>
      <c r="H13611" t="s">
        <v>12</v>
      </c>
      <c r="I13611" t="s">
        <v>10</v>
      </c>
    </row>
    <row r="13612" spans="1:9" x14ac:dyDescent="0.25">
      <c r="A13612" t="str">
        <f t="shared" si="321"/>
        <v>89301000</v>
      </c>
      <c r="B13612" t="str">
        <f>"8401144279"</f>
        <v>8401144279</v>
      </c>
      <c r="C13612" s="1">
        <v>45143</v>
      </c>
      <c r="D13612" s="1">
        <v>45155</v>
      </c>
      <c r="E13612">
        <v>1</v>
      </c>
      <c r="F13612" t="str">
        <f>"05-I08-01"</f>
        <v>05-I08-01</v>
      </c>
      <c r="G13612">
        <v>13.2399</v>
      </c>
      <c r="H13612" t="s">
        <v>14</v>
      </c>
      <c r="I13612" t="s">
        <v>10</v>
      </c>
    </row>
    <row r="13613" spans="1:9" x14ac:dyDescent="0.25">
      <c r="A13613" t="str">
        <f t="shared" si="321"/>
        <v>89301000</v>
      </c>
      <c r="B13613" t="str">
        <f>"8401264399"</f>
        <v>8401264399</v>
      </c>
      <c r="C13613" s="1">
        <v>45176</v>
      </c>
      <c r="D13613" s="1">
        <v>45178</v>
      </c>
      <c r="E13613">
        <v>1</v>
      </c>
      <c r="F13613" t="str">
        <f>"07-M02-04"</f>
        <v>07-M02-04</v>
      </c>
      <c r="G13613">
        <v>0.77339999999999998</v>
      </c>
      <c r="H13613" t="s">
        <v>12</v>
      </c>
      <c r="I13613" t="s">
        <v>10</v>
      </c>
    </row>
    <row r="13614" spans="1:9" x14ac:dyDescent="0.25">
      <c r="A13614" t="str">
        <f t="shared" si="321"/>
        <v>89301000</v>
      </c>
      <c r="B13614" t="str">
        <f>"8401264399"</f>
        <v>8401264399</v>
      </c>
      <c r="C13614" s="1">
        <v>45048</v>
      </c>
      <c r="D13614" s="1">
        <v>45049</v>
      </c>
      <c r="E13614">
        <v>1</v>
      </c>
      <c r="F13614" t="str">
        <f>"07-K03-02"</f>
        <v>07-K03-02</v>
      </c>
      <c r="G13614">
        <v>0.4521</v>
      </c>
      <c r="H13614" t="s">
        <v>11</v>
      </c>
      <c r="I13614" t="s">
        <v>10</v>
      </c>
    </row>
    <row r="13615" spans="1:9" x14ac:dyDescent="0.25">
      <c r="A13615" t="str">
        <f t="shared" si="321"/>
        <v>89301000</v>
      </c>
      <c r="B13615" t="str">
        <f>"8401264399"</f>
        <v>8401264399</v>
      </c>
      <c r="C13615" s="1">
        <v>45013</v>
      </c>
      <c r="D13615" s="1">
        <v>45014</v>
      </c>
      <c r="E13615">
        <v>1</v>
      </c>
      <c r="F13615" t="str">
        <f>"07-M02-04"</f>
        <v>07-M02-04</v>
      </c>
      <c r="G13615">
        <v>0.77339999999999998</v>
      </c>
      <c r="H13615" t="s">
        <v>12</v>
      </c>
      <c r="I13615" t="s">
        <v>10</v>
      </c>
    </row>
    <row r="13616" spans="1:9" x14ac:dyDescent="0.25">
      <c r="A13616" t="str">
        <f t="shared" si="321"/>
        <v>89301000</v>
      </c>
      <c r="B13616" t="str">
        <f>"8401295375"</f>
        <v>8401295375</v>
      </c>
      <c r="C13616" s="1">
        <v>44979</v>
      </c>
      <c r="D13616" s="1">
        <v>44993</v>
      </c>
      <c r="E13616">
        <v>4</v>
      </c>
      <c r="F13616" t="str">
        <f>"20-K04-02"</f>
        <v>20-K04-02</v>
      </c>
      <c r="G13616">
        <v>1.3379000000000001</v>
      </c>
      <c r="H13616" t="s">
        <v>11</v>
      </c>
      <c r="I13616" t="s">
        <v>10</v>
      </c>
    </row>
    <row r="13617" spans="1:9" x14ac:dyDescent="0.25">
      <c r="A13617" t="str">
        <f t="shared" si="321"/>
        <v>89301000</v>
      </c>
      <c r="B13617" t="str">
        <f>"8401295375"</f>
        <v>8401295375</v>
      </c>
      <c r="C13617" s="1">
        <v>44943</v>
      </c>
      <c r="D13617" s="1">
        <v>44953</v>
      </c>
      <c r="E13617">
        <v>1</v>
      </c>
      <c r="F13617" t="str">
        <f>"20-K04-02"</f>
        <v>20-K04-02</v>
      </c>
      <c r="G13617">
        <v>1.3379000000000001</v>
      </c>
      <c r="H13617" t="s">
        <v>11</v>
      </c>
      <c r="I13617" t="s">
        <v>10</v>
      </c>
    </row>
    <row r="13618" spans="1:9" x14ac:dyDescent="0.25">
      <c r="A13618" t="str">
        <f t="shared" si="321"/>
        <v>89301000</v>
      </c>
      <c r="B13618" t="str">
        <f>"8402085054"</f>
        <v>8402085054</v>
      </c>
      <c r="C13618" s="1">
        <v>45271</v>
      </c>
      <c r="D13618" s="1">
        <v>45280</v>
      </c>
      <c r="E13618">
        <v>1</v>
      </c>
      <c r="F13618" t="str">
        <f>"08-K01-01"</f>
        <v>08-K01-01</v>
      </c>
      <c r="G13618">
        <v>1.5348999999999999</v>
      </c>
      <c r="H13618" t="s">
        <v>11</v>
      </c>
      <c r="I13618" t="s">
        <v>10</v>
      </c>
    </row>
    <row r="13619" spans="1:9" x14ac:dyDescent="0.25">
      <c r="A13619" t="str">
        <f t="shared" si="321"/>
        <v>89301000</v>
      </c>
      <c r="B13619" t="str">
        <f>"8402114479"</f>
        <v>8402114479</v>
      </c>
      <c r="C13619" s="1">
        <v>45042</v>
      </c>
      <c r="D13619" s="1">
        <v>45043</v>
      </c>
      <c r="E13619">
        <v>1</v>
      </c>
      <c r="F13619" t="str">
        <f>"05-M05-03"</f>
        <v>05-M05-03</v>
      </c>
      <c r="G13619">
        <v>2.0312999999999999</v>
      </c>
      <c r="H13619" t="s">
        <v>14</v>
      </c>
      <c r="I13619" t="s">
        <v>10</v>
      </c>
    </row>
    <row r="13620" spans="1:9" x14ac:dyDescent="0.25">
      <c r="A13620" t="str">
        <f t="shared" si="321"/>
        <v>89301000</v>
      </c>
      <c r="B13620" t="str">
        <f>"8403185318"</f>
        <v>8403185318</v>
      </c>
      <c r="C13620" s="1">
        <v>44958</v>
      </c>
      <c r="D13620" s="1">
        <v>44963</v>
      </c>
      <c r="E13620">
        <v>1</v>
      </c>
      <c r="F13620" t="str">
        <f>"10-K06-00"</f>
        <v>10-K06-00</v>
      </c>
      <c r="G13620">
        <v>0.4965</v>
      </c>
      <c r="H13620" t="s">
        <v>11</v>
      </c>
      <c r="I13620" t="s">
        <v>10</v>
      </c>
    </row>
    <row r="13621" spans="1:9" x14ac:dyDescent="0.25">
      <c r="A13621" t="str">
        <f t="shared" si="321"/>
        <v>89301000</v>
      </c>
      <c r="B13621" t="str">
        <f>"8403234873"</f>
        <v>8403234873</v>
      </c>
      <c r="C13621" s="1">
        <v>45197</v>
      </c>
      <c r="D13621" s="1">
        <v>45200</v>
      </c>
      <c r="E13621">
        <v>1</v>
      </c>
      <c r="F13621" t="str">
        <f>"06-K06-02"</f>
        <v>06-K06-02</v>
      </c>
      <c r="G13621">
        <v>0.65269999999999995</v>
      </c>
      <c r="H13621" t="s">
        <v>11</v>
      </c>
      <c r="I13621" t="s">
        <v>10</v>
      </c>
    </row>
    <row r="13622" spans="1:9" x14ac:dyDescent="0.25">
      <c r="A13622" t="str">
        <f t="shared" si="321"/>
        <v>89301000</v>
      </c>
      <c r="B13622" t="str">
        <f>"8404135322"</f>
        <v>8404135322</v>
      </c>
      <c r="C13622" s="1">
        <v>45099</v>
      </c>
      <c r="D13622" s="1">
        <v>45100</v>
      </c>
      <c r="E13622">
        <v>1</v>
      </c>
      <c r="F13622" t="str">
        <f>"03-I22-02"</f>
        <v>03-I22-02</v>
      </c>
      <c r="G13622">
        <v>0.49809999999999999</v>
      </c>
      <c r="H13622" t="s">
        <v>11</v>
      </c>
      <c r="I13622" t="s">
        <v>10</v>
      </c>
    </row>
    <row r="13623" spans="1:9" x14ac:dyDescent="0.25">
      <c r="A13623" t="str">
        <f t="shared" si="321"/>
        <v>89301000</v>
      </c>
      <c r="B13623" t="str">
        <f>"8404135322"</f>
        <v>8404135322</v>
      </c>
      <c r="C13623" s="1">
        <v>45048</v>
      </c>
      <c r="D13623" s="1">
        <v>45049</v>
      </c>
      <c r="E13623">
        <v>1</v>
      </c>
      <c r="F13623" t="str">
        <f>"03-K02-02"</f>
        <v>03-K02-02</v>
      </c>
      <c r="G13623">
        <v>0.58540000000000003</v>
      </c>
      <c r="H13623" t="s">
        <v>11</v>
      </c>
      <c r="I13623" t="s">
        <v>10</v>
      </c>
    </row>
    <row r="13624" spans="1:9" x14ac:dyDescent="0.25">
      <c r="A13624" t="str">
        <f t="shared" si="321"/>
        <v>89301000</v>
      </c>
      <c r="B13624" t="str">
        <f>"8404135322"</f>
        <v>8404135322</v>
      </c>
      <c r="C13624" s="1">
        <v>45000</v>
      </c>
      <c r="D13624" s="1">
        <v>45004</v>
      </c>
      <c r="E13624">
        <v>1</v>
      </c>
      <c r="F13624" t="str">
        <f>"03-I19-01"</f>
        <v>03-I19-01</v>
      </c>
      <c r="G13624">
        <v>2.5438999999999998</v>
      </c>
      <c r="H13624" t="s">
        <v>11</v>
      </c>
      <c r="I13624" t="s">
        <v>10</v>
      </c>
    </row>
    <row r="13625" spans="1:9" x14ac:dyDescent="0.25">
      <c r="A13625" t="str">
        <f t="shared" si="321"/>
        <v>89301000</v>
      </c>
      <c r="B13625" t="str">
        <f>"8404275770"</f>
        <v>8404275770</v>
      </c>
      <c r="C13625" s="1">
        <v>45160</v>
      </c>
      <c r="D13625" s="1">
        <v>45169</v>
      </c>
      <c r="E13625">
        <v>1</v>
      </c>
      <c r="F13625" t="str">
        <f>"07-K10-00"</f>
        <v>07-K10-00</v>
      </c>
      <c r="G13625">
        <v>1.2539</v>
      </c>
      <c r="H13625" t="s">
        <v>11</v>
      </c>
      <c r="I13625" t="s">
        <v>10</v>
      </c>
    </row>
    <row r="13626" spans="1:9" x14ac:dyDescent="0.25">
      <c r="A13626" t="str">
        <f t="shared" si="321"/>
        <v>89301000</v>
      </c>
      <c r="B13626" t="str">
        <f>"8405125355"</f>
        <v>8405125355</v>
      </c>
      <c r="C13626" s="1">
        <v>45190</v>
      </c>
      <c r="D13626" s="1">
        <v>45193</v>
      </c>
      <c r="E13626">
        <v>1</v>
      </c>
      <c r="F13626" t="str">
        <f>"05-I30-01"</f>
        <v>05-I30-01</v>
      </c>
      <c r="G13626">
        <v>0.60350000000000004</v>
      </c>
      <c r="H13626" t="s">
        <v>12</v>
      </c>
      <c r="I13626" t="s">
        <v>10</v>
      </c>
    </row>
    <row r="13627" spans="1:9" x14ac:dyDescent="0.25">
      <c r="A13627" t="str">
        <f t="shared" si="321"/>
        <v>89301000</v>
      </c>
      <c r="B13627" t="str">
        <f>"8405183853"</f>
        <v>8405183853</v>
      </c>
      <c r="C13627" s="1">
        <v>45224</v>
      </c>
      <c r="D13627" s="1">
        <v>45226</v>
      </c>
      <c r="E13627">
        <v>1</v>
      </c>
      <c r="F13627" t="str">
        <f>"03-I22-02"</f>
        <v>03-I22-02</v>
      </c>
      <c r="G13627">
        <v>0.49809999999999999</v>
      </c>
      <c r="H13627" t="s">
        <v>11</v>
      </c>
      <c r="I13627" t="s">
        <v>10</v>
      </c>
    </row>
    <row r="13628" spans="1:9" x14ac:dyDescent="0.25">
      <c r="A13628" t="str">
        <f t="shared" si="321"/>
        <v>89301000</v>
      </c>
      <c r="B13628" t="str">
        <f>"8405305304"</f>
        <v>8405305304</v>
      </c>
      <c r="C13628" s="1">
        <v>45078</v>
      </c>
      <c r="D13628" s="1">
        <v>45080</v>
      </c>
      <c r="E13628">
        <v>1</v>
      </c>
      <c r="F13628" t="str">
        <f>"08-I18-02"</f>
        <v>08-I18-02</v>
      </c>
      <c r="G13628">
        <v>0.62509999999999999</v>
      </c>
      <c r="H13628" t="s">
        <v>12</v>
      </c>
      <c r="I13628" t="s">
        <v>10</v>
      </c>
    </row>
    <row r="13629" spans="1:9" x14ac:dyDescent="0.25">
      <c r="A13629" t="str">
        <f t="shared" si="321"/>
        <v>89301000</v>
      </c>
      <c r="B13629" t="str">
        <f>"8405305304"</f>
        <v>8405305304</v>
      </c>
      <c r="C13629" s="1">
        <v>45262</v>
      </c>
      <c r="D13629" s="1">
        <v>45264</v>
      </c>
      <c r="E13629">
        <v>1</v>
      </c>
      <c r="F13629" t="str">
        <f>"08-I15-03"</f>
        <v>08-I15-03</v>
      </c>
      <c r="G13629">
        <v>0.94059999999999999</v>
      </c>
      <c r="H13629" t="s">
        <v>12</v>
      </c>
      <c r="I13629" t="s">
        <v>10</v>
      </c>
    </row>
    <row r="13630" spans="1:9" x14ac:dyDescent="0.25">
      <c r="A13630" t="str">
        <f t="shared" si="321"/>
        <v>89301000</v>
      </c>
      <c r="B13630" t="str">
        <f>"8406285371"</f>
        <v>8406285371</v>
      </c>
      <c r="C13630" s="1">
        <v>45257</v>
      </c>
      <c r="D13630" s="1">
        <v>45273</v>
      </c>
      <c r="E13630">
        <v>1</v>
      </c>
      <c r="F13630" t="str">
        <f>"20-K05-02"</f>
        <v>20-K05-02</v>
      </c>
      <c r="G13630">
        <v>1.7688999999999999</v>
      </c>
      <c r="H13630" t="s">
        <v>11</v>
      </c>
      <c r="I13630" t="s">
        <v>10</v>
      </c>
    </row>
    <row r="13631" spans="1:9" x14ac:dyDescent="0.25">
      <c r="A13631" t="str">
        <f t="shared" si="321"/>
        <v>89301000</v>
      </c>
      <c r="B13631" t="str">
        <f>"8407025352"</f>
        <v>8407025352</v>
      </c>
      <c r="C13631" s="1">
        <v>45278</v>
      </c>
      <c r="D13631" s="1">
        <v>45279</v>
      </c>
      <c r="E13631">
        <v>1</v>
      </c>
      <c r="F13631" t="str">
        <f>"08-I31-04"</f>
        <v>08-I31-04</v>
      </c>
      <c r="G13631">
        <v>0.49170000000000003</v>
      </c>
      <c r="H13631" t="s">
        <v>11</v>
      </c>
      <c r="I13631" t="s">
        <v>10</v>
      </c>
    </row>
    <row r="13632" spans="1:9" x14ac:dyDescent="0.25">
      <c r="A13632" t="str">
        <f t="shared" si="321"/>
        <v>89301000</v>
      </c>
      <c r="B13632" t="str">
        <f>"8407055338"</f>
        <v>8407055338</v>
      </c>
      <c r="C13632" s="1">
        <v>45074</v>
      </c>
      <c r="D13632" s="1">
        <v>45077</v>
      </c>
      <c r="E13632">
        <v>1</v>
      </c>
      <c r="F13632" t="str">
        <f>"08-M03-04"</f>
        <v>08-M03-04</v>
      </c>
      <c r="G13632">
        <v>0.87760000000000005</v>
      </c>
      <c r="H13632" t="s">
        <v>11</v>
      </c>
      <c r="I13632" t="s">
        <v>10</v>
      </c>
    </row>
    <row r="13633" spans="1:9" x14ac:dyDescent="0.25">
      <c r="A13633" t="str">
        <f t="shared" si="321"/>
        <v>89301000</v>
      </c>
      <c r="B13633" t="str">
        <f>"8407195346"</f>
        <v>8407195346</v>
      </c>
      <c r="C13633" s="1">
        <v>45278</v>
      </c>
      <c r="D13633" s="1">
        <v>45280</v>
      </c>
      <c r="E13633">
        <v>1</v>
      </c>
      <c r="F13633" t="str">
        <f>"08-M03-05"</f>
        <v>08-M03-05</v>
      </c>
      <c r="G13633">
        <v>0.46810000000000002</v>
      </c>
      <c r="H13633" t="s">
        <v>11</v>
      </c>
      <c r="I13633" t="s">
        <v>10</v>
      </c>
    </row>
    <row r="13634" spans="1:9" x14ac:dyDescent="0.25">
      <c r="A13634" t="str">
        <f t="shared" si="321"/>
        <v>89301000</v>
      </c>
      <c r="B13634" t="str">
        <f>"8407305808"</f>
        <v>8407305808</v>
      </c>
      <c r="C13634" s="1">
        <v>45224</v>
      </c>
      <c r="D13634" s="1">
        <v>45226</v>
      </c>
      <c r="E13634">
        <v>1</v>
      </c>
      <c r="F13634" t="str">
        <f>"10-K15-02"</f>
        <v>10-K15-02</v>
      </c>
      <c r="G13634">
        <v>0.66379999999999995</v>
      </c>
      <c r="H13634" t="s">
        <v>11</v>
      </c>
      <c r="I13634" t="s">
        <v>10</v>
      </c>
    </row>
    <row r="13635" spans="1:9" x14ac:dyDescent="0.25">
      <c r="A13635" t="str">
        <f t="shared" si="321"/>
        <v>89301000</v>
      </c>
      <c r="B13635" t="str">
        <f>"8408145306"</f>
        <v>8408145306</v>
      </c>
      <c r="C13635" s="1">
        <v>45214</v>
      </c>
      <c r="D13635" s="1">
        <v>45217</v>
      </c>
      <c r="E13635">
        <v>1</v>
      </c>
      <c r="F13635" t="str">
        <f>"08-I16-01"</f>
        <v>08-I16-01</v>
      </c>
      <c r="G13635">
        <v>2.4142000000000001</v>
      </c>
      <c r="H13635" t="s">
        <v>12</v>
      </c>
      <c r="I13635" t="s">
        <v>10</v>
      </c>
    </row>
    <row r="13636" spans="1:9" x14ac:dyDescent="0.25">
      <c r="A13636" t="str">
        <f t="shared" si="321"/>
        <v>89301000</v>
      </c>
      <c r="B13636" t="str">
        <f>"8408235319"</f>
        <v>8408235319</v>
      </c>
      <c r="C13636" s="1">
        <v>45254</v>
      </c>
      <c r="D13636" s="1">
        <v>45258</v>
      </c>
      <c r="E13636">
        <v>1</v>
      </c>
      <c r="F13636" t="str">
        <f>"06-I18-05"</f>
        <v>06-I18-05</v>
      </c>
      <c r="G13636">
        <v>0.82420000000000004</v>
      </c>
      <c r="H13636" t="s">
        <v>9</v>
      </c>
      <c r="I13636" t="s">
        <v>10</v>
      </c>
    </row>
    <row r="13637" spans="1:9" x14ac:dyDescent="0.25">
      <c r="A13637" t="str">
        <f t="shared" si="321"/>
        <v>89301000</v>
      </c>
      <c r="B13637" t="str">
        <f>"8410115318"</f>
        <v>8410115318</v>
      </c>
      <c r="C13637" s="1">
        <v>44959</v>
      </c>
      <c r="D13637" s="1">
        <v>44960</v>
      </c>
      <c r="E13637">
        <v>1</v>
      </c>
      <c r="F13637" t="str">
        <f>"08-I17-02"</f>
        <v>08-I17-02</v>
      </c>
      <c r="G13637">
        <v>0.89680000000000004</v>
      </c>
      <c r="H13637" t="s">
        <v>11</v>
      </c>
      <c r="I13637" t="s">
        <v>10</v>
      </c>
    </row>
    <row r="13638" spans="1:9" x14ac:dyDescent="0.25">
      <c r="A13638" t="str">
        <f t="shared" si="321"/>
        <v>89301000</v>
      </c>
      <c r="B13638" t="str">
        <f>"8410235328"</f>
        <v>8410235328</v>
      </c>
      <c r="C13638" s="1">
        <v>45022</v>
      </c>
      <c r="D13638" s="1">
        <v>45036</v>
      </c>
      <c r="E13638">
        <v>1</v>
      </c>
      <c r="F13638" t="str">
        <f>"18-K02-02"</f>
        <v>18-K02-02</v>
      </c>
      <c r="G13638">
        <v>1.3509</v>
      </c>
      <c r="H13638" t="s">
        <v>11</v>
      </c>
      <c r="I13638" t="s">
        <v>10</v>
      </c>
    </row>
    <row r="13639" spans="1:9" x14ac:dyDescent="0.25">
      <c r="A13639" t="str">
        <f t="shared" si="321"/>
        <v>89301000</v>
      </c>
      <c r="B13639" t="str">
        <f>"8410235790"</f>
        <v>8410235790</v>
      </c>
      <c r="C13639" s="1">
        <v>45166</v>
      </c>
      <c r="D13639" s="1">
        <v>45169</v>
      </c>
      <c r="E13639">
        <v>1</v>
      </c>
      <c r="F13639" t="str">
        <f>"05-D01-06"</f>
        <v>05-D01-06</v>
      </c>
      <c r="G13639">
        <v>0.7571</v>
      </c>
      <c r="H13639" t="s">
        <v>11</v>
      </c>
      <c r="I13639" t="s">
        <v>10</v>
      </c>
    </row>
    <row r="13640" spans="1:9" x14ac:dyDescent="0.25">
      <c r="A13640" t="str">
        <f t="shared" si="321"/>
        <v>89301000</v>
      </c>
      <c r="B13640" t="str">
        <f>"8410315826"</f>
        <v>8410315826</v>
      </c>
      <c r="C13640" s="1">
        <v>45177</v>
      </c>
      <c r="D13640" s="1">
        <v>45182</v>
      </c>
      <c r="E13640">
        <v>1</v>
      </c>
      <c r="F13640" t="str">
        <f>"08-I03-07"</f>
        <v>08-I03-07</v>
      </c>
      <c r="G13640">
        <v>2.8569</v>
      </c>
      <c r="H13640" t="s">
        <v>9</v>
      </c>
      <c r="I13640" t="s">
        <v>10</v>
      </c>
    </row>
    <row r="13641" spans="1:9" x14ac:dyDescent="0.25">
      <c r="A13641" t="str">
        <f t="shared" si="321"/>
        <v>89301000</v>
      </c>
      <c r="B13641" t="str">
        <f>"8411105769"</f>
        <v>8411105769</v>
      </c>
      <c r="C13641" s="1">
        <v>45040</v>
      </c>
      <c r="D13641" s="1">
        <v>45048</v>
      </c>
      <c r="E13641">
        <v>1</v>
      </c>
      <c r="F13641" t="str">
        <f>"20-K03-03"</f>
        <v>20-K03-03</v>
      </c>
      <c r="G13641">
        <v>0.94020000000000004</v>
      </c>
      <c r="H13641" t="s">
        <v>11</v>
      </c>
      <c r="I13641" t="s">
        <v>10</v>
      </c>
    </row>
    <row r="13642" spans="1:9" x14ac:dyDescent="0.25">
      <c r="A13642" t="str">
        <f t="shared" si="321"/>
        <v>89301000</v>
      </c>
      <c r="B13642" t="str">
        <f>"8411235360"</f>
        <v>8411235360</v>
      </c>
      <c r="C13642" s="1">
        <v>45204</v>
      </c>
      <c r="D13642" s="1">
        <v>45211</v>
      </c>
      <c r="E13642">
        <v>1</v>
      </c>
      <c r="F13642" t="str">
        <f>"02-K01-02"</f>
        <v>02-K01-02</v>
      </c>
      <c r="G13642">
        <v>0.91500000000000004</v>
      </c>
      <c r="H13642" t="s">
        <v>11</v>
      </c>
      <c r="I13642" t="s">
        <v>10</v>
      </c>
    </row>
    <row r="13643" spans="1:9" x14ac:dyDescent="0.25">
      <c r="A13643" t="str">
        <f t="shared" si="321"/>
        <v>89301000</v>
      </c>
      <c r="B13643" t="str">
        <f>"8411235360"</f>
        <v>8411235360</v>
      </c>
      <c r="C13643" s="1">
        <v>45033</v>
      </c>
      <c r="D13643" s="1">
        <v>45034</v>
      </c>
      <c r="E13643">
        <v>1</v>
      </c>
      <c r="F13643" t="str">
        <f>"01-K18-04"</f>
        <v>01-K18-04</v>
      </c>
      <c r="G13643">
        <v>0.54610000000000003</v>
      </c>
      <c r="H13643" t="s">
        <v>11</v>
      </c>
      <c r="I13643" t="s">
        <v>10</v>
      </c>
    </row>
    <row r="13644" spans="1:9" x14ac:dyDescent="0.25">
      <c r="A13644" t="str">
        <f t="shared" si="321"/>
        <v>89301000</v>
      </c>
      <c r="B13644" t="str">
        <f>"8412149988"</f>
        <v>8412149988</v>
      </c>
      <c r="C13644" s="1">
        <v>45121</v>
      </c>
      <c r="D13644" s="1">
        <v>45127</v>
      </c>
      <c r="E13644">
        <v>1</v>
      </c>
      <c r="F13644" t="str">
        <f>"09-K01-02"</f>
        <v>09-K01-02</v>
      </c>
      <c r="G13644">
        <v>1.0348999999999999</v>
      </c>
      <c r="H13644" t="s">
        <v>11</v>
      </c>
      <c r="I13644" t="s">
        <v>10</v>
      </c>
    </row>
    <row r="13645" spans="1:9" x14ac:dyDescent="0.25">
      <c r="A13645" t="str">
        <f t="shared" si="321"/>
        <v>89301000</v>
      </c>
      <c r="B13645" t="str">
        <f>"8412214470"</f>
        <v>8412214470</v>
      </c>
      <c r="C13645" s="1">
        <v>45134</v>
      </c>
      <c r="D13645" s="1">
        <v>45139</v>
      </c>
      <c r="E13645">
        <v>1</v>
      </c>
      <c r="F13645" t="str">
        <f>"05-D01-06"</f>
        <v>05-D01-06</v>
      </c>
      <c r="G13645">
        <v>0.7571</v>
      </c>
      <c r="H13645" t="s">
        <v>11</v>
      </c>
      <c r="I13645" t="s">
        <v>10</v>
      </c>
    </row>
    <row r="13646" spans="1:9" x14ac:dyDescent="0.25">
      <c r="A13646" t="str">
        <f t="shared" si="321"/>
        <v>89301000</v>
      </c>
      <c r="B13646" t="str">
        <f>"8451052929"</f>
        <v>8451052929</v>
      </c>
      <c r="C13646" s="1">
        <v>45209</v>
      </c>
      <c r="D13646" s="1">
        <v>45211</v>
      </c>
      <c r="E13646">
        <v>1</v>
      </c>
      <c r="F13646" t="str">
        <f>"13-I19-00"</f>
        <v>13-I19-00</v>
      </c>
      <c r="G13646">
        <v>0.28249999999999997</v>
      </c>
      <c r="H13646" t="s">
        <v>11</v>
      </c>
      <c r="I13646" t="s">
        <v>10</v>
      </c>
    </row>
    <row r="13647" spans="1:9" x14ac:dyDescent="0.25">
      <c r="A13647" t="str">
        <f t="shared" si="321"/>
        <v>89301000</v>
      </c>
      <c r="B13647" t="str">
        <f>"8451104618"</f>
        <v>8451104618</v>
      </c>
      <c r="C13647" s="1">
        <v>45105</v>
      </c>
      <c r="D13647" s="1">
        <v>45133</v>
      </c>
      <c r="E13647">
        <v>1</v>
      </c>
      <c r="F13647" t="str">
        <f>"00-M01-01"</f>
        <v>00-M01-01</v>
      </c>
      <c r="G13647">
        <v>14.918900000000001</v>
      </c>
      <c r="H13647" t="s">
        <v>11</v>
      </c>
      <c r="I13647" t="s">
        <v>10</v>
      </c>
    </row>
    <row r="13648" spans="1:9" x14ac:dyDescent="0.25">
      <c r="A13648" t="str">
        <f t="shared" si="321"/>
        <v>89301000</v>
      </c>
      <c r="B13648" t="str">
        <f>"8451195357"</f>
        <v>8451195357</v>
      </c>
      <c r="C13648" s="1">
        <v>44972</v>
      </c>
      <c r="D13648" s="1">
        <v>44975</v>
      </c>
      <c r="E13648">
        <v>1</v>
      </c>
      <c r="F13648" t="str">
        <f>"09-I08-02"</f>
        <v>09-I08-02</v>
      </c>
      <c r="G13648">
        <v>1.1103000000000001</v>
      </c>
      <c r="H13648" t="s">
        <v>14</v>
      </c>
      <c r="I13648" t="s">
        <v>10</v>
      </c>
    </row>
    <row r="13649" spans="1:9" x14ac:dyDescent="0.25">
      <c r="A13649" t="str">
        <f t="shared" si="321"/>
        <v>89301000</v>
      </c>
      <c r="B13649" t="str">
        <f>"8451245759"</f>
        <v>8451245759</v>
      </c>
      <c r="C13649" s="1">
        <v>45143</v>
      </c>
      <c r="D13649" s="1">
        <v>45146</v>
      </c>
      <c r="E13649">
        <v>1</v>
      </c>
      <c r="F13649" t="str">
        <f>"14-M01-05"</f>
        <v>14-M01-05</v>
      </c>
      <c r="G13649">
        <v>0.56589999999999996</v>
      </c>
      <c r="H13649" t="s">
        <v>13</v>
      </c>
      <c r="I13649" t="s">
        <v>10</v>
      </c>
    </row>
    <row r="13650" spans="1:9" x14ac:dyDescent="0.25">
      <c r="A13650" t="str">
        <f t="shared" ref="A13650:A13713" si="322">"89301000"</f>
        <v>89301000</v>
      </c>
      <c r="B13650" t="str">
        <f>"8451294137"</f>
        <v>8451294137</v>
      </c>
      <c r="C13650" s="1">
        <v>45153</v>
      </c>
      <c r="D13650" s="1">
        <v>45156</v>
      </c>
      <c r="E13650">
        <v>1</v>
      </c>
      <c r="F13650" t="str">
        <f>"14-M01-05"</f>
        <v>14-M01-05</v>
      </c>
      <c r="G13650">
        <v>0.56289999999999996</v>
      </c>
      <c r="H13650" t="s">
        <v>13</v>
      </c>
      <c r="I13650" t="s">
        <v>10</v>
      </c>
    </row>
    <row r="13651" spans="1:9" x14ac:dyDescent="0.25">
      <c r="A13651" t="str">
        <f t="shared" si="322"/>
        <v>89301000</v>
      </c>
      <c r="B13651" t="str">
        <f>"8452015308"</f>
        <v>8452015308</v>
      </c>
      <c r="C13651" s="1">
        <v>45074</v>
      </c>
      <c r="D13651" s="1">
        <v>45079</v>
      </c>
      <c r="E13651">
        <v>1</v>
      </c>
      <c r="F13651" t="str">
        <f>"14-I01-05"</f>
        <v>14-I01-05</v>
      </c>
      <c r="G13651">
        <v>0.83340000000000003</v>
      </c>
      <c r="H13651" t="s">
        <v>13</v>
      </c>
      <c r="I13651" t="s">
        <v>10</v>
      </c>
    </row>
    <row r="13652" spans="1:9" x14ac:dyDescent="0.25">
      <c r="A13652" t="str">
        <f t="shared" si="322"/>
        <v>89301000</v>
      </c>
      <c r="B13652" t="str">
        <f>"8452015341"</f>
        <v>8452015341</v>
      </c>
      <c r="C13652" s="1">
        <v>45209</v>
      </c>
      <c r="D13652" s="1">
        <v>45211</v>
      </c>
      <c r="E13652">
        <v>1</v>
      </c>
      <c r="F13652" t="str">
        <f>"01-I13-00"</f>
        <v>01-I13-00</v>
      </c>
      <c r="G13652">
        <v>0.38400000000000001</v>
      </c>
      <c r="H13652" t="s">
        <v>11</v>
      </c>
      <c r="I13652" t="s">
        <v>10</v>
      </c>
    </row>
    <row r="13653" spans="1:9" x14ac:dyDescent="0.25">
      <c r="A13653" t="str">
        <f t="shared" si="322"/>
        <v>89301000</v>
      </c>
      <c r="B13653" t="str">
        <f>"8452085389"</f>
        <v>8452085389</v>
      </c>
      <c r="C13653" s="1">
        <v>45105</v>
      </c>
      <c r="D13653" s="1">
        <v>45111</v>
      </c>
      <c r="E13653">
        <v>1</v>
      </c>
      <c r="F13653" t="str">
        <f>"16-K02-02"</f>
        <v>16-K02-02</v>
      </c>
      <c r="G13653">
        <v>0.80310000000000004</v>
      </c>
      <c r="H13653" t="s">
        <v>11</v>
      </c>
      <c r="I13653" t="s">
        <v>10</v>
      </c>
    </row>
    <row r="13654" spans="1:9" x14ac:dyDescent="0.25">
      <c r="A13654" t="str">
        <f t="shared" si="322"/>
        <v>89301000</v>
      </c>
      <c r="B13654" t="str">
        <f>"8452085389"</f>
        <v>8452085389</v>
      </c>
      <c r="C13654" s="1">
        <v>45152</v>
      </c>
      <c r="D13654" s="1">
        <v>45154</v>
      </c>
      <c r="E13654">
        <v>1</v>
      </c>
      <c r="F13654" t="str">
        <f>"13-I19-00"</f>
        <v>13-I19-00</v>
      </c>
      <c r="G13654">
        <v>0.33429999999999999</v>
      </c>
      <c r="H13654" t="s">
        <v>11</v>
      </c>
      <c r="I13654" t="s">
        <v>10</v>
      </c>
    </row>
    <row r="13655" spans="1:9" x14ac:dyDescent="0.25">
      <c r="A13655" t="str">
        <f t="shared" si="322"/>
        <v>89301000</v>
      </c>
      <c r="B13655" t="str">
        <f>"8452085389"</f>
        <v>8452085389</v>
      </c>
      <c r="C13655" s="1">
        <v>45138</v>
      </c>
      <c r="D13655" s="1">
        <v>45140</v>
      </c>
      <c r="E13655">
        <v>1</v>
      </c>
      <c r="F13655" t="str">
        <f>"13-K06-00"</f>
        <v>13-K06-00</v>
      </c>
      <c r="G13655">
        <v>0.57030000000000003</v>
      </c>
      <c r="H13655" t="s">
        <v>11</v>
      </c>
      <c r="I13655" t="s">
        <v>10</v>
      </c>
    </row>
    <row r="13656" spans="1:9" x14ac:dyDescent="0.25">
      <c r="A13656" t="str">
        <f t="shared" si="322"/>
        <v>89301000</v>
      </c>
      <c r="B13656" t="str">
        <f>"8452095322"</f>
        <v>8452095322</v>
      </c>
      <c r="C13656" s="1">
        <v>45061</v>
      </c>
      <c r="D13656" s="1">
        <v>45069</v>
      </c>
      <c r="E13656">
        <v>1</v>
      </c>
      <c r="F13656" t="str">
        <f>"08-K08-00"</f>
        <v>08-K08-00</v>
      </c>
      <c r="G13656">
        <v>0.5272</v>
      </c>
      <c r="H13656" t="s">
        <v>11</v>
      </c>
      <c r="I13656" t="s">
        <v>10</v>
      </c>
    </row>
    <row r="13657" spans="1:9" x14ac:dyDescent="0.25">
      <c r="A13657" t="str">
        <f t="shared" si="322"/>
        <v>89301000</v>
      </c>
      <c r="B13657" t="str">
        <f>"8452105321"</f>
        <v>8452105321</v>
      </c>
      <c r="C13657" s="1">
        <v>44923</v>
      </c>
      <c r="D13657" s="1">
        <v>44927</v>
      </c>
      <c r="E13657">
        <v>1</v>
      </c>
      <c r="F13657" t="str">
        <f>"14-I01-02"</f>
        <v>14-I01-02</v>
      </c>
      <c r="G13657">
        <v>1.2988999999999999</v>
      </c>
      <c r="H13657" t="s">
        <v>13</v>
      </c>
      <c r="I13657" t="s">
        <v>10</v>
      </c>
    </row>
    <row r="13658" spans="1:9" x14ac:dyDescent="0.25">
      <c r="A13658" t="str">
        <f t="shared" si="322"/>
        <v>89301000</v>
      </c>
      <c r="B13658" t="str">
        <f>"8453015307"</f>
        <v>8453015307</v>
      </c>
      <c r="C13658" s="1">
        <v>44966</v>
      </c>
      <c r="D13658" s="1">
        <v>44967</v>
      </c>
      <c r="E13658">
        <v>1</v>
      </c>
      <c r="F13658" t="str">
        <f>"08-I32-00"</f>
        <v>08-I32-00</v>
      </c>
      <c r="G13658">
        <v>0.4093</v>
      </c>
      <c r="H13658" t="s">
        <v>11</v>
      </c>
      <c r="I13658" t="s">
        <v>10</v>
      </c>
    </row>
    <row r="13659" spans="1:9" x14ac:dyDescent="0.25">
      <c r="A13659" t="str">
        <f t="shared" si="322"/>
        <v>89301000</v>
      </c>
      <c r="B13659" t="str">
        <f>"8453095332"</f>
        <v>8453095332</v>
      </c>
      <c r="C13659" s="1">
        <v>45016</v>
      </c>
      <c r="D13659" s="1">
        <v>45019</v>
      </c>
      <c r="E13659">
        <v>1</v>
      </c>
      <c r="F13659" t="str">
        <f>"14-M01-05"</f>
        <v>14-M01-05</v>
      </c>
      <c r="G13659">
        <v>0.56589999999999996</v>
      </c>
      <c r="H13659" t="s">
        <v>13</v>
      </c>
      <c r="I13659" t="s">
        <v>10</v>
      </c>
    </row>
    <row r="13660" spans="1:9" x14ac:dyDescent="0.25">
      <c r="A13660" t="str">
        <f t="shared" si="322"/>
        <v>89301000</v>
      </c>
      <c r="B13660" t="str">
        <f>"8453115308"</f>
        <v>8453115308</v>
      </c>
      <c r="C13660" s="1">
        <v>44965</v>
      </c>
      <c r="D13660" s="1">
        <v>44966</v>
      </c>
      <c r="E13660">
        <v>1</v>
      </c>
      <c r="F13660" t="str">
        <f>"05-M03-00"</f>
        <v>05-M03-00</v>
      </c>
      <c r="G13660">
        <v>3.4253999999999998</v>
      </c>
      <c r="H13660" t="s">
        <v>14</v>
      </c>
      <c r="I13660" t="s">
        <v>10</v>
      </c>
    </row>
    <row r="13661" spans="1:9" x14ac:dyDescent="0.25">
      <c r="A13661" t="str">
        <f t="shared" si="322"/>
        <v>89301000</v>
      </c>
      <c r="B13661" t="str">
        <f>"8453175313"</f>
        <v>8453175313</v>
      </c>
      <c r="C13661" s="1">
        <v>45183</v>
      </c>
      <c r="D13661" s="1">
        <v>45184</v>
      </c>
      <c r="E13661">
        <v>1</v>
      </c>
      <c r="F13661" t="str">
        <f>"13-I19-00"</f>
        <v>13-I19-00</v>
      </c>
      <c r="G13661">
        <v>0.28249999999999997</v>
      </c>
      <c r="H13661" t="s">
        <v>11</v>
      </c>
      <c r="I13661" t="s">
        <v>10</v>
      </c>
    </row>
    <row r="13662" spans="1:9" x14ac:dyDescent="0.25">
      <c r="A13662" t="str">
        <f t="shared" si="322"/>
        <v>89301000</v>
      </c>
      <c r="B13662" t="str">
        <f>"8453245328"</f>
        <v>8453245328</v>
      </c>
      <c r="C13662" s="1">
        <v>45048</v>
      </c>
      <c r="D13662" s="1">
        <v>45049</v>
      </c>
      <c r="E13662">
        <v>1</v>
      </c>
      <c r="F13662" t="str">
        <f>"08-I17-02"</f>
        <v>08-I17-02</v>
      </c>
      <c r="G13662">
        <v>0.89680000000000004</v>
      </c>
      <c r="H13662" t="s">
        <v>11</v>
      </c>
      <c r="I13662" t="s">
        <v>10</v>
      </c>
    </row>
    <row r="13663" spans="1:9" x14ac:dyDescent="0.25">
      <c r="A13663" t="str">
        <f t="shared" si="322"/>
        <v>89301000</v>
      </c>
      <c r="B13663" t="str">
        <f>"8453255305"</f>
        <v>8453255305</v>
      </c>
      <c r="C13663" s="1">
        <v>45105</v>
      </c>
      <c r="D13663" s="1">
        <v>45110</v>
      </c>
      <c r="E13663">
        <v>1</v>
      </c>
      <c r="F13663" t="str">
        <f>"01-K03-08"</f>
        <v>01-K03-08</v>
      </c>
      <c r="G13663">
        <v>0.38290000000000002</v>
      </c>
      <c r="H13663" t="s">
        <v>11</v>
      </c>
      <c r="I13663" t="s">
        <v>10</v>
      </c>
    </row>
    <row r="13664" spans="1:9" x14ac:dyDescent="0.25">
      <c r="A13664" t="str">
        <f t="shared" si="322"/>
        <v>89301000</v>
      </c>
      <c r="B13664" t="str">
        <f>"8453264622"</f>
        <v>8453264622</v>
      </c>
      <c r="C13664" s="1">
        <v>44966</v>
      </c>
      <c r="D13664" s="1">
        <v>44968</v>
      </c>
      <c r="E13664">
        <v>1</v>
      </c>
      <c r="F13664" t="str">
        <f>"13-I19-00"</f>
        <v>13-I19-00</v>
      </c>
      <c r="G13664">
        <v>0.28249999999999997</v>
      </c>
      <c r="H13664" t="s">
        <v>11</v>
      </c>
      <c r="I13664" t="s">
        <v>10</v>
      </c>
    </row>
    <row r="13665" spans="1:9" x14ac:dyDescent="0.25">
      <c r="A13665" t="str">
        <f t="shared" si="322"/>
        <v>89301000</v>
      </c>
      <c r="B13665" t="str">
        <f>"8453285357"</f>
        <v>8453285357</v>
      </c>
      <c r="C13665" s="1">
        <v>45228</v>
      </c>
      <c r="D13665" s="1">
        <v>45233</v>
      </c>
      <c r="E13665">
        <v>1</v>
      </c>
      <c r="F13665" t="str">
        <f>"01-I06-04"</f>
        <v>01-I06-04</v>
      </c>
      <c r="G13665">
        <v>3.6478999999999999</v>
      </c>
      <c r="H13665" t="s">
        <v>12</v>
      </c>
      <c r="I13665" t="s">
        <v>10</v>
      </c>
    </row>
    <row r="13666" spans="1:9" x14ac:dyDescent="0.25">
      <c r="A13666" t="str">
        <f t="shared" si="322"/>
        <v>89301000</v>
      </c>
      <c r="B13666" t="str">
        <f>"8453285357"</f>
        <v>8453285357</v>
      </c>
      <c r="C13666" s="1">
        <v>45167</v>
      </c>
      <c r="D13666" s="1">
        <v>45172</v>
      </c>
      <c r="E13666">
        <v>1</v>
      </c>
      <c r="F13666" t="str">
        <f>"01-I06-04"</f>
        <v>01-I06-04</v>
      </c>
      <c r="G13666">
        <v>3.6478999999999999</v>
      </c>
      <c r="H13666" t="s">
        <v>12</v>
      </c>
      <c r="I13666" t="s">
        <v>10</v>
      </c>
    </row>
    <row r="13667" spans="1:9" x14ac:dyDescent="0.25">
      <c r="A13667" t="str">
        <f t="shared" si="322"/>
        <v>89301000</v>
      </c>
      <c r="B13667" t="str">
        <f>"8453285357"</f>
        <v>8453285357</v>
      </c>
      <c r="C13667" s="1">
        <v>44942</v>
      </c>
      <c r="D13667" s="1">
        <v>44946</v>
      </c>
      <c r="E13667">
        <v>1</v>
      </c>
      <c r="F13667" t="str">
        <f>"01-D01-02"</f>
        <v>01-D01-02</v>
      </c>
      <c r="G13667">
        <v>0.44619999999999999</v>
      </c>
      <c r="H13667" t="s">
        <v>11</v>
      </c>
      <c r="I13667" t="s">
        <v>10</v>
      </c>
    </row>
    <row r="13668" spans="1:9" x14ac:dyDescent="0.25">
      <c r="A13668" t="str">
        <f t="shared" si="322"/>
        <v>89301000</v>
      </c>
      <c r="B13668" t="str">
        <f>"8454015537"</f>
        <v>8454015537</v>
      </c>
      <c r="C13668" s="1">
        <v>44986</v>
      </c>
      <c r="D13668" s="1">
        <v>44989</v>
      </c>
      <c r="E13668">
        <v>1</v>
      </c>
      <c r="F13668" t="str">
        <f>"14-M01-05"</f>
        <v>14-M01-05</v>
      </c>
      <c r="G13668">
        <v>0.56289999999999996</v>
      </c>
      <c r="H13668" t="s">
        <v>13</v>
      </c>
      <c r="I13668" t="s">
        <v>10</v>
      </c>
    </row>
    <row r="13669" spans="1:9" x14ac:dyDescent="0.25">
      <c r="A13669" t="str">
        <f t="shared" si="322"/>
        <v>89301000</v>
      </c>
      <c r="B13669" t="str">
        <f>"8454015537"</f>
        <v>8454015537</v>
      </c>
      <c r="C13669" s="1">
        <v>45049</v>
      </c>
      <c r="D13669" s="1">
        <v>45050</v>
      </c>
      <c r="E13669">
        <v>1</v>
      </c>
      <c r="F13669" t="str">
        <f>"14-I08-03"</f>
        <v>14-I08-03</v>
      </c>
      <c r="G13669">
        <v>0.2414</v>
      </c>
      <c r="H13669" t="s">
        <v>11</v>
      </c>
      <c r="I13669" t="s">
        <v>10</v>
      </c>
    </row>
    <row r="13670" spans="1:9" x14ac:dyDescent="0.25">
      <c r="A13670" t="str">
        <f t="shared" si="322"/>
        <v>89301000</v>
      </c>
      <c r="B13670" t="str">
        <f>"8454055313"</f>
        <v>8454055313</v>
      </c>
      <c r="C13670" s="1">
        <v>45273</v>
      </c>
      <c r="D13670" s="1">
        <v>45274</v>
      </c>
      <c r="E13670">
        <v>1</v>
      </c>
      <c r="F13670" t="str">
        <f>"23-K01-00"</f>
        <v>23-K01-00</v>
      </c>
      <c r="G13670">
        <v>0.1401</v>
      </c>
      <c r="H13670" t="s">
        <v>11</v>
      </c>
      <c r="I13670" t="s">
        <v>10</v>
      </c>
    </row>
    <row r="13671" spans="1:9" x14ac:dyDescent="0.25">
      <c r="A13671" t="str">
        <f t="shared" si="322"/>
        <v>89301000</v>
      </c>
      <c r="B13671" t="str">
        <f>"8454144468"</f>
        <v>8454144468</v>
      </c>
      <c r="C13671" s="1">
        <v>45013</v>
      </c>
      <c r="D13671" s="1">
        <v>45017</v>
      </c>
      <c r="E13671">
        <v>1</v>
      </c>
      <c r="F13671" t="str">
        <f>"14-M01-05"</f>
        <v>14-M01-05</v>
      </c>
      <c r="G13671">
        <v>0.56289999999999996</v>
      </c>
      <c r="H13671" t="s">
        <v>13</v>
      </c>
      <c r="I13671" t="s">
        <v>10</v>
      </c>
    </row>
    <row r="13672" spans="1:9" x14ac:dyDescent="0.25">
      <c r="A13672" t="str">
        <f t="shared" si="322"/>
        <v>89301000</v>
      </c>
      <c r="B13672" t="str">
        <f>"8454194463"</f>
        <v>8454194463</v>
      </c>
      <c r="C13672" s="1">
        <v>44986</v>
      </c>
      <c r="D13672" s="1">
        <v>44987</v>
      </c>
      <c r="E13672">
        <v>1</v>
      </c>
      <c r="F13672" t="str">
        <f>"03-K13-02"</f>
        <v>03-K13-02</v>
      </c>
      <c r="G13672">
        <v>0.24440000000000001</v>
      </c>
      <c r="H13672" t="s">
        <v>11</v>
      </c>
      <c r="I13672" t="s">
        <v>10</v>
      </c>
    </row>
    <row r="13673" spans="1:9" x14ac:dyDescent="0.25">
      <c r="A13673" t="str">
        <f t="shared" si="322"/>
        <v>89301000</v>
      </c>
      <c r="B13673" t="str">
        <f>"8454245316"</f>
        <v>8454245316</v>
      </c>
      <c r="C13673" s="1">
        <v>45266</v>
      </c>
      <c r="D13673" s="1">
        <v>45269</v>
      </c>
      <c r="E13673">
        <v>1</v>
      </c>
      <c r="F13673" t="str">
        <f>"14-I01-05"</f>
        <v>14-I01-05</v>
      </c>
      <c r="G13673">
        <v>0.83</v>
      </c>
      <c r="H13673" t="s">
        <v>13</v>
      </c>
      <c r="I13673" t="s">
        <v>10</v>
      </c>
    </row>
    <row r="13674" spans="1:9" x14ac:dyDescent="0.25">
      <c r="A13674" t="str">
        <f t="shared" si="322"/>
        <v>89301000</v>
      </c>
      <c r="B13674" t="str">
        <f>"8455035314"</f>
        <v>8455035314</v>
      </c>
      <c r="C13674" s="1">
        <v>45230</v>
      </c>
      <c r="D13674" s="1">
        <v>45232</v>
      </c>
      <c r="E13674">
        <v>1</v>
      </c>
      <c r="F13674" t="str">
        <f>"08-I03-08"</f>
        <v>08-I03-08</v>
      </c>
      <c r="G13674">
        <v>1.9455</v>
      </c>
      <c r="H13674" t="s">
        <v>9</v>
      </c>
      <c r="I13674" t="s">
        <v>10</v>
      </c>
    </row>
    <row r="13675" spans="1:9" x14ac:dyDescent="0.25">
      <c r="A13675" t="str">
        <f t="shared" si="322"/>
        <v>89301000</v>
      </c>
      <c r="B13675" t="str">
        <f>"8455128484"</f>
        <v>8455128484</v>
      </c>
      <c r="C13675" s="1">
        <v>45040</v>
      </c>
      <c r="D13675" s="1">
        <v>45041</v>
      </c>
      <c r="E13675">
        <v>1</v>
      </c>
      <c r="F13675" t="str">
        <f>"14-M01-05"</f>
        <v>14-M01-05</v>
      </c>
      <c r="G13675">
        <v>0.56289999999999996</v>
      </c>
      <c r="H13675" t="s">
        <v>13</v>
      </c>
      <c r="I13675" t="s">
        <v>10</v>
      </c>
    </row>
    <row r="13676" spans="1:9" x14ac:dyDescent="0.25">
      <c r="A13676" t="str">
        <f t="shared" si="322"/>
        <v>89301000</v>
      </c>
      <c r="B13676" t="str">
        <f>"8455165092"</f>
        <v>8455165092</v>
      </c>
      <c r="C13676" s="1">
        <v>45202</v>
      </c>
      <c r="D13676" s="1">
        <v>45205</v>
      </c>
      <c r="E13676">
        <v>1</v>
      </c>
      <c r="F13676" t="str">
        <f>"09-K14-02"</f>
        <v>09-K14-02</v>
      </c>
      <c r="G13676">
        <v>0.5</v>
      </c>
      <c r="H13676" t="s">
        <v>11</v>
      </c>
      <c r="I13676" t="s">
        <v>10</v>
      </c>
    </row>
    <row r="13677" spans="1:9" x14ac:dyDescent="0.25">
      <c r="A13677" t="str">
        <f t="shared" si="322"/>
        <v>89301000</v>
      </c>
      <c r="B13677" t="str">
        <f>"8455205814"</f>
        <v>8455205814</v>
      </c>
      <c r="C13677" s="1">
        <v>45099</v>
      </c>
      <c r="D13677" s="1">
        <v>45101</v>
      </c>
      <c r="E13677">
        <v>1</v>
      </c>
      <c r="F13677" t="str">
        <f>"09-I04-02"</f>
        <v>09-I04-02</v>
      </c>
      <c r="G13677">
        <v>1.0899000000000001</v>
      </c>
      <c r="H13677" t="s">
        <v>12</v>
      </c>
      <c r="I13677" t="s">
        <v>10</v>
      </c>
    </row>
    <row r="13678" spans="1:9" x14ac:dyDescent="0.25">
      <c r="A13678" t="str">
        <f t="shared" si="322"/>
        <v>89301000</v>
      </c>
      <c r="B13678" t="str">
        <f>"8455244853"</f>
        <v>8455244853</v>
      </c>
      <c r="C13678" s="1">
        <v>45048</v>
      </c>
      <c r="D13678" s="1">
        <v>45050</v>
      </c>
      <c r="E13678">
        <v>1</v>
      </c>
      <c r="F13678" t="str">
        <f>"03-I14-02"</f>
        <v>03-I14-02</v>
      </c>
      <c r="G13678">
        <v>1.0793999999999999</v>
      </c>
      <c r="H13678" t="s">
        <v>11</v>
      </c>
      <c r="I13678" t="s">
        <v>10</v>
      </c>
    </row>
    <row r="13679" spans="1:9" x14ac:dyDescent="0.25">
      <c r="A13679" t="str">
        <f t="shared" si="322"/>
        <v>89301000</v>
      </c>
      <c r="B13679" t="str">
        <f>"8456075859"</f>
        <v>8456075859</v>
      </c>
      <c r="C13679" s="1">
        <v>45041</v>
      </c>
      <c r="D13679" s="1">
        <v>45044</v>
      </c>
      <c r="E13679">
        <v>1</v>
      </c>
      <c r="F13679" t="str">
        <f>"06-I17-04"</f>
        <v>06-I17-04</v>
      </c>
      <c r="G13679">
        <v>0.49869999999999998</v>
      </c>
      <c r="H13679" t="s">
        <v>12</v>
      </c>
      <c r="I13679" t="s">
        <v>10</v>
      </c>
    </row>
    <row r="13680" spans="1:9" x14ac:dyDescent="0.25">
      <c r="A13680" t="str">
        <f t="shared" si="322"/>
        <v>89301000</v>
      </c>
      <c r="B13680" t="str">
        <f>"8456124457"</f>
        <v>8456124457</v>
      </c>
      <c r="C13680" s="1">
        <v>45032</v>
      </c>
      <c r="D13680" s="1">
        <v>45035</v>
      </c>
      <c r="E13680">
        <v>1</v>
      </c>
      <c r="F13680" t="str">
        <f>"07-I10-06"</f>
        <v>07-I10-06</v>
      </c>
      <c r="G13680">
        <v>0.98419999999999996</v>
      </c>
      <c r="H13680" t="s">
        <v>12</v>
      </c>
      <c r="I13680" t="s">
        <v>10</v>
      </c>
    </row>
    <row r="13681" spans="1:9" x14ac:dyDescent="0.25">
      <c r="A13681" t="str">
        <f t="shared" si="322"/>
        <v>89301000</v>
      </c>
      <c r="B13681" t="str">
        <f>"8456215306"</f>
        <v>8456215306</v>
      </c>
      <c r="C13681" s="1">
        <v>45003</v>
      </c>
      <c r="D13681" s="1">
        <v>45006</v>
      </c>
      <c r="E13681">
        <v>1</v>
      </c>
      <c r="F13681" t="str">
        <f>"14-I01-02"</f>
        <v>14-I01-02</v>
      </c>
      <c r="G13681">
        <v>1.2935000000000001</v>
      </c>
      <c r="H13681" t="s">
        <v>13</v>
      </c>
      <c r="I13681" t="s">
        <v>10</v>
      </c>
    </row>
    <row r="13682" spans="1:9" x14ac:dyDescent="0.25">
      <c r="A13682" t="str">
        <f t="shared" si="322"/>
        <v>89301000</v>
      </c>
      <c r="B13682" t="str">
        <f>"8456235315"</f>
        <v>8456235315</v>
      </c>
      <c r="C13682" s="1">
        <v>45054</v>
      </c>
      <c r="D13682" s="1">
        <v>45058</v>
      </c>
      <c r="E13682">
        <v>1</v>
      </c>
      <c r="F13682" t="str">
        <f>"13-I08-02"</f>
        <v>13-I08-02</v>
      </c>
      <c r="G13682">
        <v>1.5999000000000001</v>
      </c>
      <c r="H13682" t="s">
        <v>14</v>
      </c>
      <c r="I13682" t="s">
        <v>10</v>
      </c>
    </row>
    <row r="13683" spans="1:9" x14ac:dyDescent="0.25">
      <c r="A13683" t="str">
        <f t="shared" si="322"/>
        <v>89301000</v>
      </c>
      <c r="B13683" t="str">
        <f>"8456265312"</f>
        <v>8456265312</v>
      </c>
      <c r="C13683" s="1">
        <v>45181</v>
      </c>
      <c r="D13683" s="1">
        <v>45183</v>
      </c>
      <c r="E13683">
        <v>1</v>
      </c>
      <c r="F13683" t="str">
        <f>"11-M06-03"</f>
        <v>11-M06-03</v>
      </c>
      <c r="G13683">
        <v>0.62009999999999998</v>
      </c>
      <c r="H13683" t="s">
        <v>12</v>
      </c>
      <c r="I13683" t="s">
        <v>10</v>
      </c>
    </row>
    <row r="13684" spans="1:9" x14ac:dyDescent="0.25">
      <c r="A13684" t="str">
        <f t="shared" si="322"/>
        <v>89301000</v>
      </c>
      <c r="B13684" t="str">
        <f>"8456265312"</f>
        <v>8456265312</v>
      </c>
      <c r="C13684" s="1">
        <v>45125</v>
      </c>
      <c r="D13684" s="1">
        <v>45128</v>
      </c>
      <c r="E13684">
        <v>1</v>
      </c>
      <c r="F13684" t="str">
        <f>"11-M06-03"</f>
        <v>11-M06-03</v>
      </c>
      <c r="G13684">
        <v>0.62009999999999998</v>
      </c>
      <c r="H13684" t="s">
        <v>12</v>
      </c>
      <c r="I13684" t="s">
        <v>10</v>
      </c>
    </row>
    <row r="13685" spans="1:9" x14ac:dyDescent="0.25">
      <c r="A13685" t="str">
        <f t="shared" si="322"/>
        <v>89301000</v>
      </c>
      <c r="B13685" t="str">
        <f>"8456295320"</f>
        <v>8456295320</v>
      </c>
      <c r="C13685" s="1">
        <v>45158</v>
      </c>
      <c r="D13685" s="1">
        <v>45161</v>
      </c>
      <c r="E13685">
        <v>1</v>
      </c>
      <c r="F13685" t="str">
        <f>"14-M01-05"</f>
        <v>14-M01-05</v>
      </c>
      <c r="G13685">
        <v>0.56589999999999996</v>
      </c>
      <c r="H13685" t="s">
        <v>13</v>
      </c>
      <c r="I13685" t="s">
        <v>10</v>
      </c>
    </row>
    <row r="13686" spans="1:9" x14ac:dyDescent="0.25">
      <c r="A13686" t="str">
        <f t="shared" si="322"/>
        <v>89301000</v>
      </c>
      <c r="B13686" t="str">
        <f>"8458014499"</f>
        <v>8458014499</v>
      </c>
      <c r="C13686" s="1">
        <v>44952</v>
      </c>
      <c r="D13686" s="1">
        <v>44955</v>
      </c>
      <c r="E13686">
        <v>1</v>
      </c>
      <c r="F13686" t="str">
        <f>"05-I30-01"</f>
        <v>05-I30-01</v>
      </c>
      <c r="G13686">
        <v>0.60309999999999997</v>
      </c>
      <c r="H13686" t="s">
        <v>12</v>
      </c>
      <c r="I13686" t="s">
        <v>10</v>
      </c>
    </row>
    <row r="13687" spans="1:9" x14ac:dyDescent="0.25">
      <c r="A13687" t="str">
        <f t="shared" si="322"/>
        <v>89301000</v>
      </c>
      <c r="B13687" t="str">
        <f>"8458085163"</f>
        <v>8458085163</v>
      </c>
      <c r="C13687" s="1">
        <v>45015</v>
      </c>
      <c r="D13687" s="1">
        <v>45018</v>
      </c>
      <c r="E13687">
        <v>1</v>
      </c>
      <c r="F13687" t="str">
        <f>"09-I07-01"</f>
        <v>09-I07-01</v>
      </c>
      <c r="G13687">
        <v>1.6956</v>
      </c>
      <c r="H13687" t="s">
        <v>14</v>
      </c>
      <c r="I13687" t="s">
        <v>10</v>
      </c>
    </row>
    <row r="13688" spans="1:9" x14ac:dyDescent="0.25">
      <c r="A13688" t="str">
        <f t="shared" si="322"/>
        <v>89301000</v>
      </c>
      <c r="B13688" t="str">
        <f>"8458085163"</f>
        <v>8458085163</v>
      </c>
      <c r="C13688" s="1">
        <v>45232</v>
      </c>
      <c r="D13688" s="1">
        <v>45234</v>
      </c>
      <c r="E13688">
        <v>1</v>
      </c>
      <c r="F13688" t="str">
        <f>"09-I08-02"</f>
        <v>09-I08-02</v>
      </c>
      <c r="G13688">
        <v>1.1120000000000001</v>
      </c>
      <c r="H13688" t="s">
        <v>14</v>
      </c>
      <c r="I13688" t="s">
        <v>10</v>
      </c>
    </row>
    <row r="13689" spans="1:9" x14ac:dyDescent="0.25">
      <c r="A13689" t="str">
        <f t="shared" si="322"/>
        <v>89301000</v>
      </c>
      <c r="B13689" t="str">
        <f>"8458145696"</f>
        <v>8458145696</v>
      </c>
      <c r="C13689" s="1">
        <v>44993</v>
      </c>
      <c r="D13689" s="1">
        <v>44995</v>
      </c>
      <c r="E13689">
        <v>1</v>
      </c>
      <c r="F13689" t="str">
        <f>"03-K02-03"</f>
        <v>03-K02-03</v>
      </c>
      <c r="G13689">
        <v>0.34050000000000002</v>
      </c>
      <c r="H13689" t="s">
        <v>11</v>
      </c>
      <c r="I13689" t="s">
        <v>10</v>
      </c>
    </row>
    <row r="13690" spans="1:9" x14ac:dyDescent="0.25">
      <c r="A13690" t="str">
        <f t="shared" si="322"/>
        <v>89301000</v>
      </c>
      <c r="B13690" t="str">
        <f>"8458275309"</f>
        <v>8458275309</v>
      </c>
      <c r="C13690" s="1">
        <v>45273</v>
      </c>
      <c r="D13690" s="1">
        <v>45276</v>
      </c>
      <c r="E13690">
        <v>1</v>
      </c>
      <c r="F13690" t="str">
        <f>"13-I16-00"</f>
        <v>13-I16-00</v>
      </c>
      <c r="G13690">
        <v>1.1695</v>
      </c>
      <c r="H13690" t="s">
        <v>12</v>
      </c>
      <c r="I13690" t="s">
        <v>10</v>
      </c>
    </row>
    <row r="13691" spans="1:9" x14ac:dyDescent="0.25">
      <c r="A13691" t="str">
        <f t="shared" si="322"/>
        <v>89301000</v>
      </c>
      <c r="B13691" t="str">
        <f>"8459044869"</f>
        <v>8459044869</v>
      </c>
      <c r="C13691" s="1">
        <v>45036</v>
      </c>
      <c r="D13691" s="1">
        <v>45038</v>
      </c>
      <c r="E13691">
        <v>1</v>
      </c>
      <c r="F13691" t="str">
        <f>"06-I17-04"</f>
        <v>06-I17-04</v>
      </c>
      <c r="G13691">
        <v>0.49869999999999998</v>
      </c>
      <c r="H13691" t="s">
        <v>12</v>
      </c>
      <c r="I13691" t="s">
        <v>10</v>
      </c>
    </row>
    <row r="13692" spans="1:9" x14ac:dyDescent="0.25">
      <c r="A13692" t="str">
        <f t="shared" si="322"/>
        <v>89301000</v>
      </c>
      <c r="B13692" t="str">
        <f>"8459074602"</f>
        <v>8459074602</v>
      </c>
      <c r="C13692" s="1">
        <v>45161</v>
      </c>
      <c r="D13692" s="1">
        <v>45170</v>
      </c>
      <c r="E13692">
        <v>1</v>
      </c>
      <c r="F13692" t="str">
        <f>"06-I07-05"</f>
        <v>06-I07-05</v>
      </c>
      <c r="G13692">
        <v>2.7919999999999998</v>
      </c>
      <c r="H13692" t="s">
        <v>12</v>
      </c>
      <c r="I13692" t="s">
        <v>10</v>
      </c>
    </row>
    <row r="13693" spans="1:9" x14ac:dyDescent="0.25">
      <c r="A13693" t="str">
        <f t="shared" si="322"/>
        <v>89301000</v>
      </c>
      <c r="B13693" t="str">
        <f>"8459115302"</f>
        <v>8459115302</v>
      </c>
      <c r="C13693" s="1">
        <v>45021</v>
      </c>
      <c r="D13693" s="1">
        <v>45024</v>
      </c>
      <c r="E13693">
        <v>1</v>
      </c>
      <c r="F13693" t="str">
        <f>"08-I04-03"</f>
        <v>08-I04-03</v>
      </c>
      <c r="G13693">
        <v>1.3045</v>
      </c>
      <c r="H13693" t="s">
        <v>14</v>
      </c>
      <c r="I13693" t="s">
        <v>10</v>
      </c>
    </row>
    <row r="13694" spans="1:9" x14ac:dyDescent="0.25">
      <c r="A13694" t="str">
        <f t="shared" si="322"/>
        <v>89301000</v>
      </c>
      <c r="B13694" t="str">
        <f>"8459225302"</f>
        <v>8459225302</v>
      </c>
      <c r="C13694" s="1">
        <v>45071</v>
      </c>
      <c r="D13694" s="1">
        <v>45074</v>
      </c>
      <c r="E13694">
        <v>1</v>
      </c>
      <c r="F13694" t="str">
        <f>"14-M01-05"</f>
        <v>14-M01-05</v>
      </c>
      <c r="G13694">
        <v>0.56589999999999996</v>
      </c>
      <c r="H13694" t="s">
        <v>13</v>
      </c>
      <c r="I13694" t="s">
        <v>10</v>
      </c>
    </row>
    <row r="13695" spans="1:9" x14ac:dyDescent="0.25">
      <c r="A13695" t="str">
        <f t="shared" si="322"/>
        <v>89301000</v>
      </c>
      <c r="B13695" t="str">
        <f>"8459255332"</f>
        <v>8459255332</v>
      </c>
      <c r="C13695" s="1">
        <v>44996</v>
      </c>
      <c r="D13695" s="1">
        <v>44999</v>
      </c>
      <c r="E13695">
        <v>1</v>
      </c>
      <c r="F13695" t="str">
        <f>"14-K03-02"</f>
        <v>14-K03-02</v>
      </c>
      <c r="G13695">
        <v>0.30149999999999999</v>
      </c>
      <c r="H13695" t="s">
        <v>11</v>
      </c>
      <c r="I13695" t="s">
        <v>10</v>
      </c>
    </row>
    <row r="13696" spans="1:9" x14ac:dyDescent="0.25">
      <c r="A13696" t="str">
        <f t="shared" si="322"/>
        <v>89301000</v>
      </c>
      <c r="B13696" t="str">
        <f>"8459255332"</f>
        <v>8459255332</v>
      </c>
      <c r="C13696" s="1">
        <v>45025</v>
      </c>
      <c r="D13696" s="1">
        <v>45029</v>
      </c>
      <c r="E13696">
        <v>1</v>
      </c>
      <c r="F13696" t="str">
        <f>"14-M01-05"</f>
        <v>14-M01-05</v>
      </c>
      <c r="G13696">
        <v>0.56289999999999996</v>
      </c>
      <c r="H13696" t="s">
        <v>13</v>
      </c>
      <c r="I13696" t="s">
        <v>10</v>
      </c>
    </row>
    <row r="13697" spans="1:9" x14ac:dyDescent="0.25">
      <c r="A13697" t="str">
        <f t="shared" si="322"/>
        <v>89301000</v>
      </c>
      <c r="B13697" t="str">
        <f>"8459255783"</f>
        <v>8459255783</v>
      </c>
      <c r="C13697" s="1">
        <v>45147</v>
      </c>
      <c r="D13697" s="1">
        <v>45152</v>
      </c>
      <c r="E13697">
        <v>1</v>
      </c>
      <c r="F13697" t="str">
        <f>"09-I09-02"</f>
        <v>09-I09-02</v>
      </c>
      <c r="G13697">
        <v>0.76900000000000002</v>
      </c>
      <c r="H13697" t="s">
        <v>12</v>
      </c>
      <c r="I13697" t="s">
        <v>10</v>
      </c>
    </row>
    <row r="13698" spans="1:9" x14ac:dyDescent="0.25">
      <c r="A13698" t="str">
        <f t="shared" si="322"/>
        <v>89301000</v>
      </c>
      <c r="B13698" t="str">
        <f>"8459275330"</f>
        <v>8459275330</v>
      </c>
      <c r="C13698" s="1">
        <v>45044</v>
      </c>
      <c r="D13698" s="1">
        <v>45062</v>
      </c>
      <c r="E13698">
        <v>1</v>
      </c>
      <c r="F13698" t="str">
        <f>"19-K05-02"</f>
        <v>19-K05-02</v>
      </c>
      <c r="G13698">
        <v>1.7688999999999999</v>
      </c>
      <c r="H13698" t="s">
        <v>15</v>
      </c>
      <c r="I13698" t="s">
        <v>10</v>
      </c>
    </row>
    <row r="13699" spans="1:9" x14ac:dyDescent="0.25">
      <c r="A13699" t="str">
        <f t="shared" si="322"/>
        <v>89301000</v>
      </c>
      <c r="B13699" t="str">
        <f>"8459277596"</f>
        <v>8459277596</v>
      </c>
      <c r="C13699" s="1">
        <v>45204</v>
      </c>
      <c r="D13699" s="1">
        <v>45205</v>
      </c>
      <c r="E13699">
        <v>1</v>
      </c>
      <c r="F13699" t="str">
        <f>"10-K05-02"</f>
        <v>10-K05-02</v>
      </c>
      <c r="G13699">
        <v>0.4597</v>
      </c>
      <c r="H13699" t="s">
        <v>11</v>
      </c>
      <c r="I13699" t="s">
        <v>10</v>
      </c>
    </row>
    <row r="13700" spans="1:9" x14ac:dyDescent="0.25">
      <c r="A13700" t="str">
        <f t="shared" si="322"/>
        <v>89301000</v>
      </c>
      <c r="B13700" t="str">
        <f>"8459277596"</f>
        <v>8459277596</v>
      </c>
      <c r="C13700" s="1">
        <v>45252</v>
      </c>
      <c r="D13700" s="1">
        <v>45254</v>
      </c>
      <c r="E13700">
        <v>1</v>
      </c>
      <c r="F13700" t="str">
        <f>"10-K05-02"</f>
        <v>10-K05-02</v>
      </c>
      <c r="G13700">
        <v>0.46429999999999999</v>
      </c>
      <c r="H13700" t="s">
        <v>11</v>
      </c>
      <c r="I13700" t="s">
        <v>10</v>
      </c>
    </row>
    <row r="13701" spans="1:9" x14ac:dyDescent="0.25">
      <c r="A13701" t="str">
        <f t="shared" si="322"/>
        <v>89301000</v>
      </c>
      <c r="B13701" t="str">
        <f>"8460025365"</f>
        <v>8460025365</v>
      </c>
      <c r="C13701" s="1">
        <v>45065</v>
      </c>
      <c r="D13701" s="1">
        <v>45070</v>
      </c>
      <c r="E13701">
        <v>1</v>
      </c>
      <c r="F13701" t="str">
        <f>"08-I16-04"</f>
        <v>08-I16-04</v>
      </c>
      <c r="G13701">
        <v>0.83040000000000003</v>
      </c>
      <c r="H13701" t="s">
        <v>12</v>
      </c>
      <c r="I13701" t="s">
        <v>10</v>
      </c>
    </row>
    <row r="13702" spans="1:9" x14ac:dyDescent="0.25">
      <c r="A13702" t="str">
        <f t="shared" si="322"/>
        <v>89301000</v>
      </c>
      <c r="B13702" t="str">
        <f>"8460034979"</f>
        <v>8460034979</v>
      </c>
      <c r="C13702" s="1">
        <v>45002</v>
      </c>
      <c r="D13702" s="1">
        <v>45003</v>
      </c>
      <c r="E13702">
        <v>1</v>
      </c>
      <c r="F13702" t="str">
        <f>"05-M05-02"</f>
        <v>05-M05-02</v>
      </c>
      <c r="G13702">
        <v>3.4817999999999998</v>
      </c>
      <c r="H13702" t="s">
        <v>14</v>
      </c>
      <c r="I13702" t="s">
        <v>10</v>
      </c>
    </row>
    <row r="13703" spans="1:9" x14ac:dyDescent="0.25">
      <c r="A13703" t="str">
        <f t="shared" si="322"/>
        <v>89301000</v>
      </c>
      <c r="B13703" t="str">
        <f>"8460104587"</f>
        <v>8460104587</v>
      </c>
      <c r="C13703" s="1">
        <v>45217</v>
      </c>
      <c r="D13703" s="1">
        <v>45222</v>
      </c>
      <c r="E13703">
        <v>1</v>
      </c>
      <c r="F13703" t="str">
        <f>"13-I12-00"</f>
        <v>13-I12-00</v>
      </c>
      <c r="G13703">
        <v>1.9621999999999999</v>
      </c>
      <c r="H13703" t="s">
        <v>9</v>
      </c>
      <c r="I13703" t="s">
        <v>10</v>
      </c>
    </row>
    <row r="13704" spans="1:9" x14ac:dyDescent="0.25">
      <c r="A13704" t="str">
        <f t="shared" si="322"/>
        <v>89301000</v>
      </c>
      <c r="B13704" t="str">
        <f>"8460123672"</f>
        <v>8460123672</v>
      </c>
      <c r="C13704" s="1">
        <v>45019</v>
      </c>
      <c r="D13704" s="1">
        <v>45020</v>
      </c>
      <c r="E13704">
        <v>1</v>
      </c>
      <c r="F13704" t="str">
        <f>"13-I19-00"</f>
        <v>13-I19-00</v>
      </c>
      <c r="G13704">
        <v>0.28249999999999997</v>
      </c>
      <c r="H13704" t="s">
        <v>11</v>
      </c>
      <c r="I13704" t="s">
        <v>10</v>
      </c>
    </row>
    <row r="13705" spans="1:9" x14ac:dyDescent="0.25">
      <c r="A13705" t="str">
        <f t="shared" si="322"/>
        <v>89301000</v>
      </c>
      <c r="B13705" t="str">
        <f>"8460123672"</f>
        <v>8460123672</v>
      </c>
      <c r="C13705" s="1">
        <v>45067</v>
      </c>
      <c r="D13705" s="1">
        <v>45071</v>
      </c>
      <c r="E13705">
        <v>1</v>
      </c>
      <c r="F13705" t="str">
        <f>"13-I11-03"</f>
        <v>13-I11-03</v>
      </c>
      <c r="G13705">
        <v>1.4332</v>
      </c>
      <c r="H13705" t="s">
        <v>9</v>
      </c>
      <c r="I13705" t="s">
        <v>10</v>
      </c>
    </row>
    <row r="13706" spans="1:9" x14ac:dyDescent="0.25">
      <c r="A13706" t="str">
        <f t="shared" si="322"/>
        <v>89301000</v>
      </c>
      <c r="B13706" t="str">
        <f>"8460134463"</f>
        <v>8460134463</v>
      </c>
      <c r="C13706" s="1">
        <v>45061</v>
      </c>
      <c r="D13706" s="1">
        <v>45072</v>
      </c>
      <c r="E13706">
        <v>1</v>
      </c>
      <c r="F13706" t="str">
        <f>"01-K01-02"</f>
        <v>01-K01-02</v>
      </c>
      <c r="G13706">
        <v>0.70720000000000005</v>
      </c>
      <c r="H13706" t="s">
        <v>11</v>
      </c>
      <c r="I13706" t="s">
        <v>10</v>
      </c>
    </row>
    <row r="13707" spans="1:9" x14ac:dyDescent="0.25">
      <c r="A13707" t="str">
        <f t="shared" si="322"/>
        <v>89301000</v>
      </c>
      <c r="B13707" t="str">
        <f>"8460187593"</f>
        <v>8460187593</v>
      </c>
      <c r="C13707" s="1">
        <v>45271</v>
      </c>
      <c r="D13707" s="1">
        <v>45273</v>
      </c>
      <c r="E13707">
        <v>1</v>
      </c>
      <c r="F13707" t="str">
        <f>"07-I10-06"</f>
        <v>07-I10-06</v>
      </c>
      <c r="G13707">
        <v>0.98419999999999996</v>
      </c>
      <c r="H13707" t="s">
        <v>12</v>
      </c>
      <c r="I13707" t="s">
        <v>10</v>
      </c>
    </row>
    <row r="13708" spans="1:9" x14ac:dyDescent="0.25">
      <c r="A13708" t="str">
        <f t="shared" si="322"/>
        <v>89301000</v>
      </c>
      <c r="B13708" t="str">
        <f>"8460234959"</f>
        <v>8460234959</v>
      </c>
      <c r="C13708" s="1">
        <v>44999</v>
      </c>
      <c r="D13708" s="1">
        <v>45006</v>
      </c>
      <c r="E13708">
        <v>1</v>
      </c>
      <c r="F13708" t="str">
        <f>"20-K03-03"</f>
        <v>20-K03-03</v>
      </c>
      <c r="G13708">
        <v>0.94020000000000004</v>
      </c>
      <c r="H13708" t="s">
        <v>11</v>
      </c>
      <c r="I13708" t="s">
        <v>10</v>
      </c>
    </row>
    <row r="13709" spans="1:9" x14ac:dyDescent="0.25">
      <c r="A13709" t="str">
        <f t="shared" si="322"/>
        <v>89301000</v>
      </c>
      <c r="B13709" t="str">
        <f>"8460255309"</f>
        <v>8460255309</v>
      </c>
      <c r="C13709" s="1">
        <v>44949</v>
      </c>
      <c r="D13709" s="1">
        <v>44952</v>
      </c>
      <c r="E13709">
        <v>1</v>
      </c>
      <c r="F13709" t="str">
        <f>"14-I01-05"</f>
        <v>14-I01-05</v>
      </c>
      <c r="G13709">
        <v>0.83340000000000003</v>
      </c>
      <c r="H13709" t="s">
        <v>13</v>
      </c>
      <c r="I13709" t="s">
        <v>10</v>
      </c>
    </row>
    <row r="13710" spans="1:9" x14ac:dyDescent="0.25">
      <c r="A13710" t="str">
        <f t="shared" si="322"/>
        <v>89301000</v>
      </c>
      <c r="B13710" t="str">
        <f>"8460275703"</f>
        <v>8460275703</v>
      </c>
      <c r="C13710" s="1">
        <v>45071</v>
      </c>
      <c r="D13710" s="1">
        <v>45079</v>
      </c>
      <c r="E13710">
        <v>1</v>
      </c>
      <c r="F13710" t="str">
        <f>"23-I07-00"</f>
        <v>23-I07-00</v>
      </c>
      <c r="G13710">
        <v>1.5381</v>
      </c>
      <c r="H13710" t="s">
        <v>9</v>
      </c>
      <c r="I13710" t="s">
        <v>10</v>
      </c>
    </row>
    <row r="13711" spans="1:9" x14ac:dyDescent="0.25">
      <c r="A13711" t="str">
        <f t="shared" si="322"/>
        <v>89301000</v>
      </c>
      <c r="B13711" t="str">
        <f>"8460275703"</f>
        <v>8460275703</v>
      </c>
      <c r="C13711" s="1">
        <v>45215</v>
      </c>
      <c r="D13711" s="1">
        <v>45223</v>
      </c>
      <c r="E13711">
        <v>1</v>
      </c>
      <c r="F13711" t="str">
        <f>"11-I10-01"</f>
        <v>11-I10-01</v>
      </c>
      <c r="G13711">
        <v>3.0842000000000001</v>
      </c>
      <c r="H13711" t="s">
        <v>12</v>
      </c>
      <c r="I13711" t="s">
        <v>10</v>
      </c>
    </row>
    <row r="13712" spans="1:9" x14ac:dyDescent="0.25">
      <c r="A13712" t="str">
        <f t="shared" si="322"/>
        <v>89301000</v>
      </c>
      <c r="B13712" t="str">
        <f>"8460315303"</f>
        <v>8460315303</v>
      </c>
      <c r="C13712" s="1">
        <v>45008</v>
      </c>
      <c r="D13712" s="1">
        <v>45011</v>
      </c>
      <c r="E13712">
        <v>1</v>
      </c>
      <c r="F13712" t="str">
        <f>"13-I18-03"</f>
        <v>13-I18-03</v>
      </c>
      <c r="G13712">
        <v>0.62870000000000004</v>
      </c>
      <c r="H13712" t="s">
        <v>11</v>
      </c>
      <c r="I13712" t="s">
        <v>10</v>
      </c>
    </row>
    <row r="13713" spans="1:9" x14ac:dyDescent="0.25">
      <c r="A13713" t="str">
        <f t="shared" si="322"/>
        <v>89301000</v>
      </c>
      <c r="B13713" t="str">
        <f>"8461095368"</f>
        <v>8461095368</v>
      </c>
      <c r="C13713" s="1">
        <v>45217</v>
      </c>
      <c r="D13713" s="1">
        <v>45223</v>
      </c>
      <c r="E13713">
        <v>1</v>
      </c>
      <c r="F13713" t="str">
        <f>"04-K04-01"</f>
        <v>04-K04-01</v>
      </c>
      <c r="G13713">
        <v>1.0286</v>
      </c>
      <c r="H13713" t="s">
        <v>11</v>
      </c>
      <c r="I13713" t="s">
        <v>10</v>
      </c>
    </row>
    <row r="13714" spans="1:9" x14ac:dyDescent="0.25">
      <c r="A13714" t="str">
        <f t="shared" ref="A13714:A13777" si="323">"89301000"</f>
        <v>89301000</v>
      </c>
      <c r="B13714" t="str">
        <f>"8461163502"</f>
        <v>8461163502</v>
      </c>
      <c r="C13714" s="1">
        <v>44994</v>
      </c>
      <c r="D13714" s="1">
        <v>44995</v>
      </c>
      <c r="E13714">
        <v>1</v>
      </c>
      <c r="F13714" t="str">
        <f>"09-I04-02"</f>
        <v>09-I04-02</v>
      </c>
      <c r="G13714">
        <v>1.0899000000000001</v>
      </c>
      <c r="H13714" t="s">
        <v>12</v>
      </c>
      <c r="I13714" t="s">
        <v>10</v>
      </c>
    </row>
    <row r="13715" spans="1:9" x14ac:dyDescent="0.25">
      <c r="A13715" t="str">
        <f t="shared" si="323"/>
        <v>89301000</v>
      </c>
      <c r="B13715" t="str">
        <f>"8461185755"</f>
        <v>8461185755</v>
      </c>
      <c r="C13715" s="1">
        <v>44970</v>
      </c>
      <c r="D13715" s="1">
        <v>44972</v>
      </c>
      <c r="E13715">
        <v>1</v>
      </c>
      <c r="F13715" t="str">
        <f>"14-I04-00"</f>
        <v>14-I04-00</v>
      </c>
      <c r="G13715">
        <v>0.79159999999999997</v>
      </c>
      <c r="H13715" t="s">
        <v>9</v>
      </c>
      <c r="I13715" t="s">
        <v>10</v>
      </c>
    </row>
    <row r="13716" spans="1:9" x14ac:dyDescent="0.25">
      <c r="A13716" t="str">
        <f t="shared" si="323"/>
        <v>89301000</v>
      </c>
      <c r="B13716" t="str">
        <f>"8461244462"</f>
        <v>8461244462</v>
      </c>
      <c r="C13716" s="1">
        <v>45102</v>
      </c>
      <c r="D13716" s="1">
        <v>45106</v>
      </c>
      <c r="E13716">
        <v>1</v>
      </c>
      <c r="F13716" t="str">
        <f>"13-I14-02"</f>
        <v>13-I14-02</v>
      </c>
      <c r="G13716">
        <v>1.4349000000000001</v>
      </c>
      <c r="H13716" t="s">
        <v>9</v>
      </c>
      <c r="I13716" t="s">
        <v>10</v>
      </c>
    </row>
    <row r="13717" spans="1:9" x14ac:dyDescent="0.25">
      <c r="A13717" t="str">
        <f t="shared" si="323"/>
        <v>89301000</v>
      </c>
      <c r="B13717" t="str">
        <f>"8461244462"</f>
        <v>8461244462</v>
      </c>
      <c r="C13717" s="1">
        <v>45173</v>
      </c>
      <c r="D13717" s="1">
        <v>45182</v>
      </c>
      <c r="E13717">
        <v>1</v>
      </c>
      <c r="F13717" t="str">
        <f>"13-I01-00"</f>
        <v>13-I01-00</v>
      </c>
      <c r="G13717">
        <v>6.2039</v>
      </c>
      <c r="H13717" t="s">
        <v>14</v>
      </c>
      <c r="I13717" t="s">
        <v>10</v>
      </c>
    </row>
    <row r="13718" spans="1:9" x14ac:dyDescent="0.25">
      <c r="A13718" t="str">
        <f t="shared" si="323"/>
        <v>89301000</v>
      </c>
      <c r="B13718" t="str">
        <f>"8461285327"</f>
        <v>8461285327</v>
      </c>
      <c r="C13718" s="1">
        <v>44980</v>
      </c>
      <c r="D13718" s="1">
        <v>44980</v>
      </c>
      <c r="E13718">
        <v>6</v>
      </c>
      <c r="F13718" t="str">
        <f>"14-M01-05"</f>
        <v>14-M01-05</v>
      </c>
      <c r="G13718">
        <v>0.28149999999999997</v>
      </c>
      <c r="H13718" t="s">
        <v>13</v>
      </c>
      <c r="I13718" t="s">
        <v>10</v>
      </c>
    </row>
    <row r="13719" spans="1:9" x14ac:dyDescent="0.25">
      <c r="A13719" t="str">
        <f t="shared" si="323"/>
        <v>89301000</v>
      </c>
      <c r="B13719" t="str">
        <f>"8461291817"</f>
        <v>8461291817</v>
      </c>
      <c r="C13719" s="1">
        <v>45290</v>
      </c>
      <c r="D13719" s="1">
        <v>45291</v>
      </c>
      <c r="E13719">
        <v>1</v>
      </c>
      <c r="F13719" t="str">
        <f>"21-K05-03"</f>
        <v>21-K05-03</v>
      </c>
      <c r="G13719">
        <v>0.45729999999999998</v>
      </c>
      <c r="H13719" t="s">
        <v>11</v>
      </c>
      <c r="I13719" t="s">
        <v>10</v>
      </c>
    </row>
    <row r="13720" spans="1:9" x14ac:dyDescent="0.25">
      <c r="A13720" t="str">
        <f t="shared" si="323"/>
        <v>89301000</v>
      </c>
      <c r="B13720" t="str">
        <f>"8461600532"</f>
        <v>8461600532</v>
      </c>
      <c r="C13720" s="1">
        <v>45048</v>
      </c>
      <c r="D13720" s="1">
        <v>45050</v>
      </c>
      <c r="E13720">
        <v>5</v>
      </c>
      <c r="F13720" t="str">
        <f>"04-K02-02"</f>
        <v>04-K02-02</v>
      </c>
      <c r="G13720">
        <v>1.7983</v>
      </c>
      <c r="H13720" t="s">
        <v>11</v>
      </c>
      <c r="I13720" t="s">
        <v>10</v>
      </c>
    </row>
    <row r="13721" spans="1:9" x14ac:dyDescent="0.25">
      <c r="A13721" t="str">
        <f t="shared" si="323"/>
        <v>89301000</v>
      </c>
      <c r="B13721" t="str">
        <f>"8462055349"</f>
        <v>8462055349</v>
      </c>
      <c r="C13721" s="1">
        <v>44958</v>
      </c>
      <c r="D13721" s="1">
        <v>44961</v>
      </c>
      <c r="E13721">
        <v>1</v>
      </c>
      <c r="F13721" t="str">
        <f>"13-I14-03"</f>
        <v>13-I14-03</v>
      </c>
      <c r="G13721">
        <v>0.87760000000000005</v>
      </c>
      <c r="H13721" t="s">
        <v>9</v>
      </c>
      <c r="I13721" t="s">
        <v>10</v>
      </c>
    </row>
    <row r="13722" spans="1:9" x14ac:dyDescent="0.25">
      <c r="A13722" t="str">
        <f t="shared" si="323"/>
        <v>89301000</v>
      </c>
      <c r="B13722" t="str">
        <f>"8462095345"</f>
        <v>8462095345</v>
      </c>
      <c r="C13722" s="1">
        <v>45091</v>
      </c>
      <c r="D13722" s="1">
        <v>45094</v>
      </c>
      <c r="E13722">
        <v>1</v>
      </c>
      <c r="F13722" t="str">
        <f>"13-I16-00"</f>
        <v>13-I16-00</v>
      </c>
      <c r="G13722">
        <v>1.1695</v>
      </c>
      <c r="H13722" t="s">
        <v>12</v>
      </c>
      <c r="I13722" t="s">
        <v>10</v>
      </c>
    </row>
    <row r="13723" spans="1:9" x14ac:dyDescent="0.25">
      <c r="A13723" t="str">
        <f t="shared" si="323"/>
        <v>89301000</v>
      </c>
      <c r="B13723" t="str">
        <f>"8462135319"</f>
        <v>8462135319</v>
      </c>
      <c r="C13723" s="1">
        <v>44978</v>
      </c>
      <c r="D13723" s="1">
        <v>44978</v>
      </c>
      <c r="E13723">
        <v>1</v>
      </c>
      <c r="F13723" t="str">
        <f>"05-I25-04"</f>
        <v>05-I25-04</v>
      </c>
      <c r="G13723">
        <v>1.9628000000000001</v>
      </c>
      <c r="H13723" t="s">
        <v>12</v>
      </c>
      <c r="I13723" t="s">
        <v>10</v>
      </c>
    </row>
    <row r="13724" spans="1:9" x14ac:dyDescent="0.25">
      <c r="A13724" t="str">
        <f t="shared" si="323"/>
        <v>89301000</v>
      </c>
      <c r="B13724" t="str">
        <f>"8462165536"</f>
        <v>8462165536</v>
      </c>
      <c r="C13724" s="1">
        <v>45000</v>
      </c>
      <c r="D13724" s="1">
        <v>45001</v>
      </c>
      <c r="E13724">
        <v>1</v>
      </c>
      <c r="F13724" t="str">
        <f>"23-K01-00"</f>
        <v>23-K01-00</v>
      </c>
      <c r="G13724">
        <v>0.1401</v>
      </c>
      <c r="H13724" t="s">
        <v>11</v>
      </c>
      <c r="I13724" t="s">
        <v>10</v>
      </c>
    </row>
    <row r="13725" spans="1:9" x14ac:dyDescent="0.25">
      <c r="A13725" t="str">
        <f t="shared" si="323"/>
        <v>89301000</v>
      </c>
      <c r="B13725" t="str">
        <f>"8462205312"</f>
        <v>8462205312</v>
      </c>
      <c r="C13725" s="1">
        <v>45155</v>
      </c>
      <c r="D13725" s="1">
        <v>45160</v>
      </c>
      <c r="E13725">
        <v>1</v>
      </c>
      <c r="F13725" t="str">
        <f>"05-K05-05"</f>
        <v>05-K05-05</v>
      </c>
      <c r="G13725">
        <v>0.35659999999999997</v>
      </c>
      <c r="H13725" t="s">
        <v>11</v>
      </c>
      <c r="I13725" t="s">
        <v>10</v>
      </c>
    </row>
    <row r="13726" spans="1:9" x14ac:dyDescent="0.25">
      <c r="A13726" t="str">
        <f t="shared" si="323"/>
        <v>89301000</v>
      </c>
      <c r="B13726" t="str">
        <f>"8501124907"</f>
        <v>8501124907</v>
      </c>
      <c r="C13726" s="1">
        <v>45209</v>
      </c>
      <c r="D13726" s="1">
        <v>45210</v>
      </c>
      <c r="E13726">
        <v>1</v>
      </c>
      <c r="F13726" t="str">
        <f>"01-D01-03"</f>
        <v>01-D01-03</v>
      </c>
      <c r="G13726">
        <v>0.16200000000000001</v>
      </c>
      <c r="H13726" t="s">
        <v>11</v>
      </c>
      <c r="I13726" t="s">
        <v>10</v>
      </c>
    </row>
    <row r="13727" spans="1:9" x14ac:dyDescent="0.25">
      <c r="A13727" t="str">
        <f t="shared" si="323"/>
        <v>89301000</v>
      </c>
      <c r="B13727" t="str">
        <f>"8501255829"</f>
        <v>8501255829</v>
      </c>
      <c r="C13727" s="1">
        <v>45117</v>
      </c>
      <c r="D13727" s="1">
        <v>45128</v>
      </c>
      <c r="E13727">
        <v>1</v>
      </c>
      <c r="F13727" t="str">
        <f>"24-M06-02"</f>
        <v>24-M06-02</v>
      </c>
      <c r="G13727">
        <v>1.0699000000000001</v>
      </c>
      <c r="H13727" t="s">
        <v>11</v>
      </c>
      <c r="I13727" t="s">
        <v>10</v>
      </c>
    </row>
    <row r="13728" spans="1:9" x14ac:dyDescent="0.25">
      <c r="A13728" t="str">
        <f t="shared" si="323"/>
        <v>89301000</v>
      </c>
      <c r="B13728" t="str">
        <f>"8501285793"</f>
        <v>8501285793</v>
      </c>
      <c r="C13728" s="1">
        <v>45217</v>
      </c>
      <c r="D13728" s="1">
        <v>45218</v>
      </c>
      <c r="E13728">
        <v>1</v>
      </c>
      <c r="F13728" t="str">
        <f>"03-K13-02"</f>
        <v>03-K13-02</v>
      </c>
      <c r="G13728">
        <v>0.24440000000000001</v>
      </c>
      <c r="H13728" t="s">
        <v>11</v>
      </c>
      <c r="I13728" t="s">
        <v>10</v>
      </c>
    </row>
    <row r="13729" spans="1:9" x14ac:dyDescent="0.25">
      <c r="A13729" t="str">
        <f t="shared" si="323"/>
        <v>89301000</v>
      </c>
      <c r="B13729" t="str">
        <f>"8502095613"</f>
        <v>8502095613</v>
      </c>
      <c r="C13729" s="1">
        <v>45180</v>
      </c>
      <c r="D13729" s="1">
        <v>45191</v>
      </c>
      <c r="E13729">
        <v>1</v>
      </c>
      <c r="F13729" t="str">
        <f>"24-M06-02"</f>
        <v>24-M06-02</v>
      </c>
      <c r="G13729">
        <v>1.0699000000000001</v>
      </c>
      <c r="H13729" t="s">
        <v>11</v>
      </c>
      <c r="I13729" t="s">
        <v>10</v>
      </c>
    </row>
    <row r="13730" spans="1:9" x14ac:dyDescent="0.25">
      <c r="A13730" t="str">
        <f t="shared" si="323"/>
        <v>89301000</v>
      </c>
      <c r="B13730" t="str">
        <f>"8502095613"</f>
        <v>8502095613</v>
      </c>
      <c r="C13730" s="1">
        <v>45160</v>
      </c>
      <c r="D13730" s="1">
        <v>45162</v>
      </c>
      <c r="E13730">
        <v>1</v>
      </c>
      <c r="F13730" t="str">
        <f>"08-I04-03"</f>
        <v>08-I04-03</v>
      </c>
      <c r="G13730">
        <v>1.3045</v>
      </c>
      <c r="H13730" t="s">
        <v>14</v>
      </c>
      <c r="I13730" t="s">
        <v>10</v>
      </c>
    </row>
    <row r="13731" spans="1:9" x14ac:dyDescent="0.25">
      <c r="A13731" t="str">
        <f t="shared" si="323"/>
        <v>89301000</v>
      </c>
      <c r="B13731" t="str">
        <f>"8502134938"</f>
        <v>8502134938</v>
      </c>
      <c r="C13731" s="1">
        <v>44956</v>
      </c>
      <c r="D13731" s="1">
        <v>44966</v>
      </c>
      <c r="E13731">
        <v>1</v>
      </c>
      <c r="F13731" t="str">
        <f>"20-K04-02"</f>
        <v>20-K04-02</v>
      </c>
      <c r="G13731">
        <v>1.3379000000000001</v>
      </c>
      <c r="H13731" t="s">
        <v>11</v>
      </c>
      <c r="I13731" t="s">
        <v>10</v>
      </c>
    </row>
    <row r="13732" spans="1:9" x14ac:dyDescent="0.25">
      <c r="A13732" t="str">
        <f t="shared" si="323"/>
        <v>89301000</v>
      </c>
      <c r="B13732" t="str">
        <f>"8502134938"</f>
        <v>8502134938</v>
      </c>
      <c r="C13732" s="1">
        <v>45145</v>
      </c>
      <c r="D13732" s="1">
        <v>45154</v>
      </c>
      <c r="E13732">
        <v>1</v>
      </c>
      <c r="F13732" t="str">
        <f>"20-K03-03"</f>
        <v>20-K03-03</v>
      </c>
      <c r="G13732">
        <v>0.94020000000000004</v>
      </c>
      <c r="H13732" t="s">
        <v>11</v>
      </c>
      <c r="I13732" t="s">
        <v>10</v>
      </c>
    </row>
    <row r="13733" spans="1:9" x14ac:dyDescent="0.25">
      <c r="A13733" t="str">
        <f t="shared" si="323"/>
        <v>89301000</v>
      </c>
      <c r="B13733" t="str">
        <f>"8502185813"</f>
        <v>8502185813</v>
      </c>
      <c r="C13733" s="1">
        <v>44943</v>
      </c>
      <c r="D13733" s="1">
        <v>44945</v>
      </c>
      <c r="E13733">
        <v>1</v>
      </c>
      <c r="F13733" t="str">
        <f>"08-I32-00"</f>
        <v>08-I32-00</v>
      </c>
      <c r="G13733">
        <v>0.4093</v>
      </c>
      <c r="H13733" t="s">
        <v>11</v>
      </c>
      <c r="I13733" t="s">
        <v>10</v>
      </c>
    </row>
    <row r="13734" spans="1:9" x14ac:dyDescent="0.25">
      <c r="A13734" t="str">
        <f t="shared" si="323"/>
        <v>89301000</v>
      </c>
      <c r="B13734" t="str">
        <f>"8502205778"</f>
        <v>8502205778</v>
      </c>
      <c r="C13734" s="1">
        <v>45278</v>
      </c>
      <c r="D13734" s="1">
        <v>45284</v>
      </c>
      <c r="E13734">
        <v>1</v>
      </c>
      <c r="F13734" t="str">
        <f>"03-I23-02"</f>
        <v>03-I23-02</v>
      </c>
      <c r="G13734">
        <v>0.6401</v>
      </c>
      <c r="H13734" t="s">
        <v>11</v>
      </c>
      <c r="I13734" t="s">
        <v>10</v>
      </c>
    </row>
    <row r="13735" spans="1:9" x14ac:dyDescent="0.25">
      <c r="A13735" t="str">
        <f t="shared" si="323"/>
        <v>89301000</v>
      </c>
      <c r="B13735" t="str">
        <f>"8502236006"</f>
        <v>8502236006</v>
      </c>
      <c r="C13735" s="1">
        <v>45103</v>
      </c>
      <c r="D13735" s="1">
        <v>45104</v>
      </c>
      <c r="E13735">
        <v>1</v>
      </c>
      <c r="F13735" t="str">
        <f>"01-D01-03"</f>
        <v>01-D01-03</v>
      </c>
      <c r="G13735">
        <v>0.16200000000000001</v>
      </c>
      <c r="H13735" t="s">
        <v>11</v>
      </c>
      <c r="I13735" t="s">
        <v>10</v>
      </c>
    </row>
    <row r="13736" spans="1:9" x14ac:dyDescent="0.25">
      <c r="A13736" t="str">
        <f t="shared" si="323"/>
        <v>89301000</v>
      </c>
      <c r="B13736" t="str">
        <f>"8502236006"</f>
        <v>8502236006</v>
      </c>
      <c r="C13736" s="1">
        <v>45177</v>
      </c>
      <c r="D13736" s="1">
        <v>45180</v>
      </c>
      <c r="E13736">
        <v>1</v>
      </c>
      <c r="F13736" t="str">
        <f>"01-D01-03"</f>
        <v>01-D01-03</v>
      </c>
      <c r="G13736">
        <v>0.21060000000000001</v>
      </c>
      <c r="H13736" t="s">
        <v>11</v>
      </c>
      <c r="I13736" t="s">
        <v>10</v>
      </c>
    </row>
    <row r="13737" spans="1:9" x14ac:dyDescent="0.25">
      <c r="A13737" t="str">
        <f t="shared" si="323"/>
        <v>89301000</v>
      </c>
      <c r="B13737" t="str">
        <f>"8503121077"</f>
        <v>8503121077</v>
      </c>
      <c r="C13737" s="1">
        <v>44973</v>
      </c>
      <c r="D13737" s="1">
        <v>44980</v>
      </c>
      <c r="E13737">
        <v>1</v>
      </c>
      <c r="F13737" t="str">
        <f>"20-K03-03"</f>
        <v>20-K03-03</v>
      </c>
      <c r="G13737">
        <v>0.94020000000000004</v>
      </c>
      <c r="H13737" t="s">
        <v>11</v>
      </c>
      <c r="I13737" t="s">
        <v>10</v>
      </c>
    </row>
    <row r="13738" spans="1:9" x14ac:dyDescent="0.25">
      <c r="A13738" t="str">
        <f t="shared" si="323"/>
        <v>89301000</v>
      </c>
      <c r="B13738" t="str">
        <f>"8503185801"</f>
        <v>8503185801</v>
      </c>
      <c r="C13738" s="1">
        <v>45197</v>
      </c>
      <c r="D13738" s="1">
        <v>45205</v>
      </c>
      <c r="E13738">
        <v>1</v>
      </c>
      <c r="F13738" t="str">
        <f>"19-K03-03"</f>
        <v>19-K03-03</v>
      </c>
      <c r="G13738">
        <v>0.90410000000000001</v>
      </c>
      <c r="H13738" t="s">
        <v>15</v>
      </c>
      <c r="I13738" t="s">
        <v>10</v>
      </c>
    </row>
    <row r="13739" spans="1:9" x14ac:dyDescent="0.25">
      <c r="A13739" t="str">
        <f t="shared" si="323"/>
        <v>89301000</v>
      </c>
      <c r="B13739" t="str">
        <f>"8504015443"</f>
        <v>8504015443</v>
      </c>
      <c r="C13739" s="1">
        <v>45142</v>
      </c>
      <c r="D13739" s="1">
        <v>45148</v>
      </c>
      <c r="E13739">
        <v>5</v>
      </c>
      <c r="F13739" t="str">
        <f>"01-I06-05"</f>
        <v>01-I06-05</v>
      </c>
      <c r="G13739">
        <v>2.6970999999999998</v>
      </c>
      <c r="H13739" t="s">
        <v>12</v>
      </c>
      <c r="I13739" t="s">
        <v>10</v>
      </c>
    </row>
    <row r="13740" spans="1:9" x14ac:dyDescent="0.25">
      <c r="A13740" t="str">
        <f t="shared" si="323"/>
        <v>89301000</v>
      </c>
      <c r="B13740" t="str">
        <f>"8504015443"</f>
        <v>8504015443</v>
      </c>
      <c r="C13740" s="1">
        <v>45065</v>
      </c>
      <c r="D13740" s="1">
        <v>45082</v>
      </c>
      <c r="E13740">
        <v>5</v>
      </c>
      <c r="F13740" t="str">
        <f>"00-M02-01"</f>
        <v>00-M02-01</v>
      </c>
      <c r="G13740">
        <v>21.5063</v>
      </c>
      <c r="H13740" t="s">
        <v>11</v>
      </c>
      <c r="I13740" t="s">
        <v>10</v>
      </c>
    </row>
    <row r="13741" spans="1:9" x14ac:dyDescent="0.25">
      <c r="A13741" t="str">
        <f t="shared" si="323"/>
        <v>89301000</v>
      </c>
      <c r="B13741" t="str">
        <f>"8504045792"</f>
        <v>8504045792</v>
      </c>
      <c r="C13741" s="1">
        <v>45168</v>
      </c>
      <c r="D13741" s="1">
        <v>45169</v>
      </c>
      <c r="E13741">
        <v>1</v>
      </c>
      <c r="F13741" t="str">
        <f>"08-I17-02"</f>
        <v>08-I17-02</v>
      </c>
      <c r="G13741">
        <v>0.89680000000000004</v>
      </c>
      <c r="H13741" t="s">
        <v>11</v>
      </c>
      <c r="I13741" t="s">
        <v>10</v>
      </c>
    </row>
    <row r="13742" spans="1:9" x14ac:dyDescent="0.25">
      <c r="A13742" t="str">
        <f t="shared" si="323"/>
        <v>89301000</v>
      </c>
      <c r="B13742" t="str">
        <f>"8504154527"</f>
        <v>8504154527</v>
      </c>
      <c r="C13742" s="1">
        <v>44949</v>
      </c>
      <c r="D13742" s="1">
        <v>44952</v>
      </c>
      <c r="E13742">
        <v>1</v>
      </c>
      <c r="F13742" t="str">
        <f>"08-M03-05"</f>
        <v>08-M03-05</v>
      </c>
      <c r="G13742">
        <v>0.46810000000000002</v>
      </c>
      <c r="H13742" t="s">
        <v>11</v>
      </c>
      <c r="I13742" t="s">
        <v>10</v>
      </c>
    </row>
    <row r="13743" spans="1:9" x14ac:dyDescent="0.25">
      <c r="A13743" t="str">
        <f t="shared" si="323"/>
        <v>89301000</v>
      </c>
      <c r="B13743" t="str">
        <f>"8504165791"</f>
        <v>8504165791</v>
      </c>
      <c r="C13743" s="1">
        <v>45204</v>
      </c>
      <c r="D13743" s="1">
        <v>45208</v>
      </c>
      <c r="E13743">
        <v>1</v>
      </c>
      <c r="F13743" t="str">
        <f>"08-I03-07"</f>
        <v>08-I03-07</v>
      </c>
      <c r="G13743">
        <v>3.3094999999999999</v>
      </c>
      <c r="H13743" t="s">
        <v>9</v>
      </c>
      <c r="I13743" t="s">
        <v>10</v>
      </c>
    </row>
    <row r="13744" spans="1:9" x14ac:dyDescent="0.25">
      <c r="A13744" t="str">
        <f t="shared" si="323"/>
        <v>89301000</v>
      </c>
      <c r="B13744" t="str">
        <f>"8504205853"</f>
        <v>8504205853</v>
      </c>
      <c r="C13744" s="1">
        <v>45042</v>
      </c>
      <c r="D13744" s="1">
        <v>45043</v>
      </c>
      <c r="E13744">
        <v>1</v>
      </c>
      <c r="F13744" t="str">
        <f>"01-D01-03"</f>
        <v>01-D01-03</v>
      </c>
      <c r="G13744">
        <v>0.16200000000000001</v>
      </c>
      <c r="H13744" t="s">
        <v>11</v>
      </c>
      <c r="I13744" t="s">
        <v>10</v>
      </c>
    </row>
    <row r="13745" spans="1:9" x14ac:dyDescent="0.25">
      <c r="A13745" t="str">
        <f t="shared" si="323"/>
        <v>89301000</v>
      </c>
      <c r="B13745" t="str">
        <f>"8504205853"</f>
        <v>8504205853</v>
      </c>
      <c r="C13745" s="1">
        <v>45012</v>
      </c>
      <c r="D13745" s="1">
        <v>45013</v>
      </c>
      <c r="E13745">
        <v>1</v>
      </c>
      <c r="F13745" t="str">
        <f>"01-D01-03"</f>
        <v>01-D01-03</v>
      </c>
      <c r="G13745">
        <v>0.16200000000000001</v>
      </c>
      <c r="H13745" t="s">
        <v>11</v>
      </c>
      <c r="I13745" t="s">
        <v>10</v>
      </c>
    </row>
    <row r="13746" spans="1:9" x14ac:dyDescent="0.25">
      <c r="A13746" t="str">
        <f t="shared" si="323"/>
        <v>89301000</v>
      </c>
      <c r="B13746" t="str">
        <f>"8505014969"</f>
        <v>8505014969</v>
      </c>
      <c r="C13746" s="1">
        <v>45098</v>
      </c>
      <c r="D13746" s="1">
        <v>45100</v>
      </c>
      <c r="E13746">
        <v>1</v>
      </c>
      <c r="F13746" t="str">
        <f>"06-I16-04"</f>
        <v>06-I16-04</v>
      </c>
      <c r="G13746">
        <v>0.68920000000000003</v>
      </c>
      <c r="H13746" t="s">
        <v>9</v>
      </c>
      <c r="I13746" t="s">
        <v>10</v>
      </c>
    </row>
    <row r="13747" spans="1:9" x14ac:dyDescent="0.25">
      <c r="A13747" t="str">
        <f t="shared" si="323"/>
        <v>89301000</v>
      </c>
      <c r="B13747" t="str">
        <f>"8505046330"</f>
        <v>8505046330</v>
      </c>
      <c r="C13747" s="1">
        <v>44988</v>
      </c>
      <c r="D13747" s="1">
        <v>44991</v>
      </c>
      <c r="E13747">
        <v>1</v>
      </c>
      <c r="F13747" t="str">
        <f>"03-I24-00"</f>
        <v>03-I24-00</v>
      </c>
      <c r="G13747">
        <v>0.40899999999999997</v>
      </c>
      <c r="H13747" t="s">
        <v>11</v>
      </c>
      <c r="I13747" t="s">
        <v>10</v>
      </c>
    </row>
    <row r="13748" spans="1:9" x14ac:dyDescent="0.25">
      <c r="A13748" t="str">
        <f t="shared" si="323"/>
        <v>89301000</v>
      </c>
      <c r="B13748" t="str">
        <f>"8505095775"</f>
        <v>8505095775</v>
      </c>
      <c r="C13748" s="1">
        <v>45103</v>
      </c>
      <c r="D13748" s="1">
        <v>45104</v>
      </c>
      <c r="E13748">
        <v>1</v>
      </c>
      <c r="F13748" t="str">
        <f>"01-D01-03"</f>
        <v>01-D01-03</v>
      </c>
      <c r="G13748">
        <v>0.16200000000000001</v>
      </c>
      <c r="H13748" t="s">
        <v>11</v>
      </c>
      <c r="I13748" t="s">
        <v>10</v>
      </c>
    </row>
    <row r="13749" spans="1:9" x14ac:dyDescent="0.25">
      <c r="A13749" t="str">
        <f t="shared" si="323"/>
        <v>89301000</v>
      </c>
      <c r="B13749" t="str">
        <f>"8505095775"</f>
        <v>8505095775</v>
      </c>
      <c r="C13749" s="1">
        <v>45170</v>
      </c>
      <c r="D13749" s="1">
        <v>45172</v>
      </c>
      <c r="E13749">
        <v>1</v>
      </c>
      <c r="F13749" t="str">
        <f>"01-D01-03"</f>
        <v>01-D01-03</v>
      </c>
      <c r="G13749">
        <v>0.16200000000000001</v>
      </c>
      <c r="H13749" t="s">
        <v>11</v>
      </c>
      <c r="I13749" t="s">
        <v>10</v>
      </c>
    </row>
    <row r="13750" spans="1:9" x14ac:dyDescent="0.25">
      <c r="A13750" t="str">
        <f t="shared" si="323"/>
        <v>89301000</v>
      </c>
      <c r="B13750" t="str">
        <f>"8505165438"</f>
        <v>8505165438</v>
      </c>
      <c r="C13750" s="1">
        <v>45107</v>
      </c>
      <c r="D13750" s="1">
        <v>45114</v>
      </c>
      <c r="E13750">
        <v>1</v>
      </c>
      <c r="F13750" t="str">
        <f>"03-K03-01"</f>
        <v>03-K03-01</v>
      </c>
      <c r="G13750">
        <v>1.5464</v>
      </c>
      <c r="H13750" t="s">
        <v>11</v>
      </c>
      <c r="I13750" t="s">
        <v>10</v>
      </c>
    </row>
    <row r="13751" spans="1:9" x14ac:dyDescent="0.25">
      <c r="A13751" t="str">
        <f t="shared" si="323"/>
        <v>89301000</v>
      </c>
      <c r="B13751" t="str">
        <f>"8505165438"</f>
        <v>8505165438</v>
      </c>
      <c r="C13751" s="1">
        <v>45127</v>
      </c>
      <c r="D13751" s="1">
        <v>45139</v>
      </c>
      <c r="E13751">
        <v>1</v>
      </c>
      <c r="F13751" t="str">
        <f>"06-K06-01"</f>
        <v>06-K06-01</v>
      </c>
      <c r="G13751">
        <v>1.1567000000000001</v>
      </c>
      <c r="H13751" t="s">
        <v>11</v>
      </c>
      <c r="I13751" t="s">
        <v>10</v>
      </c>
    </row>
    <row r="13752" spans="1:9" x14ac:dyDescent="0.25">
      <c r="A13752" t="str">
        <f t="shared" si="323"/>
        <v>89301000</v>
      </c>
      <c r="B13752" t="str">
        <f>"8506035472"</f>
        <v>8506035472</v>
      </c>
      <c r="C13752" s="1">
        <v>45273</v>
      </c>
      <c r="D13752" s="1">
        <v>45279</v>
      </c>
      <c r="E13752">
        <v>1</v>
      </c>
      <c r="F13752" t="str">
        <f>"07-M02-04"</f>
        <v>07-M02-04</v>
      </c>
      <c r="G13752">
        <v>0.77339999999999998</v>
      </c>
      <c r="H13752" t="s">
        <v>12</v>
      </c>
      <c r="I13752" t="s">
        <v>10</v>
      </c>
    </row>
    <row r="13753" spans="1:9" x14ac:dyDescent="0.25">
      <c r="A13753" t="str">
        <f t="shared" si="323"/>
        <v>89301000</v>
      </c>
      <c r="B13753" t="str">
        <f>"8506035472"</f>
        <v>8506035472</v>
      </c>
      <c r="C13753" s="1">
        <v>45005</v>
      </c>
      <c r="D13753" s="1">
        <v>45007</v>
      </c>
      <c r="E13753">
        <v>1</v>
      </c>
      <c r="F13753" t="str">
        <f>"07-M02-04"</f>
        <v>07-M02-04</v>
      </c>
      <c r="G13753">
        <v>0.84409999999999996</v>
      </c>
      <c r="H13753" t="s">
        <v>12</v>
      </c>
      <c r="I13753" t="s">
        <v>10</v>
      </c>
    </row>
    <row r="13754" spans="1:9" x14ac:dyDescent="0.25">
      <c r="A13754" t="str">
        <f t="shared" si="323"/>
        <v>89301000</v>
      </c>
      <c r="B13754" t="str">
        <f>"8506035472"</f>
        <v>8506035472</v>
      </c>
      <c r="C13754" s="1">
        <v>44979</v>
      </c>
      <c r="D13754" s="1">
        <v>44981</v>
      </c>
      <c r="E13754">
        <v>1</v>
      </c>
      <c r="F13754" t="str">
        <f>"07-K02-03"</f>
        <v>07-K02-03</v>
      </c>
      <c r="G13754">
        <v>0.76359999999999995</v>
      </c>
      <c r="H13754" t="s">
        <v>11</v>
      </c>
      <c r="I13754" t="s">
        <v>10</v>
      </c>
    </row>
    <row r="13755" spans="1:9" x14ac:dyDescent="0.25">
      <c r="A13755" t="str">
        <f t="shared" si="323"/>
        <v>89301000</v>
      </c>
      <c r="B13755" t="str">
        <f>"8506065788"</f>
        <v>8506065788</v>
      </c>
      <c r="C13755" s="1">
        <v>45218</v>
      </c>
      <c r="D13755" s="1">
        <v>45219</v>
      </c>
      <c r="E13755">
        <v>1</v>
      </c>
      <c r="F13755" t="str">
        <f>"08-I17-02"</f>
        <v>08-I17-02</v>
      </c>
      <c r="G13755">
        <v>0.89680000000000004</v>
      </c>
      <c r="H13755" t="s">
        <v>11</v>
      </c>
      <c r="I13755" t="s">
        <v>10</v>
      </c>
    </row>
    <row r="13756" spans="1:9" x14ac:dyDescent="0.25">
      <c r="A13756" t="str">
        <f t="shared" si="323"/>
        <v>89301000</v>
      </c>
      <c r="B13756" t="str">
        <f>"8506144581"</f>
        <v>8506144581</v>
      </c>
      <c r="C13756" s="1">
        <v>44977</v>
      </c>
      <c r="D13756" s="1">
        <v>44981</v>
      </c>
      <c r="E13756">
        <v>1</v>
      </c>
      <c r="F13756" t="str">
        <f>"19-K01-03"</f>
        <v>19-K01-03</v>
      </c>
      <c r="G13756">
        <v>0.55700000000000005</v>
      </c>
      <c r="H13756" t="s">
        <v>15</v>
      </c>
      <c r="I13756" t="s">
        <v>10</v>
      </c>
    </row>
    <row r="13757" spans="1:9" x14ac:dyDescent="0.25">
      <c r="A13757" t="str">
        <f t="shared" si="323"/>
        <v>89301000</v>
      </c>
      <c r="B13757" t="str">
        <f>"8506182652"</f>
        <v>8506182652</v>
      </c>
      <c r="C13757" s="1">
        <v>45254</v>
      </c>
      <c r="D13757" s="1">
        <v>45257</v>
      </c>
      <c r="E13757">
        <v>1</v>
      </c>
      <c r="F13757" t="str">
        <f>"08-K13-02"</f>
        <v>08-K13-02</v>
      </c>
      <c r="G13757">
        <v>0.43059999999999998</v>
      </c>
      <c r="H13757" t="s">
        <v>11</v>
      </c>
      <c r="I13757" t="s">
        <v>10</v>
      </c>
    </row>
    <row r="13758" spans="1:9" x14ac:dyDescent="0.25">
      <c r="A13758" t="str">
        <f t="shared" si="323"/>
        <v>89301000</v>
      </c>
      <c r="B13758" t="str">
        <f>"8506205785"</f>
        <v>8506205785</v>
      </c>
      <c r="C13758" s="1">
        <v>45098</v>
      </c>
      <c r="D13758" s="1">
        <v>45103</v>
      </c>
      <c r="E13758">
        <v>1</v>
      </c>
      <c r="F13758" t="str">
        <f>"06-I18-03"</f>
        <v>06-I18-03</v>
      </c>
      <c r="G13758">
        <v>1.3418000000000001</v>
      </c>
      <c r="H13758" t="s">
        <v>9</v>
      </c>
      <c r="I13758" t="s">
        <v>10</v>
      </c>
    </row>
    <row r="13759" spans="1:9" x14ac:dyDescent="0.25">
      <c r="A13759" t="str">
        <f t="shared" si="323"/>
        <v>89301000</v>
      </c>
      <c r="B13759" t="str">
        <f>"8506285810"</f>
        <v>8506285810</v>
      </c>
      <c r="C13759" s="1">
        <v>45049</v>
      </c>
      <c r="D13759" s="1">
        <v>45050</v>
      </c>
      <c r="E13759">
        <v>1</v>
      </c>
      <c r="F13759" t="str">
        <f>"01-D01-03"</f>
        <v>01-D01-03</v>
      </c>
      <c r="G13759">
        <v>0.16200000000000001</v>
      </c>
      <c r="H13759" t="s">
        <v>11</v>
      </c>
      <c r="I13759" t="s">
        <v>10</v>
      </c>
    </row>
    <row r="13760" spans="1:9" x14ac:dyDescent="0.25">
      <c r="A13760" t="str">
        <f t="shared" si="323"/>
        <v>89301000</v>
      </c>
      <c r="B13760" t="str">
        <f>"8507065765"</f>
        <v>8507065765</v>
      </c>
      <c r="C13760" s="1">
        <v>44963</v>
      </c>
      <c r="D13760" s="1">
        <v>44970</v>
      </c>
      <c r="E13760">
        <v>1</v>
      </c>
      <c r="F13760" t="str">
        <f>"09-K02-00"</f>
        <v>09-K02-00</v>
      </c>
      <c r="G13760">
        <v>0.99539999999999995</v>
      </c>
      <c r="H13760" t="s">
        <v>11</v>
      </c>
      <c r="I13760" t="s">
        <v>10</v>
      </c>
    </row>
    <row r="13761" spans="1:9" x14ac:dyDescent="0.25">
      <c r="A13761" t="str">
        <f t="shared" si="323"/>
        <v>89301000</v>
      </c>
      <c r="B13761" t="str">
        <f>"8507085774"</f>
        <v>8507085774</v>
      </c>
      <c r="C13761" s="1">
        <v>45278</v>
      </c>
      <c r="D13761" s="1">
        <v>45281</v>
      </c>
      <c r="E13761">
        <v>1</v>
      </c>
      <c r="F13761" t="str">
        <f>"12-I14-00"</f>
        <v>12-I14-00</v>
      </c>
      <c r="G13761">
        <v>0.42920000000000003</v>
      </c>
      <c r="H13761" t="s">
        <v>11</v>
      </c>
      <c r="I13761" t="s">
        <v>10</v>
      </c>
    </row>
    <row r="13762" spans="1:9" x14ac:dyDescent="0.25">
      <c r="A13762" t="str">
        <f t="shared" si="323"/>
        <v>89301000</v>
      </c>
      <c r="B13762" t="str">
        <f>"8507085774"</f>
        <v>8507085774</v>
      </c>
      <c r="C13762" s="1">
        <v>45241</v>
      </c>
      <c r="D13762" s="1">
        <v>45259</v>
      </c>
      <c r="E13762">
        <v>1</v>
      </c>
      <c r="F13762" t="str">
        <f>"12-I11-00"</f>
        <v>12-I11-00</v>
      </c>
      <c r="G13762">
        <v>1.6934</v>
      </c>
      <c r="H13762" t="s">
        <v>11</v>
      </c>
      <c r="I13762" t="s">
        <v>10</v>
      </c>
    </row>
    <row r="13763" spans="1:9" x14ac:dyDescent="0.25">
      <c r="A13763" t="str">
        <f t="shared" si="323"/>
        <v>89301000</v>
      </c>
      <c r="B13763" t="str">
        <f>"8507116266"</f>
        <v>8507116266</v>
      </c>
      <c r="C13763" s="1">
        <v>44973</v>
      </c>
      <c r="D13763" s="1">
        <v>44975</v>
      </c>
      <c r="E13763">
        <v>1</v>
      </c>
      <c r="F13763" t="str">
        <f>"08-I15-03"</f>
        <v>08-I15-03</v>
      </c>
      <c r="G13763">
        <v>0.94059999999999999</v>
      </c>
      <c r="H13763" t="s">
        <v>12</v>
      </c>
      <c r="I13763" t="s">
        <v>10</v>
      </c>
    </row>
    <row r="13764" spans="1:9" x14ac:dyDescent="0.25">
      <c r="A13764" t="str">
        <f t="shared" si="323"/>
        <v>89301000</v>
      </c>
      <c r="B13764" t="str">
        <f>"8507165799"</f>
        <v>8507165799</v>
      </c>
      <c r="C13764" s="1">
        <v>45186</v>
      </c>
      <c r="D13764" s="1">
        <v>45189</v>
      </c>
      <c r="E13764">
        <v>1</v>
      </c>
      <c r="F13764" t="str">
        <f>"06-K02-04"</f>
        <v>06-K02-04</v>
      </c>
      <c r="G13764">
        <v>0.37809999999999999</v>
      </c>
      <c r="H13764" t="s">
        <v>11</v>
      </c>
      <c r="I13764" t="s">
        <v>10</v>
      </c>
    </row>
    <row r="13765" spans="1:9" x14ac:dyDescent="0.25">
      <c r="A13765" t="str">
        <f t="shared" si="323"/>
        <v>89301000</v>
      </c>
      <c r="B13765" t="str">
        <f>"8508186236"</f>
        <v>8508186236</v>
      </c>
      <c r="C13765" s="1">
        <v>45177</v>
      </c>
      <c r="D13765" s="1">
        <v>45179</v>
      </c>
      <c r="E13765">
        <v>1</v>
      </c>
      <c r="F13765" t="str">
        <f>"08-I04-03"</f>
        <v>08-I04-03</v>
      </c>
      <c r="G13765">
        <v>1.3045</v>
      </c>
      <c r="H13765" t="s">
        <v>14</v>
      </c>
      <c r="I13765" t="s">
        <v>10</v>
      </c>
    </row>
    <row r="13766" spans="1:9" x14ac:dyDescent="0.25">
      <c r="A13766" t="str">
        <f t="shared" si="323"/>
        <v>89301000</v>
      </c>
      <c r="B13766" t="str">
        <f>"8509024920"</f>
        <v>8509024920</v>
      </c>
      <c r="C13766" s="1">
        <v>45277</v>
      </c>
      <c r="D13766" s="1">
        <v>45280</v>
      </c>
      <c r="E13766">
        <v>1</v>
      </c>
      <c r="F13766" t="str">
        <f>"08-M03-04"</f>
        <v>08-M03-04</v>
      </c>
      <c r="G13766">
        <v>0.87760000000000005</v>
      </c>
      <c r="H13766" t="s">
        <v>11</v>
      </c>
      <c r="I13766" t="s">
        <v>10</v>
      </c>
    </row>
    <row r="13767" spans="1:9" x14ac:dyDescent="0.25">
      <c r="A13767" t="str">
        <f t="shared" si="323"/>
        <v>89301000</v>
      </c>
      <c r="B13767" t="str">
        <f>"8509255370"</f>
        <v>8509255370</v>
      </c>
      <c r="C13767" s="1">
        <v>45126</v>
      </c>
      <c r="D13767" s="1">
        <v>45140</v>
      </c>
      <c r="E13767">
        <v>1</v>
      </c>
      <c r="F13767" t="str">
        <f>"24-M07-02"</f>
        <v>24-M07-02</v>
      </c>
      <c r="G13767">
        <v>1.5729</v>
      </c>
      <c r="H13767" t="s">
        <v>11</v>
      </c>
      <c r="I13767" t="s">
        <v>10</v>
      </c>
    </row>
    <row r="13768" spans="1:9" x14ac:dyDescent="0.25">
      <c r="A13768" t="str">
        <f t="shared" si="323"/>
        <v>89301000</v>
      </c>
      <c r="B13768" t="str">
        <f>"8510295772"</f>
        <v>8510295772</v>
      </c>
      <c r="C13768" s="1">
        <v>44938</v>
      </c>
      <c r="D13768" s="1">
        <v>44941</v>
      </c>
      <c r="E13768">
        <v>1</v>
      </c>
      <c r="F13768" t="str">
        <f>"08-I30-01"</f>
        <v>08-I30-01</v>
      </c>
      <c r="G13768">
        <v>1.6201000000000001</v>
      </c>
      <c r="H13768" t="s">
        <v>11</v>
      </c>
      <c r="I13768" t="s">
        <v>10</v>
      </c>
    </row>
    <row r="13769" spans="1:9" x14ac:dyDescent="0.25">
      <c r="A13769" t="str">
        <f t="shared" si="323"/>
        <v>89301000</v>
      </c>
      <c r="B13769" t="str">
        <f>"8511264927"</f>
        <v>8511264927</v>
      </c>
      <c r="C13769" s="1">
        <v>45000</v>
      </c>
      <c r="D13769" s="1">
        <v>45020</v>
      </c>
      <c r="E13769">
        <v>5</v>
      </c>
      <c r="F13769" t="str">
        <f>"00-M01-03"</f>
        <v>00-M01-03</v>
      </c>
      <c r="G13769">
        <v>10.3605</v>
      </c>
      <c r="H13769" t="s">
        <v>11</v>
      </c>
      <c r="I13769" t="s">
        <v>10</v>
      </c>
    </row>
    <row r="13770" spans="1:9" x14ac:dyDescent="0.25">
      <c r="A13770" t="str">
        <f t="shared" si="323"/>
        <v>89301000</v>
      </c>
      <c r="B13770" t="str">
        <f>"8512266213"</f>
        <v>8512266213</v>
      </c>
      <c r="C13770" s="1">
        <v>44935</v>
      </c>
      <c r="D13770" s="1">
        <v>44942</v>
      </c>
      <c r="E13770">
        <v>1</v>
      </c>
      <c r="F13770" t="str">
        <f>"06-K06-02"</f>
        <v>06-K06-02</v>
      </c>
      <c r="G13770">
        <v>0.64170000000000005</v>
      </c>
      <c r="H13770" t="s">
        <v>11</v>
      </c>
      <c r="I13770" t="s">
        <v>10</v>
      </c>
    </row>
    <row r="13771" spans="1:9" x14ac:dyDescent="0.25">
      <c r="A13771" t="str">
        <f t="shared" si="323"/>
        <v>89301000</v>
      </c>
      <c r="B13771" t="str">
        <f>"8551015792"</f>
        <v>8551015792</v>
      </c>
      <c r="C13771" s="1">
        <v>44999</v>
      </c>
      <c r="D13771" s="1">
        <v>45000</v>
      </c>
      <c r="E13771">
        <v>1</v>
      </c>
      <c r="F13771" t="str">
        <f>"09-I09-05"</f>
        <v>09-I09-05</v>
      </c>
      <c r="G13771">
        <v>0.46870000000000001</v>
      </c>
      <c r="H13771" t="s">
        <v>12</v>
      </c>
      <c r="I13771" t="s">
        <v>10</v>
      </c>
    </row>
    <row r="13772" spans="1:9" x14ac:dyDescent="0.25">
      <c r="A13772" t="str">
        <f t="shared" si="323"/>
        <v>89301000</v>
      </c>
      <c r="B13772" t="str">
        <f>"8551076226"</f>
        <v>8551076226</v>
      </c>
      <c r="C13772" s="1">
        <v>45243</v>
      </c>
      <c r="D13772" s="1">
        <v>45258</v>
      </c>
      <c r="E13772">
        <v>1</v>
      </c>
      <c r="F13772" t="str">
        <f>"06-I07-05"</f>
        <v>06-I07-05</v>
      </c>
      <c r="G13772">
        <v>2.7919999999999998</v>
      </c>
      <c r="H13772" t="s">
        <v>12</v>
      </c>
      <c r="I13772" t="s">
        <v>10</v>
      </c>
    </row>
    <row r="13773" spans="1:9" x14ac:dyDescent="0.25">
      <c r="A13773" t="str">
        <f t="shared" si="323"/>
        <v>89301000</v>
      </c>
      <c r="B13773" t="str">
        <f>"8551145801"</f>
        <v>8551145801</v>
      </c>
      <c r="C13773" s="1">
        <v>44922</v>
      </c>
      <c r="D13773" s="1">
        <v>44927</v>
      </c>
      <c r="E13773">
        <v>1</v>
      </c>
      <c r="F13773" t="str">
        <f>"14-I01-02"</f>
        <v>14-I01-02</v>
      </c>
      <c r="G13773">
        <v>1.2988999999999999</v>
      </c>
      <c r="H13773" t="s">
        <v>13</v>
      </c>
      <c r="I13773" t="s">
        <v>10</v>
      </c>
    </row>
    <row r="13774" spans="1:9" x14ac:dyDescent="0.25">
      <c r="A13774" t="str">
        <f t="shared" si="323"/>
        <v>89301000</v>
      </c>
      <c r="B13774" t="str">
        <f>"8551176205"</f>
        <v>8551176205</v>
      </c>
      <c r="C13774" s="1">
        <v>45022</v>
      </c>
      <c r="D13774" s="1">
        <v>45023</v>
      </c>
      <c r="E13774">
        <v>1</v>
      </c>
      <c r="F13774" t="str">
        <f>"08-I26-03"</f>
        <v>08-I26-03</v>
      </c>
      <c r="G13774">
        <v>0.47699999999999998</v>
      </c>
      <c r="H13774" t="s">
        <v>11</v>
      </c>
      <c r="I13774" t="s">
        <v>10</v>
      </c>
    </row>
    <row r="13775" spans="1:9" x14ac:dyDescent="0.25">
      <c r="A13775" t="str">
        <f t="shared" si="323"/>
        <v>89301000</v>
      </c>
      <c r="B13775" t="str">
        <f>"8551265833"</f>
        <v>8551265833</v>
      </c>
      <c r="C13775" s="1">
        <v>45270</v>
      </c>
      <c r="D13775" s="1">
        <v>45275</v>
      </c>
      <c r="E13775">
        <v>1</v>
      </c>
      <c r="F13775" t="str">
        <f>"13-K01-02"</f>
        <v>13-K01-02</v>
      </c>
      <c r="G13775">
        <v>0.48220000000000002</v>
      </c>
      <c r="H13775" t="s">
        <v>11</v>
      </c>
      <c r="I13775" t="s">
        <v>10</v>
      </c>
    </row>
    <row r="13776" spans="1:9" x14ac:dyDescent="0.25">
      <c r="A13776" t="str">
        <f t="shared" si="323"/>
        <v>89301000</v>
      </c>
      <c r="B13776" t="str">
        <f>"8552025768"</f>
        <v>8552025768</v>
      </c>
      <c r="C13776" s="1">
        <v>44994</v>
      </c>
      <c r="D13776" s="1">
        <v>44996</v>
      </c>
      <c r="E13776">
        <v>1</v>
      </c>
      <c r="F13776" t="str">
        <f>"10-K13-03"</f>
        <v>10-K13-03</v>
      </c>
      <c r="G13776">
        <v>0.42780000000000001</v>
      </c>
      <c r="H13776" t="s">
        <v>11</v>
      </c>
      <c r="I13776" t="s">
        <v>10</v>
      </c>
    </row>
    <row r="13777" spans="1:9" x14ac:dyDescent="0.25">
      <c r="A13777" t="str">
        <f t="shared" si="323"/>
        <v>89301000</v>
      </c>
      <c r="B13777" t="str">
        <f>"8552055776"</f>
        <v>8552055776</v>
      </c>
      <c r="C13777" s="1">
        <v>45102</v>
      </c>
      <c r="D13777" s="1">
        <v>45105</v>
      </c>
      <c r="E13777">
        <v>1</v>
      </c>
      <c r="F13777" t="str">
        <f>"14-M01-05"</f>
        <v>14-M01-05</v>
      </c>
      <c r="G13777">
        <v>0.56289999999999996</v>
      </c>
      <c r="H13777" t="s">
        <v>13</v>
      </c>
      <c r="I13777" t="s">
        <v>10</v>
      </c>
    </row>
    <row r="13778" spans="1:9" x14ac:dyDescent="0.25">
      <c r="A13778" t="str">
        <f t="shared" ref="A13778:A13841" si="324">"89301000"</f>
        <v>89301000</v>
      </c>
      <c r="B13778" t="str">
        <f>"8552065797"</f>
        <v>8552065797</v>
      </c>
      <c r="C13778" s="1">
        <v>45208</v>
      </c>
      <c r="D13778" s="1">
        <v>45211</v>
      </c>
      <c r="E13778">
        <v>1</v>
      </c>
      <c r="F13778" t="str">
        <f>"13-I14-03"</f>
        <v>13-I14-03</v>
      </c>
      <c r="G13778">
        <v>0.87760000000000005</v>
      </c>
      <c r="H13778" t="s">
        <v>9</v>
      </c>
      <c r="I13778" t="s">
        <v>10</v>
      </c>
    </row>
    <row r="13779" spans="1:9" x14ac:dyDescent="0.25">
      <c r="A13779" t="str">
        <f t="shared" si="324"/>
        <v>89301000</v>
      </c>
      <c r="B13779" t="str">
        <f>"8552094947"</f>
        <v>8552094947</v>
      </c>
      <c r="C13779" s="1">
        <v>45173</v>
      </c>
      <c r="D13779" s="1">
        <v>45173</v>
      </c>
      <c r="E13779">
        <v>6</v>
      </c>
      <c r="F13779" t="str">
        <f>"14-K05-01"</f>
        <v>14-K05-01</v>
      </c>
      <c r="G13779">
        <v>0.13</v>
      </c>
      <c r="H13779" t="s">
        <v>11</v>
      </c>
      <c r="I13779" t="s">
        <v>10</v>
      </c>
    </row>
    <row r="13780" spans="1:9" x14ac:dyDescent="0.25">
      <c r="A13780" t="str">
        <f t="shared" si="324"/>
        <v>89301000</v>
      </c>
      <c r="B13780" t="str">
        <f>"8552166007"</f>
        <v>8552166007</v>
      </c>
      <c r="C13780" s="1">
        <v>45038</v>
      </c>
      <c r="D13780" s="1">
        <v>45041</v>
      </c>
      <c r="E13780">
        <v>1</v>
      </c>
      <c r="F13780" t="str">
        <f>"14-M01-05"</f>
        <v>14-M01-05</v>
      </c>
      <c r="G13780">
        <v>0.56289999999999996</v>
      </c>
      <c r="H13780" t="s">
        <v>13</v>
      </c>
      <c r="I13780" t="s">
        <v>10</v>
      </c>
    </row>
    <row r="13781" spans="1:9" x14ac:dyDescent="0.25">
      <c r="A13781" t="str">
        <f t="shared" si="324"/>
        <v>89301000</v>
      </c>
      <c r="B13781" t="str">
        <f>"8552235802"</f>
        <v>8552235802</v>
      </c>
      <c r="C13781" s="1">
        <v>45151</v>
      </c>
      <c r="D13781" s="1">
        <v>45153</v>
      </c>
      <c r="E13781">
        <v>1</v>
      </c>
      <c r="F13781" t="str">
        <f>"08-M03-02"</f>
        <v>08-M03-02</v>
      </c>
      <c r="G13781">
        <v>0.91359999999999997</v>
      </c>
      <c r="H13781" t="s">
        <v>11</v>
      </c>
      <c r="I13781" t="s">
        <v>10</v>
      </c>
    </row>
    <row r="13782" spans="1:9" x14ac:dyDescent="0.25">
      <c r="A13782" t="str">
        <f t="shared" si="324"/>
        <v>89301000</v>
      </c>
      <c r="B13782" t="str">
        <f>"8552240785"</f>
        <v>8552240785</v>
      </c>
      <c r="C13782" s="1">
        <v>45088</v>
      </c>
      <c r="D13782" s="1">
        <v>45091</v>
      </c>
      <c r="E13782">
        <v>1</v>
      </c>
      <c r="F13782" t="str">
        <f>"18-K02-03"</f>
        <v>18-K02-03</v>
      </c>
      <c r="G13782">
        <v>0.9234</v>
      </c>
      <c r="H13782" t="s">
        <v>11</v>
      </c>
      <c r="I13782" t="s">
        <v>10</v>
      </c>
    </row>
    <row r="13783" spans="1:9" x14ac:dyDescent="0.25">
      <c r="A13783" t="str">
        <f t="shared" si="324"/>
        <v>89301000</v>
      </c>
      <c r="B13783" t="str">
        <f>"8552274918"</f>
        <v>8552274918</v>
      </c>
      <c r="C13783" s="1">
        <v>45055</v>
      </c>
      <c r="D13783" s="1">
        <v>45058</v>
      </c>
      <c r="E13783">
        <v>1</v>
      </c>
      <c r="F13783" t="str">
        <f>"08-I04-03"</f>
        <v>08-I04-03</v>
      </c>
      <c r="G13783">
        <v>1.3045</v>
      </c>
      <c r="H13783" t="s">
        <v>14</v>
      </c>
      <c r="I13783" t="s">
        <v>10</v>
      </c>
    </row>
    <row r="13784" spans="1:9" x14ac:dyDescent="0.25">
      <c r="A13784" t="str">
        <f t="shared" si="324"/>
        <v>89301000</v>
      </c>
      <c r="B13784" t="str">
        <f>"8552275787"</f>
        <v>8552275787</v>
      </c>
      <c r="C13784" s="1">
        <v>45070</v>
      </c>
      <c r="D13784" s="1">
        <v>45076</v>
      </c>
      <c r="E13784">
        <v>1</v>
      </c>
      <c r="F13784" t="str">
        <f>"06-K07-02"</f>
        <v>06-K07-02</v>
      </c>
      <c r="G13784">
        <v>0.4385</v>
      </c>
      <c r="H13784" t="s">
        <v>11</v>
      </c>
      <c r="I13784" t="s">
        <v>10</v>
      </c>
    </row>
    <row r="13785" spans="1:9" x14ac:dyDescent="0.25">
      <c r="A13785" t="str">
        <f t="shared" si="324"/>
        <v>89301000</v>
      </c>
      <c r="B13785" t="str">
        <f>"8553036239"</f>
        <v>8553036239</v>
      </c>
      <c r="C13785" s="1">
        <v>45062</v>
      </c>
      <c r="D13785" s="1">
        <v>45067</v>
      </c>
      <c r="E13785">
        <v>1</v>
      </c>
      <c r="F13785" t="str">
        <f>"14-M01-05"</f>
        <v>14-M01-05</v>
      </c>
      <c r="G13785">
        <v>0.56289999999999996</v>
      </c>
      <c r="H13785" t="s">
        <v>13</v>
      </c>
      <c r="I13785" t="s">
        <v>10</v>
      </c>
    </row>
    <row r="13786" spans="1:9" x14ac:dyDescent="0.25">
      <c r="A13786" t="str">
        <f t="shared" si="324"/>
        <v>89301000</v>
      </c>
      <c r="B13786" t="str">
        <f>"8553055775"</f>
        <v>8553055775</v>
      </c>
      <c r="C13786" s="1">
        <v>45070</v>
      </c>
      <c r="D13786" s="1">
        <v>45075</v>
      </c>
      <c r="E13786">
        <v>1</v>
      </c>
      <c r="F13786" t="str">
        <f>"14-I01-05"</f>
        <v>14-I01-05</v>
      </c>
      <c r="G13786">
        <v>0.83340000000000003</v>
      </c>
      <c r="H13786" t="s">
        <v>13</v>
      </c>
      <c r="I13786" t="s">
        <v>10</v>
      </c>
    </row>
    <row r="13787" spans="1:9" x14ac:dyDescent="0.25">
      <c r="A13787" t="str">
        <f t="shared" si="324"/>
        <v>89301000</v>
      </c>
      <c r="B13787" t="str">
        <f>"8553075773"</f>
        <v>8553075773</v>
      </c>
      <c r="C13787" s="1">
        <v>44930</v>
      </c>
      <c r="D13787" s="1">
        <v>44932</v>
      </c>
      <c r="E13787">
        <v>1</v>
      </c>
      <c r="F13787" t="str">
        <f>"08-I26-03"</f>
        <v>08-I26-03</v>
      </c>
      <c r="G13787">
        <v>0.47699999999999998</v>
      </c>
      <c r="H13787" t="s">
        <v>11</v>
      </c>
      <c r="I13787" t="s">
        <v>10</v>
      </c>
    </row>
    <row r="13788" spans="1:9" x14ac:dyDescent="0.25">
      <c r="A13788" t="str">
        <f t="shared" si="324"/>
        <v>89301000</v>
      </c>
      <c r="B13788" t="str">
        <f>"8553146206"</f>
        <v>8553146206</v>
      </c>
      <c r="C13788" s="1">
        <v>44936</v>
      </c>
      <c r="D13788" s="1">
        <v>44938</v>
      </c>
      <c r="E13788">
        <v>1</v>
      </c>
      <c r="F13788" t="str">
        <f>"05-I30-01"</f>
        <v>05-I30-01</v>
      </c>
      <c r="G13788">
        <v>0.60309999999999997</v>
      </c>
      <c r="H13788" t="s">
        <v>12</v>
      </c>
      <c r="I13788" t="s">
        <v>10</v>
      </c>
    </row>
    <row r="13789" spans="1:9" x14ac:dyDescent="0.25">
      <c r="A13789" t="str">
        <f t="shared" si="324"/>
        <v>89301000</v>
      </c>
      <c r="B13789" t="str">
        <f>"8553154654"</f>
        <v>8553154654</v>
      </c>
      <c r="C13789" s="1">
        <v>45004</v>
      </c>
      <c r="D13789" s="1">
        <v>45006</v>
      </c>
      <c r="E13789">
        <v>1</v>
      </c>
      <c r="F13789" t="str">
        <f>"14-M01-05"</f>
        <v>14-M01-05</v>
      </c>
      <c r="G13789">
        <v>0.56289999999999996</v>
      </c>
      <c r="H13789" t="s">
        <v>13</v>
      </c>
      <c r="I13789" t="s">
        <v>10</v>
      </c>
    </row>
    <row r="13790" spans="1:9" x14ac:dyDescent="0.25">
      <c r="A13790" t="str">
        <f t="shared" si="324"/>
        <v>89301000</v>
      </c>
      <c r="B13790" t="str">
        <f>"8553165775"</f>
        <v>8553165775</v>
      </c>
      <c r="C13790" s="1">
        <v>45282</v>
      </c>
      <c r="D13790" s="1">
        <v>45284</v>
      </c>
      <c r="E13790">
        <v>1</v>
      </c>
      <c r="F13790" t="str">
        <f>"14-M01-05"</f>
        <v>14-M01-05</v>
      </c>
      <c r="G13790">
        <v>0.56289999999999996</v>
      </c>
      <c r="H13790" t="s">
        <v>13</v>
      </c>
      <c r="I13790" t="s">
        <v>10</v>
      </c>
    </row>
    <row r="13791" spans="1:9" x14ac:dyDescent="0.25">
      <c r="A13791" t="str">
        <f t="shared" si="324"/>
        <v>89301000</v>
      </c>
      <c r="B13791" t="str">
        <f>"8553165786"</f>
        <v>8553165786</v>
      </c>
      <c r="C13791" s="1">
        <v>44956</v>
      </c>
      <c r="D13791" s="1">
        <v>44960</v>
      </c>
      <c r="E13791">
        <v>1</v>
      </c>
      <c r="F13791" t="str">
        <f>"14-M01-05"</f>
        <v>14-M01-05</v>
      </c>
      <c r="G13791">
        <v>0.56289999999999996</v>
      </c>
      <c r="H13791" t="s">
        <v>13</v>
      </c>
      <c r="I13791" t="s">
        <v>10</v>
      </c>
    </row>
    <row r="13792" spans="1:9" x14ac:dyDescent="0.25">
      <c r="A13792" t="str">
        <f t="shared" si="324"/>
        <v>89301000</v>
      </c>
      <c r="B13792" t="str">
        <f>"8553195783"</f>
        <v>8553195783</v>
      </c>
      <c r="C13792" s="1">
        <v>45218</v>
      </c>
      <c r="D13792" s="1">
        <v>45223</v>
      </c>
      <c r="E13792">
        <v>1</v>
      </c>
      <c r="F13792" t="str">
        <f>"04-K02-03"</f>
        <v>04-K02-03</v>
      </c>
      <c r="G13792">
        <v>1.298</v>
      </c>
      <c r="H13792" t="s">
        <v>11</v>
      </c>
      <c r="I13792" t="s">
        <v>10</v>
      </c>
    </row>
    <row r="13793" spans="1:9" x14ac:dyDescent="0.25">
      <c r="A13793" t="str">
        <f t="shared" si="324"/>
        <v>89301000</v>
      </c>
      <c r="B13793" t="str">
        <f>"8554016218"</f>
        <v>8554016218</v>
      </c>
      <c r="C13793" s="1">
        <v>45248</v>
      </c>
      <c r="D13793" s="1">
        <v>45252</v>
      </c>
      <c r="E13793">
        <v>1</v>
      </c>
      <c r="F13793" t="str">
        <f>"14-M01-05"</f>
        <v>14-M01-05</v>
      </c>
      <c r="G13793">
        <v>0.56289999999999996</v>
      </c>
      <c r="H13793" t="s">
        <v>13</v>
      </c>
      <c r="I13793" t="s">
        <v>10</v>
      </c>
    </row>
    <row r="13794" spans="1:9" x14ac:dyDescent="0.25">
      <c r="A13794" t="str">
        <f t="shared" si="324"/>
        <v>89301000</v>
      </c>
      <c r="B13794" t="str">
        <f>"8554044939"</f>
        <v>8554044939</v>
      </c>
      <c r="C13794" s="1">
        <v>45119</v>
      </c>
      <c r="D13794" s="1">
        <v>45122</v>
      </c>
      <c r="E13794">
        <v>1</v>
      </c>
      <c r="F13794" t="str">
        <f>"14-K03-02"</f>
        <v>14-K03-02</v>
      </c>
      <c r="G13794">
        <v>0.30730000000000002</v>
      </c>
      <c r="H13794" t="s">
        <v>11</v>
      </c>
      <c r="I13794" t="s">
        <v>10</v>
      </c>
    </row>
    <row r="13795" spans="1:9" x14ac:dyDescent="0.25">
      <c r="A13795" t="str">
        <f t="shared" si="324"/>
        <v>89301000</v>
      </c>
      <c r="B13795" t="str">
        <f>"8554045841"</f>
        <v>8554045841</v>
      </c>
      <c r="C13795" s="1">
        <v>45060</v>
      </c>
      <c r="D13795" s="1">
        <v>45064</v>
      </c>
      <c r="E13795">
        <v>1</v>
      </c>
      <c r="F13795" t="str">
        <f>"14-M01-01"</f>
        <v>14-M01-01</v>
      </c>
      <c r="G13795">
        <v>0.79259999999999997</v>
      </c>
      <c r="H13795" t="s">
        <v>13</v>
      </c>
      <c r="I13795" t="s">
        <v>10</v>
      </c>
    </row>
    <row r="13796" spans="1:9" x14ac:dyDescent="0.25">
      <c r="A13796" t="str">
        <f t="shared" si="324"/>
        <v>89301000</v>
      </c>
      <c r="B13796" t="str">
        <f>"8554054949"</f>
        <v>8554054949</v>
      </c>
      <c r="C13796" s="1">
        <v>45124</v>
      </c>
      <c r="D13796" s="1">
        <v>45127</v>
      </c>
      <c r="E13796">
        <v>1</v>
      </c>
      <c r="F13796" t="str">
        <f>"09-K02-00"</f>
        <v>09-K02-00</v>
      </c>
      <c r="G13796">
        <v>0.99539999999999995</v>
      </c>
      <c r="H13796" t="s">
        <v>11</v>
      </c>
      <c r="I13796" t="s">
        <v>10</v>
      </c>
    </row>
    <row r="13797" spans="1:9" x14ac:dyDescent="0.25">
      <c r="A13797" t="str">
        <f t="shared" si="324"/>
        <v>89301000</v>
      </c>
      <c r="B13797" t="str">
        <f>"8554105780"</f>
        <v>8554105780</v>
      </c>
      <c r="C13797" s="1">
        <v>45161</v>
      </c>
      <c r="D13797" s="1">
        <v>45163</v>
      </c>
      <c r="E13797">
        <v>1</v>
      </c>
      <c r="F13797" t="str">
        <f>"16-K02-03"</f>
        <v>16-K02-03</v>
      </c>
      <c r="G13797">
        <v>0.46679999999999999</v>
      </c>
      <c r="H13797" t="s">
        <v>11</v>
      </c>
      <c r="I13797" t="s">
        <v>10</v>
      </c>
    </row>
    <row r="13798" spans="1:9" x14ac:dyDescent="0.25">
      <c r="A13798" t="str">
        <f t="shared" si="324"/>
        <v>89301000</v>
      </c>
      <c r="B13798" t="str">
        <f>"8554135810"</f>
        <v>8554135810</v>
      </c>
      <c r="C13798" s="1">
        <v>44972</v>
      </c>
      <c r="D13798" s="1">
        <v>44977</v>
      </c>
      <c r="E13798">
        <v>1</v>
      </c>
      <c r="F13798" t="str">
        <f>"13-I16-00"</f>
        <v>13-I16-00</v>
      </c>
      <c r="G13798">
        <v>1.5688</v>
      </c>
      <c r="H13798" t="s">
        <v>12</v>
      </c>
      <c r="I13798" t="s">
        <v>10</v>
      </c>
    </row>
    <row r="13799" spans="1:9" x14ac:dyDescent="0.25">
      <c r="A13799" t="str">
        <f t="shared" si="324"/>
        <v>89301000</v>
      </c>
      <c r="B13799" t="str">
        <f>"8554155841"</f>
        <v>8554155841</v>
      </c>
      <c r="C13799" s="1">
        <v>45013</v>
      </c>
      <c r="D13799" s="1">
        <v>45015</v>
      </c>
      <c r="E13799">
        <v>1</v>
      </c>
      <c r="F13799" t="str">
        <f>"08-M03-05"</f>
        <v>08-M03-05</v>
      </c>
      <c r="G13799">
        <v>0.46910000000000002</v>
      </c>
      <c r="H13799" t="s">
        <v>11</v>
      </c>
      <c r="I13799" t="s">
        <v>10</v>
      </c>
    </row>
    <row r="13800" spans="1:9" x14ac:dyDescent="0.25">
      <c r="A13800" t="str">
        <f t="shared" si="324"/>
        <v>89301000</v>
      </c>
      <c r="B13800" t="str">
        <f>"8554165807"</f>
        <v>8554165807</v>
      </c>
      <c r="C13800" s="1">
        <v>45215</v>
      </c>
      <c r="D13800" s="1">
        <v>45225</v>
      </c>
      <c r="E13800">
        <v>1</v>
      </c>
      <c r="F13800" t="str">
        <f>"04-K02-04"</f>
        <v>04-K02-04</v>
      </c>
      <c r="G13800">
        <v>0.82099999999999995</v>
      </c>
      <c r="H13800" t="s">
        <v>11</v>
      </c>
      <c r="I13800" t="s">
        <v>10</v>
      </c>
    </row>
    <row r="13801" spans="1:9" x14ac:dyDescent="0.25">
      <c r="A13801" t="str">
        <f t="shared" si="324"/>
        <v>89301000</v>
      </c>
      <c r="B13801" t="str">
        <f>"8554284915"</f>
        <v>8554284915</v>
      </c>
      <c r="C13801" s="1">
        <v>44995</v>
      </c>
      <c r="D13801" s="1">
        <v>44996</v>
      </c>
      <c r="E13801">
        <v>1</v>
      </c>
      <c r="F13801" t="str">
        <f>"16-K04-01"</f>
        <v>16-K04-01</v>
      </c>
      <c r="G13801">
        <v>0.99729999999999996</v>
      </c>
      <c r="H13801" t="s">
        <v>11</v>
      </c>
      <c r="I13801" t="s">
        <v>10</v>
      </c>
    </row>
    <row r="13802" spans="1:9" x14ac:dyDescent="0.25">
      <c r="A13802" t="str">
        <f t="shared" si="324"/>
        <v>89301000</v>
      </c>
      <c r="B13802" t="str">
        <f>"8554305782"</f>
        <v>8554305782</v>
      </c>
      <c r="C13802" s="1">
        <v>44990</v>
      </c>
      <c r="D13802" s="1">
        <v>44995</v>
      </c>
      <c r="E13802">
        <v>1</v>
      </c>
      <c r="F13802" t="str">
        <f>"14-M01-05"</f>
        <v>14-M01-05</v>
      </c>
      <c r="G13802">
        <v>0.56289999999999996</v>
      </c>
      <c r="H13802" t="s">
        <v>13</v>
      </c>
      <c r="I13802" t="s">
        <v>10</v>
      </c>
    </row>
    <row r="13803" spans="1:9" x14ac:dyDescent="0.25">
      <c r="A13803" t="str">
        <f t="shared" si="324"/>
        <v>89301000</v>
      </c>
      <c r="B13803" t="str">
        <f>"8555085792"</f>
        <v>8555085792</v>
      </c>
      <c r="C13803" s="1">
        <v>45049</v>
      </c>
      <c r="D13803" s="1">
        <v>45070</v>
      </c>
      <c r="E13803">
        <v>1</v>
      </c>
      <c r="F13803" t="str">
        <f>"19-K06-02"</f>
        <v>19-K06-02</v>
      </c>
      <c r="G13803">
        <v>2.2334999999999998</v>
      </c>
      <c r="H13803" t="s">
        <v>15</v>
      </c>
      <c r="I13803" t="s">
        <v>10</v>
      </c>
    </row>
    <row r="13804" spans="1:9" x14ac:dyDescent="0.25">
      <c r="A13804" t="str">
        <f t="shared" si="324"/>
        <v>89301000</v>
      </c>
      <c r="B13804" t="str">
        <f>"8555085792"</f>
        <v>8555085792</v>
      </c>
      <c r="C13804" s="1">
        <v>45107</v>
      </c>
      <c r="D13804" s="1">
        <v>45128</v>
      </c>
      <c r="E13804">
        <v>1</v>
      </c>
      <c r="F13804" t="str">
        <f>"19-K06-02"</f>
        <v>19-K06-02</v>
      </c>
      <c r="G13804">
        <v>2.2334999999999998</v>
      </c>
      <c r="H13804" t="s">
        <v>15</v>
      </c>
      <c r="I13804" t="s">
        <v>10</v>
      </c>
    </row>
    <row r="13805" spans="1:9" x14ac:dyDescent="0.25">
      <c r="A13805" t="str">
        <f t="shared" si="324"/>
        <v>89301000</v>
      </c>
      <c r="B13805" t="str">
        <f>"8555085792"</f>
        <v>8555085792</v>
      </c>
      <c r="C13805" s="1">
        <v>45136</v>
      </c>
      <c r="D13805" s="1">
        <v>45142</v>
      </c>
      <c r="E13805">
        <v>4</v>
      </c>
      <c r="F13805" t="str">
        <f>"19-K03-03"</f>
        <v>19-K03-03</v>
      </c>
      <c r="G13805">
        <v>0.90410000000000001</v>
      </c>
      <c r="H13805" t="s">
        <v>15</v>
      </c>
      <c r="I13805" t="s">
        <v>10</v>
      </c>
    </row>
    <row r="13806" spans="1:9" x14ac:dyDescent="0.25">
      <c r="A13806" t="str">
        <f t="shared" si="324"/>
        <v>89301000</v>
      </c>
      <c r="B13806" t="str">
        <f>"8555126140"</f>
        <v>8555126140</v>
      </c>
      <c r="C13806" s="1">
        <v>45018</v>
      </c>
      <c r="D13806" s="1">
        <v>45021</v>
      </c>
      <c r="E13806">
        <v>1</v>
      </c>
      <c r="F13806" t="str">
        <f>"08-M03-04"</f>
        <v>08-M03-04</v>
      </c>
      <c r="G13806">
        <v>0.87760000000000005</v>
      </c>
      <c r="H13806" t="s">
        <v>11</v>
      </c>
      <c r="I13806" t="s">
        <v>10</v>
      </c>
    </row>
    <row r="13807" spans="1:9" x14ac:dyDescent="0.25">
      <c r="A13807" t="str">
        <f t="shared" si="324"/>
        <v>89301000</v>
      </c>
      <c r="B13807" t="str">
        <f>"8555145786"</f>
        <v>8555145786</v>
      </c>
      <c r="C13807" s="1">
        <v>45194</v>
      </c>
      <c r="D13807" s="1">
        <v>45200</v>
      </c>
      <c r="E13807">
        <v>1</v>
      </c>
      <c r="F13807" t="str">
        <f>"14-I01-02"</f>
        <v>14-I01-02</v>
      </c>
      <c r="G13807">
        <v>1.3425</v>
      </c>
      <c r="H13807" t="s">
        <v>13</v>
      </c>
      <c r="I13807" t="s">
        <v>10</v>
      </c>
    </row>
    <row r="13808" spans="1:9" x14ac:dyDescent="0.25">
      <c r="A13808" t="str">
        <f t="shared" si="324"/>
        <v>89301000</v>
      </c>
      <c r="B13808" t="str">
        <f>"8555145786"</f>
        <v>8555145786</v>
      </c>
      <c r="C13808" s="1">
        <v>45205</v>
      </c>
      <c r="D13808" s="1">
        <v>45215</v>
      </c>
      <c r="E13808">
        <v>1</v>
      </c>
      <c r="F13808" t="str">
        <f>"04-K05-03"</f>
        <v>04-K05-03</v>
      </c>
      <c r="G13808">
        <v>0.74039999999999995</v>
      </c>
      <c r="H13808" t="s">
        <v>11</v>
      </c>
      <c r="I13808" t="s">
        <v>10</v>
      </c>
    </row>
    <row r="13809" spans="1:9" x14ac:dyDescent="0.25">
      <c r="A13809" t="str">
        <f t="shared" si="324"/>
        <v>89301000</v>
      </c>
      <c r="B13809" t="str">
        <f>"8555164926"</f>
        <v>8555164926</v>
      </c>
      <c r="C13809" s="1">
        <v>44998</v>
      </c>
      <c r="D13809" s="1">
        <v>45016</v>
      </c>
      <c r="E13809">
        <v>1</v>
      </c>
      <c r="F13809" t="str">
        <f>"19-K05-02"</f>
        <v>19-K05-02</v>
      </c>
      <c r="G13809">
        <v>1.7688999999999999</v>
      </c>
      <c r="H13809" t="s">
        <v>15</v>
      </c>
      <c r="I13809" t="s">
        <v>10</v>
      </c>
    </row>
    <row r="13810" spans="1:9" x14ac:dyDescent="0.25">
      <c r="A13810" t="str">
        <f t="shared" si="324"/>
        <v>89301000</v>
      </c>
      <c r="B13810" t="str">
        <f>"8555225778"</f>
        <v>8555225778</v>
      </c>
      <c r="C13810" s="1">
        <v>45085</v>
      </c>
      <c r="D13810" s="1">
        <v>45088</v>
      </c>
      <c r="E13810">
        <v>1</v>
      </c>
      <c r="F13810" t="str">
        <f>"14-I01-05"</f>
        <v>14-I01-05</v>
      </c>
      <c r="G13810">
        <v>0.83340000000000003</v>
      </c>
      <c r="H13810" t="s">
        <v>13</v>
      </c>
      <c r="I13810" t="s">
        <v>10</v>
      </c>
    </row>
    <row r="13811" spans="1:9" x14ac:dyDescent="0.25">
      <c r="A13811" t="str">
        <f t="shared" si="324"/>
        <v>89301000</v>
      </c>
      <c r="B13811" t="str">
        <f>"8555234919"</f>
        <v>8555234919</v>
      </c>
      <c r="C13811" s="1">
        <v>45165</v>
      </c>
      <c r="D13811" s="1">
        <v>45167</v>
      </c>
      <c r="E13811">
        <v>1</v>
      </c>
      <c r="F13811" t="str">
        <f>"08-I16-04"</f>
        <v>08-I16-04</v>
      </c>
      <c r="G13811">
        <v>0.83040000000000003</v>
      </c>
      <c r="H13811" t="s">
        <v>12</v>
      </c>
      <c r="I13811" t="s">
        <v>10</v>
      </c>
    </row>
    <row r="13812" spans="1:9" x14ac:dyDescent="0.25">
      <c r="A13812" t="str">
        <f t="shared" si="324"/>
        <v>89301000</v>
      </c>
      <c r="B13812" t="str">
        <f>"8555245798"</f>
        <v>8555245798</v>
      </c>
      <c r="C13812" s="1">
        <v>45055</v>
      </c>
      <c r="D13812" s="1">
        <v>45058</v>
      </c>
      <c r="E13812">
        <v>1</v>
      </c>
      <c r="F13812" t="str">
        <f>"14-M01-05"</f>
        <v>14-M01-05</v>
      </c>
      <c r="G13812">
        <v>0.56289999999999996</v>
      </c>
      <c r="H13812" t="s">
        <v>13</v>
      </c>
      <c r="I13812" t="s">
        <v>10</v>
      </c>
    </row>
    <row r="13813" spans="1:9" x14ac:dyDescent="0.25">
      <c r="A13813" t="str">
        <f t="shared" si="324"/>
        <v>89301000</v>
      </c>
      <c r="B13813" t="str">
        <f>"8556014907"</f>
        <v>8556014907</v>
      </c>
      <c r="C13813" s="1">
        <v>45119</v>
      </c>
      <c r="D13813" s="1">
        <v>45121</v>
      </c>
      <c r="E13813">
        <v>1</v>
      </c>
      <c r="F13813" t="str">
        <f>"01-K01-02"</f>
        <v>01-K01-02</v>
      </c>
      <c r="G13813">
        <v>0.442</v>
      </c>
      <c r="H13813" t="s">
        <v>11</v>
      </c>
      <c r="I13813" t="s">
        <v>10</v>
      </c>
    </row>
    <row r="13814" spans="1:9" x14ac:dyDescent="0.25">
      <c r="A13814" t="str">
        <f t="shared" si="324"/>
        <v>89301000</v>
      </c>
      <c r="B13814" t="str">
        <f>"8556034927"</f>
        <v>8556034927</v>
      </c>
      <c r="C13814" s="1">
        <v>45145</v>
      </c>
      <c r="D13814" s="1">
        <v>45149</v>
      </c>
      <c r="E13814">
        <v>1</v>
      </c>
      <c r="F13814" t="str">
        <f>"08-K01-03"</f>
        <v>08-K01-03</v>
      </c>
      <c r="G13814">
        <v>0.60640000000000005</v>
      </c>
      <c r="H13814" t="s">
        <v>11</v>
      </c>
      <c r="I13814" t="s">
        <v>10</v>
      </c>
    </row>
    <row r="13815" spans="1:9" x14ac:dyDescent="0.25">
      <c r="A13815" t="str">
        <f t="shared" si="324"/>
        <v>89301000</v>
      </c>
      <c r="B13815" t="str">
        <f>"8556125776"</f>
        <v>8556125776</v>
      </c>
      <c r="C13815" s="1">
        <v>45115</v>
      </c>
      <c r="D13815" s="1">
        <v>45117</v>
      </c>
      <c r="E13815">
        <v>1</v>
      </c>
      <c r="F13815" t="str">
        <f>"10-K07-00"</f>
        <v>10-K07-00</v>
      </c>
      <c r="G13815">
        <v>0.61250000000000004</v>
      </c>
      <c r="H13815" t="s">
        <v>11</v>
      </c>
      <c r="I13815" t="s">
        <v>10</v>
      </c>
    </row>
    <row r="13816" spans="1:9" x14ac:dyDescent="0.25">
      <c r="A13816" t="str">
        <f t="shared" si="324"/>
        <v>89301000</v>
      </c>
      <c r="B13816" t="str">
        <f>"8556134917"</f>
        <v>8556134917</v>
      </c>
      <c r="C13816" s="1">
        <v>45075</v>
      </c>
      <c r="D13816" s="1">
        <v>45077</v>
      </c>
      <c r="E13816">
        <v>1</v>
      </c>
      <c r="F13816" t="str">
        <f>"03-I14-02"</f>
        <v>03-I14-02</v>
      </c>
      <c r="G13816">
        <v>1.0793999999999999</v>
      </c>
      <c r="H13816" t="s">
        <v>11</v>
      </c>
      <c r="I13816" t="s">
        <v>10</v>
      </c>
    </row>
    <row r="13817" spans="1:9" x14ac:dyDescent="0.25">
      <c r="A13817" t="str">
        <f t="shared" si="324"/>
        <v>89301000</v>
      </c>
      <c r="B13817" t="str">
        <f>"8556225799"</f>
        <v>8556225799</v>
      </c>
      <c r="C13817" s="1">
        <v>45013</v>
      </c>
      <c r="D13817" s="1">
        <v>45014</v>
      </c>
      <c r="E13817">
        <v>6</v>
      </c>
      <c r="F13817" t="str">
        <f>"13-I16-00"</f>
        <v>13-I16-00</v>
      </c>
      <c r="G13817">
        <v>1.1695</v>
      </c>
      <c r="H13817" t="s">
        <v>12</v>
      </c>
      <c r="I13817" t="s">
        <v>10</v>
      </c>
    </row>
    <row r="13818" spans="1:9" x14ac:dyDescent="0.25">
      <c r="A13818" t="str">
        <f t="shared" si="324"/>
        <v>89301000</v>
      </c>
      <c r="B13818" t="str">
        <f>"8556264915"</f>
        <v>8556264915</v>
      </c>
      <c r="C13818" s="1">
        <v>44977</v>
      </c>
      <c r="D13818" s="1">
        <v>44979</v>
      </c>
      <c r="E13818">
        <v>1</v>
      </c>
      <c r="F13818" t="str">
        <f>"03-I19-03"</f>
        <v>03-I19-03</v>
      </c>
      <c r="G13818">
        <v>0.53420000000000001</v>
      </c>
      <c r="H13818" t="s">
        <v>11</v>
      </c>
      <c r="I13818" t="s">
        <v>10</v>
      </c>
    </row>
    <row r="13819" spans="1:9" x14ac:dyDescent="0.25">
      <c r="A13819" t="str">
        <f t="shared" si="324"/>
        <v>89301000</v>
      </c>
      <c r="B13819" t="str">
        <f>"8556265388"</f>
        <v>8556265388</v>
      </c>
      <c r="C13819" s="1">
        <v>45088</v>
      </c>
      <c r="D13819" s="1">
        <v>45093</v>
      </c>
      <c r="E13819">
        <v>1</v>
      </c>
      <c r="F13819" t="str">
        <f>"08-I14-02"</f>
        <v>08-I14-02</v>
      </c>
      <c r="G13819">
        <v>1.6909000000000001</v>
      </c>
      <c r="H13819" t="s">
        <v>12</v>
      </c>
      <c r="I13819" t="s">
        <v>10</v>
      </c>
    </row>
    <row r="13820" spans="1:9" x14ac:dyDescent="0.25">
      <c r="A13820" t="str">
        <f t="shared" si="324"/>
        <v>89301000</v>
      </c>
      <c r="B13820" t="str">
        <f>"8557061458"</f>
        <v>8557061458</v>
      </c>
      <c r="C13820" s="1">
        <v>44958</v>
      </c>
      <c r="D13820" s="1">
        <v>44960</v>
      </c>
      <c r="E13820">
        <v>1</v>
      </c>
      <c r="F13820" t="str">
        <f>"13-I19-00"</f>
        <v>13-I19-00</v>
      </c>
      <c r="G13820">
        <v>0.28249999999999997</v>
      </c>
      <c r="H13820" t="s">
        <v>11</v>
      </c>
      <c r="I13820" t="s">
        <v>10</v>
      </c>
    </row>
    <row r="13821" spans="1:9" x14ac:dyDescent="0.25">
      <c r="A13821" t="str">
        <f t="shared" si="324"/>
        <v>89301000</v>
      </c>
      <c r="B13821" t="str">
        <f>"8557111420"</f>
        <v>8557111420</v>
      </c>
      <c r="C13821" s="1">
        <v>45260</v>
      </c>
      <c r="D13821" s="1">
        <v>45273</v>
      </c>
      <c r="E13821">
        <v>1</v>
      </c>
      <c r="F13821" t="str">
        <f>"08-K01-01"</f>
        <v>08-K01-01</v>
      </c>
      <c r="G13821">
        <v>1.5348999999999999</v>
      </c>
      <c r="H13821" t="s">
        <v>11</v>
      </c>
      <c r="I13821" t="s">
        <v>10</v>
      </c>
    </row>
    <row r="13822" spans="1:9" x14ac:dyDescent="0.25">
      <c r="A13822" t="str">
        <f t="shared" si="324"/>
        <v>89301000</v>
      </c>
      <c r="B13822" t="str">
        <f>"8557145828"</f>
        <v>8557145828</v>
      </c>
      <c r="C13822" s="1">
        <v>45002</v>
      </c>
      <c r="D13822" s="1">
        <v>45012</v>
      </c>
      <c r="E13822">
        <v>1</v>
      </c>
      <c r="F13822" t="str">
        <f>"19-K04-02"</f>
        <v>19-K04-02</v>
      </c>
      <c r="G13822">
        <v>1.3379000000000001</v>
      </c>
      <c r="H13822" t="s">
        <v>15</v>
      </c>
      <c r="I13822" t="s">
        <v>10</v>
      </c>
    </row>
    <row r="13823" spans="1:9" x14ac:dyDescent="0.25">
      <c r="A13823" t="str">
        <f t="shared" si="324"/>
        <v>89301000</v>
      </c>
      <c r="B13823" t="str">
        <f>"8557146224"</f>
        <v>8557146224</v>
      </c>
      <c r="C13823" s="1">
        <v>45231</v>
      </c>
      <c r="D13823" s="1">
        <v>45233</v>
      </c>
      <c r="E13823">
        <v>1</v>
      </c>
      <c r="F13823" t="str">
        <f>"13-I14-01"</f>
        <v>13-I14-01</v>
      </c>
      <c r="G13823">
        <v>2.0853999999999999</v>
      </c>
      <c r="H13823" t="s">
        <v>9</v>
      </c>
      <c r="I13823" t="s">
        <v>10</v>
      </c>
    </row>
    <row r="13824" spans="1:9" x14ac:dyDescent="0.25">
      <c r="A13824" t="str">
        <f t="shared" si="324"/>
        <v>89301000</v>
      </c>
      <c r="B13824" t="str">
        <f>"8557156212"</f>
        <v>8557156212</v>
      </c>
      <c r="C13824" s="1">
        <v>45177</v>
      </c>
      <c r="D13824" s="1">
        <v>45181</v>
      </c>
      <c r="E13824">
        <v>1</v>
      </c>
      <c r="F13824" t="str">
        <f>"07-M02-03"</f>
        <v>07-M02-03</v>
      </c>
      <c r="G13824">
        <v>1.2942</v>
      </c>
      <c r="H13824" t="s">
        <v>12</v>
      </c>
      <c r="I13824" t="s">
        <v>10</v>
      </c>
    </row>
    <row r="13825" spans="1:9" x14ac:dyDescent="0.25">
      <c r="A13825" t="str">
        <f t="shared" si="324"/>
        <v>89301000</v>
      </c>
      <c r="B13825" t="str">
        <f>"8557165793"</f>
        <v>8557165793</v>
      </c>
      <c r="C13825" s="1">
        <v>45094</v>
      </c>
      <c r="D13825" s="1">
        <v>45097</v>
      </c>
      <c r="E13825">
        <v>1</v>
      </c>
      <c r="F13825" t="str">
        <f>"14-M01-05"</f>
        <v>14-M01-05</v>
      </c>
      <c r="G13825">
        <v>0.56289999999999996</v>
      </c>
      <c r="H13825" t="s">
        <v>13</v>
      </c>
      <c r="I13825" t="s">
        <v>10</v>
      </c>
    </row>
    <row r="13826" spans="1:9" x14ac:dyDescent="0.25">
      <c r="A13826" t="str">
        <f t="shared" si="324"/>
        <v>89301000</v>
      </c>
      <c r="B13826" t="str">
        <f>"8557195823"</f>
        <v>8557195823</v>
      </c>
      <c r="C13826" s="1">
        <v>45029</v>
      </c>
      <c r="D13826" s="1">
        <v>45041</v>
      </c>
      <c r="E13826">
        <v>1</v>
      </c>
      <c r="F13826" t="str">
        <f>"14-I01-01"</f>
        <v>14-I01-01</v>
      </c>
      <c r="G13826">
        <v>1.5657000000000001</v>
      </c>
      <c r="H13826" t="s">
        <v>13</v>
      </c>
      <c r="I13826" t="s">
        <v>10</v>
      </c>
    </row>
    <row r="13827" spans="1:9" x14ac:dyDescent="0.25">
      <c r="A13827" t="str">
        <f t="shared" si="324"/>
        <v>89301000</v>
      </c>
      <c r="B13827" t="str">
        <f>"8557304910"</f>
        <v>8557304910</v>
      </c>
      <c r="C13827" s="1">
        <v>45050</v>
      </c>
      <c r="D13827" s="1">
        <v>45051</v>
      </c>
      <c r="E13827">
        <v>1</v>
      </c>
      <c r="F13827" t="str">
        <f>"13-I19-00"</f>
        <v>13-I19-00</v>
      </c>
      <c r="G13827">
        <v>0.28249999999999997</v>
      </c>
      <c r="H13827" t="s">
        <v>11</v>
      </c>
      <c r="I13827" t="s">
        <v>10</v>
      </c>
    </row>
    <row r="13828" spans="1:9" x14ac:dyDescent="0.25">
      <c r="A13828" t="str">
        <f t="shared" si="324"/>
        <v>89301000</v>
      </c>
      <c r="B13828" t="str">
        <f>"8557314920"</f>
        <v>8557314920</v>
      </c>
      <c r="C13828" s="1">
        <v>45232</v>
      </c>
      <c r="D13828" s="1">
        <v>45233</v>
      </c>
      <c r="E13828">
        <v>1</v>
      </c>
      <c r="F13828" t="str">
        <f>"13-I19-00"</f>
        <v>13-I19-00</v>
      </c>
      <c r="G13828">
        <v>0.28249999999999997</v>
      </c>
      <c r="H13828" t="s">
        <v>11</v>
      </c>
      <c r="I13828" t="s">
        <v>10</v>
      </c>
    </row>
    <row r="13829" spans="1:9" x14ac:dyDescent="0.25">
      <c r="A13829" t="str">
        <f t="shared" si="324"/>
        <v>89301000</v>
      </c>
      <c r="B13829" t="str">
        <f>"8557315778"</f>
        <v>8557315778</v>
      </c>
      <c r="C13829" s="1">
        <v>45086</v>
      </c>
      <c r="D13829" s="1">
        <v>45089</v>
      </c>
      <c r="E13829">
        <v>1</v>
      </c>
      <c r="F13829" t="str">
        <f>"03-K04-01"</f>
        <v>03-K04-01</v>
      </c>
      <c r="G13829">
        <v>0.46479999999999999</v>
      </c>
      <c r="H13829" t="s">
        <v>11</v>
      </c>
      <c r="I13829" t="s">
        <v>10</v>
      </c>
    </row>
    <row r="13830" spans="1:9" x14ac:dyDescent="0.25">
      <c r="A13830" t="str">
        <f t="shared" si="324"/>
        <v>89301000</v>
      </c>
      <c r="B13830" t="str">
        <f>"8558085591"</f>
        <v>8558085591</v>
      </c>
      <c r="C13830" s="1">
        <v>44993</v>
      </c>
      <c r="D13830" s="1">
        <v>44997</v>
      </c>
      <c r="E13830">
        <v>1</v>
      </c>
      <c r="F13830" t="str">
        <f>"13-I11-03"</f>
        <v>13-I11-03</v>
      </c>
      <c r="G13830">
        <v>1.4332</v>
      </c>
      <c r="H13830" t="s">
        <v>9</v>
      </c>
      <c r="I13830" t="s">
        <v>10</v>
      </c>
    </row>
    <row r="13831" spans="1:9" x14ac:dyDescent="0.25">
      <c r="A13831" t="str">
        <f t="shared" si="324"/>
        <v>89301000</v>
      </c>
      <c r="B13831" t="str">
        <f>"8558116160"</f>
        <v>8558116160</v>
      </c>
      <c r="C13831" s="1">
        <v>45238</v>
      </c>
      <c r="D13831" s="1">
        <v>45239</v>
      </c>
      <c r="E13831">
        <v>1</v>
      </c>
      <c r="F13831" t="str">
        <f>"05-D01-03"</f>
        <v>05-D01-03</v>
      </c>
      <c r="G13831">
        <v>1.0057</v>
      </c>
      <c r="H13831" t="s">
        <v>11</v>
      </c>
      <c r="I13831" t="s">
        <v>10</v>
      </c>
    </row>
    <row r="13832" spans="1:9" x14ac:dyDescent="0.25">
      <c r="A13832" t="str">
        <f t="shared" si="324"/>
        <v>89301000</v>
      </c>
      <c r="B13832" t="str">
        <f>"8558205799"</f>
        <v>8558205799</v>
      </c>
      <c r="C13832" s="1">
        <v>45250</v>
      </c>
      <c r="D13832" s="1">
        <v>45258</v>
      </c>
      <c r="E13832">
        <v>1</v>
      </c>
      <c r="F13832" t="str">
        <f>"10-R02-01"</f>
        <v>10-R02-01</v>
      </c>
      <c r="G13832">
        <v>0.92279999999999995</v>
      </c>
      <c r="H13832" t="s">
        <v>9</v>
      </c>
      <c r="I13832" t="s">
        <v>10</v>
      </c>
    </row>
    <row r="13833" spans="1:9" x14ac:dyDescent="0.25">
      <c r="A13833" t="str">
        <f t="shared" si="324"/>
        <v>89301000</v>
      </c>
      <c r="B13833" t="str">
        <f>"8558275770"</f>
        <v>8558275770</v>
      </c>
      <c r="C13833" s="1">
        <v>44928</v>
      </c>
      <c r="D13833" s="1">
        <v>44934</v>
      </c>
      <c r="E13833">
        <v>1</v>
      </c>
      <c r="F13833" t="str">
        <f>"14-I01-02"</f>
        <v>14-I01-02</v>
      </c>
      <c r="G13833">
        <v>1.2988999999999999</v>
      </c>
      <c r="H13833" t="s">
        <v>13</v>
      </c>
      <c r="I13833" t="s">
        <v>10</v>
      </c>
    </row>
    <row r="13834" spans="1:9" x14ac:dyDescent="0.25">
      <c r="A13834" t="str">
        <f t="shared" si="324"/>
        <v>89301000</v>
      </c>
      <c r="B13834" t="str">
        <f>"8558285780"</f>
        <v>8558285780</v>
      </c>
      <c r="C13834" s="1">
        <v>45211</v>
      </c>
      <c r="D13834" s="1">
        <v>45213</v>
      </c>
      <c r="E13834">
        <v>1</v>
      </c>
      <c r="F13834" t="str">
        <f>"13-I14-03"</f>
        <v>13-I14-03</v>
      </c>
      <c r="G13834">
        <v>0.87760000000000005</v>
      </c>
      <c r="H13834" t="s">
        <v>9</v>
      </c>
      <c r="I13834" t="s">
        <v>10</v>
      </c>
    </row>
    <row r="13835" spans="1:9" x14ac:dyDescent="0.25">
      <c r="A13835" t="str">
        <f t="shared" si="324"/>
        <v>89301000</v>
      </c>
      <c r="B13835" t="str">
        <f>"8558306207"</f>
        <v>8558306207</v>
      </c>
      <c r="C13835" s="1">
        <v>45049</v>
      </c>
      <c r="D13835" s="1">
        <v>45052</v>
      </c>
      <c r="E13835">
        <v>1</v>
      </c>
      <c r="F13835" t="str">
        <f>"14-M01-05"</f>
        <v>14-M01-05</v>
      </c>
      <c r="G13835">
        <v>0.56589999999999996</v>
      </c>
      <c r="H13835" t="s">
        <v>13</v>
      </c>
      <c r="I13835" t="s">
        <v>10</v>
      </c>
    </row>
    <row r="13836" spans="1:9" x14ac:dyDescent="0.25">
      <c r="A13836" t="str">
        <f t="shared" si="324"/>
        <v>89301000</v>
      </c>
      <c r="B13836" t="str">
        <f>"8558315777"</f>
        <v>8558315777</v>
      </c>
      <c r="C13836" s="1">
        <v>45239</v>
      </c>
      <c r="D13836" s="1">
        <v>45242</v>
      </c>
      <c r="E13836">
        <v>1</v>
      </c>
      <c r="F13836" t="str">
        <f>"05-I30-01"</f>
        <v>05-I30-01</v>
      </c>
      <c r="G13836">
        <v>0.60350000000000004</v>
      </c>
      <c r="H13836" t="s">
        <v>12</v>
      </c>
      <c r="I13836" t="s">
        <v>10</v>
      </c>
    </row>
    <row r="13837" spans="1:9" x14ac:dyDescent="0.25">
      <c r="A13837" t="str">
        <f t="shared" si="324"/>
        <v>89301000</v>
      </c>
      <c r="B13837" t="str">
        <f>"8559036211"</f>
        <v>8559036211</v>
      </c>
      <c r="C13837" s="1">
        <v>44943</v>
      </c>
      <c r="D13837" s="1">
        <v>44947</v>
      </c>
      <c r="E13837">
        <v>1</v>
      </c>
      <c r="F13837" t="str">
        <f>"14-I01-05"</f>
        <v>14-I01-05</v>
      </c>
      <c r="G13837">
        <v>0.83340000000000003</v>
      </c>
      <c r="H13837" t="s">
        <v>13</v>
      </c>
      <c r="I13837" t="s">
        <v>10</v>
      </c>
    </row>
    <row r="13838" spans="1:9" x14ac:dyDescent="0.25">
      <c r="A13838" t="str">
        <f t="shared" si="324"/>
        <v>89301000</v>
      </c>
      <c r="B13838" t="str">
        <f>"8559125795"</f>
        <v>8559125795</v>
      </c>
      <c r="C13838" s="1">
        <v>45158</v>
      </c>
      <c r="D13838" s="1">
        <v>45169</v>
      </c>
      <c r="E13838">
        <v>1</v>
      </c>
      <c r="F13838" t="str">
        <f>"14-I08-03"</f>
        <v>14-I08-03</v>
      </c>
      <c r="G13838">
        <v>0.89319999999999999</v>
      </c>
      <c r="H13838" t="s">
        <v>11</v>
      </c>
      <c r="I13838" t="s">
        <v>10</v>
      </c>
    </row>
    <row r="13839" spans="1:9" x14ac:dyDescent="0.25">
      <c r="A13839" t="str">
        <f t="shared" si="324"/>
        <v>89301000</v>
      </c>
      <c r="B13839" t="str">
        <f>"8559191817"</f>
        <v>8559191817</v>
      </c>
      <c r="C13839" s="1">
        <v>44999</v>
      </c>
      <c r="D13839" s="1">
        <v>45004</v>
      </c>
      <c r="E13839">
        <v>1</v>
      </c>
      <c r="F13839" t="str">
        <f>"14-I01-05"</f>
        <v>14-I01-05</v>
      </c>
      <c r="G13839">
        <v>0.83340000000000003</v>
      </c>
      <c r="H13839" t="s">
        <v>13</v>
      </c>
      <c r="I13839" t="s">
        <v>10</v>
      </c>
    </row>
    <row r="13840" spans="1:9" x14ac:dyDescent="0.25">
      <c r="A13840" t="str">
        <f t="shared" si="324"/>
        <v>89301000</v>
      </c>
      <c r="B13840" t="str">
        <f>"8559265792"</f>
        <v>8559265792</v>
      </c>
      <c r="C13840" s="1">
        <v>45000</v>
      </c>
      <c r="D13840" s="1">
        <v>45003</v>
      </c>
      <c r="E13840">
        <v>1</v>
      </c>
      <c r="F13840" t="str">
        <f>"14-I01-05"</f>
        <v>14-I01-05</v>
      </c>
      <c r="G13840">
        <v>0.83</v>
      </c>
      <c r="H13840" t="s">
        <v>13</v>
      </c>
      <c r="I13840" t="s">
        <v>10</v>
      </c>
    </row>
    <row r="13841" spans="1:9" x14ac:dyDescent="0.25">
      <c r="A13841" t="str">
        <f t="shared" si="324"/>
        <v>89301000</v>
      </c>
      <c r="B13841" t="str">
        <f>"8560095819"</f>
        <v>8560095819</v>
      </c>
      <c r="C13841" s="1">
        <v>45106</v>
      </c>
      <c r="D13841" s="1">
        <v>45110</v>
      </c>
      <c r="E13841">
        <v>1</v>
      </c>
      <c r="F13841" t="str">
        <f>"09-I09-02"</f>
        <v>09-I09-02</v>
      </c>
      <c r="G13841">
        <v>0.76900000000000002</v>
      </c>
      <c r="H13841" t="s">
        <v>12</v>
      </c>
      <c r="I13841" t="s">
        <v>10</v>
      </c>
    </row>
    <row r="13842" spans="1:9" x14ac:dyDescent="0.25">
      <c r="A13842" t="str">
        <f t="shared" ref="A13842:A13905" si="325">"89301000"</f>
        <v>89301000</v>
      </c>
      <c r="B13842" t="str">
        <f>"8560126146"</f>
        <v>8560126146</v>
      </c>
      <c r="C13842" s="1">
        <v>45221</v>
      </c>
      <c r="D13842" s="1">
        <v>45225</v>
      </c>
      <c r="E13842">
        <v>1</v>
      </c>
      <c r="F13842" t="str">
        <f>"14-M01-05"</f>
        <v>14-M01-05</v>
      </c>
      <c r="G13842">
        <v>0.56289999999999996</v>
      </c>
      <c r="H13842" t="s">
        <v>13</v>
      </c>
      <c r="I13842" t="s">
        <v>10</v>
      </c>
    </row>
    <row r="13843" spans="1:9" x14ac:dyDescent="0.25">
      <c r="A13843" t="str">
        <f t="shared" si="325"/>
        <v>89301000</v>
      </c>
      <c r="B13843" t="str">
        <f>"8560194951"</f>
        <v>8560194951</v>
      </c>
      <c r="C13843" s="1">
        <v>44944</v>
      </c>
      <c r="D13843" s="1">
        <v>44952</v>
      </c>
      <c r="E13843">
        <v>1</v>
      </c>
      <c r="F13843" t="str">
        <f>"09-I13-03"</f>
        <v>09-I13-03</v>
      </c>
      <c r="G13843">
        <v>0.80959999999999999</v>
      </c>
      <c r="H13843" t="s">
        <v>11</v>
      </c>
      <c r="I13843" t="s">
        <v>10</v>
      </c>
    </row>
    <row r="13844" spans="1:9" x14ac:dyDescent="0.25">
      <c r="A13844" t="str">
        <f t="shared" si="325"/>
        <v>89301000</v>
      </c>
      <c r="B13844" t="str">
        <f>"8560225773"</f>
        <v>8560225773</v>
      </c>
      <c r="C13844" s="1">
        <v>45199</v>
      </c>
      <c r="D13844" s="1">
        <v>45202</v>
      </c>
      <c r="E13844">
        <v>1</v>
      </c>
      <c r="F13844" t="str">
        <f>"14-M01-05"</f>
        <v>14-M01-05</v>
      </c>
      <c r="G13844">
        <v>0.56289999999999996</v>
      </c>
      <c r="H13844" t="s">
        <v>13</v>
      </c>
      <c r="I13844" t="s">
        <v>10</v>
      </c>
    </row>
    <row r="13845" spans="1:9" x14ac:dyDescent="0.25">
      <c r="A13845" t="str">
        <f t="shared" si="325"/>
        <v>89301000</v>
      </c>
      <c r="B13845" t="str">
        <f>"8560265791"</f>
        <v>8560265791</v>
      </c>
      <c r="C13845" s="1">
        <v>45180</v>
      </c>
      <c r="D13845" s="1">
        <v>45182</v>
      </c>
      <c r="E13845">
        <v>1</v>
      </c>
      <c r="F13845" t="str">
        <f>"06-K15-02"</f>
        <v>06-K15-02</v>
      </c>
      <c r="G13845">
        <v>0.26600000000000001</v>
      </c>
      <c r="H13845" t="s">
        <v>11</v>
      </c>
      <c r="I13845" t="s">
        <v>10</v>
      </c>
    </row>
    <row r="13846" spans="1:9" x14ac:dyDescent="0.25">
      <c r="A13846" t="str">
        <f t="shared" si="325"/>
        <v>89301000</v>
      </c>
      <c r="B13846" t="str">
        <f>"8560275768"</f>
        <v>8560275768</v>
      </c>
      <c r="C13846" s="1">
        <v>45074</v>
      </c>
      <c r="D13846" s="1">
        <v>45077</v>
      </c>
      <c r="E13846">
        <v>1</v>
      </c>
      <c r="F13846" t="str">
        <f>"06-I18-05"</f>
        <v>06-I18-05</v>
      </c>
      <c r="G13846">
        <v>0.82420000000000004</v>
      </c>
      <c r="H13846" t="s">
        <v>9</v>
      </c>
      <c r="I13846" t="s">
        <v>10</v>
      </c>
    </row>
    <row r="13847" spans="1:9" x14ac:dyDescent="0.25">
      <c r="A13847" t="str">
        <f t="shared" si="325"/>
        <v>89301000</v>
      </c>
      <c r="B13847" t="str">
        <f>"8561096214"</f>
        <v>8561096214</v>
      </c>
      <c r="C13847" s="1">
        <v>45268</v>
      </c>
      <c r="D13847" s="1">
        <v>45273</v>
      </c>
      <c r="E13847">
        <v>1</v>
      </c>
      <c r="F13847" t="str">
        <f>"14-I01-02"</f>
        <v>14-I01-02</v>
      </c>
      <c r="G13847">
        <v>1.2988999999999999</v>
      </c>
      <c r="H13847" t="s">
        <v>13</v>
      </c>
      <c r="I13847" t="s">
        <v>10</v>
      </c>
    </row>
    <row r="13848" spans="1:9" x14ac:dyDescent="0.25">
      <c r="A13848" t="str">
        <f t="shared" si="325"/>
        <v>89301000</v>
      </c>
      <c r="B13848" t="str">
        <f>"8561146220"</f>
        <v>8561146220</v>
      </c>
      <c r="C13848" s="1">
        <v>45148</v>
      </c>
      <c r="D13848" s="1">
        <v>45154</v>
      </c>
      <c r="E13848">
        <v>1</v>
      </c>
      <c r="F13848" t="str">
        <f>"05-I25-04"</f>
        <v>05-I25-04</v>
      </c>
      <c r="G13848">
        <v>2.2583000000000002</v>
      </c>
      <c r="H13848" t="s">
        <v>12</v>
      </c>
      <c r="I13848" t="s">
        <v>10</v>
      </c>
    </row>
    <row r="13849" spans="1:9" x14ac:dyDescent="0.25">
      <c r="A13849" t="str">
        <f t="shared" si="325"/>
        <v>89301000</v>
      </c>
      <c r="B13849" t="str">
        <f>"8561236024"</f>
        <v>8561236024</v>
      </c>
      <c r="C13849" s="1">
        <v>45090</v>
      </c>
      <c r="D13849" s="1">
        <v>45092</v>
      </c>
      <c r="E13849">
        <v>1</v>
      </c>
      <c r="F13849" t="str">
        <f>"05-D01-06"</f>
        <v>05-D01-06</v>
      </c>
      <c r="G13849">
        <v>0.7571</v>
      </c>
      <c r="H13849" t="s">
        <v>11</v>
      </c>
      <c r="I13849" t="s">
        <v>10</v>
      </c>
    </row>
    <row r="13850" spans="1:9" x14ac:dyDescent="0.25">
      <c r="A13850" t="str">
        <f t="shared" si="325"/>
        <v>89301000</v>
      </c>
      <c r="B13850" t="str">
        <f>"8561236024"</f>
        <v>8561236024</v>
      </c>
      <c r="C13850" s="1">
        <v>45125</v>
      </c>
      <c r="D13850" s="1">
        <v>45128</v>
      </c>
      <c r="E13850">
        <v>1</v>
      </c>
      <c r="F13850" t="str">
        <f>"05-K11-02"</f>
        <v>05-K11-02</v>
      </c>
      <c r="G13850">
        <v>0.63480000000000003</v>
      </c>
      <c r="H13850" t="s">
        <v>11</v>
      </c>
      <c r="I13850" t="s">
        <v>10</v>
      </c>
    </row>
    <row r="13851" spans="1:9" x14ac:dyDescent="0.25">
      <c r="A13851" t="str">
        <f t="shared" si="325"/>
        <v>89301000</v>
      </c>
      <c r="B13851" t="str">
        <f>"8561266252"</f>
        <v>8561266252</v>
      </c>
      <c r="C13851" s="1">
        <v>44951</v>
      </c>
      <c r="D13851" s="1">
        <v>44953</v>
      </c>
      <c r="E13851">
        <v>1</v>
      </c>
      <c r="F13851" t="str">
        <f>"07-I10-06"</f>
        <v>07-I10-06</v>
      </c>
      <c r="G13851">
        <v>0.98419999999999996</v>
      </c>
      <c r="H13851" t="s">
        <v>12</v>
      </c>
      <c r="I13851" t="s">
        <v>10</v>
      </c>
    </row>
    <row r="13852" spans="1:9" x14ac:dyDescent="0.25">
      <c r="A13852" t="str">
        <f t="shared" si="325"/>
        <v>89301000</v>
      </c>
      <c r="B13852" t="str">
        <f>"8561285788"</f>
        <v>8561285788</v>
      </c>
      <c r="C13852" s="1">
        <v>45033</v>
      </c>
      <c r="D13852" s="1">
        <v>45037</v>
      </c>
      <c r="E13852">
        <v>1</v>
      </c>
      <c r="F13852" t="str">
        <f>"03-I17-00"</f>
        <v>03-I17-00</v>
      </c>
      <c r="G13852">
        <v>0.83489999999999998</v>
      </c>
      <c r="H13852" t="s">
        <v>9</v>
      </c>
      <c r="I13852" t="s">
        <v>10</v>
      </c>
    </row>
    <row r="13853" spans="1:9" x14ac:dyDescent="0.25">
      <c r="A13853" t="str">
        <f t="shared" si="325"/>
        <v>89301000</v>
      </c>
      <c r="B13853" t="str">
        <f>"8561305368"</f>
        <v>8561305368</v>
      </c>
      <c r="C13853" s="1">
        <v>45070</v>
      </c>
      <c r="D13853" s="1">
        <v>45074</v>
      </c>
      <c r="E13853">
        <v>1</v>
      </c>
      <c r="F13853" t="str">
        <f>"23-I07-00"</f>
        <v>23-I07-00</v>
      </c>
      <c r="G13853">
        <v>1.4204000000000001</v>
      </c>
      <c r="H13853" t="s">
        <v>9</v>
      </c>
      <c r="I13853" t="s">
        <v>10</v>
      </c>
    </row>
    <row r="13854" spans="1:9" x14ac:dyDescent="0.25">
      <c r="A13854" t="str">
        <f t="shared" si="325"/>
        <v>89301000</v>
      </c>
      <c r="B13854" t="str">
        <f>"8562017574"</f>
        <v>8562017574</v>
      </c>
      <c r="C13854" s="1">
        <v>44980</v>
      </c>
      <c r="D13854" s="1">
        <v>44984</v>
      </c>
      <c r="E13854">
        <v>1</v>
      </c>
      <c r="F13854" t="str">
        <f>"14-I01-05"</f>
        <v>14-I01-05</v>
      </c>
      <c r="G13854">
        <v>0.83340000000000003</v>
      </c>
      <c r="H13854" t="s">
        <v>13</v>
      </c>
      <c r="I13854" t="s">
        <v>10</v>
      </c>
    </row>
    <row r="13855" spans="1:9" x14ac:dyDescent="0.25">
      <c r="A13855" t="str">
        <f t="shared" si="325"/>
        <v>89301000</v>
      </c>
      <c r="B13855" t="str">
        <f>"8562026209"</f>
        <v>8562026209</v>
      </c>
      <c r="C13855" s="1">
        <v>45116</v>
      </c>
      <c r="D13855" s="1">
        <v>45131</v>
      </c>
      <c r="E13855">
        <v>1</v>
      </c>
      <c r="F13855" t="str">
        <f>"14-M01-05"</f>
        <v>14-M01-05</v>
      </c>
      <c r="G13855">
        <v>1.1063000000000001</v>
      </c>
      <c r="H13855" t="s">
        <v>13</v>
      </c>
      <c r="I13855" t="s">
        <v>10</v>
      </c>
    </row>
    <row r="13856" spans="1:9" x14ac:dyDescent="0.25">
      <c r="A13856" t="str">
        <f t="shared" si="325"/>
        <v>89301000</v>
      </c>
      <c r="B13856" t="str">
        <f>"8562196335"</f>
        <v>8562196335</v>
      </c>
      <c r="C13856" s="1">
        <v>45138</v>
      </c>
      <c r="D13856" s="1">
        <v>45142</v>
      </c>
      <c r="E13856">
        <v>1</v>
      </c>
      <c r="F13856" t="str">
        <f>"14-M01-05"</f>
        <v>14-M01-05</v>
      </c>
      <c r="G13856">
        <v>0.56289999999999996</v>
      </c>
      <c r="H13856" t="s">
        <v>13</v>
      </c>
      <c r="I13856" t="s">
        <v>10</v>
      </c>
    </row>
    <row r="13857" spans="1:9" x14ac:dyDescent="0.25">
      <c r="A13857" t="str">
        <f t="shared" si="325"/>
        <v>89301000</v>
      </c>
      <c r="B13857" t="str">
        <f>"8562295808"</f>
        <v>8562295808</v>
      </c>
      <c r="C13857" s="1">
        <v>45264</v>
      </c>
      <c r="D13857" s="1">
        <v>45265</v>
      </c>
      <c r="E13857">
        <v>1</v>
      </c>
      <c r="F13857" t="str">
        <f>"05-M05-02"</f>
        <v>05-M05-02</v>
      </c>
      <c r="G13857">
        <v>3.4817999999999998</v>
      </c>
      <c r="H13857" t="s">
        <v>14</v>
      </c>
      <c r="I13857" t="s">
        <v>10</v>
      </c>
    </row>
    <row r="13858" spans="1:9" x14ac:dyDescent="0.25">
      <c r="A13858" t="str">
        <f t="shared" si="325"/>
        <v>89301000</v>
      </c>
      <c r="B13858" t="str">
        <f>"8562295808"</f>
        <v>8562295808</v>
      </c>
      <c r="C13858" s="1">
        <v>45207</v>
      </c>
      <c r="D13858" s="1">
        <v>45208</v>
      </c>
      <c r="E13858">
        <v>1</v>
      </c>
      <c r="F13858" t="str">
        <f>"05-K05-05"</f>
        <v>05-K05-05</v>
      </c>
      <c r="G13858">
        <v>0.35659999999999997</v>
      </c>
      <c r="H13858" t="s">
        <v>11</v>
      </c>
      <c r="I13858" t="s">
        <v>10</v>
      </c>
    </row>
    <row r="13859" spans="1:9" x14ac:dyDescent="0.25">
      <c r="A13859" t="str">
        <f t="shared" si="325"/>
        <v>89301000</v>
      </c>
      <c r="B13859" t="str">
        <f>"8601035795"</f>
        <v>8601035795</v>
      </c>
      <c r="C13859" s="1">
        <v>45133</v>
      </c>
      <c r="D13859" s="1">
        <v>45134</v>
      </c>
      <c r="E13859">
        <v>1</v>
      </c>
      <c r="F13859" t="str">
        <f>"03-K13-02"</f>
        <v>03-K13-02</v>
      </c>
      <c r="G13859">
        <v>0.24440000000000001</v>
      </c>
      <c r="H13859" t="s">
        <v>11</v>
      </c>
      <c r="I13859" t="s">
        <v>10</v>
      </c>
    </row>
    <row r="13860" spans="1:9" x14ac:dyDescent="0.25">
      <c r="A13860" t="str">
        <f t="shared" si="325"/>
        <v>89301000</v>
      </c>
      <c r="B13860" t="str">
        <f>"8601104655"</f>
        <v>8601104655</v>
      </c>
      <c r="C13860" s="1">
        <v>45158</v>
      </c>
      <c r="D13860" s="1">
        <v>45224</v>
      </c>
      <c r="E13860">
        <v>4</v>
      </c>
      <c r="F13860" t="str">
        <f>"07-I07-00"</f>
        <v>07-I07-00</v>
      </c>
      <c r="G13860">
        <v>12.5204</v>
      </c>
      <c r="H13860" t="s">
        <v>12</v>
      </c>
      <c r="I13860" t="s">
        <v>10</v>
      </c>
    </row>
    <row r="13861" spans="1:9" x14ac:dyDescent="0.25">
      <c r="A13861" t="str">
        <f t="shared" si="325"/>
        <v>89301000</v>
      </c>
      <c r="B13861" t="str">
        <f>"8601145839"</f>
        <v>8601145839</v>
      </c>
      <c r="C13861" s="1">
        <v>45005</v>
      </c>
      <c r="D13861" s="1">
        <v>45007</v>
      </c>
      <c r="E13861">
        <v>1</v>
      </c>
      <c r="F13861" t="str">
        <f>"06-I17-04"</f>
        <v>06-I17-04</v>
      </c>
      <c r="G13861">
        <v>0.49869999999999998</v>
      </c>
      <c r="H13861" t="s">
        <v>12</v>
      </c>
      <c r="I13861" t="s">
        <v>10</v>
      </c>
    </row>
    <row r="13862" spans="1:9" x14ac:dyDescent="0.25">
      <c r="A13862" t="str">
        <f t="shared" si="325"/>
        <v>89301000</v>
      </c>
      <c r="B13862" t="str">
        <f>"8601214919"</f>
        <v>8601214919</v>
      </c>
      <c r="C13862" s="1">
        <v>45201</v>
      </c>
      <c r="D13862" s="1">
        <v>45203</v>
      </c>
      <c r="E13862">
        <v>1</v>
      </c>
      <c r="F13862" t="str">
        <f>"11-M01-01"</f>
        <v>11-M01-01</v>
      </c>
      <c r="G13862">
        <v>3.4678</v>
      </c>
      <c r="H13862" t="s">
        <v>12</v>
      </c>
      <c r="I13862" t="s">
        <v>10</v>
      </c>
    </row>
    <row r="13863" spans="1:9" x14ac:dyDescent="0.25">
      <c r="A13863" t="str">
        <f t="shared" si="325"/>
        <v>89301000</v>
      </c>
      <c r="B13863" t="str">
        <f>"8601265772"</f>
        <v>8601265772</v>
      </c>
      <c r="C13863" s="1">
        <v>45099</v>
      </c>
      <c r="D13863" s="1">
        <v>45103</v>
      </c>
      <c r="E13863">
        <v>1</v>
      </c>
      <c r="F13863" t="str">
        <f>"01-K08-02"</f>
        <v>01-K08-02</v>
      </c>
      <c r="G13863">
        <v>0.60619999999999996</v>
      </c>
      <c r="H13863" t="s">
        <v>11</v>
      </c>
      <c r="I13863" t="s">
        <v>10</v>
      </c>
    </row>
    <row r="13864" spans="1:9" x14ac:dyDescent="0.25">
      <c r="A13864" t="str">
        <f t="shared" si="325"/>
        <v>89301000</v>
      </c>
      <c r="B13864" t="str">
        <f>"8602075779"</f>
        <v>8602075779</v>
      </c>
      <c r="C13864" s="1">
        <v>44963</v>
      </c>
      <c r="D13864" s="1">
        <v>44966</v>
      </c>
      <c r="E13864">
        <v>1</v>
      </c>
      <c r="F13864" t="str">
        <f>"06-I17-04"</f>
        <v>06-I17-04</v>
      </c>
      <c r="G13864">
        <v>0.49869999999999998</v>
      </c>
      <c r="H13864" t="s">
        <v>12</v>
      </c>
      <c r="I13864" t="s">
        <v>10</v>
      </c>
    </row>
    <row r="13865" spans="1:9" x14ac:dyDescent="0.25">
      <c r="A13865" t="str">
        <f t="shared" si="325"/>
        <v>89301000</v>
      </c>
      <c r="B13865" t="str">
        <f>"8602215765"</f>
        <v>8602215765</v>
      </c>
      <c r="C13865" s="1">
        <v>45216</v>
      </c>
      <c r="D13865" s="1">
        <v>45219</v>
      </c>
      <c r="E13865">
        <v>1</v>
      </c>
      <c r="F13865" t="str">
        <f>"06-I18-05"</f>
        <v>06-I18-05</v>
      </c>
      <c r="G13865">
        <v>0.82420000000000004</v>
      </c>
      <c r="H13865" t="s">
        <v>9</v>
      </c>
      <c r="I13865" t="s">
        <v>10</v>
      </c>
    </row>
    <row r="13866" spans="1:9" x14ac:dyDescent="0.25">
      <c r="A13866" t="str">
        <f t="shared" si="325"/>
        <v>89301000</v>
      </c>
      <c r="B13866" t="str">
        <f>"8602215765"</f>
        <v>8602215765</v>
      </c>
      <c r="C13866" s="1">
        <v>45104</v>
      </c>
      <c r="D13866" s="1">
        <v>45113</v>
      </c>
      <c r="E13866">
        <v>1</v>
      </c>
      <c r="F13866" t="str">
        <f>"06-K05-02"</f>
        <v>06-K05-02</v>
      </c>
      <c r="G13866">
        <v>0.5292</v>
      </c>
      <c r="H13866" t="s">
        <v>11</v>
      </c>
      <c r="I13866" t="s">
        <v>10</v>
      </c>
    </row>
    <row r="13867" spans="1:9" x14ac:dyDescent="0.25">
      <c r="A13867" t="str">
        <f t="shared" si="325"/>
        <v>89301000</v>
      </c>
      <c r="B13867" t="str">
        <f>"8602225775"</f>
        <v>8602225775</v>
      </c>
      <c r="C13867" s="1">
        <v>45250</v>
      </c>
      <c r="D13867" s="1">
        <v>45257</v>
      </c>
      <c r="E13867">
        <v>1</v>
      </c>
      <c r="F13867" t="str">
        <f>"07-K02-03"</f>
        <v>07-K02-03</v>
      </c>
      <c r="G13867">
        <v>0.78139999999999998</v>
      </c>
      <c r="H13867" t="s">
        <v>11</v>
      </c>
      <c r="I13867" t="s">
        <v>10</v>
      </c>
    </row>
    <row r="13868" spans="1:9" x14ac:dyDescent="0.25">
      <c r="A13868" t="str">
        <f t="shared" si="325"/>
        <v>89301000</v>
      </c>
      <c r="B13868" t="str">
        <f>"8602255805"</f>
        <v>8602255805</v>
      </c>
      <c r="C13868" s="1">
        <v>45000</v>
      </c>
      <c r="D13868" s="1">
        <v>45006</v>
      </c>
      <c r="E13868">
        <v>4</v>
      </c>
      <c r="F13868" t="str">
        <f>"20-K01-04"</f>
        <v>20-K01-04</v>
      </c>
      <c r="G13868">
        <v>0.40660000000000002</v>
      </c>
      <c r="H13868" t="s">
        <v>11</v>
      </c>
      <c r="I13868" t="s">
        <v>10</v>
      </c>
    </row>
    <row r="13869" spans="1:9" x14ac:dyDescent="0.25">
      <c r="A13869" t="str">
        <f t="shared" si="325"/>
        <v>89301000</v>
      </c>
      <c r="B13869" t="str">
        <f>"8603025783"</f>
        <v>8603025783</v>
      </c>
      <c r="C13869" s="1">
        <v>44979</v>
      </c>
      <c r="D13869" s="1">
        <v>44980</v>
      </c>
      <c r="E13869">
        <v>1</v>
      </c>
      <c r="F13869" t="str">
        <f>"03-I24-00"</f>
        <v>03-I24-00</v>
      </c>
      <c r="G13869">
        <v>0.40670000000000001</v>
      </c>
      <c r="H13869" t="s">
        <v>11</v>
      </c>
      <c r="I13869" t="s">
        <v>10</v>
      </c>
    </row>
    <row r="13870" spans="1:9" x14ac:dyDescent="0.25">
      <c r="A13870" t="str">
        <f t="shared" si="325"/>
        <v>89301000</v>
      </c>
      <c r="B13870" t="str">
        <f>"8603066131"</f>
        <v>8603066131</v>
      </c>
      <c r="C13870" s="1">
        <v>45088</v>
      </c>
      <c r="D13870" s="1">
        <v>45092</v>
      </c>
      <c r="E13870">
        <v>1</v>
      </c>
      <c r="F13870" t="str">
        <f>"08-I03-06"</f>
        <v>08-I03-06</v>
      </c>
      <c r="G13870">
        <v>3.2523</v>
      </c>
      <c r="H13870" t="s">
        <v>9</v>
      </c>
      <c r="I13870" t="s">
        <v>10</v>
      </c>
    </row>
    <row r="13871" spans="1:9" x14ac:dyDescent="0.25">
      <c r="A13871" t="str">
        <f t="shared" si="325"/>
        <v>89301000</v>
      </c>
      <c r="B13871" t="str">
        <f>"8604096226"</f>
        <v>8604096226</v>
      </c>
      <c r="C13871" s="1">
        <v>45082</v>
      </c>
      <c r="D13871" s="1">
        <v>45084</v>
      </c>
      <c r="E13871">
        <v>5</v>
      </c>
      <c r="F13871" t="str">
        <f>"08-I04-03"</f>
        <v>08-I04-03</v>
      </c>
      <c r="G13871">
        <v>1.3045</v>
      </c>
      <c r="H13871" t="s">
        <v>14</v>
      </c>
      <c r="I13871" t="s">
        <v>10</v>
      </c>
    </row>
    <row r="13872" spans="1:9" x14ac:dyDescent="0.25">
      <c r="A13872" t="str">
        <f t="shared" si="325"/>
        <v>89301000</v>
      </c>
      <c r="B13872" t="str">
        <f>"8604265615"</f>
        <v>8604265615</v>
      </c>
      <c r="C13872" s="1">
        <v>45218</v>
      </c>
      <c r="D13872" s="1">
        <v>45223</v>
      </c>
      <c r="E13872">
        <v>1</v>
      </c>
      <c r="F13872" t="str">
        <f>"11-I07-01"</f>
        <v>11-I07-01</v>
      </c>
      <c r="G13872">
        <v>2.7482000000000002</v>
      </c>
      <c r="H13872" t="s">
        <v>9</v>
      </c>
      <c r="I13872" t="s">
        <v>10</v>
      </c>
    </row>
    <row r="13873" spans="1:9" x14ac:dyDescent="0.25">
      <c r="A13873" t="str">
        <f t="shared" si="325"/>
        <v>89301000</v>
      </c>
      <c r="B13873" t="str">
        <f>"8605044910"</f>
        <v>8605044910</v>
      </c>
      <c r="C13873" s="1">
        <v>45049</v>
      </c>
      <c r="D13873" s="1">
        <v>45051</v>
      </c>
      <c r="E13873">
        <v>1</v>
      </c>
      <c r="F13873" t="str">
        <f>"03-I19-03"</f>
        <v>03-I19-03</v>
      </c>
      <c r="G13873">
        <v>0.53249999999999997</v>
      </c>
      <c r="H13873" t="s">
        <v>11</v>
      </c>
      <c r="I13873" t="s">
        <v>10</v>
      </c>
    </row>
    <row r="13874" spans="1:9" x14ac:dyDescent="0.25">
      <c r="A13874" t="str">
        <f t="shared" si="325"/>
        <v>89301000</v>
      </c>
      <c r="B13874" t="str">
        <f>"8605105784"</f>
        <v>8605105784</v>
      </c>
      <c r="C13874" s="1">
        <v>45201</v>
      </c>
      <c r="D13874" s="1">
        <v>45203</v>
      </c>
      <c r="E13874">
        <v>1</v>
      </c>
      <c r="F13874" t="str">
        <f>"04-K07-03"</f>
        <v>04-K07-03</v>
      </c>
      <c r="G13874">
        <v>0.61119999999999997</v>
      </c>
      <c r="H13874" t="s">
        <v>11</v>
      </c>
      <c r="I13874" t="s">
        <v>10</v>
      </c>
    </row>
    <row r="13875" spans="1:9" x14ac:dyDescent="0.25">
      <c r="A13875" t="str">
        <f t="shared" si="325"/>
        <v>89301000</v>
      </c>
      <c r="B13875" t="str">
        <f>"8605135770"</f>
        <v>8605135770</v>
      </c>
      <c r="C13875" s="1">
        <v>45049</v>
      </c>
      <c r="D13875" s="1">
        <v>45051</v>
      </c>
      <c r="E13875">
        <v>1</v>
      </c>
      <c r="F13875" t="str">
        <f>"03-K12-01"</f>
        <v>03-K12-01</v>
      </c>
      <c r="G13875">
        <v>0.37</v>
      </c>
      <c r="H13875" t="s">
        <v>11</v>
      </c>
      <c r="I13875" t="s">
        <v>10</v>
      </c>
    </row>
    <row r="13876" spans="1:9" x14ac:dyDescent="0.25">
      <c r="A13876" t="str">
        <f t="shared" si="325"/>
        <v>89301000</v>
      </c>
      <c r="B13876" t="str">
        <f>"8605274942"</f>
        <v>8605274942</v>
      </c>
      <c r="C13876" s="1">
        <v>45044</v>
      </c>
      <c r="D13876" s="1">
        <v>45045</v>
      </c>
      <c r="E13876">
        <v>1</v>
      </c>
      <c r="F13876" t="str">
        <f>"05-M05-02"</f>
        <v>05-M05-02</v>
      </c>
      <c r="G13876">
        <v>3.4817999999999998</v>
      </c>
      <c r="H13876" t="s">
        <v>14</v>
      </c>
      <c r="I13876" t="s">
        <v>10</v>
      </c>
    </row>
    <row r="13877" spans="1:9" x14ac:dyDescent="0.25">
      <c r="A13877" t="str">
        <f t="shared" si="325"/>
        <v>89301000</v>
      </c>
      <c r="B13877" t="str">
        <f>"8606045833"</f>
        <v>8606045833</v>
      </c>
      <c r="C13877" s="1">
        <v>45268</v>
      </c>
      <c r="D13877" s="1">
        <v>45271</v>
      </c>
      <c r="E13877">
        <v>1</v>
      </c>
      <c r="F13877" t="str">
        <f>"01-D01-03"</f>
        <v>01-D01-03</v>
      </c>
      <c r="G13877">
        <v>0.21060000000000001</v>
      </c>
      <c r="H13877" t="s">
        <v>11</v>
      </c>
      <c r="I13877" t="s">
        <v>10</v>
      </c>
    </row>
    <row r="13878" spans="1:9" x14ac:dyDescent="0.25">
      <c r="A13878" t="str">
        <f t="shared" si="325"/>
        <v>89301000</v>
      </c>
      <c r="B13878" t="str">
        <f>"8606045833"</f>
        <v>8606045833</v>
      </c>
      <c r="C13878" s="1">
        <v>45104</v>
      </c>
      <c r="D13878" s="1">
        <v>45105</v>
      </c>
      <c r="E13878">
        <v>1</v>
      </c>
      <c r="F13878" t="str">
        <f>"01-D01-03"</f>
        <v>01-D01-03</v>
      </c>
      <c r="G13878">
        <v>0.16200000000000001</v>
      </c>
      <c r="H13878" t="s">
        <v>11</v>
      </c>
      <c r="I13878" t="s">
        <v>10</v>
      </c>
    </row>
    <row r="13879" spans="1:9" x14ac:dyDescent="0.25">
      <c r="A13879" t="str">
        <f t="shared" si="325"/>
        <v>89301000</v>
      </c>
      <c r="B13879" t="str">
        <f>"8606045833"</f>
        <v>8606045833</v>
      </c>
      <c r="C13879" s="1">
        <v>45052</v>
      </c>
      <c r="D13879" s="1">
        <v>45057</v>
      </c>
      <c r="E13879">
        <v>1</v>
      </c>
      <c r="F13879" t="str">
        <f>"04-K04-02"</f>
        <v>04-K04-02</v>
      </c>
      <c r="G13879">
        <v>0.52390000000000003</v>
      </c>
      <c r="H13879" t="s">
        <v>11</v>
      </c>
      <c r="I13879" t="s">
        <v>10</v>
      </c>
    </row>
    <row r="13880" spans="1:9" x14ac:dyDescent="0.25">
      <c r="A13880" t="str">
        <f t="shared" si="325"/>
        <v>89301000</v>
      </c>
      <c r="B13880" t="str">
        <f>"8606045833"</f>
        <v>8606045833</v>
      </c>
      <c r="C13880" s="1">
        <v>45177</v>
      </c>
      <c r="D13880" s="1">
        <v>45180</v>
      </c>
      <c r="E13880">
        <v>1</v>
      </c>
      <c r="F13880" t="str">
        <f>"04-K04-02"</f>
        <v>04-K04-02</v>
      </c>
      <c r="G13880">
        <v>0.52159999999999995</v>
      </c>
      <c r="H13880" t="s">
        <v>11</v>
      </c>
      <c r="I13880" t="s">
        <v>10</v>
      </c>
    </row>
    <row r="13881" spans="1:9" x14ac:dyDescent="0.25">
      <c r="A13881" t="str">
        <f t="shared" si="325"/>
        <v>89301000</v>
      </c>
      <c r="B13881" t="str">
        <f>"8606225793"</f>
        <v>8606225793</v>
      </c>
      <c r="C13881" s="1">
        <v>45208</v>
      </c>
      <c r="D13881" s="1">
        <v>45213</v>
      </c>
      <c r="E13881">
        <v>1</v>
      </c>
      <c r="F13881" t="str">
        <f>"03-I19-02"</f>
        <v>03-I19-02</v>
      </c>
      <c r="G13881">
        <v>0.71340000000000003</v>
      </c>
      <c r="H13881" t="s">
        <v>11</v>
      </c>
      <c r="I13881" t="s">
        <v>10</v>
      </c>
    </row>
    <row r="13882" spans="1:9" x14ac:dyDescent="0.25">
      <c r="A13882" t="str">
        <f t="shared" si="325"/>
        <v>89301000</v>
      </c>
      <c r="B13882" t="str">
        <f>"8607306257"</f>
        <v>8607306257</v>
      </c>
      <c r="C13882" s="1">
        <v>45000</v>
      </c>
      <c r="D13882" s="1">
        <v>45002</v>
      </c>
      <c r="E13882">
        <v>1</v>
      </c>
      <c r="F13882" t="str">
        <f>"08-I19-03"</f>
        <v>08-I19-03</v>
      </c>
      <c r="G13882">
        <v>0.59130000000000005</v>
      </c>
      <c r="H13882" t="s">
        <v>12</v>
      </c>
      <c r="I13882" t="s">
        <v>10</v>
      </c>
    </row>
    <row r="13883" spans="1:9" x14ac:dyDescent="0.25">
      <c r="A13883" t="str">
        <f t="shared" si="325"/>
        <v>89301000</v>
      </c>
      <c r="B13883" t="str">
        <f>"8607306257"</f>
        <v>8607306257</v>
      </c>
      <c r="C13883" s="1">
        <v>44949</v>
      </c>
      <c r="D13883" s="1">
        <v>44950</v>
      </c>
      <c r="E13883">
        <v>1</v>
      </c>
      <c r="F13883" t="str">
        <f>"23-K03-02"</f>
        <v>23-K03-02</v>
      </c>
      <c r="G13883">
        <v>0.32540000000000002</v>
      </c>
      <c r="H13883" t="s">
        <v>11</v>
      </c>
      <c r="I13883" t="s">
        <v>10</v>
      </c>
    </row>
    <row r="13884" spans="1:9" x14ac:dyDescent="0.25">
      <c r="A13884" t="str">
        <f t="shared" si="325"/>
        <v>89301000</v>
      </c>
      <c r="B13884" t="str">
        <f>"8608124954"</f>
        <v>8608124954</v>
      </c>
      <c r="C13884" s="1">
        <v>44928</v>
      </c>
      <c r="D13884" s="1">
        <v>44966</v>
      </c>
      <c r="E13884">
        <v>1</v>
      </c>
      <c r="F13884" t="str">
        <f>"19-K08-02"</f>
        <v>19-K08-02</v>
      </c>
      <c r="G13884">
        <v>4.4416000000000002</v>
      </c>
      <c r="H13884" t="s">
        <v>15</v>
      </c>
      <c r="I13884" t="s">
        <v>10</v>
      </c>
    </row>
    <row r="13885" spans="1:9" x14ac:dyDescent="0.25">
      <c r="A13885" t="str">
        <f t="shared" si="325"/>
        <v>89301000</v>
      </c>
      <c r="B13885" t="str">
        <f>"8608234910"</f>
        <v>8608234910</v>
      </c>
      <c r="C13885" s="1">
        <v>45242</v>
      </c>
      <c r="D13885" s="1">
        <v>45244</v>
      </c>
      <c r="E13885">
        <v>1</v>
      </c>
      <c r="F13885" t="str">
        <f>"03-I24-00"</f>
        <v>03-I24-00</v>
      </c>
      <c r="G13885">
        <v>0.40899999999999997</v>
      </c>
      <c r="H13885" t="s">
        <v>11</v>
      </c>
      <c r="I13885" t="s">
        <v>10</v>
      </c>
    </row>
    <row r="13886" spans="1:9" x14ac:dyDescent="0.25">
      <c r="A13886" t="str">
        <f t="shared" si="325"/>
        <v>89301000</v>
      </c>
      <c r="B13886" t="str">
        <f>"8609076234"</f>
        <v>8609076234</v>
      </c>
      <c r="C13886" s="1">
        <v>44952</v>
      </c>
      <c r="D13886" s="1">
        <v>44956</v>
      </c>
      <c r="E13886">
        <v>1</v>
      </c>
      <c r="F13886" t="str">
        <f>"04-C02-02"</f>
        <v>04-C02-02</v>
      </c>
      <c r="G13886">
        <v>0.36070000000000002</v>
      </c>
      <c r="H13886" t="s">
        <v>11</v>
      </c>
      <c r="I13886" t="s">
        <v>10</v>
      </c>
    </row>
    <row r="13887" spans="1:9" x14ac:dyDescent="0.25">
      <c r="A13887" t="str">
        <f t="shared" si="325"/>
        <v>89301000</v>
      </c>
      <c r="B13887" t="str">
        <f>"8609076234"</f>
        <v>8609076234</v>
      </c>
      <c r="C13887" s="1">
        <v>44931</v>
      </c>
      <c r="D13887" s="1">
        <v>44935</v>
      </c>
      <c r="E13887">
        <v>1</v>
      </c>
      <c r="F13887" t="str">
        <f>"04-C02-02"</f>
        <v>04-C02-02</v>
      </c>
      <c r="G13887">
        <v>0.36070000000000002</v>
      </c>
      <c r="H13887" t="s">
        <v>11</v>
      </c>
      <c r="I13887" t="s">
        <v>10</v>
      </c>
    </row>
    <row r="13888" spans="1:9" x14ac:dyDescent="0.25">
      <c r="A13888" t="str">
        <f t="shared" si="325"/>
        <v>89301000</v>
      </c>
      <c r="B13888" t="str">
        <f>"8609076234"</f>
        <v>8609076234</v>
      </c>
      <c r="C13888" s="1">
        <v>45020</v>
      </c>
      <c r="D13888" s="1">
        <v>45022</v>
      </c>
      <c r="E13888">
        <v>1</v>
      </c>
      <c r="F13888" t="str">
        <f>"12-I08-03"</f>
        <v>12-I08-03</v>
      </c>
      <c r="G13888">
        <v>0.71730000000000005</v>
      </c>
      <c r="H13888" t="s">
        <v>11</v>
      </c>
      <c r="I13888" t="s">
        <v>10</v>
      </c>
    </row>
    <row r="13889" spans="1:9" x14ac:dyDescent="0.25">
      <c r="A13889" t="str">
        <f t="shared" si="325"/>
        <v>89301000</v>
      </c>
      <c r="B13889" t="str">
        <f>"8610065783"</f>
        <v>8610065783</v>
      </c>
      <c r="C13889" s="1">
        <v>45203</v>
      </c>
      <c r="D13889" s="1">
        <v>45206</v>
      </c>
      <c r="E13889">
        <v>1</v>
      </c>
      <c r="F13889" t="str">
        <f>"08-I03-08"</f>
        <v>08-I03-08</v>
      </c>
      <c r="G13889">
        <v>1.9455</v>
      </c>
      <c r="H13889" t="s">
        <v>9</v>
      </c>
      <c r="I13889" t="s">
        <v>10</v>
      </c>
    </row>
    <row r="13890" spans="1:9" x14ac:dyDescent="0.25">
      <c r="A13890" t="str">
        <f t="shared" si="325"/>
        <v>89301000</v>
      </c>
      <c r="B13890" t="str">
        <f>"8610085440"</f>
        <v>8610085440</v>
      </c>
      <c r="C13890" s="1">
        <v>44972</v>
      </c>
      <c r="D13890" s="1">
        <v>44977</v>
      </c>
      <c r="E13890">
        <v>1</v>
      </c>
      <c r="F13890" t="str">
        <f>"08-K08-00"</f>
        <v>08-K08-00</v>
      </c>
      <c r="G13890">
        <v>0.5272</v>
      </c>
      <c r="H13890" t="s">
        <v>11</v>
      </c>
      <c r="I13890" t="s">
        <v>10</v>
      </c>
    </row>
    <row r="13891" spans="1:9" x14ac:dyDescent="0.25">
      <c r="A13891" t="str">
        <f t="shared" si="325"/>
        <v>89301000</v>
      </c>
      <c r="B13891" t="str">
        <f>"8610285794"</f>
        <v>8610285794</v>
      </c>
      <c r="C13891" s="1">
        <v>45029</v>
      </c>
      <c r="D13891" s="1">
        <v>45030</v>
      </c>
      <c r="E13891">
        <v>1</v>
      </c>
      <c r="F13891" t="str">
        <f>"01-D01-03"</f>
        <v>01-D01-03</v>
      </c>
      <c r="G13891">
        <v>0.16200000000000001</v>
      </c>
      <c r="H13891" t="s">
        <v>11</v>
      </c>
      <c r="I13891" t="s">
        <v>10</v>
      </c>
    </row>
    <row r="13892" spans="1:9" x14ac:dyDescent="0.25">
      <c r="A13892" t="str">
        <f t="shared" si="325"/>
        <v>89301000</v>
      </c>
      <c r="B13892" t="str">
        <f>"8611056256"</f>
        <v>8611056256</v>
      </c>
      <c r="C13892" s="1">
        <v>45259</v>
      </c>
      <c r="D13892" s="1">
        <v>45289</v>
      </c>
      <c r="E13892">
        <v>5</v>
      </c>
      <c r="F13892" t="str">
        <f>"00-M03-04"</f>
        <v>00-M03-04</v>
      </c>
      <c r="G13892">
        <v>24.505400000000002</v>
      </c>
      <c r="H13892" t="s">
        <v>11</v>
      </c>
      <c r="I13892" t="s">
        <v>10</v>
      </c>
    </row>
    <row r="13893" spans="1:9" x14ac:dyDescent="0.25">
      <c r="A13893" t="str">
        <f t="shared" si="325"/>
        <v>89301000</v>
      </c>
      <c r="B13893" t="str">
        <f>"8611165068"</f>
        <v>8611165068</v>
      </c>
      <c r="C13893" s="1">
        <v>45019</v>
      </c>
      <c r="D13893" s="1">
        <v>45028</v>
      </c>
      <c r="E13893">
        <v>1</v>
      </c>
      <c r="F13893" t="str">
        <f>"20-K03-03"</f>
        <v>20-K03-03</v>
      </c>
      <c r="G13893">
        <v>0.94020000000000004</v>
      </c>
      <c r="H13893" t="s">
        <v>11</v>
      </c>
      <c r="I13893" t="s">
        <v>10</v>
      </c>
    </row>
    <row r="13894" spans="1:9" x14ac:dyDescent="0.25">
      <c r="A13894" t="str">
        <f t="shared" si="325"/>
        <v>89301000</v>
      </c>
      <c r="B13894" t="str">
        <f>"8612085438"</f>
        <v>8612085438</v>
      </c>
      <c r="C13894" s="1">
        <v>44981</v>
      </c>
      <c r="D13894" s="1">
        <v>44982</v>
      </c>
      <c r="E13894">
        <v>1</v>
      </c>
      <c r="F13894" t="str">
        <f>"05-M03-00"</f>
        <v>05-M03-00</v>
      </c>
      <c r="G13894">
        <v>3.4253999999999998</v>
      </c>
      <c r="H13894" t="s">
        <v>14</v>
      </c>
      <c r="I13894" t="s">
        <v>10</v>
      </c>
    </row>
    <row r="13895" spans="1:9" x14ac:dyDescent="0.25">
      <c r="A13895" t="str">
        <f t="shared" si="325"/>
        <v>89301000</v>
      </c>
      <c r="B13895" t="str">
        <f>"8612096207"</f>
        <v>8612096207</v>
      </c>
      <c r="C13895" s="1">
        <v>45083</v>
      </c>
      <c r="D13895" s="1">
        <v>45090</v>
      </c>
      <c r="E13895">
        <v>1</v>
      </c>
      <c r="F13895" t="str">
        <f>"01-K13-01"</f>
        <v>01-K13-01</v>
      </c>
      <c r="G13895">
        <v>1.1157999999999999</v>
      </c>
      <c r="H13895" t="s">
        <v>11</v>
      </c>
      <c r="I13895" t="s">
        <v>10</v>
      </c>
    </row>
    <row r="13896" spans="1:9" x14ac:dyDescent="0.25">
      <c r="A13896" t="str">
        <f t="shared" si="325"/>
        <v>89301000</v>
      </c>
      <c r="B13896" t="str">
        <f>"8612096207"</f>
        <v>8612096207</v>
      </c>
      <c r="C13896" s="1">
        <v>45123</v>
      </c>
      <c r="D13896" s="1">
        <v>45128</v>
      </c>
      <c r="E13896">
        <v>1</v>
      </c>
      <c r="F13896" t="str">
        <f>"01-K13-02"</f>
        <v>01-K13-02</v>
      </c>
      <c r="G13896">
        <v>0.73899999999999999</v>
      </c>
      <c r="H13896" t="s">
        <v>11</v>
      </c>
      <c r="I13896" t="s">
        <v>10</v>
      </c>
    </row>
    <row r="13897" spans="1:9" x14ac:dyDescent="0.25">
      <c r="A13897" t="str">
        <f t="shared" si="325"/>
        <v>89301000</v>
      </c>
      <c r="B13897" t="str">
        <f>"8612105766"</f>
        <v>8612105766</v>
      </c>
      <c r="C13897" s="1">
        <v>45147</v>
      </c>
      <c r="D13897" s="1">
        <v>45153</v>
      </c>
      <c r="E13897">
        <v>1</v>
      </c>
      <c r="F13897" t="str">
        <f>"09-K02-00"</f>
        <v>09-K02-00</v>
      </c>
      <c r="G13897">
        <v>0.99539999999999995</v>
      </c>
      <c r="H13897" t="s">
        <v>11</v>
      </c>
      <c r="I13897" t="s">
        <v>10</v>
      </c>
    </row>
    <row r="13898" spans="1:9" x14ac:dyDescent="0.25">
      <c r="A13898" t="str">
        <f t="shared" si="325"/>
        <v>89301000</v>
      </c>
      <c r="B13898" t="str">
        <f>"8612156212"</f>
        <v>8612156212</v>
      </c>
      <c r="C13898" s="1">
        <v>45042</v>
      </c>
      <c r="D13898" s="1">
        <v>45043</v>
      </c>
      <c r="E13898">
        <v>1</v>
      </c>
      <c r="F13898" t="str">
        <f>"08-I15-01"</f>
        <v>08-I15-01</v>
      </c>
      <c r="G13898">
        <v>1.119</v>
      </c>
      <c r="H13898" t="s">
        <v>12</v>
      </c>
      <c r="I13898" t="s">
        <v>10</v>
      </c>
    </row>
    <row r="13899" spans="1:9" x14ac:dyDescent="0.25">
      <c r="A13899" t="str">
        <f t="shared" si="325"/>
        <v>89301000</v>
      </c>
      <c r="B13899" t="str">
        <f>"8612186242"</f>
        <v>8612186242</v>
      </c>
      <c r="C13899" s="1">
        <v>44971</v>
      </c>
      <c r="D13899" s="1">
        <v>44974</v>
      </c>
      <c r="E13899">
        <v>1</v>
      </c>
      <c r="F13899" t="str">
        <f>"08-M03-04"</f>
        <v>08-M03-04</v>
      </c>
      <c r="G13899">
        <v>0.87760000000000005</v>
      </c>
      <c r="H13899" t="s">
        <v>11</v>
      </c>
      <c r="I13899" t="s">
        <v>10</v>
      </c>
    </row>
    <row r="13900" spans="1:9" x14ac:dyDescent="0.25">
      <c r="A13900" t="str">
        <f t="shared" si="325"/>
        <v>89301000</v>
      </c>
      <c r="B13900" t="str">
        <f>"8612305812"</f>
        <v>8612305812</v>
      </c>
      <c r="C13900" s="1">
        <v>45168</v>
      </c>
      <c r="D13900" s="1">
        <v>45170</v>
      </c>
      <c r="E13900">
        <v>1</v>
      </c>
      <c r="F13900" t="str">
        <f>"08-I16-04"</f>
        <v>08-I16-04</v>
      </c>
      <c r="G13900">
        <v>0.83040000000000003</v>
      </c>
      <c r="H13900" t="s">
        <v>12</v>
      </c>
      <c r="I13900" t="s">
        <v>10</v>
      </c>
    </row>
    <row r="13901" spans="1:9" x14ac:dyDescent="0.25">
      <c r="A13901" t="str">
        <f t="shared" si="325"/>
        <v>89301000</v>
      </c>
      <c r="B13901" t="str">
        <f>"8651055765"</f>
        <v>8651055765</v>
      </c>
      <c r="C13901" s="1">
        <v>44949</v>
      </c>
      <c r="D13901" s="1">
        <v>44953</v>
      </c>
      <c r="E13901">
        <v>1</v>
      </c>
      <c r="F13901" t="str">
        <f>"24-M05-01"</f>
        <v>24-M05-01</v>
      </c>
      <c r="G13901">
        <v>0.63700000000000001</v>
      </c>
      <c r="H13901" t="s">
        <v>11</v>
      </c>
      <c r="I13901" t="s">
        <v>10</v>
      </c>
    </row>
    <row r="13902" spans="1:9" x14ac:dyDescent="0.25">
      <c r="A13902" t="str">
        <f t="shared" si="325"/>
        <v>89301000</v>
      </c>
      <c r="B13902" t="str">
        <f>"8651055765"</f>
        <v>8651055765</v>
      </c>
      <c r="C13902" s="1">
        <v>44914</v>
      </c>
      <c r="D13902" s="1">
        <v>44944</v>
      </c>
      <c r="E13902">
        <v>1</v>
      </c>
      <c r="F13902" t="str">
        <f>"11-K03-02"</f>
        <v>11-K03-02</v>
      </c>
      <c r="G13902">
        <v>1.7416</v>
      </c>
      <c r="H13902" t="s">
        <v>11</v>
      </c>
      <c r="I13902" t="s">
        <v>10</v>
      </c>
    </row>
    <row r="13903" spans="1:9" x14ac:dyDescent="0.25">
      <c r="A13903" t="str">
        <f t="shared" si="325"/>
        <v>89301000</v>
      </c>
      <c r="B13903" t="str">
        <f>"8651101547"</f>
        <v>8651101547</v>
      </c>
      <c r="C13903" s="1">
        <v>44943</v>
      </c>
      <c r="D13903" s="1">
        <v>44945</v>
      </c>
      <c r="E13903">
        <v>1</v>
      </c>
      <c r="F13903" t="str">
        <f>"13-I19-00"</f>
        <v>13-I19-00</v>
      </c>
      <c r="G13903">
        <v>0.28249999999999997</v>
      </c>
      <c r="H13903" t="s">
        <v>11</v>
      </c>
      <c r="I13903" t="s">
        <v>10</v>
      </c>
    </row>
    <row r="13904" spans="1:9" x14ac:dyDescent="0.25">
      <c r="A13904" t="str">
        <f t="shared" si="325"/>
        <v>89301000</v>
      </c>
      <c r="B13904" t="str">
        <f>"8651145811"</f>
        <v>8651145811</v>
      </c>
      <c r="C13904" s="1">
        <v>44943</v>
      </c>
      <c r="D13904" s="1">
        <v>44948</v>
      </c>
      <c r="E13904">
        <v>1</v>
      </c>
      <c r="F13904" t="str">
        <f>"14-I01-05"</f>
        <v>14-I01-05</v>
      </c>
      <c r="G13904">
        <v>0.83340000000000003</v>
      </c>
      <c r="H13904" t="s">
        <v>13</v>
      </c>
      <c r="I13904" t="s">
        <v>10</v>
      </c>
    </row>
    <row r="13905" spans="1:9" x14ac:dyDescent="0.25">
      <c r="A13905" t="str">
        <f t="shared" si="325"/>
        <v>89301000</v>
      </c>
      <c r="B13905" t="str">
        <f>"8651235802"</f>
        <v>8651235802</v>
      </c>
      <c r="C13905" s="1">
        <v>44962</v>
      </c>
      <c r="D13905" s="1">
        <v>44963</v>
      </c>
      <c r="E13905">
        <v>1</v>
      </c>
      <c r="F13905" t="str">
        <f>"08-I17-02"</f>
        <v>08-I17-02</v>
      </c>
      <c r="G13905">
        <v>0.89680000000000004</v>
      </c>
      <c r="H13905" t="s">
        <v>11</v>
      </c>
      <c r="I13905" t="s">
        <v>10</v>
      </c>
    </row>
    <row r="13906" spans="1:9" x14ac:dyDescent="0.25">
      <c r="A13906" t="str">
        <f t="shared" ref="A13906:A13969" si="326">"89301000"</f>
        <v>89301000</v>
      </c>
      <c r="B13906" t="str">
        <f>"8651245779"</f>
        <v>8651245779</v>
      </c>
      <c r="C13906" s="1">
        <v>45040</v>
      </c>
      <c r="D13906" s="1">
        <v>45042</v>
      </c>
      <c r="E13906">
        <v>1</v>
      </c>
      <c r="F13906" t="str">
        <f>"05-I30-02"</f>
        <v>05-I30-02</v>
      </c>
      <c r="G13906">
        <v>0.41699999999999998</v>
      </c>
      <c r="H13906" t="s">
        <v>12</v>
      </c>
      <c r="I13906" t="s">
        <v>10</v>
      </c>
    </row>
    <row r="13907" spans="1:9" x14ac:dyDescent="0.25">
      <c r="A13907" t="str">
        <f t="shared" si="326"/>
        <v>89301000</v>
      </c>
      <c r="B13907" t="str">
        <f>"8651275776"</f>
        <v>8651275776</v>
      </c>
      <c r="C13907" s="1">
        <v>44970</v>
      </c>
      <c r="D13907" s="1">
        <v>44974</v>
      </c>
      <c r="E13907">
        <v>3</v>
      </c>
      <c r="F13907" t="str">
        <f>"01-C02-02"</f>
        <v>01-C02-02</v>
      </c>
      <c r="G13907">
        <v>1.6685000000000001</v>
      </c>
      <c r="H13907" t="s">
        <v>11</v>
      </c>
      <c r="I13907" t="s">
        <v>10</v>
      </c>
    </row>
    <row r="13908" spans="1:9" x14ac:dyDescent="0.25">
      <c r="A13908" t="str">
        <f t="shared" si="326"/>
        <v>89301000</v>
      </c>
      <c r="B13908" t="str">
        <f>"8651275776"</f>
        <v>8651275776</v>
      </c>
      <c r="C13908" s="1">
        <v>44974</v>
      </c>
      <c r="D13908" s="1">
        <v>44980</v>
      </c>
      <c r="E13908">
        <v>1</v>
      </c>
      <c r="F13908" t="str">
        <f>"24-M06-01"</f>
        <v>24-M06-01</v>
      </c>
      <c r="G13908">
        <v>1.1990000000000001</v>
      </c>
      <c r="H13908" t="s">
        <v>11</v>
      </c>
      <c r="I13908" t="s">
        <v>10</v>
      </c>
    </row>
    <row r="13909" spans="1:9" x14ac:dyDescent="0.25">
      <c r="A13909" t="str">
        <f t="shared" si="326"/>
        <v>89301000</v>
      </c>
      <c r="B13909" t="str">
        <f>"8652034919"</f>
        <v>8652034919</v>
      </c>
      <c r="C13909" s="1">
        <v>45256</v>
      </c>
      <c r="D13909" s="1">
        <v>45264</v>
      </c>
      <c r="E13909">
        <v>1</v>
      </c>
      <c r="F13909" t="str">
        <f>"16-C04-02"</f>
        <v>16-C04-02</v>
      </c>
      <c r="G13909">
        <v>4.0963000000000003</v>
      </c>
      <c r="H13909" t="s">
        <v>11</v>
      </c>
      <c r="I13909" t="s">
        <v>10</v>
      </c>
    </row>
    <row r="13910" spans="1:9" x14ac:dyDescent="0.25">
      <c r="A13910" t="str">
        <f t="shared" si="326"/>
        <v>89301000</v>
      </c>
      <c r="B13910" t="str">
        <f>"8652096222"</f>
        <v>8652096222</v>
      </c>
      <c r="C13910" s="1">
        <v>45084</v>
      </c>
      <c r="D13910" s="1">
        <v>45090</v>
      </c>
      <c r="E13910">
        <v>1</v>
      </c>
      <c r="F13910" t="str">
        <f>"20-K03-03"</f>
        <v>20-K03-03</v>
      </c>
      <c r="G13910">
        <v>0.94020000000000004</v>
      </c>
      <c r="H13910" t="s">
        <v>11</v>
      </c>
      <c r="I13910" t="s">
        <v>10</v>
      </c>
    </row>
    <row r="13911" spans="1:9" x14ac:dyDescent="0.25">
      <c r="A13911" t="str">
        <f t="shared" si="326"/>
        <v>89301000</v>
      </c>
      <c r="B13911" t="str">
        <f>"8652140222"</f>
        <v>8652140222</v>
      </c>
      <c r="C13911" s="1">
        <v>45041</v>
      </c>
      <c r="D13911" s="1">
        <v>45044</v>
      </c>
      <c r="E13911">
        <v>1</v>
      </c>
      <c r="F13911" t="str">
        <f>"14-M01-05"</f>
        <v>14-M01-05</v>
      </c>
      <c r="G13911">
        <v>0.56289999999999996</v>
      </c>
      <c r="H13911" t="s">
        <v>13</v>
      </c>
      <c r="I13911" t="s">
        <v>10</v>
      </c>
    </row>
    <row r="13912" spans="1:9" x14ac:dyDescent="0.25">
      <c r="A13912" t="str">
        <f t="shared" si="326"/>
        <v>89301000</v>
      </c>
      <c r="B13912" t="str">
        <f>"8653055785"</f>
        <v>8653055785</v>
      </c>
      <c r="C13912" s="1">
        <v>45180</v>
      </c>
      <c r="D13912" s="1">
        <v>45183</v>
      </c>
      <c r="E13912">
        <v>1</v>
      </c>
      <c r="F13912" t="str">
        <f>"13-I16-00"</f>
        <v>13-I16-00</v>
      </c>
      <c r="G13912">
        <v>1.1695</v>
      </c>
      <c r="H13912" t="s">
        <v>12</v>
      </c>
      <c r="I13912" t="s">
        <v>10</v>
      </c>
    </row>
    <row r="13913" spans="1:9" x14ac:dyDescent="0.25">
      <c r="A13913" t="str">
        <f t="shared" si="326"/>
        <v>89301000</v>
      </c>
      <c r="B13913" t="str">
        <f>"8654016206"</f>
        <v>8654016206</v>
      </c>
      <c r="C13913" s="1">
        <v>45250</v>
      </c>
      <c r="D13913" s="1">
        <v>45255</v>
      </c>
      <c r="E13913">
        <v>1</v>
      </c>
      <c r="F13913" t="str">
        <f>"14-I01-05"</f>
        <v>14-I01-05</v>
      </c>
      <c r="G13913">
        <v>0.83340000000000003</v>
      </c>
      <c r="H13913" t="s">
        <v>13</v>
      </c>
      <c r="I13913" t="s">
        <v>10</v>
      </c>
    </row>
    <row r="13914" spans="1:9" x14ac:dyDescent="0.25">
      <c r="A13914" t="str">
        <f t="shared" si="326"/>
        <v>89301000</v>
      </c>
      <c r="B13914" t="str">
        <f>"8654065794"</f>
        <v>8654065794</v>
      </c>
      <c r="C13914" s="1">
        <v>44935</v>
      </c>
      <c r="D13914" s="1">
        <v>44936</v>
      </c>
      <c r="E13914">
        <v>1</v>
      </c>
      <c r="F13914" t="str">
        <f>"13-I19-00"</f>
        <v>13-I19-00</v>
      </c>
      <c r="G13914">
        <v>0.28270000000000001</v>
      </c>
      <c r="H13914" t="s">
        <v>11</v>
      </c>
      <c r="I13914" t="s">
        <v>10</v>
      </c>
    </row>
    <row r="13915" spans="1:9" x14ac:dyDescent="0.25">
      <c r="A13915" t="str">
        <f t="shared" si="326"/>
        <v>89301000</v>
      </c>
      <c r="B13915" t="str">
        <f>"8654085066"</f>
        <v>8654085066</v>
      </c>
      <c r="C13915" s="1">
        <v>45171</v>
      </c>
      <c r="D13915" s="1">
        <v>45173</v>
      </c>
      <c r="E13915">
        <v>1</v>
      </c>
      <c r="F13915" t="str">
        <f>"01-K16-06"</f>
        <v>01-K16-06</v>
      </c>
      <c r="G13915">
        <v>0.27150000000000002</v>
      </c>
      <c r="H13915" t="s">
        <v>11</v>
      </c>
      <c r="I13915" t="s">
        <v>10</v>
      </c>
    </row>
    <row r="13916" spans="1:9" x14ac:dyDescent="0.25">
      <c r="A13916" t="str">
        <f t="shared" si="326"/>
        <v>89301000</v>
      </c>
      <c r="B13916" t="str">
        <f>"8654116207"</f>
        <v>8654116207</v>
      </c>
      <c r="C13916" s="1">
        <v>44929</v>
      </c>
      <c r="D13916" s="1">
        <v>44932</v>
      </c>
      <c r="E13916">
        <v>1</v>
      </c>
      <c r="F13916" t="str">
        <f>"14-I01-05"</f>
        <v>14-I01-05</v>
      </c>
      <c r="G13916">
        <v>0.83340000000000003</v>
      </c>
      <c r="H13916" t="s">
        <v>13</v>
      </c>
      <c r="I13916" t="s">
        <v>10</v>
      </c>
    </row>
    <row r="13917" spans="1:9" x14ac:dyDescent="0.25">
      <c r="A13917" t="str">
        <f t="shared" si="326"/>
        <v>89301000</v>
      </c>
      <c r="B13917" t="str">
        <f>"8654146314"</f>
        <v>8654146314</v>
      </c>
      <c r="C13917" s="1">
        <v>44971</v>
      </c>
      <c r="D13917" s="1">
        <v>44975</v>
      </c>
      <c r="E13917">
        <v>1</v>
      </c>
      <c r="F13917" t="str">
        <f>"14-I01-02"</f>
        <v>14-I01-02</v>
      </c>
      <c r="G13917">
        <v>1.2988999999999999</v>
      </c>
      <c r="H13917" t="s">
        <v>13</v>
      </c>
      <c r="I13917" t="s">
        <v>10</v>
      </c>
    </row>
    <row r="13918" spans="1:9" x14ac:dyDescent="0.25">
      <c r="A13918" t="str">
        <f t="shared" si="326"/>
        <v>89301000</v>
      </c>
      <c r="B13918" t="str">
        <f>"8654175783"</f>
        <v>8654175783</v>
      </c>
      <c r="C13918" s="1">
        <v>45182</v>
      </c>
      <c r="D13918" s="1">
        <v>45186</v>
      </c>
      <c r="E13918">
        <v>1</v>
      </c>
      <c r="F13918" t="str">
        <f>"13-I14-03"</f>
        <v>13-I14-03</v>
      </c>
      <c r="G13918">
        <v>0.87760000000000005</v>
      </c>
      <c r="H13918" t="s">
        <v>9</v>
      </c>
      <c r="I13918" t="s">
        <v>10</v>
      </c>
    </row>
    <row r="13919" spans="1:9" x14ac:dyDescent="0.25">
      <c r="A13919" t="str">
        <f t="shared" si="326"/>
        <v>89301000</v>
      </c>
      <c r="B13919" t="str">
        <f>"8654185804"</f>
        <v>8654185804</v>
      </c>
      <c r="C13919" s="1">
        <v>45089</v>
      </c>
      <c r="D13919" s="1">
        <v>45091</v>
      </c>
      <c r="E13919">
        <v>1</v>
      </c>
      <c r="F13919" t="str">
        <f>"06-K02-04"</f>
        <v>06-K02-04</v>
      </c>
      <c r="G13919">
        <v>0.37659999999999999</v>
      </c>
      <c r="H13919" t="s">
        <v>11</v>
      </c>
      <c r="I13919" t="s">
        <v>10</v>
      </c>
    </row>
    <row r="13920" spans="1:9" x14ac:dyDescent="0.25">
      <c r="A13920" t="str">
        <f t="shared" si="326"/>
        <v>89301000</v>
      </c>
      <c r="B13920" t="str">
        <f>"8654185804"</f>
        <v>8654185804</v>
      </c>
      <c r="C13920" s="1">
        <v>45277</v>
      </c>
      <c r="D13920" s="1">
        <v>45278</v>
      </c>
      <c r="E13920">
        <v>1</v>
      </c>
      <c r="F13920" t="str">
        <f>"01-K16-06"</f>
        <v>01-K16-06</v>
      </c>
      <c r="G13920">
        <v>0.27150000000000002</v>
      </c>
      <c r="H13920" t="s">
        <v>11</v>
      </c>
      <c r="I13920" t="s">
        <v>10</v>
      </c>
    </row>
    <row r="13921" spans="1:9" x14ac:dyDescent="0.25">
      <c r="A13921" t="str">
        <f t="shared" si="326"/>
        <v>89301000</v>
      </c>
      <c r="B13921" t="str">
        <f>"8654255797"</f>
        <v>8654255797</v>
      </c>
      <c r="C13921" s="1">
        <v>45175</v>
      </c>
      <c r="D13921" s="1">
        <v>45193</v>
      </c>
      <c r="E13921">
        <v>1</v>
      </c>
      <c r="F13921" t="str">
        <f>"14-I01-01"</f>
        <v>14-I01-01</v>
      </c>
      <c r="G13921">
        <v>1.5657000000000001</v>
      </c>
      <c r="H13921" t="s">
        <v>13</v>
      </c>
      <c r="I13921" t="s">
        <v>10</v>
      </c>
    </row>
    <row r="13922" spans="1:9" x14ac:dyDescent="0.25">
      <c r="A13922" t="str">
        <f t="shared" si="326"/>
        <v>89301000</v>
      </c>
      <c r="B13922" t="str">
        <f>"8654255797"</f>
        <v>8654255797</v>
      </c>
      <c r="C13922" s="1">
        <v>45155</v>
      </c>
      <c r="D13922" s="1">
        <v>45160</v>
      </c>
      <c r="E13922">
        <v>1</v>
      </c>
      <c r="F13922" t="str">
        <f>"14-K03-01"</f>
        <v>14-K03-01</v>
      </c>
      <c r="G13922">
        <v>0.54239999999999999</v>
      </c>
      <c r="H13922" t="s">
        <v>11</v>
      </c>
      <c r="I13922" t="s">
        <v>10</v>
      </c>
    </row>
    <row r="13923" spans="1:9" x14ac:dyDescent="0.25">
      <c r="A13923" t="str">
        <f t="shared" si="326"/>
        <v>89301000</v>
      </c>
      <c r="B13923" t="str">
        <f>"8655025797"</f>
        <v>8655025797</v>
      </c>
      <c r="C13923" s="1">
        <v>45257</v>
      </c>
      <c r="D13923" s="1">
        <v>45273</v>
      </c>
      <c r="E13923">
        <v>1</v>
      </c>
      <c r="F13923" t="str">
        <f>"08-I12-02"</f>
        <v>08-I12-02</v>
      </c>
      <c r="G13923">
        <v>2.1450999999999998</v>
      </c>
      <c r="H13923" t="s">
        <v>11</v>
      </c>
      <c r="I13923" t="s">
        <v>10</v>
      </c>
    </row>
    <row r="13924" spans="1:9" x14ac:dyDescent="0.25">
      <c r="A13924" t="str">
        <f t="shared" si="326"/>
        <v>89301000</v>
      </c>
      <c r="B13924" t="str">
        <f>"8655065793"</f>
        <v>8655065793</v>
      </c>
      <c r="C13924" s="1">
        <v>45163</v>
      </c>
      <c r="D13924" s="1">
        <v>45170</v>
      </c>
      <c r="E13924">
        <v>1</v>
      </c>
      <c r="F13924" t="str">
        <f>"14-M01-05"</f>
        <v>14-M01-05</v>
      </c>
      <c r="G13924">
        <v>0.63039999999999996</v>
      </c>
      <c r="H13924" t="s">
        <v>13</v>
      </c>
      <c r="I13924" t="s">
        <v>10</v>
      </c>
    </row>
    <row r="13925" spans="1:9" x14ac:dyDescent="0.25">
      <c r="A13925" t="str">
        <f t="shared" si="326"/>
        <v>89301000</v>
      </c>
      <c r="B13925" t="str">
        <f>"8655075814"</f>
        <v>8655075814</v>
      </c>
      <c r="C13925" s="1">
        <v>45242</v>
      </c>
      <c r="D13925" s="1">
        <v>45244</v>
      </c>
      <c r="E13925">
        <v>1</v>
      </c>
      <c r="F13925" t="str">
        <f>"03-I19-03"</f>
        <v>03-I19-03</v>
      </c>
      <c r="G13925">
        <v>0.53420000000000001</v>
      </c>
      <c r="H13925" t="s">
        <v>11</v>
      </c>
      <c r="I13925" t="s">
        <v>10</v>
      </c>
    </row>
    <row r="13926" spans="1:9" x14ac:dyDescent="0.25">
      <c r="A13926" t="str">
        <f t="shared" si="326"/>
        <v>89301000</v>
      </c>
      <c r="B13926" t="str">
        <f>"8655075836"</f>
        <v>8655075836</v>
      </c>
      <c r="C13926" s="1">
        <v>45187</v>
      </c>
      <c r="D13926" s="1">
        <v>45188</v>
      </c>
      <c r="E13926">
        <v>1</v>
      </c>
      <c r="F13926" t="str">
        <f>"13-I19-00"</f>
        <v>13-I19-00</v>
      </c>
      <c r="G13926">
        <v>0.28249999999999997</v>
      </c>
      <c r="H13926" t="s">
        <v>11</v>
      </c>
      <c r="I13926" t="s">
        <v>10</v>
      </c>
    </row>
    <row r="13927" spans="1:9" x14ac:dyDescent="0.25">
      <c r="A13927" t="str">
        <f t="shared" si="326"/>
        <v>89301000</v>
      </c>
      <c r="B13927" t="str">
        <f>"8655095570"</f>
        <v>8655095570</v>
      </c>
      <c r="C13927" s="1">
        <v>45025</v>
      </c>
      <c r="D13927" s="1">
        <v>45028</v>
      </c>
      <c r="E13927">
        <v>1</v>
      </c>
      <c r="F13927" t="str">
        <f>"14-M01-05"</f>
        <v>14-M01-05</v>
      </c>
      <c r="G13927">
        <v>0.56589999999999996</v>
      </c>
      <c r="H13927" t="s">
        <v>13</v>
      </c>
      <c r="I13927" t="s">
        <v>10</v>
      </c>
    </row>
    <row r="13928" spans="1:9" x14ac:dyDescent="0.25">
      <c r="A13928" t="str">
        <f t="shared" si="326"/>
        <v>89301000</v>
      </c>
      <c r="B13928" t="str">
        <f>"8655106141"</f>
        <v>8655106141</v>
      </c>
      <c r="C13928" s="1">
        <v>45117</v>
      </c>
      <c r="D13928" s="1">
        <v>45126</v>
      </c>
      <c r="E13928">
        <v>1</v>
      </c>
      <c r="F13928" t="str">
        <f>"08-I15-01"</f>
        <v>08-I15-01</v>
      </c>
      <c r="G13928">
        <v>2.4645000000000001</v>
      </c>
      <c r="H13928" t="s">
        <v>12</v>
      </c>
      <c r="I13928" t="s">
        <v>10</v>
      </c>
    </row>
    <row r="13929" spans="1:9" x14ac:dyDescent="0.25">
      <c r="A13929" t="str">
        <f t="shared" si="326"/>
        <v>89301000</v>
      </c>
      <c r="B13929" t="str">
        <f>"8655122520"</f>
        <v>8655122520</v>
      </c>
      <c r="C13929" s="1">
        <v>45014</v>
      </c>
      <c r="D13929" s="1">
        <v>45059</v>
      </c>
      <c r="E13929">
        <v>1</v>
      </c>
      <c r="F13929" t="str">
        <f>"14-I01-05"</f>
        <v>14-I01-05</v>
      </c>
      <c r="G13929">
        <v>3.9043999999999999</v>
      </c>
      <c r="H13929" t="s">
        <v>13</v>
      </c>
      <c r="I13929" t="s">
        <v>10</v>
      </c>
    </row>
    <row r="13930" spans="1:9" x14ac:dyDescent="0.25">
      <c r="A13930" t="str">
        <f t="shared" si="326"/>
        <v>89301000</v>
      </c>
      <c r="B13930" t="str">
        <f>"8655145774"</f>
        <v>8655145774</v>
      </c>
      <c r="C13930" s="1">
        <v>45015</v>
      </c>
      <c r="D13930" s="1">
        <v>45018</v>
      </c>
      <c r="E13930">
        <v>1</v>
      </c>
      <c r="F13930" t="str">
        <f>"14-I08-03"</f>
        <v>14-I08-03</v>
      </c>
      <c r="G13930">
        <v>0.31380000000000002</v>
      </c>
      <c r="H13930" t="s">
        <v>11</v>
      </c>
      <c r="I13930" t="s">
        <v>10</v>
      </c>
    </row>
    <row r="13931" spans="1:9" x14ac:dyDescent="0.25">
      <c r="A13931" t="str">
        <f t="shared" si="326"/>
        <v>89301000</v>
      </c>
      <c r="B13931" t="str">
        <f>"8655225777"</f>
        <v>8655225777</v>
      </c>
      <c r="C13931" s="1">
        <v>45253</v>
      </c>
      <c r="D13931" s="1">
        <v>45256</v>
      </c>
      <c r="E13931">
        <v>1</v>
      </c>
      <c r="F13931" t="str">
        <f>"14-M01-05"</f>
        <v>14-M01-05</v>
      </c>
      <c r="G13931">
        <v>0.56289999999999996</v>
      </c>
      <c r="H13931" t="s">
        <v>13</v>
      </c>
      <c r="I13931" t="s">
        <v>10</v>
      </c>
    </row>
    <row r="13932" spans="1:9" x14ac:dyDescent="0.25">
      <c r="A13932" t="str">
        <f t="shared" si="326"/>
        <v>89301000</v>
      </c>
      <c r="B13932" t="str">
        <f>"8655265795"</f>
        <v>8655265795</v>
      </c>
      <c r="C13932" s="1">
        <v>44978</v>
      </c>
      <c r="D13932" s="1">
        <v>44980</v>
      </c>
      <c r="E13932">
        <v>1</v>
      </c>
      <c r="F13932" t="str">
        <f>"08-K08-00"</f>
        <v>08-K08-00</v>
      </c>
      <c r="G13932">
        <v>0.5272</v>
      </c>
      <c r="H13932" t="s">
        <v>11</v>
      </c>
      <c r="I13932" t="s">
        <v>10</v>
      </c>
    </row>
    <row r="13933" spans="1:9" x14ac:dyDescent="0.25">
      <c r="A13933" t="str">
        <f t="shared" si="326"/>
        <v>89301000</v>
      </c>
      <c r="B13933" t="str">
        <f>"8655305769"</f>
        <v>8655305769</v>
      </c>
      <c r="C13933" s="1">
        <v>44951</v>
      </c>
      <c r="D13933" s="1">
        <v>44958</v>
      </c>
      <c r="E13933">
        <v>3</v>
      </c>
      <c r="F13933" t="str">
        <f>"08-I05-04"</f>
        <v>08-I05-04</v>
      </c>
      <c r="G13933">
        <v>2.4445000000000001</v>
      </c>
      <c r="H13933" t="s">
        <v>12</v>
      </c>
      <c r="I13933" t="s">
        <v>10</v>
      </c>
    </row>
    <row r="13934" spans="1:9" x14ac:dyDescent="0.25">
      <c r="A13934" t="str">
        <f t="shared" si="326"/>
        <v>89301000</v>
      </c>
      <c r="B13934" t="str">
        <f>"8655305769"</f>
        <v>8655305769</v>
      </c>
      <c r="C13934" s="1">
        <v>44958</v>
      </c>
      <c r="D13934" s="1">
        <v>44974</v>
      </c>
      <c r="E13934">
        <v>1</v>
      </c>
      <c r="F13934" t="str">
        <f>"24-M07-02"</f>
        <v>24-M07-02</v>
      </c>
      <c r="G13934">
        <v>1.5729</v>
      </c>
      <c r="H13934" t="s">
        <v>11</v>
      </c>
      <c r="I13934" t="s">
        <v>10</v>
      </c>
    </row>
    <row r="13935" spans="1:9" x14ac:dyDescent="0.25">
      <c r="A13935" t="str">
        <f t="shared" si="326"/>
        <v>89301000</v>
      </c>
      <c r="B13935" t="str">
        <f>"8656015797"</f>
        <v>8656015797</v>
      </c>
      <c r="C13935" s="1">
        <v>45111</v>
      </c>
      <c r="D13935" s="1">
        <v>45114</v>
      </c>
      <c r="E13935">
        <v>1</v>
      </c>
      <c r="F13935" t="str">
        <f>"14-M01-05"</f>
        <v>14-M01-05</v>
      </c>
      <c r="G13935">
        <v>0.56289999999999996</v>
      </c>
      <c r="H13935" t="s">
        <v>13</v>
      </c>
      <c r="I13935" t="s">
        <v>10</v>
      </c>
    </row>
    <row r="13936" spans="1:9" x14ac:dyDescent="0.25">
      <c r="A13936" t="str">
        <f t="shared" si="326"/>
        <v>89301000</v>
      </c>
      <c r="B13936" t="str">
        <f>"8656116205"</f>
        <v>8656116205</v>
      </c>
      <c r="C13936" s="1">
        <v>45159</v>
      </c>
      <c r="D13936" s="1">
        <v>45162</v>
      </c>
      <c r="E13936">
        <v>1</v>
      </c>
      <c r="F13936" t="str">
        <f>"14-I01-05"</f>
        <v>14-I01-05</v>
      </c>
      <c r="G13936">
        <v>0.83</v>
      </c>
      <c r="H13936" t="s">
        <v>13</v>
      </c>
      <c r="I13936" t="s">
        <v>10</v>
      </c>
    </row>
    <row r="13937" spans="1:9" x14ac:dyDescent="0.25">
      <c r="A13937" t="str">
        <f t="shared" si="326"/>
        <v>89301000</v>
      </c>
      <c r="B13937" t="str">
        <f>"8656185824"</f>
        <v>8656185824</v>
      </c>
      <c r="C13937" s="1">
        <v>45265</v>
      </c>
      <c r="D13937" s="1">
        <v>45266</v>
      </c>
      <c r="E13937">
        <v>1</v>
      </c>
      <c r="F13937" t="str">
        <f>"06-I17-04"</f>
        <v>06-I17-04</v>
      </c>
      <c r="G13937">
        <v>0.49869999999999998</v>
      </c>
      <c r="H13937" t="s">
        <v>12</v>
      </c>
      <c r="I13937" t="s">
        <v>10</v>
      </c>
    </row>
    <row r="13938" spans="1:9" x14ac:dyDescent="0.25">
      <c r="A13938" t="str">
        <f t="shared" si="326"/>
        <v>89301000</v>
      </c>
      <c r="B13938" t="str">
        <f>"8657085767"</f>
        <v>8657085767</v>
      </c>
      <c r="C13938" s="1">
        <v>44982</v>
      </c>
      <c r="D13938" s="1">
        <v>44992</v>
      </c>
      <c r="E13938">
        <v>1</v>
      </c>
      <c r="F13938" t="str">
        <f>"14-M01-05"</f>
        <v>14-M01-05</v>
      </c>
      <c r="G13938">
        <v>0.83609999999999995</v>
      </c>
      <c r="H13938" t="s">
        <v>13</v>
      </c>
      <c r="I13938" t="s">
        <v>10</v>
      </c>
    </row>
    <row r="13939" spans="1:9" x14ac:dyDescent="0.25">
      <c r="A13939" t="str">
        <f t="shared" si="326"/>
        <v>89301000</v>
      </c>
      <c r="B13939" t="str">
        <f>"8657085800"</f>
        <v>8657085800</v>
      </c>
      <c r="C13939" s="1">
        <v>45107</v>
      </c>
      <c r="D13939" s="1">
        <v>45108</v>
      </c>
      <c r="E13939">
        <v>1</v>
      </c>
      <c r="F13939" t="str">
        <f>"14-K02-00"</f>
        <v>14-K02-00</v>
      </c>
      <c r="G13939">
        <v>0.19639999999999999</v>
      </c>
      <c r="H13939" t="s">
        <v>11</v>
      </c>
      <c r="I13939" t="s">
        <v>10</v>
      </c>
    </row>
    <row r="13940" spans="1:9" x14ac:dyDescent="0.25">
      <c r="A13940" t="str">
        <f t="shared" si="326"/>
        <v>89301000</v>
      </c>
      <c r="B13940" t="str">
        <f>"8657085833"</f>
        <v>8657085833</v>
      </c>
      <c r="C13940" s="1">
        <v>45012</v>
      </c>
      <c r="D13940" s="1">
        <v>45016</v>
      </c>
      <c r="E13940">
        <v>1</v>
      </c>
      <c r="F13940" t="str">
        <f>"14-M01-05"</f>
        <v>14-M01-05</v>
      </c>
      <c r="G13940">
        <v>0.56289999999999996</v>
      </c>
      <c r="H13940" t="s">
        <v>13</v>
      </c>
      <c r="I13940" t="s">
        <v>10</v>
      </c>
    </row>
    <row r="13941" spans="1:9" x14ac:dyDescent="0.25">
      <c r="A13941" t="str">
        <f t="shared" si="326"/>
        <v>89301000</v>
      </c>
      <c r="B13941" t="str">
        <f>"8657106216"</f>
        <v>8657106216</v>
      </c>
      <c r="C13941" s="1">
        <v>45034</v>
      </c>
      <c r="D13941" s="1">
        <v>45036</v>
      </c>
      <c r="E13941">
        <v>1</v>
      </c>
      <c r="F13941" t="str">
        <f>"06-I21-03"</f>
        <v>06-I21-03</v>
      </c>
      <c r="G13941">
        <v>0.4572</v>
      </c>
      <c r="H13941" t="s">
        <v>12</v>
      </c>
      <c r="I13941" t="s">
        <v>10</v>
      </c>
    </row>
    <row r="13942" spans="1:9" x14ac:dyDescent="0.25">
      <c r="A13942" t="str">
        <f t="shared" si="326"/>
        <v>89301000</v>
      </c>
      <c r="B13942" t="str">
        <f>"8657106216"</f>
        <v>8657106216</v>
      </c>
      <c r="C13942" s="1">
        <v>44943</v>
      </c>
      <c r="D13942" s="1">
        <v>44949</v>
      </c>
      <c r="E13942">
        <v>1</v>
      </c>
      <c r="F13942" t="str">
        <f>"06-I21-03"</f>
        <v>06-I21-03</v>
      </c>
      <c r="G13942">
        <v>0.45989999999999998</v>
      </c>
      <c r="H13942" t="s">
        <v>12</v>
      </c>
      <c r="I13942" t="s">
        <v>10</v>
      </c>
    </row>
    <row r="13943" spans="1:9" x14ac:dyDescent="0.25">
      <c r="A13943" t="str">
        <f t="shared" si="326"/>
        <v>89301000</v>
      </c>
      <c r="B13943" t="str">
        <f>"8657165638"</f>
        <v>8657165638</v>
      </c>
      <c r="C13943" s="1">
        <v>45012</v>
      </c>
      <c r="D13943" s="1">
        <v>45051</v>
      </c>
      <c r="E13943">
        <v>1</v>
      </c>
      <c r="F13943" t="str">
        <f>"19-K08-02"</f>
        <v>19-K08-02</v>
      </c>
      <c r="G13943">
        <v>4.4416000000000002</v>
      </c>
      <c r="H13943" t="s">
        <v>15</v>
      </c>
      <c r="I13943" t="s">
        <v>10</v>
      </c>
    </row>
    <row r="13944" spans="1:9" x14ac:dyDescent="0.25">
      <c r="A13944" t="str">
        <f t="shared" si="326"/>
        <v>89301000</v>
      </c>
      <c r="B13944" t="str">
        <f>"8657165638"</f>
        <v>8657165638</v>
      </c>
      <c r="C13944" s="1">
        <v>45202</v>
      </c>
      <c r="D13944" s="1">
        <v>45238</v>
      </c>
      <c r="E13944">
        <v>1</v>
      </c>
      <c r="F13944" t="str">
        <f>"19-K08-02"</f>
        <v>19-K08-02</v>
      </c>
      <c r="G13944">
        <v>4.4416000000000002</v>
      </c>
      <c r="H13944" t="s">
        <v>15</v>
      </c>
      <c r="I13944" t="s">
        <v>10</v>
      </c>
    </row>
    <row r="13945" spans="1:9" x14ac:dyDescent="0.25">
      <c r="A13945" t="str">
        <f t="shared" si="326"/>
        <v>89301000</v>
      </c>
      <c r="B13945" t="str">
        <f>"8657185790"</f>
        <v>8657185790</v>
      </c>
      <c r="C13945" s="1">
        <v>45133</v>
      </c>
      <c r="D13945" s="1">
        <v>45136</v>
      </c>
      <c r="E13945">
        <v>1</v>
      </c>
      <c r="F13945" t="str">
        <f>"14-I01-05"</f>
        <v>14-I01-05</v>
      </c>
      <c r="G13945">
        <v>0.83340000000000003</v>
      </c>
      <c r="H13945" t="s">
        <v>13</v>
      </c>
      <c r="I13945" t="s">
        <v>10</v>
      </c>
    </row>
    <row r="13946" spans="1:9" x14ac:dyDescent="0.25">
      <c r="A13946" t="str">
        <f t="shared" si="326"/>
        <v>89301000</v>
      </c>
      <c r="B13946" t="str">
        <f>"8657274912"</f>
        <v>8657274912</v>
      </c>
      <c r="C13946" s="1">
        <v>45226</v>
      </c>
      <c r="D13946" s="1">
        <v>45230</v>
      </c>
      <c r="E13946">
        <v>1</v>
      </c>
      <c r="F13946" t="str">
        <f>"14-I01-05"</f>
        <v>14-I01-05</v>
      </c>
      <c r="G13946">
        <v>0.83340000000000003</v>
      </c>
      <c r="H13946" t="s">
        <v>13</v>
      </c>
      <c r="I13946" t="s">
        <v>10</v>
      </c>
    </row>
    <row r="13947" spans="1:9" x14ac:dyDescent="0.25">
      <c r="A13947" t="str">
        <f t="shared" si="326"/>
        <v>89301000</v>
      </c>
      <c r="B13947" t="str">
        <f>"8658015817"</f>
        <v>8658015817</v>
      </c>
      <c r="C13947" s="1">
        <v>45185</v>
      </c>
      <c r="D13947" s="1">
        <v>45189</v>
      </c>
      <c r="E13947">
        <v>1</v>
      </c>
      <c r="F13947" t="str">
        <f>"14-M01-05"</f>
        <v>14-M01-05</v>
      </c>
      <c r="G13947">
        <v>0.56589999999999996</v>
      </c>
      <c r="H13947" t="s">
        <v>13</v>
      </c>
      <c r="I13947" t="s">
        <v>10</v>
      </c>
    </row>
    <row r="13948" spans="1:9" x14ac:dyDescent="0.25">
      <c r="A13948" t="str">
        <f t="shared" si="326"/>
        <v>89301000</v>
      </c>
      <c r="B13948" t="str">
        <f>"8658044912"</f>
        <v>8658044912</v>
      </c>
      <c r="C13948" s="1">
        <v>45249</v>
      </c>
      <c r="D13948" s="1">
        <v>45251</v>
      </c>
      <c r="E13948">
        <v>1</v>
      </c>
      <c r="F13948" t="str">
        <f>"13-I19-00"</f>
        <v>13-I19-00</v>
      </c>
      <c r="G13948">
        <v>0.28249999999999997</v>
      </c>
      <c r="H13948" t="s">
        <v>11</v>
      </c>
      <c r="I13948" t="s">
        <v>10</v>
      </c>
    </row>
    <row r="13949" spans="1:9" x14ac:dyDescent="0.25">
      <c r="A13949" t="str">
        <f t="shared" si="326"/>
        <v>89301000</v>
      </c>
      <c r="B13949" t="str">
        <f>"8658045451"</f>
        <v>8658045451</v>
      </c>
      <c r="C13949" s="1">
        <v>45002</v>
      </c>
      <c r="D13949" s="1">
        <v>45005</v>
      </c>
      <c r="E13949">
        <v>1</v>
      </c>
      <c r="F13949" t="str">
        <f>"14-I01-05"</f>
        <v>14-I01-05</v>
      </c>
      <c r="G13949">
        <v>0.83</v>
      </c>
      <c r="H13949" t="s">
        <v>13</v>
      </c>
      <c r="I13949" t="s">
        <v>10</v>
      </c>
    </row>
    <row r="13950" spans="1:9" x14ac:dyDescent="0.25">
      <c r="A13950" t="str">
        <f t="shared" si="326"/>
        <v>89301000</v>
      </c>
      <c r="B13950" t="str">
        <f>"8658075580"</f>
        <v>8658075580</v>
      </c>
      <c r="C13950" s="1">
        <v>45166</v>
      </c>
      <c r="D13950" s="1">
        <v>45168</v>
      </c>
      <c r="E13950">
        <v>1</v>
      </c>
      <c r="F13950" t="str">
        <f>"11-K03-02"</f>
        <v>11-K03-02</v>
      </c>
      <c r="G13950">
        <v>0.63990000000000002</v>
      </c>
      <c r="H13950" t="s">
        <v>11</v>
      </c>
      <c r="I13950" t="s">
        <v>10</v>
      </c>
    </row>
    <row r="13951" spans="1:9" x14ac:dyDescent="0.25">
      <c r="A13951" t="str">
        <f t="shared" si="326"/>
        <v>89301000</v>
      </c>
      <c r="B13951" t="str">
        <f>"8658085491"</f>
        <v>8658085491</v>
      </c>
      <c r="C13951" s="1">
        <v>45169</v>
      </c>
      <c r="D13951" s="1">
        <v>45174</v>
      </c>
      <c r="E13951">
        <v>1</v>
      </c>
      <c r="F13951" t="str">
        <f>"14-I01-05"</f>
        <v>14-I01-05</v>
      </c>
      <c r="G13951">
        <v>0.83340000000000003</v>
      </c>
      <c r="H13951" t="s">
        <v>13</v>
      </c>
      <c r="I13951" t="s">
        <v>10</v>
      </c>
    </row>
    <row r="13952" spans="1:9" x14ac:dyDescent="0.25">
      <c r="A13952" t="str">
        <f t="shared" si="326"/>
        <v>89301000</v>
      </c>
      <c r="B13952" t="str">
        <f>"8658094907"</f>
        <v>8658094907</v>
      </c>
      <c r="C13952" s="1">
        <v>45245</v>
      </c>
      <c r="D13952" s="1">
        <v>45246</v>
      </c>
      <c r="E13952">
        <v>1</v>
      </c>
      <c r="F13952" t="str">
        <f>"14-I08-03"</f>
        <v>14-I08-03</v>
      </c>
      <c r="G13952">
        <v>0.2414</v>
      </c>
      <c r="H13952" t="s">
        <v>11</v>
      </c>
      <c r="I13952" t="s">
        <v>10</v>
      </c>
    </row>
    <row r="13953" spans="1:9" x14ac:dyDescent="0.25">
      <c r="A13953" t="str">
        <f t="shared" si="326"/>
        <v>89301000</v>
      </c>
      <c r="B13953" t="str">
        <f>"8658094907"</f>
        <v>8658094907</v>
      </c>
      <c r="C13953" s="1">
        <v>45219</v>
      </c>
      <c r="D13953" s="1">
        <v>45222</v>
      </c>
      <c r="E13953">
        <v>1</v>
      </c>
      <c r="F13953" t="str">
        <f>"14-K02-00"</f>
        <v>14-K02-00</v>
      </c>
      <c r="G13953">
        <v>0.19639999999999999</v>
      </c>
      <c r="H13953" t="s">
        <v>11</v>
      </c>
      <c r="I13953" t="s">
        <v>10</v>
      </c>
    </row>
    <row r="13954" spans="1:9" x14ac:dyDescent="0.25">
      <c r="A13954" t="str">
        <f t="shared" si="326"/>
        <v>89301000</v>
      </c>
      <c r="B13954" t="str">
        <f>"8658135772"</f>
        <v>8658135772</v>
      </c>
      <c r="C13954" s="1">
        <v>45012</v>
      </c>
      <c r="D13954" s="1">
        <v>45016</v>
      </c>
      <c r="E13954">
        <v>1</v>
      </c>
      <c r="F13954" t="str">
        <f>"13-I08-02"</f>
        <v>13-I08-02</v>
      </c>
      <c r="G13954">
        <v>1.5999000000000001</v>
      </c>
      <c r="H13954" t="s">
        <v>14</v>
      </c>
      <c r="I13954" t="s">
        <v>10</v>
      </c>
    </row>
    <row r="13955" spans="1:9" x14ac:dyDescent="0.25">
      <c r="A13955" t="str">
        <f t="shared" si="326"/>
        <v>89301000</v>
      </c>
      <c r="B13955" t="str">
        <f>"8658135772"</f>
        <v>8658135772</v>
      </c>
      <c r="C13955" s="1">
        <v>44965</v>
      </c>
      <c r="D13955" s="1">
        <v>44968</v>
      </c>
      <c r="E13955">
        <v>1</v>
      </c>
      <c r="F13955" t="str">
        <f>"13-I19-00"</f>
        <v>13-I19-00</v>
      </c>
      <c r="G13955">
        <v>0.28270000000000001</v>
      </c>
      <c r="H13955" t="s">
        <v>11</v>
      </c>
      <c r="I13955" t="s">
        <v>10</v>
      </c>
    </row>
    <row r="13956" spans="1:9" x14ac:dyDescent="0.25">
      <c r="A13956" t="str">
        <f t="shared" si="326"/>
        <v>89301000</v>
      </c>
      <c r="B13956" t="str">
        <f>"8658204907"</f>
        <v>8658204907</v>
      </c>
      <c r="C13956" s="1">
        <v>45244</v>
      </c>
      <c r="D13956" s="1">
        <v>45273</v>
      </c>
      <c r="E13956">
        <v>1</v>
      </c>
      <c r="F13956" t="str">
        <f>"20-K07-02"</f>
        <v>20-K07-02</v>
      </c>
      <c r="G13956">
        <v>2.5350000000000001</v>
      </c>
      <c r="H13956" t="s">
        <v>11</v>
      </c>
      <c r="I13956" t="s">
        <v>10</v>
      </c>
    </row>
    <row r="13957" spans="1:9" x14ac:dyDescent="0.25">
      <c r="A13957" t="str">
        <f t="shared" si="326"/>
        <v>89301000</v>
      </c>
      <c r="B13957" t="str">
        <f>"8658255782"</f>
        <v>8658255782</v>
      </c>
      <c r="C13957" s="1">
        <v>45027</v>
      </c>
      <c r="D13957" s="1">
        <v>45030</v>
      </c>
      <c r="E13957">
        <v>1</v>
      </c>
      <c r="F13957" t="str">
        <f>"14-M01-05"</f>
        <v>14-M01-05</v>
      </c>
      <c r="G13957">
        <v>0.56589999999999996</v>
      </c>
      <c r="H13957" t="s">
        <v>13</v>
      </c>
      <c r="I13957" t="s">
        <v>10</v>
      </c>
    </row>
    <row r="13958" spans="1:9" x14ac:dyDescent="0.25">
      <c r="A13958" t="str">
        <f t="shared" si="326"/>
        <v>89301000</v>
      </c>
      <c r="B13958" t="str">
        <f>"8658273558"</f>
        <v>8658273558</v>
      </c>
      <c r="C13958" s="1">
        <v>45210</v>
      </c>
      <c r="D13958" s="1">
        <v>45219</v>
      </c>
      <c r="E13958">
        <v>1</v>
      </c>
      <c r="F13958" t="str">
        <f>"24-M06-02"</f>
        <v>24-M06-02</v>
      </c>
      <c r="G13958">
        <v>1.0699000000000001</v>
      </c>
      <c r="H13958" t="s">
        <v>11</v>
      </c>
      <c r="I13958" t="s">
        <v>10</v>
      </c>
    </row>
    <row r="13959" spans="1:9" x14ac:dyDescent="0.25">
      <c r="A13959" t="str">
        <f t="shared" si="326"/>
        <v>89301000</v>
      </c>
      <c r="B13959" t="str">
        <f>"8658273558"</f>
        <v>8658273558</v>
      </c>
      <c r="C13959" s="1">
        <v>45184</v>
      </c>
      <c r="D13959" s="1">
        <v>45188</v>
      </c>
      <c r="E13959">
        <v>1</v>
      </c>
      <c r="F13959" t="str">
        <f>"08-I04-03"</f>
        <v>08-I04-03</v>
      </c>
      <c r="G13959">
        <v>1.3045</v>
      </c>
      <c r="H13959" t="s">
        <v>14</v>
      </c>
      <c r="I13959" t="s">
        <v>10</v>
      </c>
    </row>
    <row r="13960" spans="1:9" x14ac:dyDescent="0.25">
      <c r="A13960" t="str">
        <f t="shared" si="326"/>
        <v>89301000</v>
      </c>
      <c r="B13960" t="str">
        <f>"8658275791"</f>
        <v>8658275791</v>
      </c>
      <c r="C13960" s="1">
        <v>45207</v>
      </c>
      <c r="D13960" s="1">
        <v>45210</v>
      </c>
      <c r="E13960">
        <v>1</v>
      </c>
      <c r="F13960" t="str">
        <f>"08-K04-03"</f>
        <v>08-K04-03</v>
      </c>
      <c r="G13960">
        <v>0.41799999999999998</v>
      </c>
      <c r="H13960" t="s">
        <v>11</v>
      </c>
      <c r="I13960" t="s">
        <v>10</v>
      </c>
    </row>
    <row r="13961" spans="1:9" x14ac:dyDescent="0.25">
      <c r="A13961" t="str">
        <f t="shared" si="326"/>
        <v>89301000</v>
      </c>
      <c r="B13961" t="str">
        <f>"8659015783"</f>
        <v>8659015783</v>
      </c>
      <c r="C13961" s="1">
        <v>45176</v>
      </c>
      <c r="D13961" s="1">
        <v>45178</v>
      </c>
      <c r="E13961">
        <v>1</v>
      </c>
      <c r="F13961" t="str">
        <f>"08-I17-02"</f>
        <v>08-I17-02</v>
      </c>
      <c r="G13961">
        <v>0.89680000000000004</v>
      </c>
      <c r="H13961" t="s">
        <v>11</v>
      </c>
      <c r="I13961" t="s">
        <v>10</v>
      </c>
    </row>
    <row r="13962" spans="1:9" x14ac:dyDescent="0.25">
      <c r="A13962" t="str">
        <f t="shared" si="326"/>
        <v>89301000</v>
      </c>
      <c r="B13962" t="str">
        <f>"8659015783"</f>
        <v>8659015783</v>
      </c>
      <c r="C13962" s="1">
        <v>45118</v>
      </c>
      <c r="D13962" s="1">
        <v>45120</v>
      </c>
      <c r="E13962">
        <v>1</v>
      </c>
      <c r="F13962" t="str">
        <f>"08-K11-02"</f>
        <v>08-K11-02</v>
      </c>
      <c r="G13962">
        <v>0.57040000000000002</v>
      </c>
      <c r="H13962" t="s">
        <v>11</v>
      </c>
      <c r="I13962" t="s">
        <v>10</v>
      </c>
    </row>
    <row r="13963" spans="1:9" x14ac:dyDescent="0.25">
      <c r="A13963" t="str">
        <f t="shared" si="326"/>
        <v>89301000</v>
      </c>
      <c r="B13963" t="str">
        <f>"8659035825"</f>
        <v>8659035825</v>
      </c>
      <c r="C13963" s="1">
        <v>45139</v>
      </c>
      <c r="D13963" s="1">
        <v>45143</v>
      </c>
      <c r="E13963">
        <v>1</v>
      </c>
      <c r="F13963" t="str">
        <f>"14-I01-02"</f>
        <v>14-I01-02</v>
      </c>
      <c r="G13963">
        <v>1.2935000000000001</v>
      </c>
      <c r="H13963" t="s">
        <v>13</v>
      </c>
      <c r="I13963" t="s">
        <v>10</v>
      </c>
    </row>
    <row r="13964" spans="1:9" x14ac:dyDescent="0.25">
      <c r="A13964" t="str">
        <f t="shared" si="326"/>
        <v>89301000</v>
      </c>
      <c r="B13964" t="str">
        <f>"8659036265"</f>
        <v>8659036265</v>
      </c>
      <c r="C13964" s="1">
        <v>45020</v>
      </c>
      <c r="D13964" s="1">
        <v>45022</v>
      </c>
      <c r="E13964">
        <v>1</v>
      </c>
      <c r="F13964" t="str">
        <f>"05-I30-01"</f>
        <v>05-I30-01</v>
      </c>
      <c r="G13964">
        <v>0.60309999999999997</v>
      </c>
      <c r="H13964" t="s">
        <v>12</v>
      </c>
      <c r="I13964" t="s">
        <v>10</v>
      </c>
    </row>
    <row r="13965" spans="1:9" x14ac:dyDescent="0.25">
      <c r="A13965" t="str">
        <f t="shared" si="326"/>
        <v>89301000</v>
      </c>
      <c r="B13965" t="str">
        <f>"8659045802"</f>
        <v>8659045802</v>
      </c>
      <c r="C13965" s="1">
        <v>45190</v>
      </c>
      <c r="D13965" s="1">
        <v>45204</v>
      </c>
      <c r="E13965">
        <v>1</v>
      </c>
      <c r="F13965" t="str">
        <f>"08-K08-00"</f>
        <v>08-K08-00</v>
      </c>
      <c r="G13965">
        <v>0.68540000000000001</v>
      </c>
      <c r="H13965" t="s">
        <v>11</v>
      </c>
      <c r="I13965" t="s">
        <v>10</v>
      </c>
    </row>
    <row r="13966" spans="1:9" x14ac:dyDescent="0.25">
      <c r="A13966" t="str">
        <f t="shared" si="326"/>
        <v>89301000</v>
      </c>
      <c r="B13966" t="str">
        <f>"8659064920"</f>
        <v>8659064920</v>
      </c>
      <c r="C13966" s="1">
        <v>45040</v>
      </c>
      <c r="D13966" s="1">
        <v>45042</v>
      </c>
      <c r="E13966">
        <v>1</v>
      </c>
      <c r="F13966" t="str">
        <f>"09-I04-02"</f>
        <v>09-I04-02</v>
      </c>
      <c r="G13966">
        <v>1.0899000000000001</v>
      </c>
      <c r="H13966" t="s">
        <v>12</v>
      </c>
      <c r="I13966" t="s">
        <v>10</v>
      </c>
    </row>
    <row r="13967" spans="1:9" x14ac:dyDescent="0.25">
      <c r="A13967" t="str">
        <f t="shared" si="326"/>
        <v>89301000</v>
      </c>
      <c r="B13967" t="str">
        <f>"8659166285"</f>
        <v>8659166285</v>
      </c>
      <c r="C13967" s="1">
        <v>44935</v>
      </c>
      <c r="D13967" s="1">
        <v>44937</v>
      </c>
      <c r="E13967">
        <v>1</v>
      </c>
      <c r="F13967" t="str">
        <f>"14-M01-05"</f>
        <v>14-M01-05</v>
      </c>
      <c r="G13967">
        <v>0.56289999999999996</v>
      </c>
      <c r="H13967" t="s">
        <v>13</v>
      </c>
      <c r="I13967" t="s">
        <v>10</v>
      </c>
    </row>
    <row r="13968" spans="1:9" x14ac:dyDescent="0.25">
      <c r="A13968" t="str">
        <f t="shared" si="326"/>
        <v>89301000</v>
      </c>
      <c r="B13968" t="str">
        <f>"8659206226"</f>
        <v>8659206226</v>
      </c>
      <c r="C13968" s="1">
        <v>44979</v>
      </c>
      <c r="D13968" s="1">
        <v>44983</v>
      </c>
      <c r="E13968">
        <v>1</v>
      </c>
      <c r="F13968" t="str">
        <f>"14-M01-05"</f>
        <v>14-M01-05</v>
      </c>
      <c r="G13968">
        <v>0.56589999999999996</v>
      </c>
      <c r="H13968" t="s">
        <v>13</v>
      </c>
      <c r="I13968" t="s">
        <v>10</v>
      </c>
    </row>
    <row r="13969" spans="1:9" x14ac:dyDescent="0.25">
      <c r="A13969" t="str">
        <f t="shared" si="326"/>
        <v>89301000</v>
      </c>
      <c r="B13969" t="str">
        <f>"8660036132"</f>
        <v>8660036132</v>
      </c>
      <c r="C13969" s="1">
        <v>45252</v>
      </c>
      <c r="D13969" s="1">
        <v>45253</v>
      </c>
      <c r="E13969">
        <v>1</v>
      </c>
      <c r="F13969" t="str">
        <f>"08-I17-02"</f>
        <v>08-I17-02</v>
      </c>
      <c r="G13969">
        <v>0.89680000000000004</v>
      </c>
      <c r="H13969" t="s">
        <v>11</v>
      </c>
      <c r="I13969" t="s">
        <v>10</v>
      </c>
    </row>
    <row r="13970" spans="1:9" x14ac:dyDescent="0.25">
      <c r="A13970" t="str">
        <f t="shared" ref="A13970:A14032" si="327">"89301000"</f>
        <v>89301000</v>
      </c>
      <c r="B13970" t="str">
        <f>"8660145483"</f>
        <v>8660145483</v>
      </c>
      <c r="C13970" s="1">
        <v>45102</v>
      </c>
      <c r="D13970" s="1">
        <v>45111</v>
      </c>
      <c r="E13970">
        <v>1</v>
      </c>
      <c r="F13970" t="str">
        <f>"11-I08-03"</f>
        <v>11-I08-03</v>
      </c>
      <c r="G13970">
        <v>2.0529999999999999</v>
      </c>
      <c r="H13970" t="s">
        <v>9</v>
      </c>
      <c r="I13970" t="s">
        <v>10</v>
      </c>
    </row>
    <row r="13971" spans="1:9" x14ac:dyDescent="0.25">
      <c r="A13971" t="str">
        <f t="shared" si="327"/>
        <v>89301000</v>
      </c>
      <c r="B13971" t="str">
        <f>"8660145483"</f>
        <v>8660145483</v>
      </c>
      <c r="C13971" s="1">
        <v>44989</v>
      </c>
      <c r="D13971" s="1">
        <v>44997</v>
      </c>
      <c r="E13971">
        <v>1</v>
      </c>
      <c r="F13971" t="str">
        <f>"11-K04-01"</f>
        <v>11-K04-01</v>
      </c>
      <c r="G13971">
        <v>0.73480000000000001</v>
      </c>
      <c r="H13971" t="s">
        <v>11</v>
      </c>
      <c r="I13971" t="s">
        <v>10</v>
      </c>
    </row>
    <row r="13972" spans="1:9" x14ac:dyDescent="0.25">
      <c r="A13972" t="str">
        <f t="shared" si="327"/>
        <v>89301000</v>
      </c>
      <c r="B13972" t="str">
        <f>"8660155834"</f>
        <v>8660155834</v>
      </c>
      <c r="C13972" s="1">
        <v>45005</v>
      </c>
      <c r="D13972" s="1">
        <v>45008</v>
      </c>
      <c r="E13972">
        <v>1</v>
      </c>
      <c r="F13972" t="str">
        <f>"14-M01-05"</f>
        <v>14-M01-05</v>
      </c>
      <c r="G13972">
        <v>0.56289999999999996</v>
      </c>
      <c r="H13972" t="s">
        <v>13</v>
      </c>
      <c r="I13972" t="s">
        <v>10</v>
      </c>
    </row>
    <row r="13973" spans="1:9" x14ac:dyDescent="0.25">
      <c r="A13973" t="str">
        <f t="shared" si="327"/>
        <v>89301000</v>
      </c>
      <c r="B13973" t="str">
        <f>"8660206137"</f>
        <v>8660206137</v>
      </c>
      <c r="C13973" s="1">
        <v>44937</v>
      </c>
      <c r="D13973" s="1">
        <v>44941</v>
      </c>
      <c r="E13973">
        <v>6</v>
      </c>
      <c r="F13973" t="str">
        <f>"10-I13-02"</f>
        <v>10-I13-02</v>
      </c>
      <c r="G13973">
        <v>1.1124000000000001</v>
      </c>
      <c r="H13973" t="s">
        <v>9</v>
      </c>
      <c r="I13973" t="s">
        <v>10</v>
      </c>
    </row>
    <row r="13974" spans="1:9" x14ac:dyDescent="0.25">
      <c r="A13974" t="str">
        <f t="shared" si="327"/>
        <v>89301000</v>
      </c>
      <c r="B13974" t="str">
        <f>"8660206137"</f>
        <v>8660206137</v>
      </c>
      <c r="C13974" s="1">
        <v>45196</v>
      </c>
      <c r="D13974" s="1">
        <v>45201</v>
      </c>
      <c r="E13974">
        <v>1</v>
      </c>
      <c r="F13974" t="str">
        <f>"23-K05-01"</f>
        <v>23-K05-01</v>
      </c>
      <c r="G13974">
        <v>0.56269999999999998</v>
      </c>
      <c r="H13974" t="s">
        <v>11</v>
      </c>
      <c r="I13974" t="s">
        <v>10</v>
      </c>
    </row>
    <row r="13975" spans="1:9" x14ac:dyDescent="0.25">
      <c r="A13975" t="str">
        <f t="shared" si="327"/>
        <v>89301000</v>
      </c>
      <c r="B13975" t="str">
        <f>"8660206137"</f>
        <v>8660206137</v>
      </c>
      <c r="C13975" s="1">
        <v>44998</v>
      </c>
      <c r="D13975" s="1">
        <v>45007</v>
      </c>
      <c r="E13975">
        <v>1</v>
      </c>
      <c r="F13975" t="str">
        <f>"10-R02-01"</f>
        <v>10-R02-01</v>
      </c>
      <c r="G13975">
        <v>0.92279999999999995</v>
      </c>
      <c r="H13975" t="s">
        <v>9</v>
      </c>
      <c r="I13975" t="s">
        <v>10</v>
      </c>
    </row>
    <row r="13976" spans="1:9" x14ac:dyDescent="0.25">
      <c r="A13976" t="str">
        <f t="shared" si="327"/>
        <v>89301000</v>
      </c>
      <c r="B13976" t="str">
        <f>"8660245781"</f>
        <v>8660245781</v>
      </c>
      <c r="C13976" s="1">
        <v>45083</v>
      </c>
      <c r="D13976" s="1">
        <v>45086</v>
      </c>
      <c r="E13976">
        <v>1</v>
      </c>
      <c r="F13976" t="str">
        <f>"14-I01-05"</f>
        <v>14-I01-05</v>
      </c>
      <c r="G13976">
        <v>0.83340000000000003</v>
      </c>
      <c r="H13976" t="s">
        <v>13</v>
      </c>
      <c r="I13976" t="s">
        <v>10</v>
      </c>
    </row>
    <row r="13977" spans="1:9" x14ac:dyDescent="0.25">
      <c r="A13977" t="str">
        <f t="shared" si="327"/>
        <v>89301000</v>
      </c>
      <c r="B13977" t="str">
        <f>"8660301606"</f>
        <v>8660301606</v>
      </c>
      <c r="C13977" s="1">
        <v>45231</v>
      </c>
      <c r="D13977" s="1">
        <v>45234</v>
      </c>
      <c r="E13977">
        <v>1</v>
      </c>
      <c r="F13977" t="str">
        <f>"07-I10-06"</f>
        <v>07-I10-06</v>
      </c>
      <c r="G13977">
        <v>0.98419999999999996</v>
      </c>
      <c r="H13977" t="s">
        <v>12</v>
      </c>
      <c r="I13977" t="s">
        <v>10</v>
      </c>
    </row>
    <row r="13978" spans="1:9" x14ac:dyDescent="0.25">
      <c r="A13978" t="str">
        <f t="shared" si="327"/>
        <v>89301000</v>
      </c>
      <c r="B13978" t="str">
        <f>"8661016221"</f>
        <v>8661016221</v>
      </c>
      <c r="C13978" s="1">
        <v>45142</v>
      </c>
      <c r="D13978" s="1">
        <v>45146</v>
      </c>
      <c r="E13978">
        <v>1</v>
      </c>
      <c r="F13978" t="str">
        <f>"07-K03-02"</f>
        <v>07-K03-02</v>
      </c>
      <c r="G13978">
        <v>0.48620000000000002</v>
      </c>
      <c r="H13978" t="s">
        <v>11</v>
      </c>
      <c r="I13978" t="s">
        <v>10</v>
      </c>
    </row>
    <row r="13979" spans="1:9" x14ac:dyDescent="0.25">
      <c r="A13979" t="str">
        <f t="shared" si="327"/>
        <v>89301000</v>
      </c>
      <c r="B13979" t="str">
        <f>"8661075797"</f>
        <v>8661075797</v>
      </c>
      <c r="C13979" s="1">
        <v>45241</v>
      </c>
      <c r="D13979" s="1">
        <v>45245</v>
      </c>
      <c r="E13979">
        <v>1</v>
      </c>
      <c r="F13979" t="str">
        <f>"01-K16-01"</f>
        <v>01-K16-01</v>
      </c>
      <c r="G13979">
        <v>2.5272999999999999</v>
      </c>
      <c r="H13979" t="s">
        <v>11</v>
      </c>
      <c r="I13979" t="s">
        <v>10</v>
      </c>
    </row>
    <row r="13980" spans="1:9" x14ac:dyDescent="0.25">
      <c r="A13980" t="str">
        <f t="shared" si="327"/>
        <v>89301000</v>
      </c>
      <c r="B13980" t="str">
        <f>"8661125385"</f>
        <v>8661125385</v>
      </c>
      <c r="C13980" s="1">
        <v>45130</v>
      </c>
      <c r="D13980" s="1">
        <v>45132</v>
      </c>
      <c r="E13980">
        <v>1</v>
      </c>
      <c r="F13980" t="str">
        <f>"08-M03-05"</f>
        <v>08-M03-05</v>
      </c>
      <c r="G13980">
        <v>0.46910000000000002</v>
      </c>
      <c r="H13980" t="s">
        <v>11</v>
      </c>
      <c r="I13980" t="s">
        <v>10</v>
      </c>
    </row>
    <row r="13981" spans="1:9" x14ac:dyDescent="0.25">
      <c r="A13981" t="str">
        <f t="shared" si="327"/>
        <v>89301000</v>
      </c>
      <c r="B13981" t="str">
        <f>"8661135769"</f>
        <v>8661135769</v>
      </c>
      <c r="C13981" s="1">
        <v>45278</v>
      </c>
      <c r="D13981" s="1">
        <v>45280</v>
      </c>
      <c r="E13981">
        <v>1</v>
      </c>
      <c r="F13981" t="str">
        <f>"01-K10-03"</f>
        <v>01-K10-03</v>
      </c>
      <c r="G13981">
        <v>1.0348999999999999</v>
      </c>
      <c r="H13981" t="s">
        <v>11</v>
      </c>
      <c r="I13981" t="s">
        <v>10</v>
      </c>
    </row>
    <row r="13982" spans="1:9" x14ac:dyDescent="0.25">
      <c r="A13982" t="str">
        <f t="shared" si="327"/>
        <v>89301000</v>
      </c>
      <c r="B13982" t="str">
        <f>"8661135769"</f>
        <v>8661135769</v>
      </c>
      <c r="C13982" s="1">
        <v>45181</v>
      </c>
      <c r="D13982" s="1">
        <v>45184</v>
      </c>
      <c r="E13982">
        <v>1</v>
      </c>
      <c r="F13982" t="str">
        <f>"01-K07-02"</f>
        <v>01-K07-02</v>
      </c>
      <c r="G13982">
        <v>0.6341</v>
      </c>
      <c r="H13982" t="s">
        <v>11</v>
      </c>
      <c r="I13982" t="s">
        <v>10</v>
      </c>
    </row>
    <row r="13983" spans="1:9" x14ac:dyDescent="0.25">
      <c r="A13983" t="str">
        <f t="shared" si="327"/>
        <v>89301000</v>
      </c>
      <c r="B13983" t="str">
        <f>"8661155767"</f>
        <v>8661155767</v>
      </c>
      <c r="C13983" s="1">
        <v>45098</v>
      </c>
      <c r="D13983" s="1">
        <v>45099</v>
      </c>
      <c r="E13983">
        <v>1</v>
      </c>
      <c r="F13983" t="str">
        <f>"08-I15-03"</f>
        <v>08-I15-03</v>
      </c>
      <c r="G13983">
        <v>0.94059999999999999</v>
      </c>
      <c r="H13983" t="s">
        <v>12</v>
      </c>
      <c r="I13983" t="s">
        <v>10</v>
      </c>
    </row>
    <row r="13984" spans="1:9" x14ac:dyDescent="0.25">
      <c r="A13984" t="str">
        <f t="shared" si="327"/>
        <v>89301000</v>
      </c>
      <c r="B13984" t="str">
        <f>"8661155767"</f>
        <v>8661155767</v>
      </c>
      <c r="C13984" s="1">
        <v>45159</v>
      </c>
      <c r="D13984" s="1">
        <v>45160</v>
      </c>
      <c r="E13984">
        <v>1</v>
      </c>
      <c r="F13984" t="str">
        <f>"21-K05-03"</f>
        <v>21-K05-03</v>
      </c>
      <c r="G13984">
        <v>0.45729999999999998</v>
      </c>
      <c r="H13984" t="s">
        <v>11</v>
      </c>
      <c r="I13984" t="s">
        <v>10</v>
      </c>
    </row>
    <row r="13985" spans="1:9" x14ac:dyDescent="0.25">
      <c r="A13985" t="str">
        <f t="shared" si="327"/>
        <v>89301000</v>
      </c>
      <c r="B13985" t="str">
        <f>"8661156053"</f>
        <v>8661156053</v>
      </c>
      <c r="C13985" s="1">
        <v>45012</v>
      </c>
      <c r="D13985" s="1">
        <v>45051</v>
      </c>
      <c r="E13985">
        <v>1</v>
      </c>
      <c r="F13985" t="str">
        <f>"19-K08-02"</f>
        <v>19-K08-02</v>
      </c>
      <c r="G13985">
        <v>4.4416000000000002</v>
      </c>
      <c r="H13985" t="s">
        <v>15</v>
      </c>
      <c r="I13985" t="s">
        <v>10</v>
      </c>
    </row>
    <row r="13986" spans="1:9" x14ac:dyDescent="0.25">
      <c r="A13986" t="str">
        <f t="shared" si="327"/>
        <v>89301000</v>
      </c>
      <c r="B13986" t="str">
        <f>"8661196170"</f>
        <v>8661196170</v>
      </c>
      <c r="C13986" s="1">
        <v>45011</v>
      </c>
      <c r="D13986" s="1">
        <v>45016</v>
      </c>
      <c r="E13986">
        <v>1</v>
      </c>
      <c r="F13986" t="str">
        <f>"14-M01-05"</f>
        <v>14-M01-05</v>
      </c>
      <c r="G13986">
        <v>0.56289999999999996</v>
      </c>
      <c r="H13986" t="s">
        <v>13</v>
      </c>
      <c r="I13986" t="s">
        <v>10</v>
      </c>
    </row>
    <row r="13987" spans="1:9" x14ac:dyDescent="0.25">
      <c r="A13987" t="str">
        <f t="shared" si="327"/>
        <v>89301000</v>
      </c>
      <c r="B13987" t="str">
        <f>"8661206224"</f>
        <v>8661206224</v>
      </c>
      <c r="C13987" s="1">
        <v>45106</v>
      </c>
      <c r="D13987" s="1">
        <v>45109</v>
      </c>
      <c r="E13987">
        <v>1</v>
      </c>
      <c r="F13987" t="str">
        <f>"14-I01-05"</f>
        <v>14-I01-05</v>
      </c>
      <c r="G13987">
        <v>0.83</v>
      </c>
      <c r="H13987" t="s">
        <v>13</v>
      </c>
      <c r="I13987" t="s">
        <v>10</v>
      </c>
    </row>
    <row r="13988" spans="1:9" x14ac:dyDescent="0.25">
      <c r="A13988" t="str">
        <f t="shared" si="327"/>
        <v>89301000</v>
      </c>
      <c r="B13988" t="str">
        <f>"8661255790"</f>
        <v>8661255790</v>
      </c>
      <c r="C13988" s="1">
        <v>45203</v>
      </c>
      <c r="D13988" s="1">
        <v>45206</v>
      </c>
      <c r="E13988">
        <v>1</v>
      </c>
      <c r="F13988" t="str">
        <f>"14-I01-05"</f>
        <v>14-I01-05</v>
      </c>
      <c r="G13988">
        <v>0.83340000000000003</v>
      </c>
      <c r="H13988" t="s">
        <v>13</v>
      </c>
      <c r="I13988" t="s">
        <v>10</v>
      </c>
    </row>
    <row r="13989" spans="1:9" x14ac:dyDescent="0.25">
      <c r="A13989" t="str">
        <f t="shared" si="327"/>
        <v>89301000</v>
      </c>
      <c r="B13989" t="str">
        <f>"8661266229"</f>
        <v>8661266229</v>
      </c>
      <c r="C13989" s="1">
        <v>45103</v>
      </c>
      <c r="D13989" s="1">
        <v>45106</v>
      </c>
      <c r="E13989">
        <v>1</v>
      </c>
      <c r="F13989" t="str">
        <f>"14-M01-05"</f>
        <v>14-M01-05</v>
      </c>
      <c r="G13989">
        <v>0.56289999999999996</v>
      </c>
      <c r="H13989" t="s">
        <v>13</v>
      </c>
      <c r="I13989" t="s">
        <v>10</v>
      </c>
    </row>
    <row r="13990" spans="1:9" x14ac:dyDescent="0.25">
      <c r="A13990" t="str">
        <f t="shared" si="327"/>
        <v>89301000</v>
      </c>
      <c r="B13990" t="str">
        <f>"8662061562"</f>
        <v>8662061562</v>
      </c>
      <c r="C13990" s="1">
        <v>45281</v>
      </c>
      <c r="D13990" s="1">
        <v>45285</v>
      </c>
      <c r="E13990">
        <v>1</v>
      </c>
      <c r="F13990" t="str">
        <f>"14-M01-05"</f>
        <v>14-M01-05</v>
      </c>
      <c r="G13990">
        <v>0.56289999999999996</v>
      </c>
      <c r="H13990" t="s">
        <v>13</v>
      </c>
      <c r="I13990" t="s">
        <v>10</v>
      </c>
    </row>
    <row r="13991" spans="1:9" x14ac:dyDescent="0.25">
      <c r="A13991" t="str">
        <f t="shared" si="327"/>
        <v>89301000</v>
      </c>
      <c r="B13991" t="str">
        <f>"8662165787"</f>
        <v>8662165787</v>
      </c>
      <c r="C13991" s="1">
        <v>45058</v>
      </c>
      <c r="D13991" s="1">
        <v>45059</v>
      </c>
      <c r="E13991">
        <v>1</v>
      </c>
      <c r="F13991" t="str">
        <f>"13-I19-00"</f>
        <v>13-I19-00</v>
      </c>
      <c r="G13991">
        <v>0.28249999999999997</v>
      </c>
      <c r="H13991" t="s">
        <v>11</v>
      </c>
      <c r="I13991" t="s">
        <v>10</v>
      </c>
    </row>
    <row r="13992" spans="1:9" x14ac:dyDescent="0.25">
      <c r="A13992" t="str">
        <f t="shared" si="327"/>
        <v>89301000</v>
      </c>
      <c r="B13992" t="str">
        <f>"8662205464"</f>
        <v>8662205464</v>
      </c>
      <c r="C13992" s="1">
        <v>45033</v>
      </c>
      <c r="D13992" s="1">
        <v>45040</v>
      </c>
      <c r="E13992">
        <v>1</v>
      </c>
      <c r="F13992" t="str">
        <f>"14-I01-05"</f>
        <v>14-I01-05</v>
      </c>
      <c r="G13992">
        <v>0.83340000000000003</v>
      </c>
      <c r="H13992" t="s">
        <v>13</v>
      </c>
      <c r="I13992" t="s">
        <v>10</v>
      </c>
    </row>
    <row r="13993" spans="1:9" x14ac:dyDescent="0.25">
      <c r="A13993" t="str">
        <f t="shared" si="327"/>
        <v>89301000</v>
      </c>
      <c r="B13993" t="str">
        <f>"8662245812"</f>
        <v>8662245812</v>
      </c>
      <c r="C13993" s="1">
        <v>45078</v>
      </c>
      <c r="D13993" s="1">
        <v>45080</v>
      </c>
      <c r="E13993">
        <v>1</v>
      </c>
      <c r="F13993" t="str">
        <f>"08-M03-04"</f>
        <v>08-M03-04</v>
      </c>
      <c r="G13993">
        <v>0.87760000000000005</v>
      </c>
      <c r="H13993" t="s">
        <v>11</v>
      </c>
      <c r="I13993" t="s">
        <v>10</v>
      </c>
    </row>
    <row r="13994" spans="1:9" x14ac:dyDescent="0.25">
      <c r="A13994" t="str">
        <f t="shared" si="327"/>
        <v>89301000</v>
      </c>
      <c r="B13994" t="str">
        <f>"8701144936"</f>
        <v>8701144936</v>
      </c>
      <c r="C13994" s="1">
        <v>45153</v>
      </c>
      <c r="D13994" s="1">
        <v>45155</v>
      </c>
      <c r="E13994">
        <v>1</v>
      </c>
      <c r="F13994" t="str">
        <f>"01-K18-04"</f>
        <v>01-K18-04</v>
      </c>
      <c r="G13994">
        <v>0.54610000000000003</v>
      </c>
      <c r="H13994" t="s">
        <v>11</v>
      </c>
      <c r="I13994" t="s">
        <v>10</v>
      </c>
    </row>
    <row r="13995" spans="1:9" x14ac:dyDescent="0.25">
      <c r="A13995" t="str">
        <f t="shared" si="327"/>
        <v>89301000</v>
      </c>
      <c r="B13995" t="str">
        <f>"8701195822"</f>
        <v>8701195822</v>
      </c>
      <c r="C13995" s="1">
        <v>44950</v>
      </c>
      <c r="D13995" s="1">
        <v>44958</v>
      </c>
      <c r="E13995">
        <v>1</v>
      </c>
      <c r="F13995" t="str">
        <f>"06-I13-01"</f>
        <v>06-I13-01</v>
      </c>
      <c r="G13995">
        <v>3.7789999999999999</v>
      </c>
      <c r="H13995" t="s">
        <v>11</v>
      </c>
      <c r="I13995" t="s">
        <v>10</v>
      </c>
    </row>
    <row r="13996" spans="1:9" x14ac:dyDescent="0.25">
      <c r="A13996" t="str">
        <f t="shared" si="327"/>
        <v>89301000</v>
      </c>
      <c r="B13996" t="str">
        <f>"8701195822"</f>
        <v>8701195822</v>
      </c>
      <c r="C13996" s="1">
        <v>45229</v>
      </c>
      <c r="D13996" s="1">
        <v>45230</v>
      </c>
      <c r="E13996">
        <v>1</v>
      </c>
      <c r="F13996" t="str">
        <f>"06-K06-02"</f>
        <v>06-K06-02</v>
      </c>
      <c r="G13996">
        <v>0.64170000000000005</v>
      </c>
      <c r="H13996" t="s">
        <v>11</v>
      </c>
      <c r="I13996" t="s">
        <v>10</v>
      </c>
    </row>
    <row r="13997" spans="1:9" x14ac:dyDescent="0.25">
      <c r="A13997" t="str">
        <f t="shared" si="327"/>
        <v>89301000</v>
      </c>
      <c r="B13997" t="str">
        <f>"8701214918"</f>
        <v>8701214918</v>
      </c>
      <c r="C13997" s="1">
        <v>44939</v>
      </c>
      <c r="D13997" s="1">
        <v>44946</v>
      </c>
      <c r="E13997">
        <v>1</v>
      </c>
      <c r="F13997" t="str">
        <f>"07-I10-04"</f>
        <v>07-I10-04</v>
      </c>
      <c r="G13997">
        <v>1.4211</v>
      </c>
      <c r="H13997" t="s">
        <v>12</v>
      </c>
      <c r="I13997" t="s">
        <v>10</v>
      </c>
    </row>
    <row r="13998" spans="1:9" x14ac:dyDescent="0.25">
      <c r="A13998" t="str">
        <f t="shared" si="327"/>
        <v>89301000</v>
      </c>
      <c r="B13998" t="str">
        <f>"8701790526"</f>
        <v>8701790526</v>
      </c>
      <c r="C13998" s="1">
        <v>45072</v>
      </c>
      <c r="D13998" s="1">
        <v>45090</v>
      </c>
      <c r="E13998">
        <v>1</v>
      </c>
      <c r="F13998" t="str">
        <f>"08-I14-03"</f>
        <v>08-I14-03</v>
      </c>
      <c r="G13998">
        <v>2.0796000000000001</v>
      </c>
      <c r="H13998" t="s">
        <v>12</v>
      </c>
      <c r="I13998" t="s">
        <v>10</v>
      </c>
    </row>
    <row r="13999" spans="1:9" x14ac:dyDescent="0.25">
      <c r="A13999" t="str">
        <f t="shared" si="327"/>
        <v>89301000</v>
      </c>
      <c r="B13999" t="str">
        <f>"8702045462"</f>
        <v>8702045462</v>
      </c>
      <c r="C13999" s="1">
        <v>45027</v>
      </c>
      <c r="D13999" s="1">
        <v>45028</v>
      </c>
      <c r="E13999">
        <v>1</v>
      </c>
      <c r="F13999" t="str">
        <f>"08-I16-04"</f>
        <v>08-I16-04</v>
      </c>
      <c r="G13999">
        <v>0.83040000000000003</v>
      </c>
      <c r="H13999" t="s">
        <v>12</v>
      </c>
      <c r="I13999" t="s">
        <v>10</v>
      </c>
    </row>
    <row r="14000" spans="1:9" x14ac:dyDescent="0.25">
      <c r="A14000" t="str">
        <f t="shared" si="327"/>
        <v>89301000</v>
      </c>
      <c r="B14000" t="str">
        <f>"8702186218"</f>
        <v>8702186218</v>
      </c>
      <c r="C14000" s="1">
        <v>44937</v>
      </c>
      <c r="D14000" s="1">
        <v>44940</v>
      </c>
      <c r="E14000">
        <v>1</v>
      </c>
      <c r="F14000" t="str">
        <f>"06-I17-04"</f>
        <v>06-I17-04</v>
      </c>
      <c r="G14000">
        <v>0.49869999999999998</v>
      </c>
      <c r="H14000" t="s">
        <v>12</v>
      </c>
      <c r="I14000" t="s">
        <v>10</v>
      </c>
    </row>
    <row r="14001" spans="1:9" x14ac:dyDescent="0.25">
      <c r="A14001" t="str">
        <f t="shared" si="327"/>
        <v>89301000</v>
      </c>
      <c r="B14001" t="str">
        <f>"8703275779"</f>
        <v>8703275779</v>
      </c>
      <c r="C14001" s="1">
        <v>45191</v>
      </c>
      <c r="D14001" s="1">
        <v>45192</v>
      </c>
      <c r="E14001">
        <v>8</v>
      </c>
      <c r="F14001" t="str">
        <f>"18-M01-03"</f>
        <v>18-M01-03</v>
      </c>
      <c r="G14001">
        <v>1.2983</v>
      </c>
      <c r="H14001" t="s">
        <v>11</v>
      </c>
      <c r="I14001" t="s">
        <v>10</v>
      </c>
    </row>
    <row r="14002" spans="1:9" x14ac:dyDescent="0.25">
      <c r="A14002" t="str">
        <f t="shared" si="327"/>
        <v>89301000</v>
      </c>
      <c r="B14002" t="str">
        <f>"8704175469"</f>
        <v>8704175469</v>
      </c>
      <c r="C14002" s="1">
        <v>45043</v>
      </c>
      <c r="D14002" s="1">
        <v>45045</v>
      </c>
      <c r="E14002">
        <v>1</v>
      </c>
      <c r="F14002" t="str">
        <f>"16-K04-02"</f>
        <v>16-K04-02</v>
      </c>
      <c r="G14002">
        <v>0.92759999999999998</v>
      </c>
      <c r="H14002" t="s">
        <v>11</v>
      </c>
      <c r="I14002" t="s">
        <v>10</v>
      </c>
    </row>
    <row r="14003" spans="1:9" x14ac:dyDescent="0.25">
      <c r="A14003" t="str">
        <f t="shared" si="327"/>
        <v>89301000</v>
      </c>
      <c r="B14003" t="str">
        <f>"8705055403"</f>
        <v>8705055403</v>
      </c>
      <c r="C14003" s="1">
        <v>45228</v>
      </c>
      <c r="D14003" s="1">
        <v>45230</v>
      </c>
      <c r="E14003">
        <v>1</v>
      </c>
      <c r="F14003" t="str">
        <f>"08-M03-02"</f>
        <v>08-M03-02</v>
      </c>
      <c r="G14003">
        <v>0.91359999999999997</v>
      </c>
      <c r="H14003" t="s">
        <v>11</v>
      </c>
      <c r="I14003" t="s">
        <v>10</v>
      </c>
    </row>
    <row r="14004" spans="1:9" x14ac:dyDescent="0.25">
      <c r="A14004" t="str">
        <f t="shared" si="327"/>
        <v>89301000</v>
      </c>
      <c r="B14004" t="str">
        <f>"8705115793"</f>
        <v>8705115793</v>
      </c>
      <c r="C14004" s="1">
        <v>45216</v>
      </c>
      <c r="D14004" s="1">
        <v>45224</v>
      </c>
      <c r="E14004">
        <v>1</v>
      </c>
      <c r="F14004" t="str">
        <f>"06-I07-05"</f>
        <v>06-I07-05</v>
      </c>
      <c r="G14004">
        <v>2.7919999999999998</v>
      </c>
      <c r="H14004" t="s">
        <v>12</v>
      </c>
      <c r="I14004" t="s">
        <v>10</v>
      </c>
    </row>
    <row r="14005" spans="1:9" x14ac:dyDescent="0.25">
      <c r="A14005" t="str">
        <f t="shared" si="327"/>
        <v>89301000</v>
      </c>
      <c r="B14005" t="str">
        <f>"8705115793"</f>
        <v>8705115793</v>
      </c>
      <c r="C14005" s="1">
        <v>45033</v>
      </c>
      <c r="D14005" s="1">
        <v>45040</v>
      </c>
      <c r="E14005">
        <v>1</v>
      </c>
      <c r="F14005" t="str">
        <f>"06-I13-02"</f>
        <v>06-I13-02</v>
      </c>
      <c r="G14005">
        <v>2.1128999999999998</v>
      </c>
      <c r="H14005" t="s">
        <v>11</v>
      </c>
      <c r="I14005" t="s">
        <v>10</v>
      </c>
    </row>
    <row r="14006" spans="1:9" x14ac:dyDescent="0.25">
      <c r="A14006" t="str">
        <f t="shared" si="327"/>
        <v>89301000</v>
      </c>
      <c r="B14006" t="str">
        <f>"8706245779"</f>
        <v>8706245779</v>
      </c>
      <c r="C14006" s="1">
        <v>45231</v>
      </c>
      <c r="D14006" s="1">
        <v>45233</v>
      </c>
      <c r="E14006">
        <v>1</v>
      </c>
      <c r="F14006" t="str">
        <f>"08-I15-03"</f>
        <v>08-I15-03</v>
      </c>
      <c r="G14006">
        <v>0.94059999999999999</v>
      </c>
      <c r="H14006" t="s">
        <v>12</v>
      </c>
      <c r="I14006" t="s">
        <v>10</v>
      </c>
    </row>
    <row r="14007" spans="1:9" x14ac:dyDescent="0.25">
      <c r="A14007" t="str">
        <f t="shared" si="327"/>
        <v>89301000</v>
      </c>
      <c r="B14007" t="str">
        <f>"8707016230"</f>
        <v>8707016230</v>
      </c>
      <c r="C14007" s="1">
        <v>45194</v>
      </c>
      <c r="D14007" s="1">
        <v>45196</v>
      </c>
      <c r="E14007">
        <v>1</v>
      </c>
      <c r="F14007" t="str">
        <f>"03-K12-01"</f>
        <v>03-K12-01</v>
      </c>
      <c r="G14007">
        <v>0.37</v>
      </c>
      <c r="H14007" t="s">
        <v>11</v>
      </c>
      <c r="I14007" t="s">
        <v>10</v>
      </c>
    </row>
    <row r="14008" spans="1:9" x14ac:dyDescent="0.25">
      <c r="A14008" t="str">
        <f t="shared" si="327"/>
        <v>89301000</v>
      </c>
      <c r="B14008" t="str">
        <f>"8707035777"</f>
        <v>8707035777</v>
      </c>
      <c r="C14008" s="1">
        <v>44998</v>
      </c>
      <c r="D14008" s="1">
        <v>45001</v>
      </c>
      <c r="E14008">
        <v>1</v>
      </c>
      <c r="F14008" t="str">
        <f>"06-K10-03"</f>
        <v>06-K10-03</v>
      </c>
      <c r="G14008">
        <v>0.43519999999999998</v>
      </c>
      <c r="H14008" t="s">
        <v>11</v>
      </c>
      <c r="I14008" t="s">
        <v>10</v>
      </c>
    </row>
    <row r="14009" spans="1:9" x14ac:dyDescent="0.25">
      <c r="A14009" t="str">
        <f t="shared" si="327"/>
        <v>89301000</v>
      </c>
      <c r="B14009" t="str">
        <f>"8707085772"</f>
        <v>8707085772</v>
      </c>
      <c r="C14009" s="1">
        <v>45173</v>
      </c>
      <c r="D14009" s="1">
        <v>45175</v>
      </c>
      <c r="E14009">
        <v>1</v>
      </c>
      <c r="F14009" t="str">
        <f>"11-K03-01"</f>
        <v>11-K03-01</v>
      </c>
      <c r="G14009">
        <v>1.2875000000000001</v>
      </c>
      <c r="H14009" t="s">
        <v>11</v>
      </c>
      <c r="I14009" t="s">
        <v>10</v>
      </c>
    </row>
    <row r="14010" spans="1:9" x14ac:dyDescent="0.25">
      <c r="A14010" t="str">
        <f t="shared" si="327"/>
        <v>89301000</v>
      </c>
      <c r="B14010" t="str">
        <f>"8707085772"</f>
        <v>8707085772</v>
      </c>
      <c r="C14010" s="1">
        <v>45201</v>
      </c>
      <c r="D14010" s="1">
        <v>45204</v>
      </c>
      <c r="E14010">
        <v>1</v>
      </c>
      <c r="F14010" t="str">
        <f>"11-K03-01"</f>
        <v>11-K03-01</v>
      </c>
      <c r="G14010">
        <v>1.2496</v>
      </c>
      <c r="H14010" t="s">
        <v>11</v>
      </c>
      <c r="I14010" t="s">
        <v>10</v>
      </c>
    </row>
    <row r="14011" spans="1:9" x14ac:dyDescent="0.25">
      <c r="A14011" t="str">
        <f t="shared" si="327"/>
        <v>89301000</v>
      </c>
      <c r="B14011" t="str">
        <f>"8707105770"</f>
        <v>8707105770</v>
      </c>
      <c r="C14011" s="1">
        <v>45236</v>
      </c>
      <c r="D14011" s="1">
        <v>45239</v>
      </c>
      <c r="E14011">
        <v>1</v>
      </c>
      <c r="F14011" t="str">
        <f>"06-I18-05"</f>
        <v>06-I18-05</v>
      </c>
      <c r="G14011">
        <v>0.82420000000000004</v>
      </c>
      <c r="H14011" t="s">
        <v>9</v>
      </c>
      <c r="I14011" t="s">
        <v>10</v>
      </c>
    </row>
    <row r="14012" spans="1:9" x14ac:dyDescent="0.25">
      <c r="A14012" t="str">
        <f t="shared" si="327"/>
        <v>89301000</v>
      </c>
      <c r="B14012" t="str">
        <f>"8707295784"</f>
        <v>8707295784</v>
      </c>
      <c r="C14012" s="1">
        <v>44967</v>
      </c>
      <c r="D14012" s="1">
        <v>44977</v>
      </c>
      <c r="E14012">
        <v>1</v>
      </c>
      <c r="F14012" t="str">
        <f>"09-K03-01"</f>
        <v>09-K03-01</v>
      </c>
      <c r="G14012">
        <v>1.1724000000000001</v>
      </c>
      <c r="H14012" t="s">
        <v>11</v>
      </c>
      <c r="I14012" t="s">
        <v>10</v>
      </c>
    </row>
    <row r="14013" spans="1:9" x14ac:dyDescent="0.25">
      <c r="A14013" t="str">
        <f t="shared" si="327"/>
        <v>89301000</v>
      </c>
      <c r="B14013" t="str">
        <f>"8707295795"</f>
        <v>8707295795</v>
      </c>
      <c r="C14013" s="1">
        <v>45120</v>
      </c>
      <c r="D14013" s="1">
        <v>45122</v>
      </c>
      <c r="E14013">
        <v>1</v>
      </c>
      <c r="F14013" t="str">
        <f>"01-K18-04"</f>
        <v>01-K18-04</v>
      </c>
      <c r="G14013">
        <v>0.54610000000000003</v>
      </c>
      <c r="H14013" t="s">
        <v>11</v>
      </c>
      <c r="I14013" t="s">
        <v>10</v>
      </c>
    </row>
    <row r="14014" spans="1:9" x14ac:dyDescent="0.25">
      <c r="A14014" t="str">
        <f t="shared" si="327"/>
        <v>89301000</v>
      </c>
      <c r="B14014" t="str">
        <f>"8707295795"</f>
        <v>8707295795</v>
      </c>
      <c r="C14014" s="1">
        <v>45260</v>
      </c>
      <c r="D14014" s="1">
        <v>45261</v>
      </c>
      <c r="E14014">
        <v>1</v>
      </c>
      <c r="F14014" t="str">
        <f>"05-M05-02"</f>
        <v>05-M05-02</v>
      </c>
      <c r="G14014">
        <v>3.4817999999999998</v>
      </c>
      <c r="H14014" t="s">
        <v>14</v>
      </c>
      <c r="I14014" t="s">
        <v>10</v>
      </c>
    </row>
    <row r="14015" spans="1:9" x14ac:dyDescent="0.25">
      <c r="A14015" t="str">
        <f t="shared" si="327"/>
        <v>89301000</v>
      </c>
      <c r="B14015" t="str">
        <f>"8707302109"</f>
        <v>8707302109</v>
      </c>
      <c r="C14015" s="1">
        <v>45152</v>
      </c>
      <c r="D14015" s="1">
        <v>45154</v>
      </c>
      <c r="E14015">
        <v>1</v>
      </c>
      <c r="F14015" t="str">
        <f>"05-M05-02"</f>
        <v>05-M05-02</v>
      </c>
      <c r="G14015">
        <v>3.4817999999999998</v>
      </c>
      <c r="H14015" t="s">
        <v>14</v>
      </c>
      <c r="I14015" t="s">
        <v>10</v>
      </c>
    </row>
    <row r="14016" spans="1:9" x14ac:dyDescent="0.25">
      <c r="A14016" t="str">
        <f t="shared" si="327"/>
        <v>89301000</v>
      </c>
      <c r="B14016" t="str">
        <f>"8708116219"</f>
        <v>8708116219</v>
      </c>
      <c r="C14016" s="1">
        <v>44992</v>
      </c>
      <c r="D14016" s="1">
        <v>44995</v>
      </c>
      <c r="E14016">
        <v>1</v>
      </c>
      <c r="F14016" t="str">
        <f>"07-I10-06"</f>
        <v>07-I10-06</v>
      </c>
      <c r="G14016">
        <v>0.98419999999999996</v>
      </c>
      <c r="H14016" t="s">
        <v>12</v>
      </c>
      <c r="I14016" t="s">
        <v>10</v>
      </c>
    </row>
    <row r="14017" spans="1:9" x14ac:dyDescent="0.25">
      <c r="A14017" t="str">
        <f t="shared" si="327"/>
        <v>89301000</v>
      </c>
      <c r="B14017" t="str">
        <f>"8708183836"</f>
        <v>8708183836</v>
      </c>
      <c r="C14017" s="1">
        <v>45085</v>
      </c>
      <c r="D14017" s="1">
        <v>45091</v>
      </c>
      <c r="E14017">
        <v>1</v>
      </c>
      <c r="F14017" t="str">
        <f>"08-K08-00"</f>
        <v>08-K08-00</v>
      </c>
      <c r="G14017">
        <v>0.5272</v>
      </c>
      <c r="H14017" t="s">
        <v>11</v>
      </c>
      <c r="I14017" t="s">
        <v>10</v>
      </c>
    </row>
    <row r="14018" spans="1:9" x14ac:dyDescent="0.25">
      <c r="A14018" t="str">
        <f t="shared" si="327"/>
        <v>89301000</v>
      </c>
      <c r="B14018" t="str">
        <f>"8708315220"</f>
        <v>8708315220</v>
      </c>
      <c r="C14018" s="1">
        <v>45180</v>
      </c>
      <c r="D14018" s="1">
        <v>45198</v>
      </c>
      <c r="E14018">
        <v>1</v>
      </c>
      <c r="F14018" t="str">
        <f>"07-I01-02"</f>
        <v>07-I01-02</v>
      </c>
      <c r="G14018">
        <v>5.4336000000000002</v>
      </c>
      <c r="H14018" t="s">
        <v>14</v>
      </c>
      <c r="I14018" t="s">
        <v>10</v>
      </c>
    </row>
    <row r="14019" spans="1:9" x14ac:dyDescent="0.25">
      <c r="A14019" t="str">
        <f t="shared" si="327"/>
        <v>89301000</v>
      </c>
      <c r="B14019" t="str">
        <f>"8709034928"</f>
        <v>8709034928</v>
      </c>
      <c r="C14019" s="1">
        <v>45221</v>
      </c>
      <c r="D14019" s="1">
        <v>45223</v>
      </c>
      <c r="E14019">
        <v>1</v>
      </c>
      <c r="F14019" t="str">
        <f>"09-I13-05"</f>
        <v>09-I13-05</v>
      </c>
      <c r="G14019">
        <v>0.42570000000000002</v>
      </c>
      <c r="H14019" t="s">
        <v>11</v>
      </c>
      <c r="I14019" t="s">
        <v>10</v>
      </c>
    </row>
    <row r="14020" spans="1:9" x14ac:dyDescent="0.25">
      <c r="A14020" t="str">
        <f t="shared" si="327"/>
        <v>89301000</v>
      </c>
      <c r="B14020" t="str">
        <f>"8709094911"</f>
        <v>8709094911</v>
      </c>
      <c r="C14020" s="1">
        <v>45125</v>
      </c>
      <c r="D14020" s="1">
        <v>45126</v>
      </c>
      <c r="E14020">
        <v>1</v>
      </c>
      <c r="F14020" t="str">
        <f>"11-I16-02"</f>
        <v>11-I16-02</v>
      </c>
      <c r="G14020">
        <v>0.45679999999999998</v>
      </c>
      <c r="H14020" t="s">
        <v>11</v>
      </c>
      <c r="I14020" t="s">
        <v>10</v>
      </c>
    </row>
    <row r="14021" spans="1:9" x14ac:dyDescent="0.25">
      <c r="A14021" t="str">
        <f t="shared" si="327"/>
        <v>89301000</v>
      </c>
      <c r="B14021" t="str">
        <f>"8709094911"</f>
        <v>8709094911</v>
      </c>
      <c r="C14021" s="1">
        <v>45121</v>
      </c>
      <c r="D14021" s="1">
        <v>45122</v>
      </c>
      <c r="E14021">
        <v>1</v>
      </c>
      <c r="F14021" t="str">
        <f>"11-I16-02"</f>
        <v>11-I16-02</v>
      </c>
      <c r="G14021">
        <v>0.45679999999999998</v>
      </c>
      <c r="H14021" t="s">
        <v>11</v>
      </c>
      <c r="I14021" t="s">
        <v>10</v>
      </c>
    </row>
    <row r="14022" spans="1:9" x14ac:dyDescent="0.25">
      <c r="A14022" t="str">
        <f t="shared" si="327"/>
        <v>89301000</v>
      </c>
      <c r="B14022" t="str">
        <f>"8709094911"</f>
        <v>8709094911</v>
      </c>
      <c r="C14022" s="1">
        <v>45155</v>
      </c>
      <c r="D14022" s="1">
        <v>45156</v>
      </c>
      <c r="E14022">
        <v>1</v>
      </c>
      <c r="F14022" t="str">
        <f>"05-D01-08"</f>
        <v>05-D01-08</v>
      </c>
      <c r="G14022">
        <v>0.43159999999999998</v>
      </c>
      <c r="H14022" t="s">
        <v>11</v>
      </c>
      <c r="I14022" t="s">
        <v>10</v>
      </c>
    </row>
    <row r="14023" spans="1:9" x14ac:dyDescent="0.25">
      <c r="A14023" t="str">
        <f t="shared" si="327"/>
        <v>89301000</v>
      </c>
      <c r="B14023" t="str">
        <f>"8709125799"</f>
        <v>8709125799</v>
      </c>
      <c r="C14023" s="1">
        <v>45026</v>
      </c>
      <c r="D14023" s="1">
        <v>45029</v>
      </c>
      <c r="E14023">
        <v>1</v>
      </c>
      <c r="F14023" t="str">
        <f>"08-M03-04"</f>
        <v>08-M03-04</v>
      </c>
      <c r="G14023">
        <v>0.87760000000000005</v>
      </c>
      <c r="H14023" t="s">
        <v>11</v>
      </c>
      <c r="I14023" t="s">
        <v>10</v>
      </c>
    </row>
    <row r="14024" spans="1:9" x14ac:dyDescent="0.25">
      <c r="A14024" t="str">
        <f t="shared" si="327"/>
        <v>89301000</v>
      </c>
      <c r="B14024" t="str">
        <f>"8711013839"</f>
        <v>8711013839</v>
      </c>
      <c r="C14024" s="1">
        <v>45055</v>
      </c>
      <c r="D14024" s="1">
        <v>45057</v>
      </c>
      <c r="E14024">
        <v>1</v>
      </c>
      <c r="F14024" t="str">
        <f>"05-K14-03"</f>
        <v>05-K14-03</v>
      </c>
      <c r="G14024">
        <v>0.3962</v>
      </c>
      <c r="H14024" t="s">
        <v>11</v>
      </c>
      <c r="I14024" t="s">
        <v>10</v>
      </c>
    </row>
    <row r="14025" spans="1:9" x14ac:dyDescent="0.25">
      <c r="A14025" t="str">
        <f t="shared" si="327"/>
        <v>89301000</v>
      </c>
      <c r="B14025" t="str">
        <f>"8711104919"</f>
        <v>8711104919</v>
      </c>
      <c r="C14025" s="1">
        <v>45195</v>
      </c>
      <c r="D14025" s="1">
        <v>45201</v>
      </c>
      <c r="E14025">
        <v>1</v>
      </c>
      <c r="F14025" t="str">
        <f>"09-K04-02"</f>
        <v>09-K04-02</v>
      </c>
      <c r="G14025">
        <v>0.64849999999999997</v>
      </c>
      <c r="H14025" t="s">
        <v>11</v>
      </c>
      <c r="I14025" t="s">
        <v>10</v>
      </c>
    </row>
    <row r="14026" spans="1:9" x14ac:dyDescent="0.25">
      <c r="A14026" t="str">
        <f t="shared" si="327"/>
        <v>89301000</v>
      </c>
      <c r="B14026" t="str">
        <f>"8711105073"</f>
        <v>8711105073</v>
      </c>
      <c r="C14026" s="1">
        <v>45004</v>
      </c>
      <c r="D14026" s="1">
        <v>45007</v>
      </c>
      <c r="E14026">
        <v>1</v>
      </c>
      <c r="F14026" t="str">
        <f>"08-M03-04"</f>
        <v>08-M03-04</v>
      </c>
      <c r="G14026">
        <v>0.87760000000000005</v>
      </c>
      <c r="H14026" t="s">
        <v>11</v>
      </c>
      <c r="I14026" t="s">
        <v>10</v>
      </c>
    </row>
    <row r="14027" spans="1:9" x14ac:dyDescent="0.25">
      <c r="A14027" t="str">
        <f t="shared" si="327"/>
        <v>89301000</v>
      </c>
      <c r="B14027" t="str">
        <f>"8712074910"</f>
        <v>8712074910</v>
      </c>
      <c r="C14027" s="1">
        <v>45147</v>
      </c>
      <c r="D14027" s="1">
        <v>45153</v>
      </c>
      <c r="E14027">
        <v>1</v>
      </c>
      <c r="F14027" t="str">
        <f>"01-I11-01"</f>
        <v>01-I11-01</v>
      </c>
      <c r="G14027">
        <v>0.96650000000000003</v>
      </c>
      <c r="H14027" t="s">
        <v>12</v>
      </c>
      <c r="I14027" t="s">
        <v>10</v>
      </c>
    </row>
    <row r="14028" spans="1:9" x14ac:dyDescent="0.25">
      <c r="A14028" t="str">
        <f t="shared" si="327"/>
        <v>89301000</v>
      </c>
      <c r="B14028" t="str">
        <f>"8712074910"</f>
        <v>8712074910</v>
      </c>
      <c r="C14028" s="1">
        <v>44959</v>
      </c>
      <c r="D14028" s="1">
        <v>44960</v>
      </c>
      <c r="E14028">
        <v>1</v>
      </c>
      <c r="F14028" t="str">
        <f>"01-D01-03"</f>
        <v>01-D01-03</v>
      </c>
      <c r="G14028">
        <v>0.16200000000000001</v>
      </c>
      <c r="H14028" t="s">
        <v>11</v>
      </c>
      <c r="I14028" t="s">
        <v>10</v>
      </c>
    </row>
    <row r="14029" spans="1:9" x14ac:dyDescent="0.25">
      <c r="A14029" t="str">
        <f t="shared" si="327"/>
        <v>89301000</v>
      </c>
      <c r="B14029" t="str">
        <f>"8712095788"</f>
        <v>8712095788</v>
      </c>
      <c r="C14029" s="1">
        <v>45068</v>
      </c>
      <c r="D14029" s="1">
        <v>45075</v>
      </c>
      <c r="E14029">
        <v>1</v>
      </c>
      <c r="F14029" t="str">
        <f>"08-I29-02"</f>
        <v>08-I29-02</v>
      </c>
      <c r="G14029">
        <v>1.5629999999999999</v>
      </c>
      <c r="H14029" t="s">
        <v>11</v>
      </c>
      <c r="I14029" t="s">
        <v>10</v>
      </c>
    </row>
    <row r="14030" spans="1:9" x14ac:dyDescent="0.25">
      <c r="A14030" t="str">
        <f t="shared" si="327"/>
        <v>89301000</v>
      </c>
      <c r="B14030" t="str">
        <f>"8712264528"</f>
        <v>8712264528</v>
      </c>
      <c r="C14030" s="1">
        <v>45202</v>
      </c>
      <c r="D14030" s="1">
        <v>45203</v>
      </c>
      <c r="E14030">
        <v>1</v>
      </c>
      <c r="F14030" t="str">
        <f>"01-D01-03"</f>
        <v>01-D01-03</v>
      </c>
      <c r="G14030">
        <v>0.16200000000000001</v>
      </c>
      <c r="H14030" t="s">
        <v>11</v>
      </c>
      <c r="I14030" t="s">
        <v>10</v>
      </c>
    </row>
    <row r="14031" spans="1:9" x14ac:dyDescent="0.25">
      <c r="A14031" t="str">
        <f t="shared" si="327"/>
        <v>89301000</v>
      </c>
      <c r="B14031" t="str">
        <f>"8751055390"</f>
        <v>8751055390</v>
      </c>
      <c r="C14031" s="1">
        <v>45072</v>
      </c>
      <c r="D14031" s="1">
        <v>45078</v>
      </c>
      <c r="E14031">
        <v>1</v>
      </c>
      <c r="F14031" t="str">
        <f>"09-K01-04"</f>
        <v>09-K01-04</v>
      </c>
      <c r="G14031">
        <v>0.59330000000000005</v>
      </c>
      <c r="H14031" t="s">
        <v>11</v>
      </c>
      <c r="I14031" t="s">
        <v>10</v>
      </c>
    </row>
    <row r="14032" spans="1:9" x14ac:dyDescent="0.25">
      <c r="A14032" t="str">
        <f t="shared" si="327"/>
        <v>89301000</v>
      </c>
      <c r="B14032" t="str">
        <f>"8751075784"</f>
        <v>8751075784</v>
      </c>
      <c r="C14032" s="1">
        <v>45206</v>
      </c>
      <c r="D14032" s="1">
        <v>45211</v>
      </c>
      <c r="E14032">
        <v>1</v>
      </c>
      <c r="F14032" t="str">
        <f>"14-I01-05"</f>
        <v>14-I01-05</v>
      </c>
      <c r="G14032">
        <v>0.83</v>
      </c>
      <c r="H14032" t="s">
        <v>13</v>
      </c>
      <c r="I14032" t="s">
        <v>10</v>
      </c>
    </row>
    <row r="14033" spans="1:9" x14ac:dyDescent="0.25">
      <c r="A14033" t="str">
        <f t="shared" ref="A14033:A14096" si="328">"89301000"</f>
        <v>89301000</v>
      </c>
      <c r="B14033" t="str">
        <f>"8751124910"</f>
        <v>8751124910</v>
      </c>
      <c r="C14033" s="1">
        <v>45126</v>
      </c>
      <c r="D14033" s="1">
        <v>45129</v>
      </c>
      <c r="E14033">
        <v>1</v>
      </c>
      <c r="F14033" t="str">
        <f>"10-I13-02"</f>
        <v>10-I13-02</v>
      </c>
      <c r="G14033">
        <v>1.1124000000000001</v>
      </c>
      <c r="H14033" t="s">
        <v>9</v>
      </c>
      <c r="I14033" t="s">
        <v>10</v>
      </c>
    </row>
    <row r="14034" spans="1:9" x14ac:dyDescent="0.25">
      <c r="A14034" t="str">
        <f t="shared" si="328"/>
        <v>89301000</v>
      </c>
      <c r="B14034" t="str">
        <f>"8751306212"</f>
        <v>8751306212</v>
      </c>
      <c r="C14034" s="1">
        <v>45129</v>
      </c>
      <c r="D14034" s="1">
        <v>45138</v>
      </c>
      <c r="E14034">
        <v>1</v>
      </c>
      <c r="F14034" t="str">
        <f>"19-K03-03"</f>
        <v>19-K03-03</v>
      </c>
      <c r="G14034">
        <v>0.90410000000000001</v>
      </c>
      <c r="H14034" t="s">
        <v>15</v>
      </c>
      <c r="I14034" t="s">
        <v>10</v>
      </c>
    </row>
    <row r="14035" spans="1:9" x14ac:dyDescent="0.25">
      <c r="A14035" t="str">
        <f t="shared" si="328"/>
        <v>89301000</v>
      </c>
      <c r="B14035" t="str">
        <f>"8752105813"</f>
        <v>8752105813</v>
      </c>
      <c r="C14035" s="1">
        <v>45042</v>
      </c>
      <c r="D14035" s="1">
        <v>45044</v>
      </c>
      <c r="E14035">
        <v>1</v>
      </c>
      <c r="F14035" t="str">
        <f>"01-K03-08"</f>
        <v>01-K03-08</v>
      </c>
      <c r="G14035">
        <v>0.38290000000000002</v>
      </c>
      <c r="H14035" t="s">
        <v>11</v>
      </c>
      <c r="I14035" t="s">
        <v>10</v>
      </c>
    </row>
    <row r="14036" spans="1:9" x14ac:dyDescent="0.25">
      <c r="A14036" t="str">
        <f t="shared" si="328"/>
        <v>89301000</v>
      </c>
      <c r="B14036" t="str">
        <f>"8752115889"</f>
        <v>8752115889</v>
      </c>
      <c r="C14036" s="1">
        <v>45087</v>
      </c>
      <c r="D14036" s="1">
        <v>45091</v>
      </c>
      <c r="E14036">
        <v>1</v>
      </c>
      <c r="F14036" t="str">
        <f>"09-K04-02"</f>
        <v>09-K04-02</v>
      </c>
      <c r="G14036">
        <v>0.64849999999999997</v>
      </c>
      <c r="H14036" t="s">
        <v>11</v>
      </c>
      <c r="I14036" t="s">
        <v>10</v>
      </c>
    </row>
    <row r="14037" spans="1:9" x14ac:dyDescent="0.25">
      <c r="A14037" t="str">
        <f t="shared" si="328"/>
        <v>89301000</v>
      </c>
      <c r="B14037" t="str">
        <f>"8752145787"</f>
        <v>8752145787</v>
      </c>
      <c r="C14037" s="1">
        <v>45028</v>
      </c>
      <c r="D14037" s="1">
        <v>45029</v>
      </c>
      <c r="E14037">
        <v>1</v>
      </c>
      <c r="F14037" t="str">
        <f>"14-K03-02"</f>
        <v>14-K03-02</v>
      </c>
      <c r="G14037">
        <v>0.30149999999999999</v>
      </c>
      <c r="H14037" t="s">
        <v>11</v>
      </c>
      <c r="I14037" t="s">
        <v>10</v>
      </c>
    </row>
    <row r="14038" spans="1:9" x14ac:dyDescent="0.25">
      <c r="A14038" t="str">
        <f t="shared" si="328"/>
        <v>89301000</v>
      </c>
      <c r="B14038" t="str">
        <f>"8752145787"</f>
        <v>8752145787</v>
      </c>
      <c r="C14038" s="1">
        <v>45035</v>
      </c>
      <c r="D14038" s="1">
        <v>45038</v>
      </c>
      <c r="E14038">
        <v>1</v>
      </c>
      <c r="F14038" t="str">
        <f>"14-M01-05"</f>
        <v>14-M01-05</v>
      </c>
      <c r="G14038">
        <v>0.56289999999999996</v>
      </c>
      <c r="H14038" t="s">
        <v>13</v>
      </c>
      <c r="I14038" t="s">
        <v>10</v>
      </c>
    </row>
    <row r="14039" spans="1:9" x14ac:dyDescent="0.25">
      <c r="A14039" t="str">
        <f t="shared" si="328"/>
        <v>89301000</v>
      </c>
      <c r="B14039" t="str">
        <f>"8752254918"</f>
        <v>8752254918</v>
      </c>
      <c r="C14039" s="1">
        <v>45011</v>
      </c>
      <c r="D14039" s="1">
        <v>45019</v>
      </c>
      <c r="E14039">
        <v>1</v>
      </c>
      <c r="F14039" t="str">
        <f>"09-I13-02"</f>
        <v>09-I13-02</v>
      </c>
      <c r="G14039">
        <v>1.2537</v>
      </c>
      <c r="H14039" t="s">
        <v>11</v>
      </c>
      <c r="I14039" t="s">
        <v>10</v>
      </c>
    </row>
    <row r="14040" spans="1:9" x14ac:dyDescent="0.25">
      <c r="A14040" t="str">
        <f t="shared" si="328"/>
        <v>89301000</v>
      </c>
      <c r="B14040" t="str">
        <f>"8752266215"</f>
        <v>8752266215</v>
      </c>
      <c r="C14040" s="1">
        <v>44973</v>
      </c>
      <c r="D14040" s="1">
        <v>44978</v>
      </c>
      <c r="E14040">
        <v>1</v>
      </c>
      <c r="F14040" t="str">
        <f>"09-K02-00"</f>
        <v>09-K02-00</v>
      </c>
      <c r="G14040">
        <v>0.99539999999999995</v>
      </c>
      <c r="H14040" t="s">
        <v>11</v>
      </c>
      <c r="I14040" t="s">
        <v>10</v>
      </c>
    </row>
    <row r="14041" spans="1:9" x14ac:dyDescent="0.25">
      <c r="A14041" t="str">
        <f t="shared" si="328"/>
        <v>89301000</v>
      </c>
      <c r="B14041" t="str">
        <f>"8753045774"</f>
        <v>8753045774</v>
      </c>
      <c r="C14041" s="1">
        <v>45072</v>
      </c>
      <c r="D14041" s="1">
        <v>45076</v>
      </c>
      <c r="E14041">
        <v>1</v>
      </c>
      <c r="F14041" t="str">
        <f>"13-I19-00"</f>
        <v>13-I19-00</v>
      </c>
      <c r="G14041">
        <v>0.36749999999999999</v>
      </c>
      <c r="H14041" t="s">
        <v>11</v>
      </c>
      <c r="I14041" t="s">
        <v>10</v>
      </c>
    </row>
    <row r="14042" spans="1:9" x14ac:dyDescent="0.25">
      <c r="A14042" t="str">
        <f t="shared" si="328"/>
        <v>89301000</v>
      </c>
      <c r="B14042" t="str">
        <f>"8753165784"</f>
        <v>8753165784</v>
      </c>
      <c r="C14042" s="1">
        <v>45051</v>
      </c>
      <c r="D14042" s="1">
        <v>45054</v>
      </c>
      <c r="E14042">
        <v>1</v>
      </c>
      <c r="F14042" t="str">
        <f>"08-I15-03"</f>
        <v>08-I15-03</v>
      </c>
      <c r="G14042">
        <v>0.94059999999999999</v>
      </c>
      <c r="H14042" t="s">
        <v>12</v>
      </c>
      <c r="I14042" t="s">
        <v>10</v>
      </c>
    </row>
    <row r="14043" spans="1:9" x14ac:dyDescent="0.25">
      <c r="A14043" t="str">
        <f t="shared" si="328"/>
        <v>89301000</v>
      </c>
      <c r="B14043" t="str">
        <f>"8753185870"</f>
        <v>8753185870</v>
      </c>
      <c r="C14043" s="1">
        <v>45154</v>
      </c>
      <c r="D14043" s="1">
        <v>45156</v>
      </c>
      <c r="E14043">
        <v>1</v>
      </c>
      <c r="F14043" t="str">
        <f>"14-I04-00"</f>
        <v>14-I04-00</v>
      </c>
      <c r="G14043">
        <v>0.79159999999999997</v>
      </c>
      <c r="H14043" t="s">
        <v>9</v>
      </c>
      <c r="I14043" t="s">
        <v>10</v>
      </c>
    </row>
    <row r="14044" spans="1:9" x14ac:dyDescent="0.25">
      <c r="A14044" t="str">
        <f t="shared" si="328"/>
        <v>89301000</v>
      </c>
      <c r="B14044" t="str">
        <f>"8753194912"</f>
        <v>8753194912</v>
      </c>
      <c r="C14044" s="1">
        <v>45182</v>
      </c>
      <c r="D14044" s="1">
        <v>45186</v>
      </c>
      <c r="E14044">
        <v>1</v>
      </c>
      <c r="F14044" t="str">
        <f>"14-M01-02"</f>
        <v>14-M01-02</v>
      </c>
      <c r="G14044">
        <v>0.8306</v>
      </c>
      <c r="H14044" t="s">
        <v>13</v>
      </c>
      <c r="I14044" t="s">
        <v>10</v>
      </c>
    </row>
    <row r="14045" spans="1:9" x14ac:dyDescent="0.25">
      <c r="A14045" t="str">
        <f t="shared" si="328"/>
        <v>89301000</v>
      </c>
      <c r="B14045" t="str">
        <f>"8753234952"</f>
        <v>8753234952</v>
      </c>
      <c r="C14045" s="1">
        <v>45236</v>
      </c>
      <c r="D14045" s="1">
        <v>45237</v>
      </c>
      <c r="E14045">
        <v>1</v>
      </c>
      <c r="F14045" t="str">
        <f>"05-K14-03"</f>
        <v>05-K14-03</v>
      </c>
      <c r="G14045">
        <v>0.3962</v>
      </c>
      <c r="H14045" t="s">
        <v>11</v>
      </c>
      <c r="I14045" t="s">
        <v>10</v>
      </c>
    </row>
    <row r="14046" spans="1:9" x14ac:dyDescent="0.25">
      <c r="A14046" t="str">
        <f t="shared" si="328"/>
        <v>89301000</v>
      </c>
      <c r="B14046" t="str">
        <f>"8753245765"</f>
        <v>8753245765</v>
      </c>
      <c r="C14046" s="1">
        <v>44924</v>
      </c>
      <c r="D14046" s="1">
        <v>44928</v>
      </c>
      <c r="E14046">
        <v>1</v>
      </c>
      <c r="F14046" t="str">
        <f>"14-I01-05"</f>
        <v>14-I01-05</v>
      </c>
      <c r="G14046">
        <v>0.83340000000000003</v>
      </c>
      <c r="H14046" t="s">
        <v>13</v>
      </c>
      <c r="I14046" t="s">
        <v>10</v>
      </c>
    </row>
    <row r="14047" spans="1:9" x14ac:dyDescent="0.25">
      <c r="A14047" t="str">
        <f t="shared" si="328"/>
        <v>89301000</v>
      </c>
      <c r="B14047" t="str">
        <f>"8753295771"</f>
        <v>8753295771</v>
      </c>
      <c r="C14047" s="1">
        <v>45148</v>
      </c>
      <c r="D14047" s="1">
        <v>45150</v>
      </c>
      <c r="E14047">
        <v>1</v>
      </c>
      <c r="F14047" t="str">
        <f>"08-I17-02"</f>
        <v>08-I17-02</v>
      </c>
      <c r="G14047">
        <v>0.89680000000000004</v>
      </c>
      <c r="H14047" t="s">
        <v>11</v>
      </c>
      <c r="I14047" t="s">
        <v>10</v>
      </c>
    </row>
    <row r="14048" spans="1:9" x14ac:dyDescent="0.25">
      <c r="A14048" t="str">
        <f t="shared" si="328"/>
        <v>89301000</v>
      </c>
      <c r="B14048" t="str">
        <f>"8754066222"</f>
        <v>8754066222</v>
      </c>
      <c r="C14048" s="1">
        <v>44928</v>
      </c>
      <c r="D14048" s="1">
        <v>44930</v>
      </c>
      <c r="E14048">
        <v>1</v>
      </c>
      <c r="F14048" t="str">
        <f>"13-I14-03"</f>
        <v>13-I14-03</v>
      </c>
      <c r="G14048">
        <v>0.87760000000000005</v>
      </c>
      <c r="H14048" t="s">
        <v>9</v>
      </c>
      <c r="I14048" t="s">
        <v>10</v>
      </c>
    </row>
    <row r="14049" spans="1:9" x14ac:dyDescent="0.25">
      <c r="A14049" t="str">
        <f t="shared" si="328"/>
        <v>89301000</v>
      </c>
      <c r="B14049" t="str">
        <f>"8754075803"</f>
        <v>8754075803</v>
      </c>
      <c r="C14049" s="1">
        <v>45113</v>
      </c>
      <c r="D14049" s="1">
        <v>45114</v>
      </c>
      <c r="E14049">
        <v>1</v>
      </c>
      <c r="F14049" t="str">
        <f>"14-M01-05"</f>
        <v>14-M01-05</v>
      </c>
      <c r="G14049">
        <v>0.56289999999999996</v>
      </c>
      <c r="H14049" t="s">
        <v>13</v>
      </c>
      <c r="I14049" t="s">
        <v>10</v>
      </c>
    </row>
    <row r="14050" spans="1:9" x14ac:dyDescent="0.25">
      <c r="A14050" t="str">
        <f t="shared" si="328"/>
        <v>89301000</v>
      </c>
      <c r="B14050" t="str">
        <f>"8754145367"</f>
        <v>8754145367</v>
      </c>
      <c r="C14050" s="1">
        <v>45019</v>
      </c>
      <c r="D14050" s="1">
        <v>45021</v>
      </c>
      <c r="E14050">
        <v>1</v>
      </c>
      <c r="F14050" t="str">
        <f>"09-K04-02"</f>
        <v>09-K04-02</v>
      </c>
      <c r="G14050">
        <v>0.64849999999999997</v>
      </c>
      <c r="H14050" t="s">
        <v>11</v>
      </c>
      <c r="I14050" t="s">
        <v>10</v>
      </c>
    </row>
    <row r="14051" spans="1:9" x14ac:dyDescent="0.25">
      <c r="A14051" t="str">
        <f t="shared" si="328"/>
        <v>89301000</v>
      </c>
      <c r="B14051" t="str">
        <f>"8754156158"</f>
        <v>8754156158</v>
      </c>
      <c r="C14051" s="1">
        <v>45162</v>
      </c>
      <c r="D14051" s="1">
        <v>45167</v>
      </c>
      <c r="E14051">
        <v>1</v>
      </c>
      <c r="F14051" t="str">
        <f>"10-K05-02"</f>
        <v>10-K05-02</v>
      </c>
      <c r="G14051">
        <v>0.4597</v>
      </c>
      <c r="H14051" t="s">
        <v>11</v>
      </c>
      <c r="I14051" t="s">
        <v>10</v>
      </c>
    </row>
    <row r="14052" spans="1:9" x14ac:dyDescent="0.25">
      <c r="A14052" t="str">
        <f t="shared" si="328"/>
        <v>89301000</v>
      </c>
      <c r="B14052" t="str">
        <f>"8754235457"</f>
        <v>8754235457</v>
      </c>
      <c r="C14052" s="1">
        <v>45075</v>
      </c>
      <c r="D14052" s="1">
        <v>45078</v>
      </c>
      <c r="E14052">
        <v>1</v>
      </c>
      <c r="F14052" t="str">
        <f>"14-M01-05"</f>
        <v>14-M01-05</v>
      </c>
      <c r="G14052">
        <v>0.56589999999999996</v>
      </c>
      <c r="H14052" t="s">
        <v>13</v>
      </c>
      <c r="I14052" t="s">
        <v>10</v>
      </c>
    </row>
    <row r="14053" spans="1:9" x14ac:dyDescent="0.25">
      <c r="A14053" t="str">
        <f t="shared" si="328"/>
        <v>89301000</v>
      </c>
      <c r="B14053" t="str">
        <f>"8754254927"</f>
        <v>8754254927</v>
      </c>
      <c r="C14053" s="1">
        <v>45071</v>
      </c>
      <c r="D14053" s="1">
        <v>45074</v>
      </c>
      <c r="E14053">
        <v>1</v>
      </c>
      <c r="F14053" t="str">
        <f>"14-M01-05"</f>
        <v>14-M01-05</v>
      </c>
      <c r="G14053">
        <v>0.56289999999999996</v>
      </c>
      <c r="H14053" t="s">
        <v>13</v>
      </c>
      <c r="I14053" t="s">
        <v>10</v>
      </c>
    </row>
    <row r="14054" spans="1:9" x14ac:dyDescent="0.25">
      <c r="A14054" t="str">
        <f t="shared" si="328"/>
        <v>89301000</v>
      </c>
      <c r="B14054" t="str">
        <f>"8754276234"</f>
        <v>8754276234</v>
      </c>
      <c r="C14054" s="1">
        <v>45088</v>
      </c>
      <c r="D14054" s="1">
        <v>45091</v>
      </c>
      <c r="E14054">
        <v>1</v>
      </c>
      <c r="F14054" t="str">
        <f>"10-I13-02"</f>
        <v>10-I13-02</v>
      </c>
      <c r="G14054">
        <v>1.1124000000000001</v>
      </c>
      <c r="H14054" t="s">
        <v>9</v>
      </c>
      <c r="I14054" t="s">
        <v>10</v>
      </c>
    </row>
    <row r="14055" spans="1:9" x14ac:dyDescent="0.25">
      <c r="A14055" t="str">
        <f t="shared" si="328"/>
        <v>89301000</v>
      </c>
      <c r="B14055" t="str">
        <f>"8754284957"</f>
        <v>8754284957</v>
      </c>
      <c r="C14055" s="1">
        <v>45100</v>
      </c>
      <c r="D14055" s="1">
        <v>45103</v>
      </c>
      <c r="E14055">
        <v>1</v>
      </c>
      <c r="F14055" t="str">
        <f>"14-M01-05"</f>
        <v>14-M01-05</v>
      </c>
      <c r="G14055">
        <v>0.56289999999999996</v>
      </c>
      <c r="H14055" t="s">
        <v>13</v>
      </c>
      <c r="I14055" t="s">
        <v>10</v>
      </c>
    </row>
    <row r="14056" spans="1:9" x14ac:dyDescent="0.25">
      <c r="A14056" t="str">
        <f t="shared" si="328"/>
        <v>89301000</v>
      </c>
      <c r="B14056" t="str">
        <f>"8754295792"</f>
        <v>8754295792</v>
      </c>
      <c r="C14056" s="1">
        <v>45075</v>
      </c>
      <c r="D14056" s="1">
        <v>45078</v>
      </c>
      <c r="E14056">
        <v>1</v>
      </c>
      <c r="F14056" t="str">
        <f>"14-I04-00"</f>
        <v>14-I04-00</v>
      </c>
      <c r="G14056">
        <v>0.79159999999999997</v>
      </c>
      <c r="H14056" t="s">
        <v>9</v>
      </c>
      <c r="I14056" t="s">
        <v>10</v>
      </c>
    </row>
    <row r="14057" spans="1:9" x14ac:dyDescent="0.25">
      <c r="A14057" t="str">
        <f t="shared" si="328"/>
        <v>89301000</v>
      </c>
      <c r="B14057" t="str">
        <f>"8755014917"</f>
        <v>8755014917</v>
      </c>
      <c r="C14057" s="1">
        <v>45166</v>
      </c>
      <c r="D14057" s="1">
        <v>45176</v>
      </c>
      <c r="E14057">
        <v>1</v>
      </c>
      <c r="F14057" t="str">
        <f>"19-K03-03"</f>
        <v>19-K03-03</v>
      </c>
      <c r="G14057">
        <v>0.90410000000000001</v>
      </c>
      <c r="H14057" t="s">
        <v>15</v>
      </c>
      <c r="I14057" t="s">
        <v>10</v>
      </c>
    </row>
    <row r="14058" spans="1:9" x14ac:dyDescent="0.25">
      <c r="A14058" t="str">
        <f t="shared" si="328"/>
        <v>89301000</v>
      </c>
      <c r="B14058" t="str">
        <f>"8755015819"</f>
        <v>8755015819</v>
      </c>
      <c r="C14058" s="1">
        <v>45097</v>
      </c>
      <c r="D14058" s="1">
        <v>45100</v>
      </c>
      <c r="E14058">
        <v>1</v>
      </c>
      <c r="F14058" t="str">
        <f>"07-M02-04"</f>
        <v>07-M02-04</v>
      </c>
      <c r="G14058">
        <v>0.83140000000000003</v>
      </c>
      <c r="H14058" t="s">
        <v>12</v>
      </c>
      <c r="I14058" t="s">
        <v>10</v>
      </c>
    </row>
    <row r="14059" spans="1:9" x14ac:dyDescent="0.25">
      <c r="A14059" t="str">
        <f t="shared" si="328"/>
        <v>89301000</v>
      </c>
      <c r="B14059" t="str">
        <f>"8755085790"</f>
        <v>8755085790</v>
      </c>
      <c r="C14059" s="1">
        <v>45168</v>
      </c>
      <c r="D14059" s="1">
        <v>45170</v>
      </c>
      <c r="E14059">
        <v>1</v>
      </c>
      <c r="F14059" t="str">
        <f>"13-I18-03"</f>
        <v>13-I18-03</v>
      </c>
      <c r="G14059">
        <v>0.57909999999999995</v>
      </c>
      <c r="H14059" t="s">
        <v>11</v>
      </c>
      <c r="I14059" t="s">
        <v>10</v>
      </c>
    </row>
    <row r="14060" spans="1:9" x14ac:dyDescent="0.25">
      <c r="A14060" t="str">
        <f t="shared" si="328"/>
        <v>89301000</v>
      </c>
      <c r="B14060" t="str">
        <f>"8755126314"</f>
        <v>8755126314</v>
      </c>
      <c r="C14060" s="1">
        <v>45058</v>
      </c>
      <c r="D14060" s="1">
        <v>45065</v>
      </c>
      <c r="E14060">
        <v>3</v>
      </c>
      <c r="F14060" t="str">
        <f>"01-K11-03"</f>
        <v>01-K11-03</v>
      </c>
      <c r="G14060">
        <v>1.6458999999999999</v>
      </c>
      <c r="H14060" t="s">
        <v>11</v>
      </c>
      <c r="I14060" t="s">
        <v>10</v>
      </c>
    </row>
    <row r="14061" spans="1:9" x14ac:dyDescent="0.25">
      <c r="A14061" t="str">
        <f t="shared" si="328"/>
        <v>89301000</v>
      </c>
      <c r="B14061" t="str">
        <f>"8755126314"</f>
        <v>8755126314</v>
      </c>
      <c r="C14061" s="1">
        <v>45065</v>
      </c>
      <c r="D14061" s="1">
        <v>45086</v>
      </c>
      <c r="E14061">
        <v>1</v>
      </c>
      <c r="F14061" t="str">
        <f>"24-M08-01"</f>
        <v>24-M08-01</v>
      </c>
      <c r="G14061">
        <v>2.0236999999999998</v>
      </c>
      <c r="H14061" t="s">
        <v>11</v>
      </c>
      <c r="I14061" t="s">
        <v>10</v>
      </c>
    </row>
    <row r="14062" spans="1:9" x14ac:dyDescent="0.25">
      <c r="A14062" t="str">
        <f t="shared" si="328"/>
        <v>89301000</v>
      </c>
      <c r="B14062" t="str">
        <f>"8755214941"</f>
        <v>8755214941</v>
      </c>
      <c r="C14062" s="1">
        <v>45259</v>
      </c>
      <c r="D14062" s="1">
        <v>45263</v>
      </c>
      <c r="E14062">
        <v>1</v>
      </c>
      <c r="F14062" t="str">
        <f>"07-I10-06"</f>
        <v>07-I10-06</v>
      </c>
      <c r="G14062">
        <v>0.98419999999999996</v>
      </c>
      <c r="H14062" t="s">
        <v>12</v>
      </c>
      <c r="I14062" t="s">
        <v>10</v>
      </c>
    </row>
    <row r="14063" spans="1:9" x14ac:dyDescent="0.25">
      <c r="A14063" t="str">
        <f t="shared" si="328"/>
        <v>89301000</v>
      </c>
      <c r="B14063" t="str">
        <f>"8755235786"</f>
        <v>8755235786</v>
      </c>
      <c r="C14063" s="1">
        <v>45035</v>
      </c>
      <c r="D14063" s="1">
        <v>45038</v>
      </c>
      <c r="E14063">
        <v>1</v>
      </c>
      <c r="F14063" t="str">
        <f>"08-I23-02"</f>
        <v>08-I23-02</v>
      </c>
      <c r="G14063">
        <v>0.91059999999999997</v>
      </c>
      <c r="H14063" t="s">
        <v>12</v>
      </c>
      <c r="I14063" t="s">
        <v>10</v>
      </c>
    </row>
    <row r="14064" spans="1:9" x14ac:dyDescent="0.25">
      <c r="A14064" t="str">
        <f t="shared" si="328"/>
        <v>89301000</v>
      </c>
      <c r="B14064" t="str">
        <f>"8755255795"</f>
        <v>8755255795</v>
      </c>
      <c r="C14064" s="1">
        <v>45189</v>
      </c>
      <c r="D14064" s="1">
        <v>45193</v>
      </c>
      <c r="E14064">
        <v>1</v>
      </c>
      <c r="F14064" t="str">
        <f>"06-I22-02"</f>
        <v>06-I22-02</v>
      </c>
      <c r="G14064">
        <v>0.41810000000000003</v>
      </c>
      <c r="H14064" t="s">
        <v>12</v>
      </c>
      <c r="I14064" t="s">
        <v>10</v>
      </c>
    </row>
    <row r="14065" spans="1:9" x14ac:dyDescent="0.25">
      <c r="A14065" t="str">
        <f t="shared" si="328"/>
        <v>89301000</v>
      </c>
      <c r="B14065" t="str">
        <f>"8755315767"</f>
        <v>8755315767</v>
      </c>
      <c r="C14065" s="1">
        <v>45122</v>
      </c>
      <c r="D14065" s="1">
        <v>45127</v>
      </c>
      <c r="E14065">
        <v>1</v>
      </c>
      <c r="F14065" t="str">
        <f>"03-I16-02"</f>
        <v>03-I16-02</v>
      </c>
      <c r="G14065">
        <v>0.92979999999999996</v>
      </c>
      <c r="H14065" t="s">
        <v>9</v>
      </c>
      <c r="I14065" t="s">
        <v>10</v>
      </c>
    </row>
    <row r="14066" spans="1:9" x14ac:dyDescent="0.25">
      <c r="A14066" t="str">
        <f t="shared" si="328"/>
        <v>89301000</v>
      </c>
      <c r="B14066" t="str">
        <f>"8756015774"</f>
        <v>8756015774</v>
      </c>
      <c r="C14066" s="1">
        <v>45160</v>
      </c>
      <c r="D14066" s="1">
        <v>45167</v>
      </c>
      <c r="E14066">
        <v>1</v>
      </c>
      <c r="F14066" t="str">
        <f>"06-I07-05"</f>
        <v>06-I07-05</v>
      </c>
      <c r="G14066">
        <v>2.7919999999999998</v>
      </c>
      <c r="H14066" t="s">
        <v>12</v>
      </c>
      <c r="I14066" t="s">
        <v>10</v>
      </c>
    </row>
    <row r="14067" spans="1:9" x14ac:dyDescent="0.25">
      <c r="A14067" t="str">
        <f t="shared" si="328"/>
        <v>89301000</v>
      </c>
      <c r="B14067" t="str">
        <f>"8756036036"</f>
        <v>8756036036</v>
      </c>
      <c r="C14067" s="1">
        <v>45181</v>
      </c>
      <c r="D14067" s="1">
        <v>45182</v>
      </c>
      <c r="E14067">
        <v>1</v>
      </c>
      <c r="F14067" t="str">
        <f>"01-D01-03"</f>
        <v>01-D01-03</v>
      </c>
      <c r="G14067">
        <v>0.16200000000000001</v>
      </c>
      <c r="H14067" t="s">
        <v>11</v>
      </c>
      <c r="I14067" t="s">
        <v>10</v>
      </c>
    </row>
    <row r="14068" spans="1:9" x14ac:dyDescent="0.25">
      <c r="A14068" t="str">
        <f t="shared" si="328"/>
        <v>89301000</v>
      </c>
      <c r="B14068" t="str">
        <f>"8756063492"</f>
        <v>8756063492</v>
      </c>
      <c r="C14068" s="1">
        <v>45178</v>
      </c>
      <c r="D14068" s="1">
        <v>45189</v>
      </c>
      <c r="E14068">
        <v>1</v>
      </c>
      <c r="F14068" t="str">
        <f>"07-K10-00"</f>
        <v>07-K10-00</v>
      </c>
      <c r="G14068">
        <v>1.2539</v>
      </c>
      <c r="H14068" t="s">
        <v>11</v>
      </c>
      <c r="I14068" t="s">
        <v>10</v>
      </c>
    </row>
    <row r="14069" spans="1:9" x14ac:dyDescent="0.25">
      <c r="A14069" t="str">
        <f t="shared" si="328"/>
        <v>89301000</v>
      </c>
      <c r="B14069" t="str">
        <f>"8756105765"</f>
        <v>8756105765</v>
      </c>
      <c r="C14069" s="1">
        <v>45272</v>
      </c>
      <c r="D14069" s="1">
        <v>45273</v>
      </c>
      <c r="E14069">
        <v>1</v>
      </c>
      <c r="F14069" t="str">
        <f>"04-K13-01"</f>
        <v>04-K13-01</v>
      </c>
      <c r="G14069">
        <v>0.68720000000000003</v>
      </c>
      <c r="H14069" t="s">
        <v>11</v>
      </c>
      <c r="I14069" t="s">
        <v>10</v>
      </c>
    </row>
    <row r="14070" spans="1:9" x14ac:dyDescent="0.25">
      <c r="A14070" t="str">
        <f t="shared" si="328"/>
        <v>89301000</v>
      </c>
      <c r="B14070" t="str">
        <f>"8756166221"</f>
        <v>8756166221</v>
      </c>
      <c r="C14070" s="1">
        <v>45103</v>
      </c>
      <c r="D14070" s="1">
        <v>45107</v>
      </c>
      <c r="E14070">
        <v>1</v>
      </c>
      <c r="F14070" t="str">
        <f>"10-K15-02"</f>
        <v>10-K15-02</v>
      </c>
      <c r="G14070">
        <v>0.66379999999999995</v>
      </c>
      <c r="H14070" t="s">
        <v>11</v>
      </c>
      <c r="I14070" t="s">
        <v>10</v>
      </c>
    </row>
    <row r="14071" spans="1:9" x14ac:dyDescent="0.25">
      <c r="A14071" t="str">
        <f t="shared" si="328"/>
        <v>89301000</v>
      </c>
      <c r="B14071" t="str">
        <f>"8756244915"</f>
        <v>8756244915</v>
      </c>
      <c r="C14071" s="1">
        <v>45146</v>
      </c>
      <c r="D14071" s="1">
        <v>45149</v>
      </c>
      <c r="E14071">
        <v>1</v>
      </c>
      <c r="F14071" t="str">
        <f>"14-M01-05"</f>
        <v>14-M01-05</v>
      </c>
      <c r="G14071">
        <v>0.56589999999999996</v>
      </c>
      <c r="H14071" t="s">
        <v>13</v>
      </c>
      <c r="I14071" t="s">
        <v>10</v>
      </c>
    </row>
    <row r="14072" spans="1:9" x14ac:dyDescent="0.25">
      <c r="A14072" t="str">
        <f t="shared" si="328"/>
        <v>89301000</v>
      </c>
      <c r="B14072" t="str">
        <f>"8756255805"</f>
        <v>8756255805</v>
      </c>
      <c r="C14072" s="1">
        <v>45027</v>
      </c>
      <c r="D14072" s="1">
        <v>45031</v>
      </c>
      <c r="E14072">
        <v>1</v>
      </c>
      <c r="F14072" t="str">
        <f>"13-I11-03"</f>
        <v>13-I11-03</v>
      </c>
      <c r="G14072">
        <v>1.4332</v>
      </c>
      <c r="H14072" t="s">
        <v>9</v>
      </c>
      <c r="I14072" t="s">
        <v>10</v>
      </c>
    </row>
    <row r="14073" spans="1:9" x14ac:dyDescent="0.25">
      <c r="A14073" t="str">
        <f t="shared" si="328"/>
        <v>89301000</v>
      </c>
      <c r="B14073" t="str">
        <f>"8757075811"</f>
        <v>8757075811</v>
      </c>
      <c r="C14073" s="1">
        <v>44929</v>
      </c>
      <c r="D14073" s="1">
        <v>44932</v>
      </c>
      <c r="E14073">
        <v>1</v>
      </c>
      <c r="F14073" t="str">
        <f>"14-M01-05"</f>
        <v>14-M01-05</v>
      </c>
      <c r="G14073">
        <v>0.56289999999999996</v>
      </c>
      <c r="H14073" t="s">
        <v>13</v>
      </c>
      <c r="I14073" t="s">
        <v>10</v>
      </c>
    </row>
    <row r="14074" spans="1:9" x14ac:dyDescent="0.25">
      <c r="A14074" t="str">
        <f t="shared" si="328"/>
        <v>89301000</v>
      </c>
      <c r="B14074" t="str">
        <f>"8757095600"</f>
        <v>8757095600</v>
      </c>
      <c r="C14074" s="1">
        <v>45041</v>
      </c>
      <c r="D14074" s="1">
        <v>45055</v>
      </c>
      <c r="E14074">
        <v>1</v>
      </c>
      <c r="F14074" t="str">
        <f>"14-I01-01"</f>
        <v>14-I01-01</v>
      </c>
      <c r="G14074">
        <v>1.6020000000000001</v>
      </c>
      <c r="H14074" t="s">
        <v>13</v>
      </c>
      <c r="I14074" t="s">
        <v>10</v>
      </c>
    </row>
    <row r="14075" spans="1:9" x14ac:dyDescent="0.25">
      <c r="A14075" t="str">
        <f t="shared" si="328"/>
        <v>89301000</v>
      </c>
      <c r="B14075" t="str">
        <f>"8757224190"</f>
        <v>8757224190</v>
      </c>
      <c r="C14075" s="1">
        <v>45007</v>
      </c>
      <c r="D14075" s="1">
        <v>45008</v>
      </c>
      <c r="E14075">
        <v>1</v>
      </c>
      <c r="F14075" t="str">
        <f>"14-K05-03"</f>
        <v>14-K05-03</v>
      </c>
      <c r="G14075">
        <v>0.36509999999999998</v>
      </c>
      <c r="H14075" t="s">
        <v>11</v>
      </c>
      <c r="I14075" t="s">
        <v>10</v>
      </c>
    </row>
    <row r="14076" spans="1:9" x14ac:dyDescent="0.25">
      <c r="A14076" t="str">
        <f t="shared" si="328"/>
        <v>89301000</v>
      </c>
      <c r="B14076" t="str">
        <f>"8757224927"</f>
        <v>8757224927</v>
      </c>
      <c r="C14076" s="1">
        <v>45278</v>
      </c>
      <c r="D14076" s="1">
        <v>45281</v>
      </c>
      <c r="E14076">
        <v>1</v>
      </c>
      <c r="F14076" t="str">
        <f>"14-M01-05"</f>
        <v>14-M01-05</v>
      </c>
      <c r="G14076">
        <v>0.56289999999999996</v>
      </c>
      <c r="H14076" t="s">
        <v>13</v>
      </c>
      <c r="I14076" t="s">
        <v>10</v>
      </c>
    </row>
    <row r="14077" spans="1:9" x14ac:dyDescent="0.25">
      <c r="A14077" t="str">
        <f t="shared" si="328"/>
        <v>89301000</v>
      </c>
      <c r="B14077" t="str">
        <f>"8757224938"</f>
        <v>8757224938</v>
      </c>
      <c r="C14077" s="1">
        <v>45009</v>
      </c>
      <c r="D14077" s="1">
        <v>45015</v>
      </c>
      <c r="E14077">
        <v>1</v>
      </c>
      <c r="F14077" t="str">
        <f>"10-I13-02"</f>
        <v>10-I13-02</v>
      </c>
      <c r="G14077">
        <v>1.1124000000000001</v>
      </c>
      <c r="H14077" t="s">
        <v>9</v>
      </c>
      <c r="I14077" t="s">
        <v>10</v>
      </c>
    </row>
    <row r="14078" spans="1:9" x14ac:dyDescent="0.25">
      <c r="A14078" t="str">
        <f t="shared" si="328"/>
        <v>89301000</v>
      </c>
      <c r="B14078" t="str">
        <f>"8757315820"</f>
        <v>8757315820</v>
      </c>
      <c r="C14078" s="1">
        <v>45263</v>
      </c>
      <c r="D14078" s="1">
        <v>45272</v>
      </c>
      <c r="E14078">
        <v>1</v>
      </c>
      <c r="F14078" t="str">
        <f>"03-I16-02"</f>
        <v>03-I16-02</v>
      </c>
      <c r="G14078">
        <v>0.92979999999999996</v>
      </c>
      <c r="H14078" t="s">
        <v>9</v>
      </c>
      <c r="I14078" t="s">
        <v>10</v>
      </c>
    </row>
    <row r="14079" spans="1:9" x14ac:dyDescent="0.25">
      <c r="A14079" t="str">
        <f t="shared" si="328"/>
        <v>89301000</v>
      </c>
      <c r="B14079" t="str">
        <f>"8758016223"</f>
        <v>8758016223</v>
      </c>
      <c r="C14079" s="1">
        <v>45181</v>
      </c>
      <c r="D14079" s="1">
        <v>45184</v>
      </c>
      <c r="E14079">
        <v>1</v>
      </c>
      <c r="F14079" t="str">
        <f>"14-M01-05"</f>
        <v>14-M01-05</v>
      </c>
      <c r="G14079">
        <v>0.56589999999999996</v>
      </c>
      <c r="H14079" t="s">
        <v>13</v>
      </c>
      <c r="I14079" t="s">
        <v>10</v>
      </c>
    </row>
    <row r="14080" spans="1:9" x14ac:dyDescent="0.25">
      <c r="A14080" t="str">
        <f t="shared" si="328"/>
        <v>89301000</v>
      </c>
      <c r="B14080" t="str">
        <f>"8758075777"</f>
        <v>8758075777</v>
      </c>
      <c r="C14080" s="1">
        <v>45194</v>
      </c>
      <c r="D14080" s="1">
        <v>45198</v>
      </c>
      <c r="E14080">
        <v>1</v>
      </c>
      <c r="F14080" t="str">
        <f>"10-I13-02"</f>
        <v>10-I13-02</v>
      </c>
      <c r="G14080">
        <v>1.1227</v>
      </c>
      <c r="H14080" t="s">
        <v>9</v>
      </c>
      <c r="I14080" t="s">
        <v>10</v>
      </c>
    </row>
    <row r="14081" spans="1:9" x14ac:dyDescent="0.25">
      <c r="A14081" t="str">
        <f t="shared" si="328"/>
        <v>89301000</v>
      </c>
      <c r="B14081" t="str">
        <f>"8758113958"</f>
        <v>8758113958</v>
      </c>
      <c r="C14081" s="1">
        <v>45036</v>
      </c>
      <c r="D14081" s="1">
        <v>45038</v>
      </c>
      <c r="E14081">
        <v>1</v>
      </c>
      <c r="F14081" t="str">
        <f>"13-I18-03"</f>
        <v>13-I18-03</v>
      </c>
      <c r="G14081">
        <v>0.62870000000000004</v>
      </c>
      <c r="H14081" t="s">
        <v>11</v>
      </c>
      <c r="I14081" t="s">
        <v>10</v>
      </c>
    </row>
    <row r="14082" spans="1:9" x14ac:dyDescent="0.25">
      <c r="A14082" t="str">
        <f t="shared" si="328"/>
        <v>89301000</v>
      </c>
      <c r="B14082" t="str">
        <f>"8758205500"</f>
        <v>8758205500</v>
      </c>
      <c r="C14082" s="1">
        <v>45124</v>
      </c>
      <c r="D14082" s="1">
        <v>45133</v>
      </c>
      <c r="E14082">
        <v>1</v>
      </c>
      <c r="F14082" t="str">
        <f>"01-K01-02"</f>
        <v>01-K01-02</v>
      </c>
      <c r="G14082">
        <v>0.5746</v>
      </c>
      <c r="H14082" t="s">
        <v>11</v>
      </c>
      <c r="I14082" t="s">
        <v>10</v>
      </c>
    </row>
    <row r="14083" spans="1:9" x14ac:dyDescent="0.25">
      <c r="A14083" t="str">
        <f t="shared" si="328"/>
        <v>89301000</v>
      </c>
      <c r="B14083" t="str">
        <f>"8758245815"</f>
        <v>8758245815</v>
      </c>
      <c r="C14083" s="1">
        <v>45001</v>
      </c>
      <c r="D14083" s="1">
        <v>45002</v>
      </c>
      <c r="E14083">
        <v>1</v>
      </c>
      <c r="F14083" t="str">
        <f>"13-I19-00"</f>
        <v>13-I19-00</v>
      </c>
      <c r="G14083">
        <v>0.28249999999999997</v>
      </c>
      <c r="H14083" t="s">
        <v>11</v>
      </c>
      <c r="I14083" t="s">
        <v>10</v>
      </c>
    </row>
    <row r="14084" spans="1:9" x14ac:dyDescent="0.25">
      <c r="A14084" t="str">
        <f t="shared" si="328"/>
        <v>89301000</v>
      </c>
      <c r="B14084" t="str">
        <f>"8758293632"</f>
        <v>8758293632</v>
      </c>
      <c r="C14084" s="1">
        <v>45189</v>
      </c>
      <c r="D14084" s="1">
        <v>45191</v>
      </c>
      <c r="E14084">
        <v>1</v>
      </c>
      <c r="F14084" t="str">
        <f>"14-K03-02"</f>
        <v>14-K03-02</v>
      </c>
      <c r="G14084">
        <v>0.30149999999999999</v>
      </c>
      <c r="H14084" t="s">
        <v>11</v>
      </c>
      <c r="I14084" t="s">
        <v>10</v>
      </c>
    </row>
    <row r="14085" spans="1:9" x14ac:dyDescent="0.25">
      <c r="A14085" t="str">
        <f t="shared" si="328"/>
        <v>89301000</v>
      </c>
      <c r="B14085" t="str">
        <f>"8758316248"</f>
        <v>8758316248</v>
      </c>
      <c r="C14085" s="1">
        <v>45256</v>
      </c>
      <c r="D14085" s="1">
        <v>45259</v>
      </c>
      <c r="E14085">
        <v>1</v>
      </c>
      <c r="F14085" t="str">
        <f>"14-M01-05"</f>
        <v>14-M01-05</v>
      </c>
      <c r="G14085">
        <v>0.56589999999999996</v>
      </c>
      <c r="H14085" t="s">
        <v>13</v>
      </c>
      <c r="I14085" t="s">
        <v>10</v>
      </c>
    </row>
    <row r="14086" spans="1:9" x14ac:dyDescent="0.25">
      <c r="A14086" t="str">
        <f t="shared" si="328"/>
        <v>89301000</v>
      </c>
      <c r="B14086" t="str">
        <f>"8759016211"</f>
        <v>8759016211</v>
      </c>
      <c r="C14086" s="1">
        <v>45218</v>
      </c>
      <c r="D14086" s="1">
        <v>45222</v>
      </c>
      <c r="E14086">
        <v>1</v>
      </c>
      <c r="F14086" t="str">
        <f>"09-I08-02"</f>
        <v>09-I08-02</v>
      </c>
      <c r="G14086">
        <v>1.0949</v>
      </c>
      <c r="H14086" t="s">
        <v>14</v>
      </c>
      <c r="I14086" t="s">
        <v>10</v>
      </c>
    </row>
    <row r="14087" spans="1:9" x14ac:dyDescent="0.25">
      <c r="A14087" t="str">
        <f t="shared" si="328"/>
        <v>89301000</v>
      </c>
      <c r="B14087" t="str">
        <f>"8759026232"</f>
        <v>8759026232</v>
      </c>
      <c r="C14087" s="1">
        <v>44965</v>
      </c>
      <c r="D14087" s="1">
        <v>44971</v>
      </c>
      <c r="E14087">
        <v>1</v>
      </c>
      <c r="F14087" t="str">
        <f>"14-M01-05"</f>
        <v>14-M01-05</v>
      </c>
      <c r="G14087">
        <v>0.56289999999999996</v>
      </c>
      <c r="H14087" t="s">
        <v>13</v>
      </c>
      <c r="I14087" t="s">
        <v>10</v>
      </c>
    </row>
    <row r="14088" spans="1:9" x14ac:dyDescent="0.25">
      <c r="A14088" t="str">
        <f t="shared" si="328"/>
        <v>89301000</v>
      </c>
      <c r="B14088" t="str">
        <f>"8759054909"</f>
        <v>8759054909</v>
      </c>
      <c r="C14088" s="1">
        <v>45062</v>
      </c>
      <c r="D14088" s="1">
        <v>45065</v>
      </c>
      <c r="E14088">
        <v>1</v>
      </c>
      <c r="F14088" t="str">
        <f>"08-M03-04"</f>
        <v>08-M03-04</v>
      </c>
      <c r="G14088">
        <v>0.87760000000000005</v>
      </c>
      <c r="H14088" t="s">
        <v>11</v>
      </c>
      <c r="I14088" t="s">
        <v>10</v>
      </c>
    </row>
    <row r="14089" spans="1:9" x14ac:dyDescent="0.25">
      <c r="A14089" t="str">
        <f t="shared" si="328"/>
        <v>89301000</v>
      </c>
      <c r="B14089" t="str">
        <f>"8759055591"</f>
        <v>8759055591</v>
      </c>
      <c r="C14089" s="1">
        <v>45195</v>
      </c>
      <c r="D14089" s="1">
        <v>45197</v>
      </c>
      <c r="E14089">
        <v>1</v>
      </c>
      <c r="F14089" t="str">
        <f>"23-I09-02"</f>
        <v>23-I09-02</v>
      </c>
      <c r="G14089">
        <v>0.5877</v>
      </c>
      <c r="H14089" t="s">
        <v>11</v>
      </c>
      <c r="I14089" t="s">
        <v>10</v>
      </c>
    </row>
    <row r="14090" spans="1:9" x14ac:dyDescent="0.25">
      <c r="A14090" t="str">
        <f t="shared" si="328"/>
        <v>89301000</v>
      </c>
      <c r="B14090" t="str">
        <f>"8759055591"</f>
        <v>8759055591</v>
      </c>
      <c r="C14090" s="1">
        <v>45071</v>
      </c>
      <c r="D14090" s="1">
        <v>45079</v>
      </c>
      <c r="E14090">
        <v>1</v>
      </c>
      <c r="F14090" t="str">
        <f>"14-I01-01"</f>
        <v>14-I01-01</v>
      </c>
      <c r="G14090">
        <v>1.6020000000000001</v>
      </c>
      <c r="H14090" t="s">
        <v>13</v>
      </c>
      <c r="I14090" t="s">
        <v>10</v>
      </c>
    </row>
    <row r="14091" spans="1:9" x14ac:dyDescent="0.25">
      <c r="A14091" t="str">
        <f t="shared" si="328"/>
        <v>89301000</v>
      </c>
      <c r="B14091" t="str">
        <f>"8759134450"</f>
        <v>8759134450</v>
      </c>
      <c r="C14091" s="1">
        <v>45082</v>
      </c>
      <c r="D14091" s="1">
        <v>45084</v>
      </c>
      <c r="E14091">
        <v>1</v>
      </c>
      <c r="F14091" t="str">
        <f>"09-I13-05"</f>
        <v>09-I13-05</v>
      </c>
      <c r="G14091">
        <v>0.42570000000000002</v>
      </c>
      <c r="H14091" t="s">
        <v>11</v>
      </c>
      <c r="I14091" t="s">
        <v>10</v>
      </c>
    </row>
    <row r="14092" spans="1:9" x14ac:dyDescent="0.25">
      <c r="A14092" t="str">
        <f t="shared" si="328"/>
        <v>89301000</v>
      </c>
      <c r="B14092" t="str">
        <f>"8759146231"</f>
        <v>8759146231</v>
      </c>
      <c r="C14092" s="1">
        <v>45019</v>
      </c>
      <c r="D14092" s="1">
        <v>45023</v>
      </c>
      <c r="E14092">
        <v>1</v>
      </c>
      <c r="F14092" t="str">
        <f>"10-I13-02"</f>
        <v>10-I13-02</v>
      </c>
      <c r="G14092">
        <v>1.1124000000000001</v>
      </c>
      <c r="H14092" t="s">
        <v>9</v>
      </c>
      <c r="I14092" t="s">
        <v>10</v>
      </c>
    </row>
    <row r="14093" spans="1:9" x14ac:dyDescent="0.25">
      <c r="A14093" t="str">
        <f t="shared" si="328"/>
        <v>89301000</v>
      </c>
      <c r="B14093" t="str">
        <f>"8759245792"</f>
        <v>8759245792</v>
      </c>
      <c r="C14093" s="1">
        <v>45158</v>
      </c>
      <c r="D14093" s="1">
        <v>45161</v>
      </c>
      <c r="E14093">
        <v>1</v>
      </c>
      <c r="F14093" t="str">
        <f>"14-M01-05"</f>
        <v>14-M01-05</v>
      </c>
      <c r="G14093">
        <v>0.56289999999999996</v>
      </c>
      <c r="H14093" t="s">
        <v>13</v>
      </c>
      <c r="I14093" t="s">
        <v>10</v>
      </c>
    </row>
    <row r="14094" spans="1:9" x14ac:dyDescent="0.25">
      <c r="A14094" t="str">
        <f t="shared" si="328"/>
        <v>89301000</v>
      </c>
      <c r="B14094" t="str">
        <f>"8759246210"</f>
        <v>8759246210</v>
      </c>
      <c r="C14094" s="1">
        <v>44935</v>
      </c>
      <c r="D14094" s="1">
        <v>44937</v>
      </c>
      <c r="E14094">
        <v>1</v>
      </c>
      <c r="F14094" t="str">
        <f>"16-K01-02"</f>
        <v>16-K01-02</v>
      </c>
      <c r="G14094">
        <v>0.47449999999999998</v>
      </c>
      <c r="H14094" t="s">
        <v>11</v>
      </c>
      <c r="I14094" t="s">
        <v>10</v>
      </c>
    </row>
    <row r="14095" spans="1:9" x14ac:dyDescent="0.25">
      <c r="A14095" t="str">
        <f t="shared" si="328"/>
        <v>89301000</v>
      </c>
      <c r="B14095" t="str">
        <f>"8759254911"</f>
        <v>8759254911</v>
      </c>
      <c r="C14095" s="1">
        <v>45245</v>
      </c>
      <c r="D14095" s="1">
        <v>45247</v>
      </c>
      <c r="E14095">
        <v>1</v>
      </c>
      <c r="F14095" t="str">
        <f>"09-I04-02"</f>
        <v>09-I04-02</v>
      </c>
      <c r="G14095">
        <v>1.0899000000000001</v>
      </c>
      <c r="H14095" t="s">
        <v>12</v>
      </c>
      <c r="I14095" t="s">
        <v>10</v>
      </c>
    </row>
    <row r="14096" spans="1:9" x14ac:dyDescent="0.25">
      <c r="A14096" t="str">
        <f t="shared" si="328"/>
        <v>89301000</v>
      </c>
      <c r="B14096" t="str">
        <f>"8759254911"</f>
        <v>8759254911</v>
      </c>
      <c r="C14096" s="1">
        <v>45091</v>
      </c>
      <c r="D14096" s="1">
        <v>45093</v>
      </c>
      <c r="E14096">
        <v>1</v>
      </c>
      <c r="F14096" t="str">
        <f>"09-I04-02"</f>
        <v>09-I04-02</v>
      </c>
      <c r="G14096">
        <v>1.0899000000000001</v>
      </c>
      <c r="H14096" t="s">
        <v>12</v>
      </c>
      <c r="I14096" t="s">
        <v>10</v>
      </c>
    </row>
    <row r="14097" spans="1:9" x14ac:dyDescent="0.25">
      <c r="A14097" t="str">
        <f t="shared" ref="A14097:A14159" si="329">"89301000"</f>
        <v>89301000</v>
      </c>
      <c r="B14097" t="str">
        <f>"8759254911"</f>
        <v>8759254911</v>
      </c>
      <c r="C14097" s="1">
        <v>45072</v>
      </c>
      <c r="D14097" s="1">
        <v>45074</v>
      </c>
      <c r="E14097">
        <v>1</v>
      </c>
      <c r="F14097" t="str">
        <f>"18-K02-03"</f>
        <v>18-K02-03</v>
      </c>
      <c r="G14097">
        <v>0.9234</v>
      </c>
      <c r="H14097" t="s">
        <v>11</v>
      </c>
      <c r="I14097" t="s">
        <v>10</v>
      </c>
    </row>
    <row r="14098" spans="1:9" x14ac:dyDescent="0.25">
      <c r="A14098" t="str">
        <f t="shared" si="329"/>
        <v>89301000</v>
      </c>
      <c r="B14098" t="str">
        <f>"8759255780"</f>
        <v>8759255780</v>
      </c>
      <c r="C14098" s="1">
        <v>45013</v>
      </c>
      <c r="D14098" s="1">
        <v>45016</v>
      </c>
      <c r="E14098">
        <v>1</v>
      </c>
      <c r="F14098" t="str">
        <f>"14-M01-05"</f>
        <v>14-M01-05</v>
      </c>
      <c r="G14098">
        <v>0.56289999999999996</v>
      </c>
      <c r="H14098" t="s">
        <v>13</v>
      </c>
      <c r="I14098" t="s">
        <v>10</v>
      </c>
    </row>
    <row r="14099" spans="1:9" x14ac:dyDescent="0.25">
      <c r="A14099" t="str">
        <f t="shared" si="329"/>
        <v>89301000</v>
      </c>
      <c r="B14099" t="str">
        <f>"8759710520"</f>
        <v>8759710520</v>
      </c>
      <c r="C14099" s="1">
        <v>45232</v>
      </c>
      <c r="D14099" s="1">
        <v>45234</v>
      </c>
      <c r="E14099">
        <v>1</v>
      </c>
      <c r="F14099" t="str">
        <f>"09-I09-02"</f>
        <v>09-I09-02</v>
      </c>
      <c r="G14099">
        <v>0.76900000000000002</v>
      </c>
      <c r="H14099" t="s">
        <v>12</v>
      </c>
      <c r="I14099" t="s">
        <v>10</v>
      </c>
    </row>
    <row r="14100" spans="1:9" x14ac:dyDescent="0.25">
      <c r="A14100" t="str">
        <f t="shared" si="329"/>
        <v>89301000</v>
      </c>
      <c r="B14100" t="str">
        <f>"8760054908"</f>
        <v>8760054908</v>
      </c>
      <c r="C14100" s="1">
        <v>44991</v>
      </c>
      <c r="D14100" s="1">
        <v>44993</v>
      </c>
      <c r="E14100">
        <v>1</v>
      </c>
      <c r="F14100" t="str">
        <f>"08-M03-04"</f>
        <v>08-M03-04</v>
      </c>
      <c r="G14100">
        <v>0.87760000000000005</v>
      </c>
      <c r="H14100" t="s">
        <v>11</v>
      </c>
      <c r="I14100" t="s">
        <v>10</v>
      </c>
    </row>
    <row r="14101" spans="1:9" x14ac:dyDescent="0.25">
      <c r="A14101" t="str">
        <f t="shared" si="329"/>
        <v>89301000</v>
      </c>
      <c r="B14101" t="str">
        <f>"8760075797"</f>
        <v>8760075797</v>
      </c>
      <c r="C14101" s="1">
        <v>45277</v>
      </c>
      <c r="D14101" s="1">
        <v>45283</v>
      </c>
      <c r="E14101">
        <v>1</v>
      </c>
      <c r="F14101" t="str">
        <f>"14-M01-05"</f>
        <v>14-M01-05</v>
      </c>
      <c r="G14101">
        <v>0.56289999999999996</v>
      </c>
      <c r="H14101" t="s">
        <v>13</v>
      </c>
      <c r="I14101" t="s">
        <v>10</v>
      </c>
    </row>
    <row r="14102" spans="1:9" x14ac:dyDescent="0.25">
      <c r="A14102" t="str">
        <f t="shared" si="329"/>
        <v>89301000</v>
      </c>
      <c r="B14102" t="str">
        <f>"8760075797"</f>
        <v>8760075797</v>
      </c>
      <c r="C14102" s="1">
        <v>45222</v>
      </c>
      <c r="D14102" s="1">
        <v>45223</v>
      </c>
      <c r="E14102">
        <v>1</v>
      </c>
      <c r="F14102" t="str">
        <f>"14-K03-02"</f>
        <v>14-K03-02</v>
      </c>
      <c r="G14102">
        <v>0.35089999999999999</v>
      </c>
      <c r="H14102" t="s">
        <v>11</v>
      </c>
      <c r="I14102" t="s">
        <v>10</v>
      </c>
    </row>
    <row r="14103" spans="1:9" x14ac:dyDescent="0.25">
      <c r="A14103" t="str">
        <f t="shared" si="329"/>
        <v>89301000</v>
      </c>
      <c r="B14103" t="str">
        <f>"8760136209"</f>
        <v>8760136209</v>
      </c>
      <c r="C14103" s="1">
        <v>45145</v>
      </c>
      <c r="D14103" s="1">
        <v>45148</v>
      </c>
      <c r="E14103">
        <v>1</v>
      </c>
      <c r="F14103" t="str">
        <f>"14-I01-05"</f>
        <v>14-I01-05</v>
      </c>
      <c r="G14103">
        <v>0.83340000000000003</v>
      </c>
      <c r="H14103" t="s">
        <v>13</v>
      </c>
      <c r="I14103" t="s">
        <v>10</v>
      </c>
    </row>
    <row r="14104" spans="1:9" x14ac:dyDescent="0.25">
      <c r="A14104" t="str">
        <f t="shared" si="329"/>
        <v>89301000</v>
      </c>
      <c r="B14104" t="str">
        <f>"8760155789"</f>
        <v>8760155789</v>
      </c>
      <c r="C14104" s="1">
        <v>44930</v>
      </c>
      <c r="D14104" s="1">
        <v>44932</v>
      </c>
      <c r="E14104">
        <v>1</v>
      </c>
      <c r="F14104" t="str">
        <f>"02-I06-04"</f>
        <v>02-I06-04</v>
      </c>
      <c r="G14104">
        <v>0.76139999999999997</v>
      </c>
      <c r="H14104" t="s">
        <v>12</v>
      </c>
      <c r="I14104" t="s">
        <v>10</v>
      </c>
    </row>
    <row r="14105" spans="1:9" x14ac:dyDescent="0.25">
      <c r="A14105" t="str">
        <f t="shared" si="329"/>
        <v>89301000</v>
      </c>
      <c r="B14105" t="str">
        <f>"8760235781"</f>
        <v>8760235781</v>
      </c>
      <c r="C14105" s="1">
        <v>44971</v>
      </c>
      <c r="D14105" s="1">
        <v>44985</v>
      </c>
      <c r="E14105">
        <v>1</v>
      </c>
      <c r="F14105" t="str">
        <f>"06-I04-02"</f>
        <v>06-I04-02</v>
      </c>
      <c r="G14105">
        <v>6.0704000000000002</v>
      </c>
      <c r="H14105" t="s">
        <v>12</v>
      </c>
      <c r="I14105" t="s">
        <v>10</v>
      </c>
    </row>
    <row r="14106" spans="1:9" x14ac:dyDescent="0.25">
      <c r="A14106" t="str">
        <f t="shared" si="329"/>
        <v>89301000</v>
      </c>
      <c r="B14106" t="str">
        <f>"8760256296"</f>
        <v>8760256296</v>
      </c>
      <c r="C14106" s="1">
        <v>45099</v>
      </c>
      <c r="D14106" s="1">
        <v>45101</v>
      </c>
      <c r="E14106">
        <v>1</v>
      </c>
      <c r="F14106" t="str">
        <f>"13-I19-00"</f>
        <v>13-I19-00</v>
      </c>
      <c r="G14106">
        <v>0.28249999999999997</v>
      </c>
      <c r="H14106" t="s">
        <v>11</v>
      </c>
      <c r="I14106" t="s">
        <v>10</v>
      </c>
    </row>
    <row r="14107" spans="1:9" x14ac:dyDescent="0.25">
      <c r="A14107" t="str">
        <f t="shared" si="329"/>
        <v>89301000</v>
      </c>
      <c r="B14107" t="str">
        <f>"8761015780"</f>
        <v>8761015780</v>
      </c>
      <c r="C14107" s="1">
        <v>45225</v>
      </c>
      <c r="D14107" s="1">
        <v>45229</v>
      </c>
      <c r="E14107">
        <v>1</v>
      </c>
      <c r="F14107" t="str">
        <f>"14-M01-05"</f>
        <v>14-M01-05</v>
      </c>
      <c r="G14107">
        <v>0.56589999999999996</v>
      </c>
      <c r="H14107" t="s">
        <v>13</v>
      </c>
      <c r="I14107" t="s">
        <v>10</v>
      </c>
    </row>
    <row r="14108" spans="1:9" x14ac:dyDescent="0.25">
      <c r="A14108" t="str">
        <f t="shared" si="329"/>
        <v>89301000</v>
      </c>
      <c r="B14108" t="str">
        <f>"8761084926"</f>
        <v>8761084926</v>
      </c>
      <c r="C14108" s="1">
        <v>45210</v>
      </c>
      <c r="D14108" s="1">
        <v>45212</v>
      </c>
      <c r="E14108">
        <v>1</v>
      </c>
      <c r="F14108" t="str">
        <f>"08-I19-03"</f>
        <v>08-I19-03</v>
      </c>
      <c r="G14108">
        <v>0.59130000000000005</v>
      </c>
      <c r="H14108" t="s">
        <v>12</v>
      </c>
      <c r="I14108" t="s">
        <v>10</v>
      </c>
    </row>
    <row r="14109" spans="1:9" x14ac:dyDescent="0.25">
      <c r="A14109" t="str">
        <f t="shared" si="329"/>
        <v>89301000</v>
      </c>
      <c r="B14109" t="str">
        <f>"8761186236"</f>
        <v>8761186236</v>
      </c>
      <c r="C14109" s="1">
        <v>44980</v>
      </c>
      <c r="D14109" s="1">
        <v>44984</v>
      </c>
      <c r="E14109">
        <v>1</v>
      </c>
      <c r="F14109" t="str">
        <f>"14-M01-05"</f>
        <v>14-M01-05</v>
      </c>
      <c r="G14109">
        <v>0.56289999999999996</v>
      </c>
      <c r="H14109" t="s">
        <v>13</v>
      </c>
      <c r="I14109" t="s">
        <v>10</v>
      </c>
    </row>
    <row r="14110" spans="1:9" x14ac:dyDescent="0.25">
      <c r="A14110" t="str">
        <f t="shared" si="329"/>
        <v>89301000</v>
      </c>
      <c r="B14110" t="str">
        <f>"8761195795"</f>
        <v>8761195795</v>
      </c>
      <c r="C14110" s="1">
        <v>45109</v>
      </c>
      <c r="D14110" s="1">
        <v>45111</v>
      </c>
      <c r="E14110">
        <v>1</v>
      </c>
      <c r="F14110" t="str">
        <f>"14-M01-05"</f>
        <v>14-M01-05</v>
      </c>
      <c r="G14110">
        <v>0.56589999999999996</v>
      </c>
      <c r="H14110" t="s">
        <v>13</v>
      </c>
      <c r="I14110" t="s">
        <v>10</v>
      </c>
    </row>
    <row r="14111" spans="1:9" x14ac:dyDescent="0.25">
      <c r="A14111" t="str">
        <f t="shared" si="329"/>
        <v>89301000</v>
      </c>
      <c r="B14111" t="str">
        <f>"8761196037"</f>
        <v>8761196037</v>
      </c>
      <c r="C14111" s="1">
        <v>45273</v>
      </c>
      <c r="D14111" s="1">
        <v>45276</v>
      </c>
      <c r="E14111">
        <v>1</v>
      </c>
      <c r="F14111" t="str">
        <f>"14-I02-02"</f>
        <v>14-I02-02</v>
      </c>
      <c r="G14111">
        <v>1.4721</v>
      </c>
      <c r="H14111" t="s">
        <v>9</v>
      </c>
      <c r="I14111" t="s">
        <v>10</v>
      </c>
    </row>
    <row r="14112" spans="1:9" x14ac:dyDescent="0.25">
      <c r="A14112" t="str">
        <f t="shared" si="329"/>
        <v>89301000</v>
      </c>
      <c r="B14112" t="str">
        <f>"8761246241"</f>
        <v>8761246241</v>
      </c>
      <c r="C14112" s="1">
        <v>45106</v>
      </c>
      <c r="D14112" s="1">
        <v>45110</v>
      </c>
      <c r="E14112">
        <v>1</v>
      </c>
      <c r="F14112" t="str">
        <f>"14-M01-05"</f>
        <v>14-M01-05</v>
      </c>
      <c r="G14112">
        <v>0.56589999999999996</v>
      </c>
      <c r="H14112" t="s">
        <v>13</v>
      </c>
      <c r="I14112" t="s">
        <v>10</v>
      </c>
    </row>
    <row r="14113" spans="1:9" x14ac:dyDescent="0.25">
      <c r="A14113" t="str">
        <f t="shared" si="329"/>
        <v>89301000</v>
      </c>
      <c r="B14113" t="str">
        <f>"8761524123"</f>
        <v>8761524123</v>
      </c>
      <c r="C14113" s="1">
        <v>45161</v>
      </c>
      <c r="D14113" s="1">
        <v>45166</v>
      </c>
      <c r="E14113">
        <v>1</v>
      </c>
      <c r="F14113" t="str">
        <f>"14-I01-02"</f>
        <v>14-I01-02</v>
      </c>
      <c r="G14113">
        <v>1.2988999999999999</v>
      </c>
      <c r="H14113" t="s">
        <v>13</v>
      </c>
      <c r="I14113" t="s">
        <v>10</v>
      </c>
    </row>
    <row r="14114" spans="1:9" x14ac:dyDescent="0.25">
      <c r="A14114" t="str">
        <f t="shared" si="329"/>
        <v>89301000</v>
      </c>
      <c r="B14114" t="str">
        <f>"8762046227"</f>
        <v>8762046227</v>
      </c>
      <c r="C14114" s="1">
        <v>45000</v>
      </c>
      <c r="D14114" s="1">
        <v>45015</v>
      </c>
      <c r="E14114">
        <v>1</v>
      </c>
      <c r="F14114" t="str">
        <f>"14-I01-02"</f>
        <v>14-I01-02</v>
      </c>
      <c r="G14114">
        <v>2.2450000000000001</v>
      </c>
      <c r="H14114" t="s">
        <v>13</v>
      </c>
      <c r="I14114" t="s">
        <v>10</v>
      </c>
    </row>
    <row r="14115" spans="1:9" x14ac:dyDescent="0.25">
      <c r="A14115" t="str">
        <f t="shared" si="329"/>
        <v>89301000</v>
      </c>
      <c r="B14115" t="str">
        <f>"8762066170"</f>
        <v>8762066170</v>
      </c>
      <c r="C14115" s="1">
        <v>45241</v>
      </c>
      <c r="D14115" s="1">
        <v>45249</v>
      </c>
      <c r="E14115">
        <v>1</v>
      </c>
      <c r="F14115" t="str">
        <f>"14-M01-05"</f>
        <v>14-M01-05</v>
      </c>
      <c r="G14115">
        <v>0.69799999999999995</v>
      </c>
      <c r="H14115" t="s">
        <v>13</v>
      </c>
      <c r="I14115" t="s">
        <v>10</v>
      </c>
    </row>
    <row r="14116" spans="1:9" x14ac:dyDescent="0.25">
      <c r="A14116" t="str">
        <f t="shared" si="329"/>
        <v>89301000</v>
      </c>
      <c r="B14116" t="str">
        <f>"8762115384"</f>
        <v>8762115384</v>
      </c>
      <c r="C14116" s="1">
        <v>45037</v>
      </c>
      <c r="D14116" s="1">
        <v>45046</v>
      </c>
      <c r="E14116">
        <v>1</v>
      </c>
      <c r="F14116" t="str">
        <f>"13-I11-02"</f>
        <v>13-I11-02</v>
      </c>
      <c r="G14116">
        <v>1.6514</v>
      </c>
      <c r="H14116" t="s">
        <v>9</v>
      </c>
      <c r="I14116" t="s">
        <v>10</v>
      </c>
    </row>
    <row r="14117" spans="1:9" x14ac:dyDescent="0.25">
      <c r="A14117" t="str">
        <f t="shared" si="329"/>
        <v>89301000</v>
      </c>
      <c r="B14117" t="str">
        <f>"8762115384"</f>
        <v>8762115384</v>
      </c>
      <c r="C14117" s="1">
        <v>44972</v>
      </c>
      <c r="D14117" s="1">
        <v>44978</v>
      </c>
      <c r="E14117">
        <v>1</v>
      </c>
      <c r="F14117" t="str">
        <f>"13-I19-00"</f>
        <v>13-I19-00</v>
      </c>
      <c r="G14117">
        <v>0.45219999999999999</v>
      </c>
      <c r="H14117" t="s">
        <v>11</v>
      </c>
      <c r="I14117" t="s">
        <v>10</v>
      </c>
    </row>
    <row r="14118" spans="1:9" x14ac:dyDescent="0.25">
      <c r="A14118" t="str">
        <f t="shared" si="329"/>
        <v>89301000</v>
      </c>
      <c r="B14118" t="str">
        <f>"8762139331"</f>
        <v>8762139331</v>
      </c>
      <c r="C14118" s="1">
        <v>45090</v>
      </c>
      <c r="D14118" s="1">
        <v>45093</v>
      </c>
      <c r="E14118">
        <v>1</v>
      </c>
      <c r="F14118" t="str">
        <f>"05-I30-01"</f>
        <v>05-I30-01</v>
      </c>
      <c r="G14118">
        <v>0.60309999999999997</v>
      </c>
      <c r="H14118" t="s">
        <v>12</v>
      </c>
      <c r="I14118" t="s">
        <v>10</v>
      </c>
    </row>
    <row r="14119" spans="1:9" x14ac:dyDescent="0.25">
      <c r="A14119" t="str">
        <f t="shared" si="329"/>
        <v>89301000</v>
      </c>
      <c r="B14119" t="str">
        <f>"8762175774"</f>
        <v>8762175774</v>
      </c>
      <c r="C14119" s="1">
        <v>44929</v>
      </c>
      <c r="D14119" s="1">
        <v>44930</v>
      </c>
      <c r="E14119">
        <v>1</v>
      </c>
      <c r="F14119" t="str">
        <f>"16-K02-03"</f>
        <v>16-K02-03</v>
      </c>
      <c r="G14119">
        <v>0.46679999999999999</v>
      </c>
      <c r="H14119" t="s">
        <v>11</v>
      </c>
      <c r="I14119" t="s">
        <v>10</v>
      </c>
    </row>
    <row r="14120" spans="1:9" x14ac:dyDescent="0.25">
      <c r="A14120" t="str">
        <f t="shared" si="329"/>
        <v>89301000</v>
      </c>
      <c r="B14120" t="str">
        <f>"8762178678"</f>
        <v>8762178678</v>
      </c>
      <c r="C14120" s="1">
        <v>44929</v>
      </c>
      <c r="D14120" s="1">
        <v>44936</v>
      </c>
      <c r="E14120">
        <v>1</v>
      </c>
      <c r="F14120" t="str">
        <f>"10-R02-01"</f>
        <v>10-R02-01</v>
      </c>
      <c r="G14120">
        <v>0.92279999999999995</v>
      </c>
      <c r="H14120" t="s">
        <v>9</v>
      </c>
      <c r="I14120" t="s">
        <v>10</v>
      </c>
    </row>
    <row r="14121" spans="1:9" x14ac:dyDescent="0.25">
      <c r="A14121" t="str">
        <f t="shared" si="329"/>
        <v>89301000</v>
      </c>
      <c r="B14121" t="str">
        <f>"8762235779"</f>
        <v>8762235779</v>
      </c>
      <c r="C14121" s="1">
        <v>45160</v>
      </c>
      <c r="D14121" s="1">
        <v>45167</v>
      </c>
      <c r="E14121">
        <v>1</v>
      </c>
      <c r="F14121" t="str">
        <f>"14-M01-02"</f>
        <v>14-M01-02</v>
      </c>
      <c r="G14121">
        <v>0.80049999999999999</v>
      </c>
      <c r="H14121" t="s">
        <v>13</v>
      </c>
      <c r="I14121" t="s">
        <v>10</v>
      </c>
    </row>
    <row r="14122" spans="1:9" x14ac:dyDescent="0.25">
      <c r="A14122" t="str">
        <f t="shared" si="329"/>
        <v>89301000</v>
      </c>
      <c r="B14122" t="str">
        <f>"8762235779"</f>
        <v>8762235779</v>
      </c>
      <c r="C14122" s="1">
        <v>45133</v>
      </c>
      <c r="D14122" s="1">
        <v>45141</v>
      </c>
      <c r="E14122">
        <v>1</v>
      </c>
      <c r="F14122" t="str">
        <f>"14-K03-01"</f>
        <v>14-K03-01</v>
      </c>
      <c r="G14122">
        <v>0.54239999999999999</v>
      </c>
      <c r="H14122" t="s">
        <v>11</v>
      </c>
      <c r="I14122" t="s">
        <v>10</v>
      </c>
    </row>
    <row r="14123" spans="1:9" x14ac:dyDescent="0.25">
      <c r="A14123" t="str">
        <f t="shared" si="329"/>
        <v>89301000</v>
      </c>
      <c r="B14123" t="str">
        <f>"8801131999"</f>
        <v>8801131999</v>
      </c>
      <c r="C14123" s="1">
        <v>45062</v>
      </c>
      <c r="D14123" s="1">
        <v>45065</v>
      </c>
      <c r="E14123">
        <v>1</v>
      </c>
      <c r="F14123" t="str">
        <f>"01-K18-04"</f>
        <v>01-K18-04</v>
      </c>
      <c r="G14123">
        <v>0.54610000000000003</v>
      </c>
      <c r="H14123" t="s">
        <v>11</v>
      </c>
      <c r="I14123" t="s">
        <v>10</v>
      </c>
    </row>
    <row r="14124" spans="1:9" x14ac:dyDescent="0.25">
      <c r="A14124" t="str">
        <f t="shared" si="329"/>
        <v>89301000</v>
      </c>
      <c r="B14124" t="str">
        <f>"8801195799"</f>
        <v>8801195799</v>
      </c>
      <c r="C14124" s="1">
        <v>44926</v>
      </c>
      <c r="D14124" s="1">
        <v>44935</v>
      </c>
      <c r="E14124">
        <v>7</v>
      </c>
      <c r="F14124" t="str">
        <f>"00-M01-04"</f>
        <v>00-M01-04</v>
      </c>
      <c r="G14124">
        <v>8.6076999999999995</v>
      </c>
      <c r="H14124" t="s">
        <v>11</v>
      </c>
      <c r="I14124" t="s">
        <v>10</v>
      </c>
    </row>
    <row r="14125" spans="1:9" x14ac:dyDescent="0.25">
      <c r="A14125" t="str">
        <f t="shared" si="329"/>
        <v>89301000</v>
      </c>
      <c r="B14125" t="str">
        <f>"8801314907"</f>
        <v>8801314907</v>
      </c>
      <c r="C14125" s="1">
        <v>44929</v>
      </c>
      <c r="D14125" s="1">
        <v>44966</v>
      </c>
      <c r="E14125">
        <v>1</v>
      </c>
      <c r="F14125" t="str">
        <f>"19-K08-02"</f>
        <v>19-K08-02</v>
      </c>
      <c r="G14125">
        <v>4.4416000000000002</v>
      </c>
      <c r="H14125" t="s">
        <v>15</v>
      </c>
      <c r="I14125" t="s">
        <v>10</v>
      </c>
    </row>
    <row r="14126" spans="1:9" x14ac:dyDescent="0.25">
      <c r="A14126" t="str">
        <f t="shared" si="329"/>
        <v>89301000</v>
      </c>
      <c r="B14126" t="str">
        <f>"8801314907"</f>
        <v>8801314907</v>
      </c>
      <c r="C14126" s="1">
        <v>45159</v>
      </c>
      <c r="D14126" s="1">
        <v>45196</v>
      </c>
      <c r="E14126">
        <v>1</v>
      </c>
      <c r="F14126" t="str">
        <f>"19-K08-02"</f>
        <v>19-K08-02</v>
      </c>
      <c r="G14126">
        <v>4.4416000000000002</v>
      </c>
      <c r="H14126" t="s">
        <v>15</v>
      </c>
      <c r="I14126" t="s">
        <v>10</v>
      </c>
    </row>
    <row r="14127" spans="1:9" x14ac:dyDescent="0.25">
      <c r="A14127" t="str">
        <f t="shared" si="329"/>
        <v>89301000</v>
      </c>
      <c r="B14127" t="str">
        <f>"8801315776"</f>
        <v>8801315776</v>
      </c>
      <c r="C14127" s="1">
        <v>44977</v>
      </c>
      <c r="D14127" s="1">
        <v>44981</v>
      </c>
      <c r="E14127">
        <v>1</v>
      </c>
      <c r="F14127" t="str">
        <f>"03-I18-03"</f>
        <v>03-I18-03</v>
      </c>
      <c r="G14127">
        <v>0.83940000000000003</v>
      </c>
      <c r="H14127" t="s">
        <v>9</v>
      </c>
      <c r="I14127" t="s">
        <v>10</v>
      </c>
    </row>
    <row r="14128" spans="1:9" x14ac:dyDescent="0.25">
      <c r="A14128" t="str">
        <f t="shared" si="329"/>
        <v>89301000</v>
      </c>
      <c r="B14128" t="str">
        <f>"8802014914"</f>
        <v>8802014914</v>
      </c>
      <c r="C14128" s="1">
        <v>45169</v>
      </c>
      <c r="D14128" s="1">
        <v>45174</v>
      </c>
      <c r="E14128">
        <v>1</v>
      </c>
      <c r="F14128" t="str">
        <f>"03-I24-00"</f>
        <v>03-I24-00</v>
      </c>
      <c r="G14128">
        <v>0.40670000000000001</v>
      </c>
      <c r="H14128" t="s">
        <v>11</v>
      </c>
      <c r="I14128" t="s">
        <v>10</v>
      </c>
    </row>
    <row r="14129" spans="1:9" x14ac:dyDescent="0.25">
      <c r="A14129" t="str">
        <f t="shared" si="329"/>
        <v>89301000</v>
      </c>
      <c r="B14129" t="str">
        <f>"8802252041"</f>
        <v>8802252041</v>
      </c>
      <c r="C14129" s="1">
        <v>45035</v>
      </c>
      <c r="D14129" s="1">
        <v>45040</v>
      </c>
      <c r="E14129">
        <v>1</v>
      </c>
      <c r="F14129" t="str">
        <f>"23-K05-01"</f>
        <v>23-K05-01</v>
      </c>
      <c r="G14129">
        <v>0.56269999999999998</v>
      </c>
      <c r="H14129" t="s">
        <v>11</v>
      </c>
      <c r="I14129" t="s">
        <v>10</v>
      </c>
    </row>
    <row r="14130" spans="1:9" x14ac:dyDescent="0.25">
      <c r="A14130" t="str">
        <f t="shared" si="329"/>
        <v>89301000</v>
      </c>
      <c r="B14130" t="str">
        <f>"8803015804"</f>
        <v>8803015804</v>
      </c>
      <c r="C14130" s="1">
        <v>45190</v>
      </c>
      <c r="D14130" s="1">
        <v>45191</v>
      </c>
      <c r="E14130">
        <v>5</v>
      </c>
      <c r="F14130" t="str">
        <f>"05-M06-06"</f>
        <v>05-M06-06</v>
      </c>
      <c r="G14130">
        <v>1.8264</v>
      </c>
      <c r="H14130" t="s">
        <v>12</v>
      </c>
      <c r="I14130" t="s">
        <v>10</v>
      </c>
    </row>
    <row r="14131" spans="1:9" x14ac:dyDescent="0.25">
      <c r="A14131" t="str">
        <f t="shared" si="329"/>
        <v>89301000</v>
      </c>
      <c r="B14131" t="str">
        <f>"8803035835"</f>
        <v>8803035835</v>
      </c>
      <c r="C14131" s="1">
        <v>45182</v>
      </c>
      <c r="D14131" s="1">
        <v>45185</v>
      </c>
      <c r="E14131">
        <v>1</v>
      </c>
      <c r="F14131" t="str">
        <f>"08-I32-00"</f>
        <v>08-I32-00</v>
      </c>
      <c r="G14131">
        <v>0.4093</v>
      </c>
      <c r="H14131" t="s">
        <v>11</v>
      </c>
      <c r="I14131" t="s">
        <v>10</v>
      </c>
    </row>
    <row r="14132" spans="1:9" x14ac:dyDescent="0.25">
      <c r="A14132" t="str">
        <f t="shared" si="329"/>
        <v>89301000</v>
      </c>
      <c r="B14132" t="str">
        <f>"8803186216"</f>
        <v>8803186216</v>
      </c>
      <c r="C14132" s="1">
        <v>45212</v>
      </c>
      <c r="D14132" s="1">
        <v>45216</v>
      </c>
      <c r="E14132">
        <v>6</v>
      </c>
      <c r="F14132" t="str">
        <f>"06-I18-03"</f>
        <v>06-I18-03</v>
      </c>
      <c r="G14132">
        <v>1.3418000000000001</v>
      </c>
      <c r="H14132" t="s">
        <v>9</v>
      </c>
      <c r="I14132" t="s">
        <v>10</v>
      </c>
    </row>
    <row r="14133" spans="1:9" x14ac:dyDescent="0.25">
      <c r="A14133" t="str">
        <f t="shared" si="329"/>
        <v>89301000</v>
      </c>
      <c r="B14133" t="str">
        <f>"8803255571"</f>
        <v>8803255571</v>
      </c>
      <c r="C14133" s="1">
        <v>44970</v>
      </c>
      <c r="D14133" s="1">
        <v>44974</v>
      </c>
      <c r="E14133">
        <v>1</v>
      </c>
      <c r="F14133" t="str">
        <f>"01-K10-03"</f>
        <v>01-K10-03</v>
      </c>
      <c r="G14133">
        <v>1.0443</v>
      </c>
      <c r="H14133" t="s">
        <v>11</v>
      </c>
      <c r="I14133" t="s">
        <v>10</v>
      </c>
    </row>
    <row r="14134" spans="1:9" x14ac:dyDescent="0.25">
      <c r="A14134" t="str">
        <f t="shared" si="329"/>
        <v>89301000</v>
      </c>
      <c r="B14134" t="str">
        <f>"8803255571"</f>
        <v>8803255571</v>
      </c>
      <c r="C14134" s="1">
        <v>45061</v>
      </c>
      <c r="D14134" s="1">
        <v>45063</v>
      </c>
      <c r="E14134">
        <v>1</v>
      </c>
      <c r="F14134" t="str">
        <f>"01-K10-03"</f>
        <v>01-K10-03</v>
      </c>
      <c r="G14134">
        <v>1.0348999999999999</v>
      </c>
      <c r="H14134" t="s">
        <v>11</v>
      </c>
      <c r="I14134" t="s">
        <v>10</v>
      </c>
    </row>
    <row r="14135" spans="1:9" x14ac:dyDescent="0.25">
      <c r="A14135" t="str">
        <f t="shared" si="329"/>
        <v>89301000</v>
      </c>
      <c r="B14135" t="str">
        <f>"8803295765"</f>
        <v>8803295765</v>
      </c>
      <c r="C14135" s="1">
        <v>45260</v>
      </c>
      <c r="D14135" s="1">
        <v>45262</v>
      </c>
      <c r="E14135">
        <v>1</v>
      </c>
      <c r="F14135" t="str">
        <f>"08-I16-04"</f>
        <v>08-I16-04</v>
      </c>
      <c r="G14135">
        <v>0.83040000000000003</v>
      </c>
      <c r="H14135" t="s">
        <v>12</v>
      </c>
      <c r="I14135" t="s">
        <v>10</v>
      </c>
    </row>
    <row r="14136" spans="1:9" x14ac:dyDescent="0.25">
      <c r="A14136" t="str">
        <f t="shared" si="329"/>
        <v>89301000</v>
      </c>
      <c r="B14136" t="str">
        <f>"8804125836"</f>
        <v>8804125836</v>
      </c>
      <c r="C14136" s="1">
        <v>44957</v>
      </c>
      <c r="D14136" s="1">
        <v>44960</v>
      </c>
      <c r="E14136">
        <v>1</v>
      </c>
      <c r="F14136" t="str">
        <f>"08-I03-06"</f>
        <v>08-I03-06</v>
      </c>
      <c r="G14136">
        <v>3.2523</v>
      </c>
      <c r="H14136" t="s">
        <v>9</v>
      </c>
      <c r="I14136" t="s">
        <v>10</v>
      </c>
    </row>
    <row r="14137" spans="1:9" x14ac:dyDescent="0.25">
      <c r="A14137" t="str">
        <f t="shared" si="329"/>
        <v>89301000</v>
      </c>
      <c r="B14137" t="str">
        <f>"8804136132"</f>
        <v>8804136132</v>
      </c>
      <c r="C14137" s="1">
        <v>45280</v>
      </c>
      <c r="D14137" s="1">
        <v>45282</v>
      </c>
      <c r="E14137">
        <v>5</v>
      </c>
      <c r="F14137" t="str">
        <f>"25-I02-01"</f>
        <v>25-I02-01</v>
      </c>
      <c r="G14137">
        <v>3.3334000000000001</v>
      </c>
      <c r="H14137" t="s">
        <v>14</v>
      </c>
      <c r="I14137" t="s">
        <v>10</v>
      </c>
    </row>
    <row r="14138" spans="1:9" x14ac:dyDescent="0.25">
      <c r="A14138" t="str">
        <f t="shared" si="329"/>
        <v>89301000</v>
      </c>
      <c r="B14138" t="str">
        <f>"8804155723"</f>
        <v>8804155723</v>
      </c>
      <c r="C14138" s="1">
        <v>45088</v>
      </c>
      <c r="D14138" s="1">
        <v>45091</v>
      </c>
      <c r="E14138">
        <v>1</v>
      </c>
      <c r="F14138" t="str">
        <f>"08-I16-02"</f>
        <v>08-I16-02</v>
      </c>
      <c r="G14138">
        <v>1.8476999999999999</v>
      </c>
      <c r="H14138" t="s">
        <v>12</v>
      </c>
      <c r="I14138" t="s">
        <v>10</v>
      </c>
    </row>
    <row r="14139" spans="1:9" x14ac:dyDescent="0.25">
      <c r="A14139" t="str">
        <f t="shared" si="329"/>
        <v>89301000</v>
      </c>
      <c r="B14139" t="str">
        <f>"8805105793"</f>
        <v>8805105793</v>
      </c>
      <c r="C14139" s="1">
        <v>44944</v>
      </c>
      <c r="D14139" s="1">
        <v>44958</v>
      </c>
      <c r="E14139">
        <v>4</v>
      </c>
      <c r="F14139" t="str">
        <f>"19-K04-02"</f>
        <v>19-K04-02</v>
      </c>
      <c r="G14139">
        <v>1.3379000000000001</v>
      </c>
      <c r="H14139" t="s">
        <v>15</v>
      </c>
      <c r="I14139" t="s">
        <v>10</v>
      </c>
    </row>
    <row r="14140" spans="1:9" x14ac:dyDescent="0.25">
      <c r="A14140" t="str">
        <f t="shared" si="329"/>
        <v>89301000</v>
      </c>
      <c r="B14140" t="str">
        <f>"8805195784"</f>
        <v>8805195784</v>
      </c>
      <c r="C14140" s="1">
        <v>44963</v>
      </c>
      <c r="D14140" s="1">
        <v>44964</v>
      </c>
      <c r="E14140">
        <v>1</v>
      </c>
      <c r="F14140" t="str">
        <f>"08-I32-00"</f>
        <v>08-I32-00</v>
      </c>
      <c r="G14140">
        <v>0.40870000000000001</v>
      </c>
      <c r="H14140" t="s">
        <v>11</v>
      </c>
      <c r="I14140" t="s">
        <v>10</v>
      </c>
    </row>
    <row r="14141" spans="1:9" x14ac:dyDescent="0.25">
      <c r="A14141" t="str">
        <f t="shared" si="329"/>
        <v>89301000</v>
      </c>
      <c r="B14141" t="str">
        <f>"8805284917"</f>
        <v>8805284917</v>
      </c>
      <c r="C14141" s="1">
        <v>45274</v>
      </c>
      <c r="D14141" s="1">
        <v>45279</v>
      </c>
      <c r="E14141">
        <v>1</v>
      </c>
      <c r="F14141" t="str">
        <f>"17-I08-02"</f>
        <v>17-I08-02</v>
      </c>
      <c r="G14141">
        <v>1.1373</v>
      </c>
      <c r="H14141" t="s">
        <v>11</v>
      </c>
      <c r="I14141" t="s">
        <v>10</v>
      </c>
    </row>
    <row r="14142" spans="1:9" x14ac:dyDescent="0.25">
      <c r="A14142" t="str">
        <f t="shared" si="329"/>
        <v>89301000</v>
      </c>
      <c r="B14142" t="str">
        <f>"8805284917"</f>
        <v>8805284917</v>
      </c>
      <c r="C14142" s="1">
        <v>45244</v>
      </c>
      <c r="D14142" s="1">
        <v>45245</v>
      </c>
      <c r="E14142">
        <v>1</v>
      </c>
      <c r="F14142" t="str">
        <f>"04-K10-02"</f>
        <v>04-K10-02</v>
      </c>
      <c r="G14142">
        <v>0.41899999999999998</v>
      </c>
      <c r="H14142" t="s">
        <v>11</v>
      </c>
      <c r="I14142" t="s">
        <v>10</v>
      </c>
    </row>
    <row r="14143" spans="1:9" x14ac:dyDescent="0.25">
      <c r="A14143" t="str">
        <f t="shared" si="329"/>
        <v>89301000</v>
      </c>
      <c r="B14143" t="str">
        <f>"8805284928"</f>
        <v>8805284928</v>
      </c>
      <c r="C14143" s="1">
        <v>45048</v>
      </c>
      <c r="D14143" s="1">
        <v>45050</v>
      </c>
      <c r="E14143">
        <v>1</v>
      </c>
      <c r="F14143" t="str">
        <f>"05-M06-06"</f>
        <v>05-M06-06</v>
      </c>
      <c r="G14143">
        <v>1.8264</v>
      </c>
      <c r="H14143" t="s">
        <v>12</v>
      </c>
      <c r="I14143" t="s">
        <v>10</v>
      </c>
    </row>
    <row r="14144" spans="1:9" x14ac:dyDescent="0.25">
      <c r="A14144" t="str">
        <f t="shared" si="329"/>
        <v>89301000</v>
      </c>
      <c r="B14144" t="str">
        <f>"8805285005"</f>
        <v>8805285005</v>
      </c>
      <c r="C14144" s="1">
        <v>45152</v>
      </c>
      <c r="D14144" s="1">
        <v>45154</v>
      </c>
      <c r="E14144">
        <v>1</v>
      </c>
      <c r="F14144" t="str">
        <f>"08-I25-02"</f>
        <v>08-I25-02</v>
      </c>
      <c r="G14144">
        <v>0.55279999999999996</v>
      </c>
      <c r="H14144" t="s">
        <v>11</v>
      </c>
      <c r="I14144" t="s">
        <v>10</v>
      </c>
    </row>
    <row r="14145" spans="1:9" x14ac:dyDescent="0.25">
      <c r="A14145" t="str">
        <f t="shared" si="329"/>
        <v>89301000</v>
      </c>
      <c r="B14145" t="str">
        <f>"8805285368"</f>
        <v>8805285368</v>
      </c>
      <c r="C14145" s="1">
        <v>44941</v>
      </c>
      <c r="D14145" s="1">
        <v>44943</v>
      </c>
      <c r="E14145">
        <v>1</v>
      </c>
      <c r="F14145" t="str">
        <f>"03-K12-01"</f>
        <v>03-K12-01</v>
      </c>
      <c r="G14145">
        <v>0.37</v>
      </c>
      <c r="H14145" t="s">
        <v>11</v>
      </c>
      <c r="I14145" t="s">
        <v>10</v>
      </c>
    </row>
    <row r="14146" spans="1:9" x14ac:dyDescent="0.25">
      <c r="A14146" t="str">
        <f t="shared" si="329"/>
        <v>89301000</v>
      </c>
      <c r="B14146" t="str">
        <f>"8806075839"</f>
        <v>8806075839</v>
      </c>
      <c r="C14146" s="1">
        <v>45242</v>
      </c>
      <c r="D14146" s="1">
        <v>45244</v>
      </c>
      <c r="E14146">
        <v>1</v>
      </c>
      <c r="F14146" t="str">
        <f>"02-I11-02"</f>
        <v>02-I11-02</v>
      </c>
      <c r="G14146">
        <v>0.67259999999999998</v>
      </c>
      <c r="H14146" t="s">
        <v>12</v>
      </c>
      <c r="I14146" t="s">
        <v>10</v>
      </c>
    </row>
    <row r="14147" spans="1:9" x14ac:dyDescent="0.25">
      <c r="A14147" t="str">
        <f t="shared" si="329"/>
        <v>89301000</v>
      </c>
      <c r="B14147" t="str">
        <f>"8806166237"</f>
        <v>8806166237</v>
      </c>
      <c r="C14147" s="1">
        <v>45252</v>
      </c>
      <c r="D14147" s="1">
        <v>45254</v>
      </c>
      <c r="E14147">
        <v>1</v>
      </c>
      <c r="F14147" t="str">
        <f>"08-M03-04"</f>
        <v>08-M03-04</v>
      </c>
      <c r="G14147">
        <v>1.0528999999999999</v>
      </c>
      <c r="H14147" t="s">
        <v>11</v>
      </c>
      <c r="I14147" t="s">
        <v>10</v>
      </c>
    </row>
    <row r="14148" spans="1:9" x14ac:dyDescent="0.25">
      <c r="A14148" t="str">
        <f t="shared" si="329"/>
        <v>89301000</v>
      </c>
      <c r="B14148" t="str">
        <f>"8806166237"</f>
        <v>8806166237</v>
      </c>
      <c r="C14148" s="1">
        <v>45041</v>
      </c>
      <c r="D14148" s="1">
        <v>45043</v>
      </c>
      <c r="E14148">
        <v>1</v>
      </c>
      <c r="F14148" t="str">
        <f>"08-I16-04"</f>
        <v>08-I16-04</v>
      </c>
      <c r="G14148">
        <v>0.83040000000000003</v>
      </c>
      <c r="H14148" t="s">
        <v>12</v>
      </c>
      <c r="I14148" t="s">
        <v>10</v>
      </c>
    </row>
    <row r="14149" spans="1:9" x14ac:dyDescent="0.25">
      <c r="A14149" t="str">
        <f t="shared" si="329"/>
        <v>89301000</v>
      </c>
      <c r="B14149" t="str">
        <f>"8806225791"</f>
        <v>8806225791</v>
      </c>
      <c r="C14149" s="1">
        <v>45142</v>
      </c>
      <c r="D14149" s="1">
        <v>45156</v>
      </c>
      <c r="E14149">
        <v>1</v>
      </c>
      <c r="F14149" t="str">
        <f>"24-M07-02"</f>
        <v>24-M07-02</v>
      </c>
      <c r="G14149">
        <v>1.5729</v>
      </c>
      <c r="H14149" t="s">
        <v>11</v>
      </c>
      <c r="I14149" t="s">
        <v>10</v>
      </c>
    </row>
    <row r="14150" spans="1:9" x14ac:dyDescent="0.25">
      <c r="A14150" t="str">
        <f t="shared" si="329"/>
        <v>89301000</v>
      </c>
      <c r="B14150" t="str">
        <f>"8806225791"</f>
        <v>8806225791</v>
      </c>
      <c r="C14150" s="1">
        <v>45096</v>
      </c>
      <c r="D14150" s="1">
        <v>45142</v>
      </c>
      <c r="E14150">
        <v>3</v>
      </c>
      <c r="F14150" t="str">
        <f>"00-M01-04"</f>
        <v>00-M01-04</v>
      </c>
      <c r="G14150">
        <v>12.4161</v>
      </c>
      <c r="H14150" t="s">
        <v>11</v>
      </c>
      <c r="I14150" t="s">
        <v>10</v>
      </c>
    </row>
    <row r="14151" spans="1:9" x14ac:dyDescent="0.25">
      <c r="A14151" t="str">
        <f t="shared" si="329"/>
        <v>89301000</v>
      </c>
      <c r="B14151" t="str">
        <f>"8806256063"</f>
        <v>8806256063</v>
      </c>
      <c r="C14151" s="1">
        <v>44933</v>
      </c>
      <c r="D14151" s="1">
        <v>44939</v>
      </c>
      <c r="E14151">
        <v>5</v>
      </c>
      <c r="F14151" t="str">
        <f>"18-M01-01"</f>
        <v>18-M01-01</v>
      </c>
      <c r="G14151">
        <v>3.9091</v>
      </c>
      <c r="H14151" t="s">
        <v>11</v>
      </c>
      <c r="I14151" t="s">
        <v>10</v>
      </c>
    </row>
    <row r="14152" spans="1:9" x14ac:dyDescent="0.25">
      <c r="A14152" t="str">
        <f t="shared" si="329"/>
        <v>89301000</v>
      </c>
      <c r="B14152" t="str">
        <f>"8806274917"</f>
        <v>8806274917</v>
      </c>
      <c r="C14152" s="1">
        <v>45215</v>
      </c>
      <c r="D14152" s="1">
        <v>45219</v>
      </c>
      <c r="E14152">
        <v>5</v>
      </c>
      <c r="F14152" t="str">
        <f>"08-I13-05"</f>
        <v>08-I13-05</v>
      </c>
      <c r="G14152">
        <v>2.343</v>
      </c>
      <c r="H14152" t="s">
        <v>12</v>
      </c>
      <c r="I14152" t="s">
        <v>10</v>
      </c>
    </row>
    <row r="14153" spans="1:9" x14ac:dyDescent="0.25">
      <c r="A14153" t="str">
        <f t="shared" si="329"/>
        <v>89301000</v>
      </c>
      <c r="B14153" t="str">
        <f>"8806285807"</f>
        <v>8806285807</v>
      </c>
      <c r="C14153" s="1">
        <v>45229</v>
      </c>
      <c r="D14153" s="1">
        <v>45232</v>
      </c>
      <c r="E14153">
        <v>1</v>
      </c>
      <c r="F14153" t="str">
        <f>"06-I18-05"</f>
        <v>06-I18-05</v>
      </c>
      <c r="G14153">
        <v>0.82420000000000004</v>
      </c>
      <c r="H14153" t="s">
        <v>9</v>
      </c>
      <c r="I14153" t="s">
        <v>10</v>
      </c>
    </row>
    <row r="14154" spans="1:9" x14ac:dyDescent="0.25">
      <c r="A14154" t="str">
        <f t="shared" si="329"/>
        <v>89301000</v>
      </c>
      <c r="B14154" t="str">
        <f>"8807075772"</f>
        <v>8807075772</v>
      </c>
      <c r="C14154" s="1">
        <v>45104</v>
      </c>
      <c r="D14154" s="1">
        <v>45107</v>
      </c>
      <c r="E14154">
        <v>1</v>
      </c>
      <c r="F14154" t="str">
        <f>"08-M03-02"</f>
        <v>08-M03-02</v>
      </c>
      <c r="G14154">
        <v>0.91359999999999997</v>
      </c>
      <c r="H14154" t="s">
        <v>11</v>
      </c>
      <c r="I14154" t="s">
        <v>10</v>
      </c>
    </row>
    <row r="14155" spans="1:9" x14ac:dyDescent="0.25">
      <c r="A14155" t="str">
        <f t="shared" si="329"/>
        <v>89301000</v>
      </c>
      <c r="B14155" t="str">
        <f>"8807075772"</f>
        <v>8807075772</v>
      </c>
      <c r="C14155" s="1">
        <v>45006</v>
      </c>
      <c r="D14155" s="1">
        <v>45008</v>
      </c>
      <c r="E14155">
        <v>1</v>
      </c>
      <c r="F14155" t="str">
        <f>"08-M03-02"</f>
        <v>08-M03-02</v>
      </c>
      <c r="G14155">
        <v>0.91359999999999997</v>
      </c>
      <c r="H14155" t="s">
        <v>11</v>
      </c>
      <c r="I14155" t="s">
        <v>10</v>
      </c>
    </row>
    <row r="14156" spans="1:9" x14ac:dyDescent="0.25">
      <c r="A14156" t="str">
        <f t="shared" si="329"/>
        <v>89301000</v>
      </c>
      <c r="B14156" t="str">
        <f>"8807185838"</f>
        <v>8807185838</v>
      </c>
      <c r="C14156" s="1">
        <v>44938</v>
      </c>
      <c r="D14156" s="1">
        <v>44944</v>
      </c>
      <c r="E14156">
        <v>1</v>
      </c>
      <c r="F14156" t="str">
        <f>"06-I07-05"</f>
        <v>06-I07-05</v>
      </c>
      <c r="G14156">
        <v>2.7919999999999998</v>
      </c>
      <c r="H14156" t="s">
        <v>12</v>
      </c>
      <c r="I14156" t="s">
        <v>10</v>
      </c>
    </row>
    <row r="14157" spans="1:9" x14ac:dyDescent="0.25">
      <c r="A14157" t="str">
        <f t="shared" si="329"/>
        <v>89301000</v>
      </c>
      <c r="B14157" t="str">
        <f>"8807265786"</f>
        <v>8807265786</v>
      </c>
      <c r="C14157" s="1">
        <v>45146</v>
      </c>
      <c r="D14157" s="1">
        <v>45147</v>
      </c>
      <c r="E14157">
        <v>1</v>
      </c>
      <c r="F14157" t="str">
        <f>"11-M05-02"</f>
        <v>11-M05-02</v>
      </c>
      <c r="G14157">
        <v>0.6694</v>
      </c>
      <c r="H14157" t="s">
        <v>12</v>
      </c>
      <c r="I14157" t="s">
        <v>10</v>
      </c>
    </row>
    <row r="14158" spans="1:9" x14ac:dyDescent="0.25">
      <c r="A14158" t="str">
        <f t="shared" si="329"/>
        <v>89301000</v>
      </c>
      <c r="B14158" t="str">
        <f>"8807275785"</f>
        <v>8807275785</v>
      </c>
      <c r="C14158" s="1">
        <v>45074</v>
      </c>
      <c r="D14158" s="1">
        <v>45077</v>
      </c>
      <c r="E14158">
        <v>1</v>
      </c>
      <c r="F14158" t="str">
        <f>"08-M03-05"</f>
        <v>08-M03-05</v>
      </c>
      <c r="G14158">
        <v>0.46810000000000002</v>
      </c>
      <c r="H14158" t="s">
        <v>11</v>
      </c>
      <c r="I14158" t="s">
        <v>10</v>
      </c>
    </row>
    <row r="14159" spans="1:9" x14ac:dyDescent="0.25">
      <c r="A14159" t="str">
        <f t="shared" si="329"/>
        <v>89301000</v>
      </c>
      <c r="B14159" t="str">
        <f>"8807295816"</f>
        <v>8807295816</v>
      </c>
      <c r="C14159" s="1">
        <v>45222</v>
      </c>
      <c r="D14159" s="1">
        <v>45226</v>
      </c>
      <c r="E14159">
        <v>1</v>
      </c>
      <c r="F14159" t="str">
        <f>"20-K01-05"</f>
        <v>20-K01-05</v>
      </c>
      <c r="G14159">
        <v>0.3952</v>
      </c>
      <c r="H14159" t="s">
        <v>11</v>
      </c>
      <c r="I14159" t="s">
        <v>10</v>
      </c>
    </row>
    <row r="14160" spans="1:9" x14ac:dyDescent="0.25">
      <c r="A14160" t="str">
        <f t="shared" ref="A14160:A14223" si="330">"89301000"</f>
        <v>89301000</v>
      </c>
      <c r="B14160" t="str">
        <f>"8808076134"</f>
        <v>8808076134</v>
      </c>
      <c r="C14160" s="1">
        <v>45218</v>
      </c>
      <c r="D14160" s="1">
        <v>45224</v>
      </c>
      <c r="E14160">
        <v>1</v>
      </c>
      <c r="F14160" t="str">
        <f>"01-K10-03"</f>
        <v>01-K10-03</v>
      </c>
      <c r="G14160">
        <v>1.0348999999999999</v>
      </c>
      <c r="H14160" t="s">
        <v>11</v>
      </c>
      <c r="I14160" t="s">
        <v>10</v>
      </c>
    </row>
    <row r="14161" spans="1:9" x14ac:dyDescent="0.25">
      <c r="A14161" t="str">
        <f t="shared" si="330"/>
        <v>89301000</v>
      </c>
      <c r="B14161" t="str">
        <f>"8808106582"</f>
        <v>8808106582</v>
      </c>
      <c r="C14161" s="1">
        <v>45272</v>
      </c>
      <c r="D14161" s="1">
        <v>45273</v>
      </c>
      <c r="E14161">
        <v>1</v>
      </c>
      <c r="F14161" t="str">
        <f>"03-K13-02"</f>
        <v>03-K13-02</v>
      </c>
      <c r="G14161">
        <v>0.24440000000000001</v>
      </c>
      <c r="H14161" t="s">
        <v>11</v>
      </c>
      <c r="I14161" t="s">
        <v>10</v>
      </c>
    </row>
    <row r="14162" spans="1:9" x14ac:dyDescent="0.25">
      <c r="A14162" t="str">
        <f t="shared" si="330"/>
        <v>89301000</v>
      </c>
      <c r="B14162" t="str">
        <f>"8808135776"</f>
        <v>8808135776</v>
      </c>
      <c r="C14162" s="1">
        <v>45120</v>
      </c>
      <c r="D14162" s="1">
        <v>45121</v>
      </c>
      <c r="E14162">
        <v>1</v>
      </c>
      <c r="F14162" t="str">
        <f>"08-I17-02"</f>
        <v>08-I17-02</v>
      </c>
      <c r="G14162">
        <v>0.89680000000000004</v>
      </c>
      <c r="H14162" t="s">
        <v>11</v>
      </c>
      <c r="I14162" t="s">
        <v>10</v>
      </c>
    </row>
    <row r="14163" spans="1:9" x14ac:dyDescent="0.25">
      <c r="A14163" t="str">
        <f t="shared" si="330"/>
        <v>89301000</v>
      </c>
      <c r="B14163" t="str">
        <f>"8808195770"</f>
        <v>8808195770</v>
      </c>
      <c r="C14163" s="1">
        <v>44929</v>
      </c>
      <c r="D14163" s="1">
        <v>44949</v>
      </c>
      <c r="E14163">
        <v>3</v>
      </c>
      <c r="F14163" t="str">
        <f>"24-M08-01"</f>
        <v>24-M08-01</v>
      </c>
      <c r="G14163">
        <v>2.0236999999999998</v>
      </c>
      <c r="H14163" t="s">
        <v>11</v>
      </c>
      <c r="I14163" t="s">
        <v>10</v>
      </c>
    </row>
    <row r="14164" spans="1:9" x14ac:dyDescent="0.25">
      <c r="A14164" t="str">
        <f t="shared" si="330"/>
        <v>89301000</v>
      </c>
      <c r="B14164" t="str">
        <f>"8808195770"</f>
        <v>8808195770</v>
      </c>
      <c r="C14164" s="1">
        <v>44957</v>
      </c>
      <c r="D14164" s="1">
        <v>44959</v>
      </c>
      <c r="E14164">
        <v>4</v>
      </c>
      <c r="F14164" t="str">
        <f>"24-M04-00"</f>
        <v>24-M04-00</v>
      </c>
      <c r="G14164">
        <v>0.34399999999999997</v>
      </c>
      <c r="H14164" t="s">
        <v>11</v>
      </c>
      <c r="I14164" t="s">
        <v>10</v>
      </c>
    </row>
    <row r="14165" spans="1:9" x14ac:dyDescent="0.25">
      <c r="A14165" t="str">
        <f t="shared" si="330"/>
        <v>89301000</v>
      </c>
      <c r="B14165" t="str">
        <f>"8808195770"</f>
        <v>8808195770</v>
      </c>
      <c r="C14165" s="1">
        <v>44949</v>
      </c>
      <c r="D14165" s="1">
        <v>44957</v>
      </c>
      <c r="E14165">
        <v>3</v>
      </c>
      <c r="F14165" t="str">
        <f>"18-K02-04"</f>
        <v>18-K02-04</v>
      </c>
      <c r="G14165">
        <v>0.73280000000000001</v>
      </c>
      <c r="H14165" t="s">
        <v>11</v>
      </c>
      <c r="I14165" t="s">
        <v>10</v>
      </c>
    </row>
    <row r="14166" spans="1:9" x14ac:dyDescent="0.25">
      <c r="A14166" t="str">
        <f t="shared" si="330"/>
        <v>89301000</v>
      </c>
      <c r="B14166" t="str">
        <f>"8808195770"</f>
        <v>8808195770</v>
      </c>
      <c r="C14166" s="1">
        <v>44915</v>
      </c>
      <c r="D14166" s="1">
        <v>44929</v>
      </c>
      <c r="E14166">
        <v>3</v>
      </c>
      <c r="F14166" t="str">
        <f>"01-C01-04"</f>
        <v>01-C01-04</v>
      </c>
      <c r="G14166">
        <v>1.4332</v>
      </c>
      <c r="H14166" t="s">
        <v>11</v>
      </c>
      <c r="I14166" t="s">
        <v>10</v>
      </c>
    </row>
    <row r="14167" spans="1:9" x14ac:dyDescent="0.25">
      <c r="A14167" t="str">
        <f t="shared" si="330"/>
        <v>89301000</v>
      </c>
      <c r="B14167" t="str">
        <f>"8809044915"</f>
        <v>8809044915</v>
      </c>
      <c r="C14167" s="1">
        <v>45022</v>
      </c>
      <c r="D14167" s="1">
        <v>45022</v>
      </c>
      <c r="E14167">
        <v>1</v>
      </c>
      <c r="F14167" t="str">
        <f>"05-M06-08"</f>
        <v>05-M06-08</v>
      </c>
      <c r="G14167">
        <v>1.1012</v>
      </c>
      <c r="H14167" t="s">
        <v>12</v>
      </c>
      <c r="I14167" t="s">
        <v>10</v>
      </c>
    </row>
    <row r="14168" spans="1:9" x14ac:dyDescent="0.25">
      <c r="A14168" t="str">
        <f t="shared" si="330"/>
        <v>89301000</v>
      </c>
      <c r="B14168" t="str">
        <f>"8809044915"</f>
        <v>8809044915</v>
      </c>
      <c r="C14168" s="1">
        <v>45062</v>
      </c>
      <c r="D14168" s="1">
        <v>45062</v>
      </c>
      <c r="E14168">
        <v>1</v>
      </c>
      <c r="F14168" t="str">
        <f>"05-M06-08"</f>
        <v>05-M06-08</v>
      </c>
      <c r="G14168">
        <v>2.8007</v>
      </c>
      <c r="H14168" t="s">
        <v>12</v>
      </c>
      <c r="I14168" t="s">
        <v>10</v>
      </c>
    </row>
    <row r="14169" spans="1:9" x14ac:dyDescent="0.25">
      <c r="A14169" t="str">
        <f t="shared" si="330"/>
        <v>89301000</v>
      </c>
      <c r="B14169" t="str">
        <f>"8809165717"</f>
        <v>8809165717</v>
      </c>
      <c r="C14169" s="1">
        <v>45194</v>
      </c>
      <c r="D14169" s="1">
        <v>45196</v>
      </c>
      <c r="E14169">
        <v>1</v>
      </c>
      <c r="F14169" t="str">
        <f>"09-I13-04"</f>
        <v>09-I13-04</v>
      </c>
      <c r="G14169">
        <v>0.54139999999999999</v>
      </c>
      <c r="H14169" t="s">
        <v>11</v>
      </c>
      <c r="I14169" t="s">
        <v>10</v>
      </c>
    </row>
    <row r="14170" spans="1:9" x14ac:dyDescent="0.25">
      <c r="A14170" t="str">
        <f t="shared" si="330"/>
        <v>89301000</v>
      </c>
      <c r="B14170" t="str">
        <f>"8809236139"</f>
        <v>8809236139</v>
      </c>
      <c r="C14170" s="1">
        <v>45072</v>
      </c>
      <c r="D14170" s="1">
        <v>45075</v>
      </c>
      <c r="E14170">
        <v>1</v>
      </c>
      <c r="F14170" t="str">
        <f>"01-D01-03"</f>
        <v>01-D01-03</v>
      </c>
      <c r="G14170">
        <v>0.21060000000000001</v>
      </c>
      <c r="H14170" t="s">
        <v>11</v>
      </c>
      <c r="I14170" t="s">
        <v>10</v>
      </c>
    </row>
    <row r="14171" spans="1:9" x14ac:dyDescent="0.25">
      <c r="A14171" t="str">
        <f t="shared" si="330"/>
        <v>89301000</v>
      </c>
      <c r="B14171" t="str">
        <f>"8810125775"</f>
        <v>8810125775</v>
      </c>
      <c r="C14171" s="1">
        <v>45116</v>
      </c>
      <c r="D14171" s="1">
        <v>45119</v>
      </c>
      <c r="E14171">
        <v>1</v>
      </c>
      <c r="F14171" t="str">
        <f>"06-I18-05"</f>
        <v>06-I18-05</v>
      </c>
      <c r="G14171">
        <v>0.82420000000000004</v>
      </c>
      <c r="H14171" t="s">
        <v>9</v>
      </c>
      <c r="I14171" t="s">
        <v>10</v>
      </c>
    </row>
    <row r="14172" spans="1:9" x14ac:dyDescent="0.25">
      <c r="A14172" t="str">
        <f t="shared" si="330"/>
        <v>89301000</v>
      </c>
      <c r="B14172" t="str">
        <f>"8810136302"</f>
        <v>8810136302</v>
      </c>
      <c r="C14172" s="1">
        <v>45252</v>
      </c>
      <c r="D14172" s="1">
        <v>45253</v>
      </c>
      <c r="E14172">
        <v>1</v>
      </c>
      <c r="F14172" t="str">
        <f>"01-D01-03"</f>
        <v>01-D01-03</v>
      </c>
      <c r="G14172">
        <v>0.16200000000000001</v>
      </c>
      <c r="H14172" t="s">
        <v>11</v>
      </c>
      <c r="I14172" t="s">
        <v>10</v>
      </c>
    </row>
    <row r="14173" spans="1:9" x14ac:dyDescent="0.25">
      <c r="A14173" t="str">
        <f t="shared" si="330"/>
        <v>89301000</v>
      </c>
      <c r="B14173" t="str">
        <f>"8810256213"</f>
        <v>8810256213</v>
      </c>
      <c r="C14173" s="1">
        <v>45152</v>
      </c>
      <c r="D14173" s="1">
        <v>45170</v>
      </c>
      <c r="E14173">
        <v>1</v>
      </c>
      <c r="F14173" t="str">
        <f>"24-M08-01"</f>
        <v>24-M08-01</v>
      </c>
      <c r="G14173">
        <v>2.0236999999999998</v>
      </c>
      <c r="H14173" t="s">
        <v>11</v>
      </c>
      <c r="I14173" t="s">
        <v>10</v>
      </c>
    </row>
    <row r="14174" spans="1:9" x14ac:dyDescent="0.25">
      <c r="A14174" t="str">
        <f t="shared" si="330"/>
        <v>89301000</v>
      </c>
      <c r="B14174" t="str">
        <f>"8810256213"</f>
        <v>8810256213</v>
      </c>
      <c r="C14174" s="1">
        <v>45050</v>
      </c>
      <c r="D14174" s="1">
        <v>45058</v>
      </c>
      <c r="E14174">
        <v>4</v>
      </c>
      <c r="F14174" t="str">
        <f>"00-M01-01"</f>
        <v>00-M01-01</v>
      </c>
      <c r="G14174">
        <v>14.6271</v>
      </c>
      <c r="H14174" t="s">
        <v>11</v>
      </c>
      <c r="I14174" t="s">
        <v>10</v>
      </c>
    </row>
    <row r="14175" spans="1:9" x14ac:dyDescent="0.25">
      <c r="A14175" t="str">
        <f t="shared" si="330"/>
        <v>89301000</v>
      </c>
      <c r="B14175" t="str">
        <f>"8810256213"</f>
        <v>8810256213</v>
      </c>
      <c r="C14175" s="1">
        <v>45132</v>
      </c>
      <c r="D14175" s="1">
        <v>45134</v>
      </c>
      <c r="E14175">
        <v>4</v>
      </c>
      <c r="F14175" t="str">
        <f>"01-I08-04"</f>
        <v>01-I08-04</v>
      </c>
      <c r="G14175">
        <v>1.5697000000000001</v>
      </c>
      <c r="H14175" t="s">
        <v>14</v>
      </c>
      <c r="I14175" t="s">
        <v>10</v>
      </c>
    </row>
    <row r="14176" spans="1:9" x14ac:dyDescent="0.25">
      <c r="A14176" t="str">
        <f t="shared" si="330"/>
        <v>89301000</v>
      </c>
      <c r="B14176" t="str">
        <f>"8810293833"</f>
        <v>8810293833</v>
      </c>
      <c r="C14176" s="1">
        <v>45248</v>
      </c>
      <c r="D14176" s="1">
        <v>45249</v>
      </c>
      <c r="E14176">
        <v>1</v>
      </c>
      <c r="F14176" t="str">
        <f>"08-I19-03"</f>
        <v>08-I19-03</v>
      </c>
      <c r="G14176">
        <v>0.57210000000000005</v>
      </c>
      <c r="H14176" t="s">
        <v>12</v>
      </c>
      <c r="I14176" t="s">
        <v>10</v>
      </c>
    </row>
    <row r="14177" spans="1:9" x14ac:dyDescent="0.25">
      <c r="A14177" t="str">
        <f t="shared" si="330"/>
        <v>89301000</v>
      </c>
      <c r="B14177" t="str">
        <f>"8811185779"</f>
        <v>8811185779</v>
      </c>
      <c r="C14177" s="1">
        <v>45277</v>
      </c>
      <c r="D14177" s="1">
        <v>45279</v>
      </c>
      <c r="E14177">
        <v>1</v>
      </c>
      <c r="F14177" t="str">
        <f>"08-M03-05"</f>
        <v>08-M03-05</v>
      </c>
      <c r="G14177">
        <v>0.46910000000000002</v>
      </c>
      <c r="H14177" t="s">
        <v>11</v>
      </c>
      <c r="I14177" t="s">
        <v>10</v>
      </c>
    </row>
    <row r="14178" spans="1:9" x14ac:dyDescent="0.25">
      <c r="A14178" t="str">
        <f t="shared" si="330"/>
        <v>89301000</v>
      </c>
      <c r="B14178" t="str">
        <f>"8811234014"</f>
        <v>8811234014</v>
      </c>
      <c r="C14178" s="1">
        <v>45208</v>
      </c>
      <c r="D14178" s="1">
        <v>45209</v>
      </c>
      <c r="E14178">
        <v>1</v>
      </c>
      <c r="F14178" t="str">
        <f>"08-I32-00"</f>
        <v>08-I32-00</v>
      </c>
      <c r="G14178">
        <v>0.40870000000000001</v>
      </c>
      <c r="H14178" t="s">
        <v>11</v>
      </c>
      <c r="I14178" t="s">
        <v>10</v>
      </c>
    </row>
    <row r="14179" spans="1:9" x14ac:dyDescent="0.25">
      <c r="A14179" t="str">
        <f t="shared" si="330"/>
        <v>89301000</v>
      </c>
      <c r="B14179" t="str">
        <f>"8811305789"</f>
        <v>8811305789</v>
      </c>
      <c r="C14179" s="1">
        <v>45103</v>
      </c>
      <c r="D14179" s="1">
        <v>45104</v>
      </c>
      <c r="E14179">
        <v>1</v>
      </c>
      <c r="F14179" t="str">
        <f>"09-K13-01"</f>
        <v>09-K13-01</v>
      </c>
      <c r="G14179">
        <v>0.54759999999999998</v>
      </c>
      <c r="H14179" t="s">
        <v>11</v>
      </c>
      <c r="I14179" t="s">
        <v>10</v>
      </c>
    </row>
    <row r="14180" spans="1:9" x14ac:dyDescent="0.25">
      <c r="A14180" t="str">
        <f t="shared" si="330"/>
        <v>89301000</v>
      </c>
      <c r="B14180" t="str">
        <f>"8811305811"</f>
        <v>8811305811</v>
      </c>
      <c r="C14180" s="1">
        <v>45136</v>
      </c>
      <c r="D14180" s="1">
        <v>45138</v>
      </c>
      <c r="E14180">
        <v>1</v>
      </c>
      <c r="F14180" t="str">
        <f>"09-I13-03"</f>
        <v>09-I13-03</v>
      </c>
      <c r="G14180">
        <v>0.79510000000000003</v>
      </c>
      <c r="H14180" t="s">
        <v>11</v>
      </c>
      <c r="I14180" t="s">
        <v>10</v>
      </c>
    </row>
    <row r="14181" spans="1:9" x14ac:dyDescent="0.25">
      <c r="A14181" t="str">
        <f t="shared" si="330"/>
        <v>89301000</v>
      </c>
      <c r="B14181" t="str">
        <f>"8851044928"</f>
        <v>8851044928</v>
      </c>
      <c r="C14181" s="1">
        <v>45012</v>
      </c>
      <c r="D14181" s="1">
        <v>45012</v>
      </c>
      <c r="E14181">
        <v>1</v>
      </c>
      <c r="F14181" t="str">
        <f>"05-D01-06"</f>
        <v>05-D01-06</v>
      </c>
      <c r="G14181">
        <v>0.4037</v>
      </c>
      <c r="H14181" t="s">
        <v>11</v>
      </c>
      <c r="I14181" t="s">
        <v>10</v>
      </c>
    </row>
    <row r="14182" spans="1:9" x14ac:dyDescent="0.25">
      <c r="A14182" t="str">
        <f t="shared" si="330"/>
        <v>89301000</v>
      </c>
      <c r="B14182" t="str">
        <f>"8851065784"</f>
        <v>8851065784</v>
      </c>
      <c r="C14182" s="1">
        <v>45005</v>
      </c>
      <c r="D14182" s="1">
        <v>45013</v>
      </c>
      <c r="E14182">
        <v>1</v>
      </c>
      <c r="F14182" t="str">
        <f>"03-I19-02"</f>
        <v>03-I19-02</v>
      </c>
      <c r="G14182">
        <v>0.71340000000000003</v>
      </c>
      <c r="H14182" t="s">
        <v>11</v>
      </c>
      <c r="I14182" t="s">
        <v>10</v>
      </c>
    </row>
    <row r="14183" spans="1:9" x14ac:dyDescent="0.25">
      <c r="A14183" t="str">
        <f t="shared" si="330"/>
        <v>89301000</v>
      </c>
      <c r="B14183" t="str">
        <f>"8851065795"</f>
        <v>8851065795</v>
      </c>
      <c r="C14183" s="1">
        <v>44948</v>
      </c>
      <c r="D14183" s="1">
        <v>44952</v>
      </c>
      <c r="E14183">
        <v>1</v>
      </c>
      <c r="F14183" t="str">
        <f>"13-I14-03"</f>
        <v>13-I14-03</v>
      </c>
      <c r="G14183">
        <v>0.87760000000000005</v>
      </c>
      <c r="H14183" t="s">
        <v>9</v>
      </c>
      <c r="I14183" t="s">
        <v>10</v>
      </c>
    </row>
    <row r="14184" spans="1:9" x14ac:dyDescent="0.25">
      <c r="A14184" t="str">
        <f t="shared" si="330"/>
        <v>89301000</v>
      </c>
      <c r="B14184" t="str">
        <f>"8851145710"</f>
        <v>8851145710</v>
      </c>
      <c r="C14184" s="1">
        <v>45180</v>
      </c>
      <c r="D14184" s="1">
        <v>45182</v>
      </c>
      <c r="E14184">
        <v>1</v>
      </c>
      <c r="F14184" t="str">
        <f>"14-I04-00"</f>
        <v>14-I04-00</v>
      </c>
      <c r="G14184">
        <v>0.79159999999999997</v>
      </c>
      <c r="H14184" t="s">
        <v>9</v>
      </c>
      <c r="I14184" t="s">
        <v>10</v>
      </c>
    </row>
    <row r="14185" spans="1:9" x14ac:dyDescent="0.25">
      <c r="A14185" t="str">
        <f t="shared" si="330"/>
        <v>89301000</v>
      </c>
      <c r="B14185" t="str">
        <f>"8851175784"</f>
        <v>8851175784</v>
      </c>
      <c r="C14185" s="1">
        <v>45181</v>
      </c>
      <c r="D14185" s="1">
        <v>45182</v>
      </c>
      <c r="E14185">
        <v>1</v>
      </c>
      <c r="F14185" t="str">
        <f>"13-I19-00"</f>
        <v>13-I19-00</v>
      </c>
      <c r="G14185">
        <v>0.28249999999999997</v>
      </c>
      <c r="H14185" t="s">
        <v>11</v>
      </c>
      <c r="I14185" t="s">
        <v>10</v>
      </c>
    </row>
    <row r="14186" spans="1:9" x14ac:dyDescent="0.25">
      <c r="A14186" t="str">
        <f t="shared" si="330"/>
        <v>89301000</v>
      </c>
      <c r="B14186" t="str">
        <f>"8851185827"</f>
        <v>8851185827</v>
      </c>
      <c r="C14186" s="1">
        <v>45219</v>
      </c>
      <c r="D14186" s="1">
        <v>45224</v>
      </c>
      <c r="E14186">
        <v>1</v>
      </c>
      <c r="F14186" t="str">
        <f>"14-M01-05"</f>
        <v>14-M01-05</v>
      </c>
      <c r="G14186">
        <v>0.56289999999999996</v>
      </c>
      <c r="H14186" t="s">
        <v>13</v>
      </c>
      <c r="I14186" t="s">
        <v>10</v>
      </c>
    </row>
    <row r="14187" spans="1:9" x14ac:dyDescent="0.25">
      <c r="A14187" t="str">
        <f t="shared" si="330"/>
        <v>89301000</v>
      </c>
      <c r="B14187" t="str">
        <f>"8851226208"</f>
        <v>8851226208</v>
      </c>
      <c r="C14187" s="1">
        <v>45102</v>
      </c>
      <c r="D14187" s="1">
        <v>45105</v>
      </c>
      <c r="E14187">
        <v>1</v>
      </c>
      <c r="F14187" t="str">
        <f>"14-M01-05"</f>
        <v>14-M01-05</v>
      </c>
      <c r="G14187">
        <v>0.56289999999999996</v>
      </c>
      <c r="H14187" t="s">
        <v>13</v>
      </c>
      <c r="I14187" t="s">
        <v>10</v>
      </c>
    </row>
    <row r="14188" spans="1:9" x14ac:dyDescent="0.25">
      <c r="A14188" t="str">
        <f t="shared" si="330"/>
        <v>89301000</v>
      </c>
      <c r="B14188" t="str">
        <f>"8851245799"</f>
        <v>8851245799</v>
      </c>
      <c r="C14188" s="1">
        <v>44977</v>
      </c>
      <c r="D14188" s="1">
        <v>44981</v>
      </c>
      <c r="E14188">
        <v>1</v>
      </c>
      <c r="F14188" t="str">
        <f>"04-K03-02"</f>
        <v>04-K03-02</v>
      </c>
      <c r="G14188">
        <v>0.80810000000000004</v>
      </c>
      <c r="H14188" t="s">
        <v>11</v>
      </c>
      <c r="I14188" t="s">
        <v>10</v>
      </c>
    </row>
    <row r="14189" spans="1:9" x14ac:dyDescent="0.25">
      <c r="A14189" t="str">
        <f t="shared" si="330"/>
        <v>89301000</v>
      </c>
      <c r="B14189" t="str">
        <f>"8851275774"</f>
        <v>8851275774</v>
      </c>
      <c r="C14189" s="1">
        <v>45260</v>
      </c>
      <c r="D14189" s="1">
        <v>45263</v>
      </c>
      <c r="E14189">
        <v>1</v>
      </c>
      <c r="F14189" t="str">
        <f>"14-M01-05"</f>
        <v>14-M01-05</v>
      </c>
      <c r="G14189">
        <v>0.56289999999999996</v>
      </c>
      <c r="H14189" t="s">
        <v>13</v>
      </c>
      <c r="I14189" t="s">
        <v>10</v>
      </c>
    </row>
    <row r="14190" spans="1:9" x14ac:dyDescent="0.25">
      <c r="A14190" t="str">
        <f t="shared" si="330"/>
        <v>89301000</v>
      </c>
      <c r="B14190" t="str">
        <f>"8851295772"</f>
        <v>8851295772</v>
      </c>
      <c r="C14190" s="1">
        <v>45252</v>
      </c>
      <c r="D14190" s="1">
        <v>45254</v>
      </c>
      <c r="E14190">
        <v>1</v>
      </c>
      <c r="F14190" t="str">
        <f>"03-I24-00"</f>
        <v>03-I24-00</v>
      </c>
      <c r="G14190">
        <v>0.40670000000000001</v>
      </c>
      <c r="H14190" t="s">
        <v>11</v>
      </c>
      <c r="I14190" t="s">
        <v>10</v>
      </c>
    </row>
    <row r="14191" spans="1:9" x14ac:dyDescent="0.25">
      <c r="A14191" t="str">
        <f t="shared" si="330"/>
        <v>89301000</v>
      </c>
      <c r="B14191" t="str">
        <f>"8851301448"</f>
        <v>8851301448</v>
      </c>
      <c r="C14191" s="1">
        <v>45050</v>
      </c>
      <c r="D14191" s="1">
        <v>45058</v>
      </c>
      <c r="E14191">
        <v>1</v>
      </c>
      <c r="F14191" t="str">
        <f>"14-I01-02"</f>
        <v>14-I01-02</v>
      </c>
      <c r="G14191">
        <v>1.2988999999999999</v>
      </c>
      <c r="H14191" t="s">
        <v>13</v>
      </c>
      <c r="I14191" t="s">
        <v>10</v>
      </c>
    </row>
    <row r="14192" spans="1:9" x14ac:dyDescent="0.25">
      <c r="A14192" t="str">
        <f t="shared" si="330"/>
        <v>89301000</v>
      </c>
      <c r="B14192" t="str">
        <f>"8852115789"</f>
        <v>8852115789</v>
      </c>
      <c r="C14192" s="1">
        <v>45233</v>
      </c>
      <c r="D14192" s="1">
        <v>45238</v>
      </c>
      <c r="E14192">
        <v>1</v>
      </c>
      <c r="F14192" t="str">
        <f>"14-I01-02"</f>
        <v>14-I01-02</v>
      </c>
      <c r="G14192">
        <v>1.2988999999999999</v>
      </c>
      <c r="H14192" t="s">
        <v>13</v>
      </c>
      <c r="I14192" t="s">
        <v>10</v>
      </c>
    </row>
    <row r="14193" spans="1:9" x14ac:dyDescent="0.25">
      <c r="A14193" t="str">
        <f t="shared" si="330"/>
        <v>89301000</v>
      </c>
      <c r="B14193" t="str">
        <f>"8852215779"</f>
        <v>8852215779</v>
      </c>
      <c r="C14193" s="1">
        <v>45152</v>
      </c>
      <c r="D14193" s="1">
        <v>45153</v>
      </c>
      <c r="E14193">
        <v>1</v>
      </c>
      <c r="F14193" t="str">
        <f>"08-I17-02"</f>
        <v>08-I17-02</v>
      </c>
      <c r="G14193">
        <v>0.89680000000000004</v>
      </c>
      <c r="H14193" t="s">
        <v>11</v>
      </c>
      <c r="I14193" t="s">
        <v>10</v>
      </c>
    </row>
    <row r="14194" spans="1:9" x14ac:dyDescent="0.25">
      <c r="A14194" t="str">
        <f t="shared" si="330"/>
        <v>89301000</v>
      </c>
      <c r="B14194" t="str">
        <f>"8852223842"</f>
        <v>8852223842</v>
      </c>
      <c r="C14194" s="1">
        <v>45267</v>
      </c>
      <c r="D14194" s="1">
        <v>45269</v>
      </c>
      <c r="E14194">
        <v>1</v>
      </c>
      <c r="F14194" t="str">
        <f>"14-M01-05"</f>
        <v>14-M01-05</v>
      </c>
      <c r="G14194">
        <v>0.56589999999999996</v>
      </c>
      <c r="H14194" t="s">
        <v>13</v>
      </c>
      <c r="I14194" t="s">
        <v>10</v>
      </c>
    </row>
    <row r="14195" spans="1:9" x14ac:dyDescent="0.25">
      <c r="A14195" t="str">
        <f t="shared" si="330"/>
        <v>89301000</v>
      </c>
      <c r="B14195" t="str">
        <f>"8852245787"</f>
        <v>8852245787</v>
      </c>
      <c r="C14195" s="1">
        <v>45039</v>
      </c>
      <c r="D14195" s="1">
        <v>45044</v>
      </c>
      <c r="E14195">
        <v>1</v>
      </c>
      <c r="F14195" t="str">
        <f>"06-I17-04"</f>
        <v>06-I17-04</v>
      </c>
      <c r="G14195">
        <v>0.49869999999999998</v>
      </c>
      <c r="H14195" t="s">
        <v>12</v>
      </c>
      <c r="I14195" t="s">
        <v>10</v>
      </c>
    </row>
    <row r="14196" spans="1:9" x14ac:dyDescent="0.25">
      <c r="A14196" t="str">
        <f t="shared" si="330"/>
        <v>89301000</v>
      </c>
      <c r="B14196" t="str">
        <f>"8853165442"</f>
        <v>8853165442</v>
      </c>
      <c r="C14196" s="1">
        <v>45134</v>
      </c>
      <c r="D14196" s="1">
        <v>45138</v>
      </c>
      <c r="E14196">
        <v>1</v>
      </c>
      <c r="F14196" t="str">
        <f>"14-M01-05"</f>
        <v>14-M01-05</v>
      </c>
      <c r="G14196">
        <v>0.56589999999999996</v>
      </c>
      <c r="H14196" t="s">
        <v>13</v>
      </c>
      <c r="I14196" t="s">
        <v>10</v>
      </c>
    </row>
    <row r="14197" spans="1:9" x14ac:dyDescent="0.25">
      <c r="A14197" t="str">
        <f t="shared" si="330"/>
        <v>89301000</v>
      </c>
      <c r="B14197" t="str">
        <f>"8853174682"</f>
        <v>8853174682</v>
      </c>
      <c r="C14197" s="1">
        <v>45251</v>
      </c>
      <c r="D14197" s="1">
        <v>45256</v>
      </c>
      <c r="E14197">
        <v>1</v>
      </c>
      <c r="F14197" t="str">
        <f>"01-I11-01"</f>
        <v>01-I11-01</v>
      </c>
      <c r="G14197">
        <v>0.96650000000000003</v>
      </c>
      <c r="H14197" t="s">
        <v>12</v>
      </c>
      <c r="I14197" t="s">
        <v>10</v>
      </c>
    </row>
    <row r="14198" spans="1:9" x14ac:dyDescent="0.25">
      <c r="A14198" t="str">
        <f t="shared" si="330"/>
        <v>89301000</v>
      </c>
      <c r="B14198" t="str">
        <f>"8853174682"</f>
        <v>8853174682</v>
      </c>
      <c r="C14198" s="1">
        <v>44935</v>
      </c>
      <c r="D14198" s="1">
        <v>44937</v>
      </c>
      <c r="E14198">
        <v>1</v>
      </c>
      <c r="F14198" t="str">
        <f>"10-K15-02"</f>
        <v>10-K15-02</v>
      </c>
      <c r="G14198">
        <v>0.66379999999999995</v>
      </c>
      <c r="H14198" t="s">
        <v>11</v>
      </c>
      <c r="I14198" t="s">
        <v>10</v>
      </c>
    </row>
    <row r="14199" spans="1:9" x14ac:dyDescent="0.25">
      <c r="A14199" t="str">
        <f t="shared" si="330"/>
        <v>89301000</v>
      </c>
      <c r="B14199" t="str">
        <f>"8853215789"</f>
        <v>8853215789</v>
      </c>
      <c r="C14199" s="1">
        <v>45028</v>
      </c>
      <c r="D14199" s="1">
        <v>45031</v>
      </c>
      <c r="E14199">
        <v>1</v>
      </c>
      <c r="F14199" t="str">
        <f>"13-I14-03"</f>
        <v>13-I14-03</v>
      </c>
      <c r="G14199">
        <v>0.69769999999999999</v>
      </c>
      <c r="H14199" t="s">
        <v>9</v>
      </c>
      <c r="I14199" t="s">
        <v>10</v>
      </c>
    </row>
    <row r="14200" spans="1:9" x14ac:dyDescent="0.25">
      <c r="A14200" t="str">
        <f t="shared" si="330"/>
        <v>89301000</v>
      </c>
      <c r="B14200" t="str">
        <f>"8853224908"</f>
        <v>8853224908</v>
      </c>
      <c r="C14200" s="1">
        <v>45048</v>
      </c>
      <c r="D14200" s="1">
        <v>45052</v>
      </c>
      <c r="E14200">
        <v>1</v>
      </c>
      <c r="F14200" t="str">
        <f>"14-I01-05"</f>
        <v>14-I01-05</v>
      </c>
      <c r="G14200">
        <v>0.83</v>
      </c>
      <c r="H14200" t="s">
        <v>13</v>
      </c>
      <c r="I14200" t="s">
        <v>10</v>
      </c>
    </row>
    <row r="14201" spans="1:9" x14ac:dyDescent="0.25">
      <c r="A14201" t="str">
        <f t="shared" si="330"/>
        <v>89301000</v>
      </c>
      <c r="B14201" t="str">
        <f>"8854206229"</f>
        <v>8854206229</v>
      </c>
      <c r="C14201" s="1">
        <v>44998</v>
      </c>
      <c r="D14201" s="1">
        <v>45002</v>
      </c>
      <c r="E14201">
        <v>1</v>
      </c>
      <c r="F14201" t="str">
        <f>"13-I14-03"</f>
        <v>13-I14-03</v>
      </c>
      <c r="G14201">
        <v>0.87760000000000005</v>
      </c>
      <c r="H14201" t="s">
        <v>9</v>
      </c>
      <c r="I14201" t="s">
        <v>10</v>
      </c>
    </row>
    <row r="14202" spans="1:9" x14ac:dyDescent="0.25">
      <c r="A14202" t="str">
        <f t="shared" si="330"/>
        <v>89301000</v>
      </c>
      <c r="B14202" t="str">
        <f>"8854235775"</f>
        <v>8854235775</v>
      </c>
      <c r="C14202" s="1">
        <v>44987</v>
      </c>
      <c r="D14202" s="1">
        <v>44992</v>
      </c>
      <c r="E14202">
        <v>1</v>
      </c>
      <c r="F14202" t="str">
        <f>"14-M01-05"</f>
        <v>14-M01-05</v>
      </c>
      <c r="G14202">
        <v>0.56289999999999996</v>
      </c>
      <c r="H14202" t="s">
        <v>13</v>
      </c>
      <c r="I14202" t="s">
        <v>10</v>
      </c>
    </row>
    <row r="14203" spans="1:9" x14ac:dyDescent="0.25">
      <c r="A14203" t="str">
        <f t="shared" si="330"/>
        <v>89301000</v>
      </c>
      <c r="B14203" t="str">
        <f>"8854285803"</f>
        <v>8854285803</v>
      </c>
      <c r="C14203" s="1">
        <v>44951</v>
      </c>
      <c r="D14203" s="1">
        <v>44954</v>
      </c>
      <c r="E14203">
        <v>1</v>
      </c>
      <c r="F14203" t="str">
        <f>"14-M01-05"</f>
        <v>14-M01-05</v>
      </c>
      <c r="G14203">
        <v>0.56289999999999996</v>
      </c>
      <c r="H14203" t="s">
        <v>13</v>
      </c>
      <c r="I14203" t="s">
        <v>10</v>
      </c>
    </row>
    <row r="14204" spans="1:9" x14ac:dyDescent="0.25">
      <c r="A14204" t="str">
        <f t="shared" si="330"/>
        <v>89301000</v>
      </c>
      <c r="B14204" t="str">
        <f>"8854305768"</f>
        <v>8854305768</v>
      </c>
      <c r="C14204" s="1">
        <v>45189</v>
      </c>
      <c r="D14204" s="1">
        <v>45194</v>
      </c>
      <c r="E14204">
        <v>1</v>
      </c>
      <c r="F14204" t="str">
        <f>"09-I09-04"</f>
        <v>09-I09-04</v>
      </c>
      <c r="G14204">
        <v>1.0284</v>
      </c>
      <c r="H14204" t="s">
        <v>12</v>
      </c>
      <c r="I14204" t="s">
        <v>10</v>
      </c>
    </row>
    <row r="14205" spans="1:9" x14ac:dyDescent="0.25">
      <c r="A14205" t="str">
        <f t="shared" si="330"/>
        <v>89301000</v>
      </c>
      <c r="B14205" t="str">
        <f>"8855025795"</f>
        <v>8855025795</v>
      </c>
      <c r="C14205" s="1">
        <v>44992</v>
      </c>
      <c r="D14205" s="1">
        <v>44996</v>
      </c>
      <c r="E14205">
        <v>1</v>
      </c>
      <c r="F14205" t="str">
        <f>"14-M01-05"</f>
        <v>14-M01-05</v>
      </c>
      <c r="G14205">
        <v>0.56289999999999996</v>
      </c>
      <c r="H14205" t="s">
        <v>13</v>
      </c>
      <c r="I14205" t="s">
        <v>10</v>
      </c>
    </row>
    <row r="14206" spans="1:9" x14ac:dyDescent="0.25">
      <c r="A14206" t="str">
        <f t="shared" si="330"/>
        <v>89301000</v>
      </c>
      <c r="B14206" t="str">
        <f>"8855026224"</f>
        <v>8855026224</v>
      </c>
      <c r="C14206" s="1">
        <v>44966</v>
      </c>
      <c r="D14206" s="1">
        <v>44967</v>
      </c>
      <c r="E14206">
        <v>1</v>
      </c>
      <c r="F14206" t="str">
        <f>"01-D01-03"</f>
        <v>01-D01-03</v>
      </c>
      <c r="G14206">
        <v>0.16200000000000001</v>
      </c>
      <c r="H14206" t="s">
        <v>11</v>
      </c>
      <c r="I14206" t="s">
        <v>10</v>
      </c>
    </row>
    <row r="14207" spans="1:9" x14ac:dyDescent="0.25">
      <c r="A14207" t="str">
        <f t="shared" si="330"/>
        <v>89301000</v>
      </c>
      <c r="B14207" t="str">
        <f t="shared" ref="B14207:B14217" si="331">"8855035838"</f>
        <v>8855035838</v>
      </c>
      <c r="C14207" s="1">
        <v>45055</v>
      </c>
      <c r="D14207" s="1">
        <v>45056</v>
      </c>
      <c r="E14207">
        <v>1</v>
      </c>
      <c r="F14207" t="str">
        <f>"11-K01-02"</f>
        <v>11-K01-02</v>
      </c>
      <c r="G14207">
        <v>0.58750000000000002</v>
      </c>
      <c r="H14207" t="s">
        <v>11</v>
      </c>
      <c r="I14207" t="s">
        <v>10</v>
      </c>
    </row>
    <row r="14208" spans="1:9" x14ac:dyDescent="0.25">
      <c r="A14208" t="str">
        <f t="shared" si="330"/>
        <v>89301000</v>
      </c>
      <c r="B14208" t="str">
        <f t="shared" si="331"/>
        <v>8855035838</v>
      </c>
      <c r="C14208" s="1">
        <v>45021</v>
      </c>
      <c r="D14208" s="1">
        <v>45022</v>
      </c>
      <c r="E14208">
        <v>1</v>
      </c>
      <c r="F14208" t="str">
        <f>"08-K01-03"</f>
        <v>08-K01-03</v>
      </c>
      <c r="G14208">
        <v>0.59189999999999998</v>
      </c>
      <c r="H14208" t="s">
        <v>11</v>
      </c>
      <c r="I14208" t="s">
        <v>10</v>
      </c>
    </row>
    <row r="14209" spans="1:9" x14ac:dyDescent="0.25">
      <c r="A14209" t="str">
        <f t="shared" si="330"/>
        <v>89301000</v>
      </c>
      <c r="B14209" t="str">
        <f t="shared" si="331"/>
        <v>8855035838</v>
      </c>
      <c r="C14209" s="1">
        <v>44979</v>
      </c>
      <c r="D14209" s="1">
        <v>44980</v>
      </c>
      <c r="E14209">
        <v>1</v>
      </c>
      <c r="F14209" t="str">
        <f>"08-C04-02"</f>
        <v>08-C04-02</v>
      </c>
      <c r="G14209">
        <v>0.28699999999999998</v>
      </c>
      <c r="H14209" t="s">
        <v>11</v>
      </c>
      <c r="I14209" t="s">
        <v>10</v>
      </c>
    </row>
    <row r="14210" spans="1:9" x14ac:dyDescent="0.25">
      <c r="A14210" t="str">
        <f t="shared" si="330"/>
        <v>89301000</v>
      </c>
      <c r="B14210" t="str">
        <f t="shared" si="331"/>
        <v>8855035838</v>
      </c>
      <c r="C14210" s="1">
        <v>44923</v>
      </c>
      <c r="D14210" s="1">
        <v>44951</v>
      </c>
      <c r="E14210">
        <v>1</v>
      </c>
      <c r="F14210" t="str">
        <f>"11-M02-04"</f>
        <v>11-M02-04</v>
      </c>
      <c r="G14210">
        <v>4.0850999999999997</v>
      </c>
      <c r="H14210" t="s">
        <v>11</v>
      </c>
      <c r="I14210" t="s">
        <v>10</v>
      </c>
    </row>
    <row r="14211" spans="1:9" x14ac:dyDescent="0.25">
      <c r="A14211" t="str">
        <f t="shared" si="330"/>
        <v>89301000</v>
      </c>
      <c r="B14211" t="str">
        <f t="shared" si="331"/>
        <v>8855035838</v>
      </c>
      <c r="C14211" s="1">
        <v>45084</v>
      </c>
      <c r="D14211" s="1">
        <v>45085</v>
      </c>
      <c r="E14211">
        <v>1</v>
      </c>
      <c r="F14211" t="str">
        <f>"11-K01-02"</f>
        <v>11-K01-02</v>
      </c>
      <c r="G14211">
        <v>0.58750000000000002</v>
      </c>
      <c r="H14211" t="s">
        <v>11</v>
      </c>
      <c r="I14211" t="s">
        <v>10</v>
      </c>
    </row>
    <row r="14212" spans="1:9" x14ac:dyDescent="0.25">
      <c r="A14212" t="str">
        <f t="shared" si="330"/>
        <v>89301000</v>
      </c>
      <c r="B14212" t="str">
        <f t="shared" si="331"/>
        <v>8855035838</v>
      </c>
      <c r="C14212" s="1">
        <v>45126</v>
      </c>
      <c r="D14212" s="1">
        <v>45127</v>
      </c>
      <c r="E14212">
        <v>1</v>
      </c>
      <c r="F14212" t="str">
        <f>"08-K01-01"</f>
        <v>08-K01-01</v>
      </c>
      <c r="G14212">
        <v>0.79090000000000005</v>
      </c>
      <c r="H14212" t="s">
        <v>11</v>
      </c>
      <c r="I14212" t="s">
        <v>10</v>
      </c>
    </row>
    <row r="14213" spans="1:9" x14ac:dyDescent="0.25">
      <c r="A14213" t="str">
        <f t="shared" si="330"/>
        <v>89301000</v>
      </c>
      <c r="B14213" t="str">
        <f t="shared" si="331"/>
        <v>8855035838</v>
      </c>
      <c r="C14213" s="1">
        <v>45147</v>
      </c>
      <c r="D14213" s="1">
        <v>45148</v>
      </c>
      <c r="E14213">
        <v>1</v>
      </c>
      <c r="F14213" t="str">
        <f>"08-C04-02"</f>
        <v>08-C04-02</v>
      </c>
      <c r="G14213">
        <v>0.28699999999999998</v>
      </c>
      <c r="H14213" t="s">
        <v>11</v>
      </c>
      <c r="I14213" t="s">
        <v>10</v>
      </c>
    </row>
    <row r="14214" spans="1:9" x14ac:dyDescent="0.25">
      <c r="A14214" t="str">
        <f t="shared" si="330"/>
        <v>89301000</v>
      </c>
      <c r="B14214" t="str">
        <f t="shared" si="331"/>
        <v>8855035838</v>
      </c>
      <c r="C14214" s="1">
        <v>45205</v>
      </c>
      <c r="D14214" s="1">
        <v>45232</v>
      </c>
      <c r="E14214">
        <v>1</v>
      </c>
      <c r="F14214" t="str">
        <f>"11-M02-01"</f>
        <v>11-M02-01</v>
      </c>
      <c r="G14214">
        <v>6.0003000000000002</v>
      </c>
      <c r="H14214" t="s">
        <v>11</v>
      </c>
      <c r="I14214" t="s">
        <v>10</v>
      </c>
    </row>
    <row r="14215" spans="1:9" x14ac:dyDescent="0.25">
      <c r="A14215" t="str">
        <f t="shared" si="330"/>
        <v>89301000</v>
      </c>
      <c r="B14215" t="str">
        <f t="shared" si="331"/>
        <v>8855035838</v>
      </c>
      <c r="C14215" s="1">
        <v>45250</v>
      </c>
      <c r="D14215" s="1">
        <v>45260</v>
      </c>
      <c r="E14215">
        <v>1</v>
      </c>
      <c r="F14215" t="str">
        <f>"08-C04-02"</f>
        <v>08-C04-02</v>
      </c>
      <c r="G14215">
        <v>0.4012</v>
      </c>
      <c r="H14215" t="s">
        <v>11</v>
      </c>
      <c r="I14215" t="s">
        <v>10</v>
      </c>
    </row>
    <row r="14216" spans="1:9" x14ac:dyDescent="0.25">
      <c r="A14216" t="str">
        <f t="shared" si="330"/>
        <v>89301000</v>
      </c>
      <c r="B14216" t="str">
        <f t="shared" si="331"/>
        <v>8855035838</v>
      </c>
      <c r="C14216" s="1">
        <v>45271</v>
      </c>
      <c r="D14216" s="1">
        <v>45279</v>
      </c>
      <c r="E14216">
        <v>1</v>
      </c>
      <c r="F14216" t="str">
        <f>"08-C01-02"</f>
        <v>08-C01-02</v>
      </c>
      <c r="G14216">
        <v>3.4655999999999998</v>
      </c>
      <c r="H14216" t="s">
        <v>11</v>
      </c>
      <c r="I14216" t="s">
        <v>10</v>
      </c>
    </row>
    <row r="14217" spans="1:9" x14ac:dyDescent="0.25">
      <c r="A14217" t="str">
        <f t="shared" si="330"/>
        <v>89301000</v>
      </c>
      <c r="B14217" t="str">
        <f t="shared" si="331"/>
        <v>8855035838</v>
      </c>
      <c r="C14217" s="1">
        <v>45181</v>
      </c>
      <c r="D14217" s="1">
        <v>45198</v>
      </c>
      <c r="E14217">
        <v>1</v>
      </c>
      <c r="F14217" t="str">
        <f>"08-K01-01"</f>
        <v>08-K01-01</v>
      </c>
      <c r="G14217">
        <v>1.5348999999999999</v>
      </c>
      <c r="H14217" t="s">
        <v>11</v>
      </c>
      <c r="I14217" t="s">
        <v>10</v>
      </c>
    </row>
    <row r="14218" spans="1:9" x14ac:dyDescent="0.25">
      <c r="A14218" t="str">
        <f t="shared" si="330"/>
        <v>89301000</v>
      </c>
      <c r="B14218" t="str">
        <f>"8855056210"</f>
        <v>8855056210</v>
      </c>
      <c r="C14218" s="1">
        <v>45054</v>
      </c>
      <c r="D14218" s="1">
        <v>45058</v>
      </c>
      <c r="E14218">
        <v>1</v>
      </c>
      <c r="F14218" t="str">
        <f>"14-I01-05"</f>
        <v>14-I01-05</v>
      </c>
      <c r="G14218">
        <v>0.83340000000000003</v>
      </c>
      <c r="H14218" t="s">
        <v>13</v>
      </c>
      <c r="I14218" t="s">
        <v>10</v>
      </c>
    </row>
    <row r="14219" spans="1:9" x14ac:dyDescent="0.25">
      <c r="A14219" t="str">
        <f t="shared" si="330"/>
        <v>89301000</v>
      </c>
      <c r="B14219" t="str">
        <f>"8855065791"</f>
        <v>8855065791</v>
      </c>
      <c r="C14219" s="1">
        <v>44977</v>
      </c>
      <c r="D14219" s="1">
        <v>44979</v>
      </c>
      <c r="E14219">
        <v>1</v>
      </c>
      <c r="F14219" t="str">
        <f>"13-I14-03"</f>
        <v>13-I14-03</v>
      </c>
      <c r="G14219">
        <v>0.87760000000000005</v>
      </c>
      <c r="H14219" t="s">
        <v>9</v>
      </c>
      <c r="I14219" t="s">
        <v>10</v>
      </c>
    </row>
    <row r="14220" spans="1:9" x14ac:dyDescent="0.25">
      <c r="A14220" t="str">
        <f t="shared" si="330"/>
        <v>89301000</v>
      </c>
      <c r="B14220" t="str">
        <f>"8855085767"</f>
        <v>8855085767</v>
      </c>
      <c r="C14220" s="1">
        <v>45200</v>
      </c>
      <c r="D14220" s="1">
        <v>45204</v>
      </c>
      <c r="E14220">
        <v>1</v>
      </c>
      <c r="F14220" t="str">
        <f>"14-M01-05"</f>
        <v>14-M01-05</v>
      </c>
      <c r="G14220">
        <v>0.56289999999999996</v>
      </c>
      <c r="H14220" t="s">
        <v>13</v>
      </c>
      <c r="I14220" t="s">
        <v>10</v>
      </c>
    </row>
    <row r="14221" spans="1:9" x14ac:dyDescent="0.25">
      <c r="A14221" t="str">
        <f t="shared" si="330"/>
        <v>89301000</v>
      </c>
      <c r="B14221" t="str">
        <f>"8855105787"</f>
        <v>8855105787</v>
      </c>
      <c r="C14221" s="1">
        <v>45119</v>
      </c>
      <c r="D14221" s="1">
        <v>45123</v>
      </c>
      <c r="E14221">
        <v>1</v>
      </c>
      <c r="F14221" t="str">
        <f>"14-M01-02"</f>
        <v>14-M01-02</v>
      </c>
      <c r="G14221">
        <v>0.80049999999999999</v>
      </c>
      <c r="H14221" t="s">
        <v>13</v>
      </c>
      <c r="I14221" t="s">
        <v>10</v>
      </c>
    </row>
    <row r="14222" spans="1:9" x14ac:dyDescent="0.25">
      <c r="A14222" t="str">
        <f t="shared" si="330"/>
        <v>89301000</v>
      </c>
      <c r="B14222" t="str">
        <f>"8855144914"</f>
        <v>8855144914</v>
      </c>
      <c r="C14222" s="1">
        <v>45181</v>
      </c>
      <c r="D14222" s="1">
        <v>45185</v>
      </c>
      <c r="E14222">
        <v>1</v>
      </c>
      <c r="F14222" t="str">
        <f>"14-I01-01"</f>
        <v>14-I01-01</v>
      </c>
      <c r="G14222">
        <v>1.6020000000000001</v>
      </c>
      <c r="H14222" t="s">
        <v>13</v>
      </c>
      <c r="I14222" t="s">
        <v>10</v>
      </c>
    </row>
    <row r="14223" spans="1:9" x14ac:dyDescent="0.25">
      <c r="A14223" t="str">
        <f t="shared" si="330"/>
        <v>89301000</v>
      </c>
      <c r="B14223" t="str">
        <f>"8855144914"</f>
        <v>8855144914</v>
      </c>
      <c r="C14223" s="1">
        <v>45128</v>
      </c>
      <c r="D14223" s="1">
        <v>45139</v>
      </c>
      <c r="E14223">
        <v>1</v>
      </c>
      <c r="F14223" t="str">
        <f>"14-K03-01"</f>
        <v>14-K03-01</v>
      </c>
      <c r="G14223">
        <v>0.54159999999999997</v>
      </c>
      <c r="H14223" t="s">
        <v>11</v>
      </c>
      <c r="I14223" t="s">
        <v>10</v>
      </c>
    </row>
    <row r="14224" spans="1:9" x14ac:dyDescent="0.25">
      <c r="A14224" t="str">
        <f t="shared" ref="A14224:A14285" si="332">"89301000"</f>
        <v>89301000</v>
      </c>
      <c r="B14224" t="str">
        <f>"8855214929"</f>
        <v>8855214929</v>
      </c>
      <c r="C14224" s="1">
        <v>44981</v>
      </c>
      <c r="D14224" s="1">
        <v>44991</v>
      </c>
      <c r="E14224">
        <v>1</v>
      </c>
      <c r="F14224" t="str">
        <f>"04-K05-02"</f>
        <v>04-K05-02</v>
      </c>
      <c r="G14224">
        <v>1.4463999999999999</v>
      </c>
      <c r="H14224" t="s">
        <v>11</v>
      </c>
      <c r="I14224" t="s">
        <v>10</v>
      </c>
    </row>
    <row r="14225" spans="1:9" x14ac:dyDescent="0.25">
      <c r="A14225" t="str">
        <f t="shared" si="332"/>
        <v>89301000</v>
      </c>
      <c r="B14225" t="str">
        <f>"8855272019"</f>
        <v>8855272019</v>
      </c>
      <c r="C14225" s="1">
        <v>45124</v>
      </c>
      <c r="D14225" s="1">
        <v>45125</v>
      </c>
      <c r="E14225">
        <v>1</v>
      </c>
      <c r="F14225" t="str">
        <f>"23-K03-01"</f>
        <v>23-K03-01</v>
      </c>
      <c r="G14225">
        <v>0.74009999999999998</v>
      </c>
      <c r="H14225" t="s">
        <v>11</v>
      </c>
      <c r="I14225" t="s">
        <v>10</v>
      </c>
    </row>
    <row r="14226" spans="1:9" x14ac:dyDescent="0.25">
      <c r="A14226" t="str">
        <f t="shared" si="332"/>
        <v>89301000</v>
      </c>
      <c r="B14226" t="str">
        <f>"8856075767"</f>
        <v>8856075767</v>
      </c>
      <c r="C14226" s="1">
        <v>45078</v>
      </c>
      <c r="D14226" s="1">
        <v>45081</v>
      </c>
      <c r="E14226">
        <v>1</v>
      </c>
      <c r="F14226" t="str">
        <f>"14-M01-05"</f>
        <v>14-M01-05</v>
      </c>
      <c r="G14226">
        <v>0.56289999999999996</v>
      </c>
      <c r="H14226" t="s">
        <v>13</v>
      </c>
      <c r="I14226" t="s">
        <v>10</v>
      </c>
    </row>
    <row r="14227" spans="1:9" x14ac:dyDescent="0.25">
      <c r="A14227" t="str">
        <f t="shared" si="332"/>
        <v>89301000</v>
      </c>
      <c r="B14227" t="str">
        <f>"8856245794"</f>
        <v>8856245794</v>
      </c>
      <c r="C14227" s="1">
        <v>45139</v>
      </c>
      <c r="D14227" s="1">
        <v>45142</v>
      </c>
      <c r="E14227">
        <v>1</v>
      </c>
      <c r="F14227" t="str">
        <f>"14-M01-05"</f>
        <v>14-M01-05</v>
      </c>
      <c r="G14227">
        <v>0.56289999999999996</v>
      </c>
      <c r="H14227" t="s">
        <v>13</v>
      </c>
      <c r="I14227" t="s">
        <v>10</v>
      </c>
    </row>
    <row r="14228" spans="1:9" x14ac:dyDescent="0.25">
      <c r="A14228" t="str">
        <f t="shared" si="332"/>
        <v>89301000</v>
      </c>
      <c r="B14228" t="str">
        <f>"8857046209"</f>
        <v>8857046209</v>
      </c>
      <c r="C14228" s="1">
        <v>45257</v>
      </c>
      <c r="D14228" s="1">
        <v>45268</v>
      </c>
      <c r="E14228">
        <v>1</v>
      </c>
      <c r="F14228" t="str">
        <f>"24-M06-01"</f>
        <v>24-M06-01</v>
      </c>
      <c r="G14228">
        <v>1.1990000000000001</v>
      </c>
      <c r="H14228" t="s">
        <v>11</v>
      </c>
      <c r="I14228" t="s">
        <v>10</v>
      </c>
    </row>
    <row r="14229" spans="1:9" x14ac:dyDescent="0.25">
      <c r="A14229" t="str">
        <f t="shared" si="332"/>
        <v>89301000</v>
      </c>
      <c r="B14229" t="str">
        <f>"8857046209"</f>
        <v>8857046209</v>
      </c>
      <c r="C14229" s="1">
        <v>45251</v>
      </c>
      <c r="D14229" s="1">
        <v>45257</v>
      </c>
      <c r="E14229">
        <v>3</v>
      </c>
      <c r="F14229" t="str">
        <f>"01-I06-04"</f>
        <v>01-I06-04</v>
      </c>
      <c r="G14229">
        <v>3.6478999999999999</v>
      </c>
      <c r="H14229" t="s">
        <v>12</v>
      </c>
      <c r="I14229" t="s">
        <v>10</v>
      </c>
    </row>
    <row r="14230" spans="1:9" x14ac:dyDescent="0.25">
      <c r="A14230" t="str">
        <f t="shared" si="332"/>
        <v>89301000</v>
      </c>
      <c r="B14230" t="str">
        <f>"8857125497"</f>
        <v>8857125497</v>
      </c>
      <c r="C14230" s="1">
        <v>45119</v>
      </c>
      <c r="D14230" s="1">
        <v>45124</v>
      </c>
      <c r="E14230">
        <v>4</v>
      </c>
      <c r="F14230" t="str">
        <f>"19-K03-03"</f>
        <v>19-K03-03</v>
      </c>
      <c r="G14230">
        <v>0.90410000000000001</v>
      </c>
      <c r="H14230" t="s">
        <v>15</v>
      </c>
      <c r="I14230" t="s">
        <v>10</v>
      </c>
    </row>
    <row r="14231" spans="1:9" x14ac:dyDescent="0.25">
      <c r="A14231" t="str">
        <f t="shared" si="332"/>
        <v>89301000</v>
      </c>
      <c r="B14231" t="str">
        <f>"8857125772"</f>
        <v>8857125772</v>
      </c>
      <c r="C14231" s="1">
        <v>45202</v>
      </c>
      <c r="D14231" s="1">
        <v>45206</v>
      </c>
      <c r="E14231">
        <v>1</v>
      </c>
      <c r="F14231" t="str">
        <f>"16-I04-01"</f>
        <v>16-I04-01</v>
      </c>
      <c r="G14231">
        <v>0.95879999999999999</v>
      </c>
      <c r="H14231" t="s">
        <v>12</v>
      </c>
      <c r="I14231" t="s">
        <v>10</v>
      </c>
    </row>
    <row r="14232" spans="1:9" x14ac:dyDescent="0.25">
      <c r="A14232" t="str">
        <f t="shared" si="332"/>
        <v>89301000</v>
      </c>
      <c r="B14232" t="str">
        <f>"8857135837"</f>
        <v>8857135837</v>
      </c>
      <c r="C14232" s="1">
        <v>45002</v>
      </c>
      <c r="D14232" s="1">
        <v>45005</v>
      </c>
      <c r="E14232">
        <v>1</v>
      </c>
      <c r="F14232" t="str">
        <f>"14-K05-01"</f>
        <v>14-K05-01</v>
      </c>
      <c r="G14232">
        <v>0.26</v>
      </c>
      <c r="H14232" t="s">
        <v>11</v>
      </c>
      <c r="I14232" t="s">
        <v>10</v>
      </c>
    </row>
    <row r="14233" spans="1:9" x14ac:dyDescent="0.25">
      <c r="A14233" t="str">
        <f t="shared" si="332"/>
        <v>89301000</v>
      </c>
      <c r="B14233" t="str">
        <f>"8857235794"</f>
        <v>8857235794</v>
      </c>
      <c r="C14233" s="1">
        <v>45212</v>
      </c>
      <c r="D14233" s="1">
        <v>45223</v>
      </c>
      <c r="E14233">
        <v>1</v>
      </c>
      <c r="F14233" t="str">
        <f>"14-I01-01"</f>
        <v>14-I01-01</v>
      </c>
      <c r="G14233">
        <v>1.5657000000000001</v>
      </c>
      <c r="H14233" t="s">
        <v>13</v>
      </c>
      <c r="I14233" t="s">
        <v>10</v>
      </c>
    </row>
    <row r="14234" spans="1:9" x14ac:dyDescent="0.25">
      <c r="A14234" t="str">
        <f t="shared" si="332"/>
        <v>89301000</v>
      </c>
      <c r="B14234" t="str">
        <f>"8857255825"</f>
        <v>8857255825</v>
      </c>
      <c r="C14234" s="1">
        <v>45177</v>
      </c>
      <c r="D14234" s="1">
        <v>45181</v>
      </c>
      <c r="E14234">
        <v>1</v>
      </c>
      <c r="F14234" t="str">
        <f>"14-M01-05"</f>
        <v>14-M01-05</v>
      </c>
      <c r="G14234">
        <v>0.56289999999999996</v>
      </c>
      <c r="H14234" t="s">
        <v>13</v>
      </c>
      <c r="I14234" t="s">
        <v>10</v>
      </c>
    </row>
    <row r="14235" spans="1:9" x14ac:dyDescent="0.25">
      <c r="A14235" t="str">
        <f t="shared" si="332"/>
        <v>89301000</v>
      </c>
      <c r="B14235" t="str">
        <f>"8857275801"</f>
        <v>8857275801</v>
      </c>
      <c r="C14235" s="1">
        <v>44939</v>
      </c>
      <c r="D14235" s="1">
        <v>44940</v>
      </c>
      <c r="E14235">
        <v>1</v>
      </c>
      <c r="F14235" t="str">
        <f>"14-M01-05"</f>
        <v>14-M01-05</v>
      </c>
      <c r="G14235">
        <v>0.56289999999999996</v>
      </c>
      <c r="H14235" t="s">
        <v>13</v>
      </c>
      <c r="I14235" t="s">
        <v>10</v>
      </c>
    </row>
    <row r="14236" spans="1:9" x14ac:dyDescent="0.25">
      <c r="A14236" t="str">
        <f t="shared" si="332"/>
        <v>89301000</v>
      </c>
      <c r="B14236" t="str">
        <f>"8857276054"</f>
        <v>8857276054</v>
      </c>
      <c r="C14236" s="1">
        <v>44969</v>
      </c>
      <c r="D14236" s="1">
        <v>44974</v>
      </c>
      <c r="E14236">
        <v>1</v>
      </c>
      <c r="F14236" t="str">
        <f>"14-I01-02"</f>
        <v>14-I01-02</v>
      </c>
      <c r="G14236">
        <v>1.2988999999999999</v>
      </c>
      <c r="H14236" t="s">
        <v>13</v>
      </c>
      <c r="I14236" t="s">
        <v>10</v>
      </c>
    </row>
    <row r="14237" spans="1:9" x14ac:dyDescent="0.25">
      <c r="A14237" t="str">
        <f t="shared" si="332"/>
        <v>89301000</v>
      </c>
      <c r="B14237" t="str">
        <f>"8857294919"</f>
        <v>8857294919</v>
      </c>
      <c r="C14237" s="1">
        <v>45050</v>
      </c>
      <c r="D14237" s="1">
        <v>45051</v>
      </c>
      <c r="E14237">
        <v>1</v>
      </c>
      <c r="F14237" t="str">
        <f>"13-I19-00"</f>
        <v>13-I19-00</v>
      </c>
      <c r="G14237">
        <v>0.28249999999999997</v>
      </c>
      <c r="H14237" t="s">
        <v>11</v>
      </c>
      <c r="I14237" t="s">
        <v>10</v>
      </c>
    </row>
    <row r="14238" spans="1:9" x14ac:dyDescent="0.25">
      <c r="A14238" t="str">
        <f t="shared" si="332"/>
        <v>89301000</v>
      </c>
      <c r="B14238" t="str">
        <f>"8857315775"</f>
        <v>8857315775</v>
      </c>
      <c r="C14238" s="1">
        <v>45180</v>
      </c>
      <c r="D14238" s="1">
        <v>45187</v>
      </c>
      <c r="E14238">
        <v>1</v>
      </c>
      <c r="F14238" t="str">
        <f>"04-K11-01"</f>
        <v>04-K11-01</v>
      </c>
      <c r="G14238">
        <v>1.744</v>
      </c>
      <c r="H14238" t="s">
        <v>11</v>
      </c>
      <c r="I14238" t="s">
        <v>10</v>
      </c>
    </row>
    <row r="14239" spans="1:9" x14ac:dyDescent="0.25">
      <c r="A14239" t="str">
        <f t="shared" si="332"/>
        <v>89301000</v>
      </c>
      <c r="B14239" t="str">
        <f>"8857315775"</f>
        <v>8857315775</v>
      </c>
      <c r="C14239" s="1">
        <v>45190</v>
      </c>
      <c r="D14239" s="1">
        <v>45191</v>
      </c>
      <c r="E14239">
        <v>1</v>
      </c>
      <c r="F14239" t="str">
        <f>"04-K11-01"</f>
        <v>04-K11-01</v>
      </c>
      <c r="G14239">
        <v>0.93389999999999995</v>
      </c>
      <c r="H14239" t="s">
        <v>11</v>
      </c>
      <c r="I14239" t="s">
        <v>10</v>
      </c>
    </row>
    <row r="14240" spans="1:9" x14ac:dyDescent="0.25">
      <c r="A14240" t="str">
        <f t="shared" si="332"/>
        <v>89301000</v>
      </c>
      <c r="B14240" t="str">
        <f>"8857315775"</f>
        <v>8857315775</v>
      </c>
      <c r="C14240" s="1">
        <v>45050</v>
      </c>
      <c r="D14240" s="1">
        <v>45058</v>
      </c>
      <c r="E14240">
        <v>1</v>
      </c>
      <c r="F14240" t="str">
        <f>"04-K11-01"</f>
        <v>04-K11-01</v>
      </c>
      <c r="G14240">
        <v>1.744</v>
      </c>
      <c r="H14240" t="s">
        <v>11</v>
      </c>
      <c r="I14240" t="s">
        <v>10</v>
      </c>
    </row>
    <row r="14241" spans="1:9" x14ac:dyDescent="0.25">
      <c r="A14241" t="str">
        <f t="shared" si="332"/>
        <v>89301000</v>
      </c>
      <c r="B14241" t="str">
        <f>"8858015584"</f>
        <v>8858015584</v>
      </c>
      <c r="C14241" s="1">
        <v>44930</v>
      </c>
      <c r="D14241" s="1">
        <v>44932</v>
      </c>
      <c r="E14241">
        <v>1</v>
      </c>
      <c r="F14241" t="str">
        <f>"14-M01-05"</f>
        <v>14-M01-05</v>
      </c>
      <c r="G14241">
        <v>0.56289999999999996</v>
      </c>
      <c r="H14241" t="s">
        <v>13</v>
      </c>
      <c r="I14241" t="s">
        <v>10</v>
      </c>
    </row>
    <row r="14242" spans="1:9" x14ac:dyDescent="0.25">
      <c r="A14242" t="str">
        <f t="shared" si="332"/>
        <v>89301000</v>
      </c>
      <c r="B14242" t="str">
        <f>"8858034911"</f>
        <v>8858034911</v>
      </c>
      <c r="C14242" s="1">
        <v>45268</v>
      </c>
      <c r="D14242" s="1">
        <v>45274</v>
      </c>
      <c r="E14242">
        <v>1</v>
      </c>
      <c r="F14242" t="str">
        <f>"14-M01-05"</f>
        <v>14-M01-05</v>
      </c>
      <c r="G14242">
        <v>0.56289999999999996</v>
      </c>
      <c r="H14242" t="s">
        <v>13</v>
      </c>
      <c r="I14242" t="s">
        <v>10</v>
      </c>
    </row>
    <row r="14243" spans="1:9" x14ac:dyDescent="0.25">
      <c r="A14243" t="str">
        <f t="shared" si="332"/>
        <v>89301000</v>
      </c>
      <c r="B14243" t="str">
        <f>"8858105806"</f>
        <v>8858105806</v>
      </c>
      <c r="C14243" s="1">
        <v>44962</v>
      </c>
      <c r="D14243" s="1">
        <v>44965</v>
      </c>
      <c r="E14243">
        <v>1</v>
      </c>
      <c r="F14243" t="str">
        <f>"14-M01-05"</f>
        <v>14-M01-05</v>
      </c>
      <c r="G14243">
        <v>0.56289999999999996</v>
      </c>
      <c r="H14243" t="s">
        <v>13</v>
      </c>
      <c r="I14243" t="s">
        <v>10</v>
      </c>
    </row>
    <row r="14244" spans="1:9" x14ac:dyDescent="0.25">
      <c r="A14244" t="str">
        <f t="shared" si="332"/>
        <v>89301000</v>
      </c>
      <c r="B14244" t="str">
        <f>"8858144526"</f>
        <v>8858144526</v>
      </c>
      <c r="C14244" s="1">
        <v>45163</v>
      </c>
      <c r="D14244" s="1">
        <v>45165</v>
      </c>
      <c r="E14244">
        <v>1</v>
      </c>
      <c r="F14244" t="str">
        <f>"08-I16-03"</f>
        <v>08-I16-03</v>
      </c>
      <c r="G14244">
        <v>1.3762000000000001</v>
      </c>
      <c r="H14244" t="s">
        <v>12</v>
      </c>
      <c r="I14244" t="s">
        <v>10</v>
      </c>
    </row>
    <row r="14245" spans="1:9" x14ac:dyDescent="0.25">
      <c r="A14245" t="str">
        <f t="shared" si="332"/>
        <v>89301000</v>
      </c>
      <c r="B14245" t="str">
        <f>"8858235815"</f>
        <v>8858235815</v>
      </c>
      <c r="C14245" s="1">
        <v>44961</v>
      </c>
      <c r="D14245" s="1">
        <v>44962</v>
      </c>
      <c r="E14245">
        <v>6</v>
      </c>
      <c r="F14245" t="str">
        <f>"14-I08-03"</f>
        <v>14-I08-03</v>
      </c>
      <c r="G14245">
        <v>0.2437</v>
      </c>
      <c r="H14245" t="s">
        <v>11</v>
      </c>
      <c r="I14245" t="s">
        <v>10</v>
      </c>
    </row>
    <row r="14246" spans="1:9" x14ac:dyDescent="0.25">
      <c r="A14246" t="str">
        <f t="shared" si="332"/>
        <v>89301000</v>
      </c>
      <c r="B14246" t="str">
        <f>"8858316159"</f>
        <v>8858316159</v>
      </c>
      <c r="C14246" s="1">
        <v>44994</v>
      </c>
      <c r="D14246" s="1">
        <v>44996</v>
      </c>
      <c r="E14246">
        <v>1</v>
      </c>
      <c r="F14246" t="str">
        <f>"09-I13-04"</f>
        <v>09-I13-04</v>
      </c>
      <c r="G14246">
        <v>0.54139999999999999</v>
      </c>
      <c r="H14246" t="s">
        <v>11</v>
      </c>
      <c r="I14246" t="s">
        <v>10</v>
      </c>
    </row>
    <row r="14247" spans="1:9" x14ac:dyDescent="0.25">
      <c r="A14247" t="str">
        <f t="shared" si="332"/>
        <v>89301000</v>
      </c>
      <c r="B14247" t="str">
        <f>"8859056272"</f>
        <v>8859056272</v>
      </c>
      <c r="C14247" s="1">
        <v>45265</v>
      </c>
      <c r="D14247" s="1">
        <v>45270</v>
      </c>
      <c r="E14247">
        <v>1</v>
      </c>
      <c r="F14247" t="str">
        <f>"14-I01-05"</f>
        <v>14-I01-05</v>
      </c>
      <c r="G14247">
        <v>0.83340000000000003</v>
      </c>
      <c r="H14247" t="s">
        <v>13</v>
      </c>
      <c r="I14247" t="s">
        <v>10</v>
      </c>
    </row>
    <row r="14248" spans="1:9" x14ac:dyDescent="0.25">
      <c r="A14248" t="str">
        <f t="shared" si="332"/>
        <v>89301000</v>
      </c>
      <c r="B14248" t="str">
        <f>"8859064907"</f>
        <v>8859064907</v>
      </c>
      <c r="C14248" s="1">
        <v>45071</v>
      </c>
      <c r="D14248" s="1">
        <v>45075</v>
      </c>
      <c r="E14248">
        <v>1</v>
      </c>
      <c r="F14248" t="str">
        <f>"14-M01-05"</f>
        <v>14-M01-05</v>
      </c>
      <c r="G14248">
        <v>0.56289999999999996</v>
      </c>
      <c r="H14248" t="s">
        <v>13</v>
      </c>
      <c r="I14248" t="s">
        <v>10</v>
      </c>
    </row>
    <row r="14249" spans="1:9" x14ac:dyDescent="0.25">
      <c r="A14249" t="str">
        <f t="shared" si="332"/>
        <v>89301000</v>
      </c>
      <c r="B14249" t="str">
        <f>"8859096312"</f>
        <v>8859096312</v>
      </c>
      <c r="C14249" s="1">
        <v>45018</v>
      </c>
      <c r="D14249" s="1">
        <v>45021</v>
      </c>
      <c r="E14249">
        <v>1</v>
      </c>
      <c r="F14249" t="str">
        <f>"14-M01-05"</f>
        <v>14-M01-05</v>
      </c>
      <c r="G14249">
        <v>0.56289999999999996</v>
      </c>
      <c r="H14249" t="s">
        <v>13</v>
      </c>
      <c r="I14249" t="s">
        <v>10</v>
      </c>
    </row>
    <row r="14250" spans="1:9" x14ac:dyDescent="0.25">
      <c r="A14250" t="str">
        <f t="shared" si="332"/>
        <v>89301000</v>
      </c>
      <c r="B14250" t="str">
        <f>"8859155833"</f>
        <v>8859155833</v>
      </c>
      <c r="C14250" s="1">
        <v>45224</v>
      </c>
      <c r="D14250" s="1">
        <v>45226</v>
      </c>
      <c r="E14250">
        <v>1</v>
      </c>
      <c r="F14250" t="str">
        <f>"14-M01-05"</f>
        <v>14-M01-05</v>
      </c>
      <c r="G14250">
        <v>0.56289999999999996</v>
      </c>
      <c r="H14250" t="s">
        <v>13</v>
      </c>
      <c r="I14250" t="s">
        <v>10</v>
      </c>
    </row>
    <row r="14251" spans="1:9" x14ac:dyDescent="0.25">
      <c r="A14251" t="str">
        <f t="shared" si="332"/>
        <v>89301000</v>
      </c>
      <c r="B14251" t="str">
        <f>"8859165469"</f>
        <v>8859165469</v>
      </c>
      <c r="C14251" s="1">
        <v>45283</v>
      </c>
      <c r="D14251" s="1">
        <v>45288</v>
      </c>
      <c r="E14251">
        <v>1</v>
      </c>
      <c r="F14251" t="str">
        <f>"14-M01-05"</f>
        <v>14-M01-05</v>
      </c>
      <c r="G14251">
        <v>0.56289999999999996</v>
      </c>
      <c r="H14251" t="s">
        <v>13</v>
      </c>
      <c r="I14251" t="s">
        <v>10</v>
      </c>
    </row>
    <row r="14252" spans="1:9" x14ac:dyDescent="0.25">
      <c r="A14252" t="str">
        <f t="shared" si="332"/>
        <v>89301000</v>
      </c>
      <c r="B14252" t="str">
        <f>"8859174918"</f>
        <v>8859174918</v>
      </c>
      <c r="C14252" s="1">
        <v>45217</v>
      </c>
      <c r="D14252" s="1">
        <v>45219</v>
      </c>
      <c r="E14252">
        <v>1</v>
      </c>
      <c r="F14252" t="str">
        <f>"14-I04-00"</f>
        <v>14-I04-00</v>
      </c>
      <c r="G14252">
        <v>0.79159999999999997</v>
      </c>
      <c r="H14252" t="s">
        <v>9</v>
      </c>
      <c r="I14252" t="s">
        <v>10</v>
      </c>
    </row>
    <row r="14253" spans="1:9" x14ac:dyDescent="0.25">
      <c r="A14253" t="str">
        <f t="shared" si="332"/>
        <v>89301000</v>
      </c>
      <c r="B14253" t="str">
        <f>"8859265701"</f>
        <v>8859265701</v>
      </c>
      <c r="C14253" s="1">
        <v>45274</v>
      </c>
      <c r="D14253" s="1">
        <v>45276</v>
      </c>
      <c r="E14253">
        <v>1</v>
      </c>
      <c r="F14253" t="str">
        <f>"14-I08-03"</f>
        <v>14-I08-03</v>
      </c>
      <c r="G14253">
        <v>0.32600000000000001</v>
      </c>
      <c r="H14253" t="s">
        <v>11</v>
      </c>
      <c r="I14253" t="s">
        <v>10</v>
      </c>
    </row>
    <row r="14254" spans="1:9" x14ac:dyDescent="0.25">
      <c r="A14254" t="str">
        <f t="shared" si="332"/>
        <v>89301000</v>
      </c>
      <c r="B14254" t="str">
        <f>"8859305774"</f>
        <v>8859305774</v>
      </c>
      <c r="C14254" s="1">
        <v>45236</v>
      </c>
      <c r="D14254" s="1">
        <v>45239</v>
      </c>
      <c r="E14254">
        <v>1</v>
      </c>
      <c r="F14254" t="str">
        <f>"07-I10-06"</f>
        <v>07-I10-06</v>
      </c>
      <c r="G14254">
        <v>0.98419999999999996</v>
      </c>
      <c r="H14254" t="s">
        <v>12</v>
      </c>
      <c r="I14254" t="s">
        <v>10</v>
      </c>
    </row>
    <row r="14255" spans="1:9" x14ac:dyDescent="0.25">
      <c r="A14255" t="str">
        <f t="shared" si="332"/>
        <v>89301000</v>
      </c>
      <c r="B14255" t="str">
        <f>"8860024932"</f>
        <v>8860024932</v>
      </c>
      <c r="C14255" s="1">
        <v>45211</v>
      </c>
      <c r="D14255" s="1">
        <v>45213</v>
      </c>
      <c r="E14255">
        <v>1</v>
      </c>
      <c r="F14255" t="str">
        <f>"14-M01-05"</f>
        <v>14-M01-05</v>
      </c>
      <c r="G14255">
        <v>0.56589999999999996</v>
      </c>
      <c r="H14255" t="s">
        <v>13</v>
      </c>
      <c r="I14255" t="s">
        <v>10</v>
      </c>
    </row>
    <row r="14256" spans="1:9" x14ac:dyDescent="0.25">
      <c r="A14256" t="str">
        <f t="shared" si="332"/>
        <v>89301000</v>
      </c>
      <c r="B14256" t="str">
        <f>"8860026153"</f>
        <v>8860026153</v>
      </c>
      <c r="C14256" s="1">
        <v>45026</v>
      </c>
      <c r="D14256" s="1">
        <v>45031</v>
      </c>
      <c r="E14256">
        <v>1</v>
      </c>
      <c r="F14256" t="str">
        <f>"14-I01-05"</f>
        <v>14-I01-05</v>
      </c>
      <c r="G14256">
        <v>0.83340000000000003</v>
      </c>
      <c r="H14256" t="s">
        <v>13</v>
      </c>
      <c r="I14256" t="s">
        <v>10</v>
      </c>
    </row>
    <row r="14257" spans="1:9" x14ac:dyDescent="0.25">
      <c r="A14257" t="str">
        <f t="shared" si="332"/>
        <v>89301000</v>
      </c>
      <c r="B14257" t="str">
        <f>"8860035800"</f>
        <v>8860035800</v>
      </c>
      <c r="C14257" s="1">
        <v>45204</v>
      </c>
      <c r="D14257" s="1">
        <v>45206</v>
      </c>
      <c r="E14257">
        <v>1</v>
      </c>
      <c r="F14257" t="str">
        <f>"06-I17-04"</f>
        <v>06-I17-04</v>
      </c>
      <c r="G14257">
        <v>0.49869999999999998</v>
      </c>
      <c r="H14257" t="s">
        <v>12</v>
      </c>
      <c r="I14257" t="s">
        <v>10</v>
      </c>
    </row>
    <row r="14258" spans="1:9" x14ac:dyDescent="0.25">
      <c r="A14258" t="str">
        <f t="shared" si="332"/>
        <v>89301000</v>
      </c>
      <c r="B14258" t="str">
        <f>"8860134525"</f>
        <v>8860134525</v>
      </c>
      <c r="C14258" s="1">
        <v>45251</v>
      </c>
      <c r="D14258" s="1">
        <v>45253</v>
      </c>
      <c r="E14258">
        <v>1</v>
      </c>
      <c r="F14258" t="str">
        <f>"08-I23-02"</f>
        <v>08-I23-02</v>
      </c>
      <c r="G14258">
        <v>0.94010000000000005</v>
      </c>
      <c r="H14258" t="s">
        <v>12</v>
      </c>
      <c r="I14258" t="s">
        <v>10</v>
      </c>
    </row>
    <row r="14259" spans="1:9" x14ac:dyDescent="0.25">
      <c r="A14259" t="str">
        <f t="shared" si="332"/>
        <v>89301000</v>
      </c>
      <c r="B14259" t="str">
        <f>"8860195795"</f>
        <v>8860195795</v>
      </c>
      <c r="C14259" s="1">
        <v>44938</v>
      </c>
      <c r="D14259" s="1">
        <v>44946</v>
      </c>
      <c r="E14259">
        <v>4</v>
      </c>
      <c r="F14259" t="str">
        <f>"19-K03-03"</f>
        <v>19-K03-03</v>
      </c>
      <c r="G14259">
        <v>0.90410000000000001</v>
      </c>
      <c r="H14259" t="s">
        <v>15</v>
      </c>
      <c r="I14259" t="s">
        <v>10</v>
      </c>
    </row>
    <row r="14260" spans="1:9" x14ac:dyDescent="0.25">
      <c r="A14260" t="str">
        <f t="shared" si="332"/>
        <v>89301000</v>
      </c>
      <c r="B14260" t="str">
        <f>"8860195795"</f>
        <v>8860195795</v>
      </c>
      <c r="C14260" s="1">
        <v>45201</v>
      </c>
      <c r="D14260" s="1">
        <v>45211</v>
      </c>
      <c r="E14260">
        <v>1</v>
      </c>
      <c r="F14260" t="str">
        <f>"20-K04-02"</f>
        <v>20-K04-02</v>
      </c>
      <c r="G14260">
        <v>1.3379000000000001</v>
      </c>
      <c r="H14260" t="s">
        <v>11</v>
      </c>
      <c r="I14260" t="s">
        <v>10</v>
      </c>
    </row>
    <row r="14261" spans="1:9" x14ac:dyDescent="0.25">
      <c r="A14261" t="str">
        <f t="shared" si="332"/>
        <v>89301000</v>
      </c>
      <c r="B14261" t="str">
        <f>"8860285786"</f>
        <v>8860285786</v>
      </c>
      <c r="C14261" s="1">
        <v>44980</v>
      </c>
      <c r="D14261" s="1">
        <v>44983</v>
      </c>
      <c r="E14261">
        <v>1</v>
      </c>
      <c r="F14261" t="str">
        <f>"14-I01-05"</f>
        <v>14-I01-05</v>
      </c>
      <c r="G14261">
        <v>0.83340000000000003</v>
      </c>
      <c r="H14261" t="s">
        <v>13</v>
      </c>
      <c r="I14261" t="s">
        <v>10</v>
      </c>
    </row>
    <row r="14262" spans="1:9" x14ac:dyDescent="0.25">
      <c r="A14262" t="str">
        <f t="shared" si="332"/>
        <v>89301000</v>
      </c>
      <c r="B14262" t="str">
        <f>"8861085772"</f>
        <v>8861085772</v>
      </c>
      <c r="C14262" s="1">
        <v>45035</v>
      </c>
      <c r="D14262" s="1">
        <v>45036</v>
      </c>
      <c r="E14262">
        <v>1</v>
      </c>
      <c r="F14262" t="str">
        <f>"13-I19-00"</f>
        <v>13-I19-00</v>
      </c>
      <c r="G14262">
        <v>0.28270000000000001</v>
      </c>
      <c r="H14262" t="s">
        <v>11</v>
      </c>
      <c r="I14262" t="s">
        <v>10</v>
      </c>
    </row>
    <row r="14263" spans="1:9" x14ac:dyDescent="0.25">
      <c r="A14263" t="str">
        <f t="shared" si="332"/>
        <v>89301000</v>
      </c>
      <c r="B14263" t="str">
        <f>"8861134909"</f>
        <v>8861134909</v>
      </c>
      <c r="C14263" s="1">
        <v>45075</v>
      </c>
      <c r="D14263" s="1">
        <v>45079</v>
      </c>
      <c r="E14263">
        <v>1</v>
      </c>
      <c r="F14263" t="str">
        <f>"10-I13-02"</f>
        <v>10-I13-02</v>
      </c>
      <c r="G14263">
        <v>1.1124000000000001</v>
      </c>
      <c r="H14263" t="s">
        <v>9</v>
      </c>
      <c r="I14263" t="s">
        <v>10</v>
      </c>
    </row>
    <row r="14264" spans="1:9" x14ac:dyDescent="0.25">
      <c r="A14264" t="str">
        <f t="shared" si="332"/>
        <v>89301000</v>
      </c>
      <c r="B14264" t="str">
        <f>"8861145777"</f>
        <v>8861145777</v>
      </c>
      <c r="C14264" s="1">
        <v>45146</v>
      </c>
      <c r="D14264" s="1">
        <v>45149</v>
      </c>
      <c r="E14264">
        <v>1</v>
      </c>
      <c r="F14264" t="str">
        <f>"14-M01-05"</f>
        <v>14-M01-05</v>
      </c>
      <c r="G14264">
        <v>0.56589999999999996</v>
      </c>
      <c r="H14264" t="s">
        <v>13</v>
      </c>
      <c r="I14264" t="s">
        <v>10</v>
      </c>
    </row>
    <row r="14265" spans="1:9" x14ac:dyDescent="0.25">
      <c r="A14265" t="str">
        <f t="shared" si="332"/>
        <v>89301000</v>
      </c>
      <c r="B14265" t="str">
        <f>"8861155820"</f>
        <v>8861155820</v>
      </c>
      <c r="C14265" s="1">
        <v>45032</v>
      </c>
      <c r="D14265" s="1">
        <v>45035</v>
      </c>
      <c r="E14265">
        <v>1</v>
      </c>
      <c r="F14265" t="str">
        <f>"16-I04-01"</f>
        <v>16-I04-01</v>
      </c>
      <c r="G14265">
        <v>0.93820000000000003</v>
      </c>
      <c r="H14265" t="s">
        <v>12</v>
      </c>
      <c r="I14265" t="s">
        <v>10</v>
      </c>
    </row>
    <row r="14266" spans="1:9" x14ac:dyDescent="0.25">
      <c r="A14266" t="str">
        <f t="shared" si="332"/>
        <v>89301000</v>
      </c>
      <c r="B14266" t="str">
        <f>"8861186224"</f>
        <v>8861186224</v>
      </c>
      <c r="C14266" s="1">
        <v>44963</v>
      </c>
      <c r="D14266" s="1">
        <v>44965</v>
      </c>
      <c r="E14266">
        <v>1</v>
      </c>
      <c r="F14266" t="str">
        <f>"09-I09-05"</f>
        <v>09-I09-05</v>
      </c>
      <c r="G14266">
        <v>0.46870000000000001</v>
      </c>
      <c r="H14266" t="s">
        <v>12</v>
      </c>
      <c r="I14266" t="s">
        <v>10</v>
      </c>
    </row>
    <row r="14267" spans="1:9" x14ac:dyDescent="0.25">
      <c r="A14267" t="str">
        <f t="shared" si="332"/>
        <v>89301000</v>
      </c>
      <c r="B14267" t="str">
        <f>"8861264907"</f>
        <v>8861264907</v>
      </c>
      <c r="C14267" s="1">
        <v>45035</v>
      </c>
      <c r="D14267" s="1">
        <v>45040</v>
      </c>
      <c r="E14267">
        <v>1</v>
      </c>
      <c r="F14267" t="str">
        <f>"14-M01-05"</f>
        <v>14-M01-05</v>
      </c>
      <c r="G14267">
        <v>0.56589999999999996</v>
      </c>
      <c r="H14267" t="s">
        <v>13</v>
      </c>
      <c r="I14267" t="s">
        <v>10</v>
      </c>
    </row>
    <row r="14268" spans="1:9" x14ac:dyDescent="0.25">
      <c r="A14268" t="str">
        <f t="shared" si="332"/>
        <v>89301000</v>
      </c>
      <c r="B14268" t="str">
        <f>"8862015811"</f>
        <v>8862015811</v>
      </c>
      <c r="C14268" s="1">
        <v>45064</v>
      </c>
      <c r="D14268" s="1">
        <v>45067</v>
      </c>
      <c r="E14268">
        <v>1</v>
      </c>
      <c r="F14268" t="str">
        <f>"13-I18-03"</f>
        <v>13-I18-03</v>
      </c>
      <c r="G14268">
        <v>0.62870000000000004</v>
      </c>
      <c r="H14268" t="s">
        <v>11</v>
      </c>
      <c r="I14268" t="s">
        <v>10</v>
      </c>
    </row>
    <row r="14269" spans="1:9" x14ac:dyDescent="0.25">
      <c r="A14269" t="str">
        <f t="shared" si="332"/>
        <v>89301000</v>
      </c>
      <c r="B14269" t="str">
        <f>"8862041595"</f>
        <v>8862041595</v>
      </c>
      <c r="C14269" s="1">
        <v>45169</v>
      </c>
      <c r="D14269" s="1">
        <v>45173</v>
      </c>
      <c r="E14269">
        <v>1</v>
      </c>
      <c r="F14269" t="str">
        <f>"14-M01-05"</f>
        <v>14-M01-05</v>
      </c>
      <c r="G14269">
        <v>0.56289999999999996</v>
      </c>
      <c r="H14269" t="s">
        <v>13</v>
      </c>
      <c r="I14269" t="s">
        <v>10</v>
      </c>
    </row>
    <row r="14270" spans="1:9" x14ac:dyDescent="0.25">
      <c r="A14270" t="str">
        <f t="shared" si="332"/>
        <v>89301000</v>
      </c>
      <c r="B14270" t="str">
        <f>"8862205473"</f>
        <v>8862205473</v>
      </c>
      <c r="C14270" s="1">
        <v>45180</v>
      </c>
      <c r="D14270" s="1">
        <v>45185</v>
      </c>
      <c r="E14270">
        <v>1</v>
      </c>
      <c r="F14270" t="str">
        <f>"14-M01-02"</f>
        <v>14-M01-02</v>
      </c>
      <c r="G14270">
        <v>0.80049999999999999</v>
      </c>
      <c r="H14270" t="s">
        <v>13</v>
      </c>
      <c r="I14270" t="s">
        <v>10</v>
      </c>
    </row>
    <row r="14271" spans="1:9" x14ac:dyDescent="0.25">
      <c r="A14271" t="str">
        <f t="shared" si="332"/>
        <v>89301000</v>
      </c>
      <c r="B14271" t="str">
        <f>"8862206210"</f>
        <v>8862206210</v>
      </c>
      <c r="C14271" s="1">
        <v>45006</v>
      </c>
      <c r="D14271" s="1">
        <v>45009</v>
      </c>
      <c r="E14271">
        <v>1</v>
      </c>
      <c r="F14271" t="str">
        <f>"14-M01-05"</f>
        <v>14-M01-05</v>
      </c>
      <c r="G14271">
        <v>0.56289999999999996</v>
      </c>
      <c r="H14271" t="s">
        <v>13</v>
      </c>
      <c r="I14271" t="s">
        <v>10</v>
      </c>
    </row>
    <row r="14272" spans="1:9" x14ac:dyDescent="0.25">
      <c r="A14272" t="str">
        <f t="shared" si="332"/>
        <v>89301000</v>
      </c>
      <c r="B14272" t="str">
        <f>"8862275158"</f>
        <v>8862275158</v>
      </c>
      <c r="C14272" s="1">
        <v>44949</v>
      </c>
      <c r="D14272" s="1">
        <v>44952</v>
      </c>
      <c r="E14272">
        <v>1</v>
      </c>
      <c r="F14272" t="str">
        <f>"13-I16-00"</f>
        <v>13-I16-00</v>
      </c>
      <c r="G14272">
        <v>1.1695</v>
      </c>
      <c r="H14272" t="s">
        <v>12</v>
      </c>
      <c r="I14272" t="s">
        <v>10</v>
      </c>
    </row>
    <row r="14273" spans="1:9" x14ac:dyDescent="0.25">
      <c r="A14273" t="str">
        <f t="shared" si="332"/>
        <v>89301000</v>
      </c>
      <c r="B14273" t="str">
        <f>"8862286246"</f>
        <v>8862286246</v>
      </c>
      <c r="C14273" s="1">
        <v>45145</v>
      </c>
      <c r="D14273" s="1">
        <v>45148</v>
      </c>
      <c r="E14273">
        <v>1</v>
      </c>
      <c r="F14273" t="str">
        <f>"03-I19-03"</f>
        <v>03-I19-03</v>
      </c>
      <c r="G14273">
        <v>0.53249999999999997</v>
      </c>
      <c r="H14273" t="s">
        <v>11</v>
      </c>
      <c r="I14273" t="s">
        <v>10</v>
      </c>
    </row>
    <row r="14274" spans="1:9" x14ac:dyDescent="0.25">
      <c r="A14274" t="str">
        <f t="shared" si="332"/>
        <v>89301000</v>
      </c>
      <c r="B14274" t="str">
        <f>"8901255737"</f>
        <v>8901255737</v>
      </c>
      <c r="C14274" s="1">
        <v>44985</v>
      </c>
      <c r="D14274" s="1">
        <v>44987</v>
      </c>
      <c r="E14274">
        <v>1</v>
      </c>
      <c r="F14274" t="str">
        <f>"08-I32-00"</f>
        <v>08-I32-00</v>
      </c>
      <c r="G14274">
        <v>0.4093</v>
      </c>
      <c r="H14274" t="s">
        <v>11</v>
      </c>
      <c r="I14274" t="s">
        <v>10</v>
      </c>
    </row>
    <row r="14275" spans="1:9" x14ac:dyDescent="0.25">
      <c r="A14275" t="str">
        <f t="shared" si="332"/>
        <v>89301000</v>
      </c>
      <c r="B14275" t="str">
        <f>"8901314774"</f>
        <v>8901314774</v>
      </c>
      <c r="C14275" s="1">
        <v>45127</v>
      </c>
      <c r="D14275" s="1">
        <v>45130</v>
      </c>
      <c r="E14275">
        <v>1</v>
      </c>
      <c r="F14275" t="str">
        <f>"03-K03-02"</f>
        <v>03-K03-02</v>
      </c>
      <c r="G14275">
        <v>0.51060000000000005</v>
      </c>
      <c r="H14275" t="s">
        <v>11</v>
      </c>
      <c r="I14275" t="s">
        <v>10</v>
      </c>
    </row>
    <row r="14276" spans="1:9" x14ac:dyDescent="0.25">
      <c r="A14276" t="str">
        <f t="shared" si="332"/>
        <v>89301000</v>
      </c>
      <c r="B14276" t="str">
        <f>"8902015749"</f>
        <v>8902015749</v>
      </c>
      <c r="C14276" s="1">
        <v>45160</v>
      </c>
      <c r="D14276" s="1">
        <v>45162</v>
      </c>
      <c r="E14276">
        <v>1</v>
      </c>
      <c r="F14276" t="str">
        <f>"01-I11-01"</f>
        <v>01-I11-01</v>
      </c>
      <c r="G14276">
        <v>0.96399999999999997</v>
      </c>
      <c r="H14276" t="s">
        <v>12</v>
      </c>
      <c r="I14276" t="s">
        <v>10</v>
      </c>
    </row>
    <row r="14277" spans="1:9" x14ac:dyDescent="0.25">
      <c r="A14277" t="str">
        <f t="shared" si="332"/>
        <v>89301000</v>
      </c>
      <c r="B14277" t="str">
        <f>"8902105773"</f>
        <v>8902105773</v>
      </c>
      <c r="C14277" s="1">
        <v>45166</v>
      </c>
      <c r="D14277" s="1">
        <v>45167</v>
      </c>
      <c r="E14277">
        <v>1</v>
      </c>
      <c r="F14277" t="str">
        <f>"05-K17-00"</f>
        <v>05-K17-00</v>
      </c>
      <c r="G14277">
        <v>0.80159999999999998</v>
      </c>
      <c r="H14277" t="s">
        <v>11</v>
      </c>
      <c r="I14277" t="s">
        <v>10</v>
      </c>
    </row>
    <row r="14278" spans="1:9" x14ac:dyDescent="0.25">
      <c r="A14278" t="str">
        <f t="shared" si="332"/>
        <v>89301000</v>
      </c>
      <c r="B14278" t="str">
        <f>"8903046152"</f>
        <v>8903046152</v>
      </c>
      <c r="C14278" s="1">
        <v>45075</v>
      </c>
      <c r="D14278" s="1">
        <v>45086</v>
      </c>
      <c r="E14278">
        <v>1</v>
      </c>
      <c r="F14278" t="str">
        <f>"20-K04-02"</f>
        <v>20-K04-02</v>
      </c>
      <c r="G14278">
        <v>1.3379000000000001</v>
      </c>
      <c r="H14278" t="s">
        <v>11</v>
      </c>
      <c r="I14278" t="s">
        <v>10</v>
      </c>
    </row>
    <row r="14279" spans="1:9" x14ac:dyDescent="0.25">
      <c r="A14279" t="str">
        <f t="shared" si="332"/>
        <v>89301000</v>
      </c>
      <c r="B14279" t="str">
        <f>"8903075104"</f>
        <v>8903075104</v>
      </c>
      <c r="C14279" s="1">
        <v>45195</v>
      </c>
      <c r="D14279" s="1">
        <v>45205</v>
      </c>
      <c r="E14279">
        <v>1</v>
      </c>
      <c r="F14279" t="str">
        <f>"04-C01-01"</f>
        <v>04-C01-01</v>
      </c>
      <c r="G14279">
        <v>1.9531000000000001</v>
      </c>
      <c r="H14279" t="s">
        <v>11</v>
      </c>
      <c r="I14279" t="s">
        <v>10</v>
      </c>
    </row>
    <row r="14280" spans="1:9" x14ac:dyDescent="0.25">
      <c r="A14280" t="str">
        <f t="shared" si="332"/>
        <v>89301000</v>
      </c>
      <c r="B14280" t="str">
        <f>"8903225705"</f>
        <v>8903225705</v>
      </c>
      <c r="C14280" s="1">
        <v>45251</v>
      </c>
      <c r="D14280" s="1">
        <v>45254</v>
      </c>
      <c r="E14280">
        <v>1</v>
      </c>
      <c r="F14280" t="str">
        <f>"09-K02-00"</f>
        <v>09-K02-00</v>
      </c>
      <c r="G14280">
        <v>0.99539999999999995</v>
      </c>
      <c r="H14280" t="s">
        <v>11</v>
      </c>
      <c r="I14280" t="s">
        <v>10</v>
      </c>
    </row>
    <row r="14281" spans="1:9" x14ac:dyDescent="0.25">
      <c r="A14281" t="str">
        <f t="shared" si="332"/>
        <v>89301000</v>
      </c>
      <c r="B14281" t="str">
        <f>"8903285721"</f>
        <v>8903285721</v>
      </c>
      <c r="C14281" s="1">
        <v>45079</v>
      </c>
      <c r="D14281" s="1">
        <v>45084</v>
      </c>
      <c r="E14281">
        <v>1</v>
      </c>
      <c r="F14281" t="str">
        <f>"01-K16-05"</f>
        <v>01-K16-05</v>
      </c>
      <c r="G14281">
        <v>0.62649999999999995</v>
      </c>
      <c r="H14281" t="s">
        <v>11</v>
      </c>
      <c r="I14281" t="s">
        <v>10</v>
      </c>
    </row>
    <row r="14282" spans="1:9" x14ac:dyDescent="0.25">
      <c r="A14282" t="str">
        <f t="shared" si="332"/>
        <v>89301000</v>
      </c>
      <c r="B14282" t="str">
        <f>"8904096069"</f>
        <v>8904096069</v>
      </c>
      <c r="C14282" s="1">
        <v>45035</v>
      </c>
      <c r="D14282" s="1">
        <v>45035</v>
      </c>
      <c r="E14282">
        <v>1</v>
      </c>
      <c r="F14282" t="str">
        <f>"05-D01-06"</f>
        <v>05-D01-06</v>
      </c>
      <c r="G14282">
        <v>0.4037</v>
      </c>
      <c r="H14282" t="s">
        <v>11</v>
      </c>
      <c r="I14282" t="s">
        <v>10</v>
      </c>
    </row>
    <row r="14283" spans="1:9" x14ac:dyDescent="0.25">
      <c r="A14283" t="str">
        <f t="shared" si="332"/>
        <v>89301000</v>
      </c>
      <c r="B14283" t="str">
        <f>"8904155315"</f>
        <v>8904155315</v>
      </c>
      <c r="C14283" s="1">
        <v>45239</v>
      </c>
      <c r="D14283" s="1">
        <v>45240</v>
      </c>
      <c r="E14283">
        <v>1</v>
      </c>
      <c r="F14283" t="str">
        <f>"03-I23-02"</f>
        <v>03-I23-02</v>
      </c>
      <c r="G14283">
        <v>0.58609999999999995</v>
      </c>
      <c r="H14283" t="s">
        <v>11</v>
      </c>
      <c r="I14283" t="s">
        <v>10</v>
      </c>
    </row>
    <row r="14284" spans="1:9" x14ac:dyDescent="0.25">
      <c r="A14284" t="str">
        <f t="shared" si="332"/>
        <v>89301000</v>
      </c>
      <c r="B14284" t="str">
        <f>"8904195718"</f>
        <v>8904195718</v>
      </c>
      <c r="C14284" s="1">
        <v>45190</v>
      </c>
      <c r="D14284" s="1">
        <v>45194</v>
      </c>
      <c r="E14284">
        <v>1</v>
      </c>
      <c r="F14284" t="str">
        <f>"08-I19-01"</f>
        <v>08-I19-01</v>
      </c>
      <c r="G14284">
        <v>0.91039999999999999</v>
      </c>
      <c r="H14284" t="s">
        <v>12</v>
      </c>
      <c r="I14284" t="s">
        <v>10</v>
      </c>
    </row>
    <row r="14285" spans="1:9" x14ac:dyDescent="0.25">
      <c r="A14285" t="str">
        <f t="shared" si="332"/>
        <v>89301000</v>
      </c>
      <c r="B14285" t="str">
        <f>"8904215936"</f>
        <v>8904215936</v>
      </c>
      <c r="C14285" s="1">
        <v>45244</v>
      </c>
      <c r="D14285" s="1">
        <v>45254</v>
      </c>
      <c r="E14285">
        <v>1</v>
      </c>
      <c r="F14285" t="str">
        <f>"24-M06-02"</f>
        <v>24-M06-02</v>
      </c>
      <c r="G14285">
        <v>1.0699000000000001</v>
      </c>
      <c r="H14285" t="s">
        <v>11</v>
      </c>
      <c r="I14285" t="s">
        <v>10</v>
      </c>
    </row>
    <row r="14286" spans="1:9" x14ac:dyDescent="0.25">
      <c r="A14286" t="str">
        <f t="shared" ref="A14286:A14348" si="333">"89301000"</f>
        <v>89301000</v>
      </c>
      <c r="B14286" t="str">
        <f>"8905255755"</f>
        <v>8905255755</v>
      </c>
      <c r="C14286" s="1">
        <v>44902</v>
      </c>
      <c r="D14286" s="1">
        <v>44932</v>
      </c>
      <c r="E14286">
        <v>1</v>
      </c>
      <c r="F14286" t="str">
        <f>"19-M01-01"</f>
        <v>19-M01-01</v>
      </c>
      <c r="G14286">
        <v>2.8572000000000002</v>
      </c>
      <c r="H14286" t="s">
        <v>15</v>
      </c>
      <c r="I14286" t="s">
        <v>10</v>
      </c>
    </row>
    <row r="14287" spans="1:9" x14ac:dyDescent="0.25">
      <c r="A14287" t="str">
        <f t="shared" si="333"/>
        <v>89301000</v>
      </c>
      <c r="B14287" t="str">
        <f>"8906085749"</f>
        <v>8906085749</v>
      </c>
      <c r="C14287" s="1">
        <v>45231</v>
      </c>
      <c r="D14287" s="1">
        <v>45243</v>
      </c>
      <c r="E14287">
        <v>1</v>
      </c>
      <c r="F14287" t="str">
        <f>"05-I14-02"</f>
        <v>05-I14-02</v>
      </c>
      <c r="G14287">
        <v>6.4595000000000002</v>
      </c>
      <c r="H14287" t="s">
        <v>12</v>
      </c>
      <c r="I14287" t="s">
        <v>10</v>
      </c>
    </row>
    <row r="14288" spans="1:9" x14ac:dyDescent="0.25">
      <c r="A14288" t="str">
        <f t="shared" si="333"/>
        <v>89301000</v>
      </c>
      <c r="B14288" t="str">
        <f>"8906085749"</f>
        <v>8906085749</v>
      </c>
      <c r="C14288" s="1">
        <v>45262</v>
      </c>
      <c r="D14288" s="1">
        <v>45264</v>
      </c>
      <c r="E14288">
        <v>1</v>
      </c>
      <c r="F14288" t="str">
        <f>"05-K19-01"</f>
        <v>05-K19-01</v>
      </c>
      <c r="G14288">
        <v>0.373</v>
      </c>
      <c r="H14288" t="s">
        <v>11</v>
      </c>
      <c r="I14288" t="s">
        <v>10</v>
      </c>
    </row>
    <row r="14289" spans="1:9" x14ac:dyDescent="0.25">
      <c r="A14289" t="str">
        <f t="shared" si="333"/>
        <v>89301000</v>
      </c>
      <c r="B14289" t="str">
        <f>"8906225911"</f>
        <v>8906225911</v>
      </c>
      <c r="C14289" s="1">
        <v>44943</v>
      </c>
      <c r="D14289" s="1">
        <v>44946</v>
      </c>
      <c r="E14289">
        <v>1</v>
      </c>
      <c r="F14289" t="str">
        <f>"08-I03-06"</f>
        <v>08-I03-06</v>
      </c>
      <c r="G14289">
        <v>2.5314000000000001</v>
      </c>
      <c r="H14289" t="s">
        <v>9</v>
      </c>
      <c r="I14289" t="s">
        <v>10</v>
      </c>
    </row>
    <row r="14290" spans="1:9" x14ac:dyDescent="0.25">
      <c r="A14290" t="str">
        <f t="shared" si="333"/>
        <v>89301000</v>
      </c>
      <c r="B14290" t="str">
        <f>"8906305727"</f>
        <v>8906305727</v>
      </c>
      <c r="C14290" s="1">
        <v>45231</v>
      </c>
      <c r="D14290" s="1">
        <v>45232</v>
      </c>
      <c r="E14290">
        <v>1</v>
      </c>
      <c r="F14290" t="str">
        <f>"01-D01-03"</f>
        <v>01-D01-03</v>
      </c>
      <c r="G14290">
        <v>0.16200000000000001</v>
      </c>
      <c r="H14290" t="s">
        <v>11</v>
      </c>
      <c r="I14290" t="s">
        <v>10</v>
      </c>
    </row>
    <row r="14291" spans="1:9" x14ac:dyDescent="0.25">
      <c r="A14291" t="str">
        <f t="shared" si="333"/>
        <v>89301000</v>
      </c>
      <c r="B14291" t="str">
        <f>"8906305727"</f>
        <v>8906305727</v>
      </c>
      <c r="C14291" s="1">
        <v>45183</v>
      </c>
      <c r="D14291" s="1">
        <v>45184</v>
      </c>
      <c r="E14291">
        <v>1</v>
      </c>
      <c r="F14291" t="str">
        <f>"04-K08-03"</f>
        <v>04-K08-03</v>
      </c>
      <c r="G14291">
        <v>0.89890000000000003</v>
      </c>
      <c r="H14291" t="s">
        <v>11</v>
      </c>
      <c r="I14291" t="s">
        <v>10</v>
      </c>
    </row>
    <row r="14292" spans="1:9" x14ac:dyDescent="0.25">
      <c r="A14292" t="str">
        <f t="shared" si="333"/>
        <v>89301000</v>
      </c>
      <c r="B14292" t="str">
        <f>"8906305727"</f>
        <v>8906305727</v>
      </c>
      <c r="C14292" s="1">
        <v>45113</v>
      </c>
      <c r="D14292" s="1">
        <v>45125</v>
      </c>
      <c r="E14292">
        <v>1</v>
      </c>
      <c r="F14292" t="str">
        <f>"04-K15-02"</f>
        <v>04-K15-02</v>
      </c>
      <c r="G14292">
        <v>1.1830000000000001</v>
      </c>
      <c r="H14292" t="s">
        <v>11</v>
      </c>
      <c r="I14292" t="s">
        <v>10</v>
      </c>
    </row>
    <row r="14293" spans="1:9" x14ac:dyDescent="0.25">
      <c r="A14293" t="str">
        <f t="shared" si="333"/>
        <v>89301000</v>
      </c>
      <c r="B14293" t="str">
        <f>"8907054926"</f>
        <v>8907054926</v>
      </c>
      <c r="C14293" s="1">
        <v>45061</v>
      </c>
      <c r="D14293" s="1">
        <v>45065</v>
      </c>
      <c r="E14293">
        <v>1</v>
      </c>
      <c r="F14293" t="str">
        <f>"04-I03-04"</f>
        <v>04-I03-04</v>
      </c>
      <c r="G14293">
        <v>1.9829000000000001</v>
      </c>
      <c r="H14293" t="s">
        <v>14</v>
      </c>
      <c r="I14293" t="s">
        <v>10</v>
      </c>
    </row>
    <row r="14294" spans="1:9" x14ac:dyDescent="0.25">
      <c r="A14294" t="str">
        <f t="shared" si="333"/>
        <v>89301000</v>
      </c>
      <c r="B14294" t="str">
        <f>"8907054926"</f>
        <v>8907054926</v>
      </c>
      <c r="C14294" s="1">
        <v>45028</v>
      </c>
      <c r="D14294" s="1">
        <v>45029</v>
      </c>
      <c r="E14294">
        <v>1</v>
      </c>
      <c r="F14294" t="str">
        <f>"04-K10-02"</f>
        <v>04-K10-02</v>
      </c>
      <c r="G14294">
        <v>0.41899999999999998</v>
      </c>
      <c r="H14294" t="s">
        <v>11</v>
      </c>
      <c r="I14294" t="s">
        <v>10</v>
      </c>
    </row>
    <row r="14295" spans="1:9" x14ac:dyDescent="0.25">
      <c r="A14295" t="str">
        <f t="shared" si="333"/>
        <v>89301000</v>
      </c>
      <c r="B14295" t="str">
        <f>"8907065728"</f>
        <v>8907065728</v>
      </c>
      <c r="C14295" s="1">
        <v>45203</v>
      </c>
      <c r="D14295" s="1">
        <v>45204</v>
      </c>
      <c r="E14295">
        <v>1</v>
      </c>
      <c r="F14295" t="str">
        <f>"05-K11-01"</f>
        <v>05-K11-01</v>
      </c>
      <c r="G14295">
        <v>0.62150000000000005</v>
      </c>
      <c r="H14295" t="s">
        <v>11</v>
      </c>
      <c r="I14295" t="s">
        <v>10</v>
      </c>
    </row>
    <row r="14296" spans="1:9" x14ac:dyDescent="0.25">
      <c r="A14296" t="str">
        <f t="shared" si="333"/>
        <v>89301000</v>
      </c>
      <c r="B14296" t="str">
        <f>"8907065728"</f>
        <v>8907065728</v>
      </c>
      <c r="C14296" s="1">
        <v>45156</v>
      </c>
      <c r="D14296" s="1">
        <v>45159</v>
      </c>
      <c r="E14296">
        <v>1</v>
      </c>
      <c r="F14296" t="str">
        <f>"10-K15-02"</f>
        <v>10-K15-02</v>
      </c>
      <c r="G14296">
        <v>0.66379999999999995</v>
      </c>
      <c r="H14296" t="s">
        <v>11</v>
      </c>
      <c r="I14296" t="s">
        <v>10</v>
      </c>
    </row>
    <row r="14297" spans="1:9" x14ac:dyDescent="0.25">
      <c r="A14297" t="str">
        <f t="shared" si="333"/>
        <v>89301000</v>
      </c>
      <c r="B14297" t="str">
        <f>"8907065728"</f>
        <v>8907065728</v>
      </c>
      <c r="C14297" s="1">
        <v>45132</v>
      </c>
      <c r="D14297" s="1">
        <v>45136</v>
      </c>
      <c r="E14297">
        <v>1</v>
      </c>
      <c r="F14297" t="str">
        <f>"05-K11-02"</f>
        <v>05-K11-02</v>
      </c>
      <c r="G14297">
        <v>0.63480000000000003</v>
      </c>
      <c r="H14297" t="s">
        <v>11</v>
      </c>
      <c r="I14297" t="s">
        <v>10</v>
      </c>
    </row>
    <row r="14298" spans="1:9" x14ac:dyDescent="0.25">
      <c r="A14298" t="str">
        <f t="shared" si="333"/>
        <v>89301000</v>
      </c>
      <c r="B14298" t="str">
        <f>"8907065728"</f>
        <v>8907065728</v>
      </c>
      <c r="C14298" s="1">
        <v>45152</v>
      </c>
      <c r="D14298" s="1">
        <v>45153</v>
      </c>
      <c r="E14298">
        <v>1</v>
      </c>
      <c r="F14298" t="str">
        <f>"10-K15-02"</f>
        <v>10-K15-02</v>
      </c>
      <c r="G14298">
        <v>0.66379999999999995</v>
      </c>
      <c r="H14298" t="s">
        <v>11</v>
      </c>
      <c r="I14298" t="s">
        <v>10</v>
      </c>
    </row>
    <row r="14299" spans="1:9" x14ac:dyDescent="0.25">
      <c r="A14299" t="str">
        <f t="shared" si="333"/>
        <v>89301000</v>
      </c>
      <c r="B14299" t="str">
        <f>"8907083801"</f>
        <v>8907083801</v>
      </c>
      <c r="C14299" s="1">
        <v>45187</v>
      </c>
      <c r="D14299" s="1">
        <v>45190</v>
      </c>
      <c r="E14299">
        <v>6</v>
      </c>
      <c r="F14299" t="str">
        <f>"10-I13-02"</f>
        <v>10-I13-02</v>
      </c>
      <c r="G14299">
        <v>1.1227</v>
      </c>
      <c r="H14299" t="s">
        <v>9</v>
      </c>
      <c r="I14299" t="s">
        <v>10</v>
      </c>
    </row>
    <row r="14300" spans="1:9" x14ac:dyDescent="0.25">
      <c r="A14300" t="str">
        <f t="shared" si="333"/>
        <v>89301000</v>
      </c>
      <c r="B14300" t="str">
        <f>"8907155752"</f>
        <v>8907155752</v>
      </c>
      <c r="C14300" s="1">
        <v>44932</v>
      </c>
      <c r="D14300" s="1">
        <v>44934</v>
      </c>
      <c r="E14300">
        <v>1</v>
      </c>
      <c r="F14300" t="str">
        <f>"12-I08-03"</f>
        <v>12-I08-03</v>
      </c>
      <c r="G14300">
        <v>0.7258</v>
      </c>
      <c r="H14300" t="s">
        <v>11</v>
      </c>
      <c r="I14300" t="s">
        <v>10</v>
      </c>
    </row>
    <row r="14301" spans="1:9" x14ac:dyDescent="0.25">
      <c r="A14301" t="str">
        <f t="shared" si="333"/>
        <v>89301000</v>
      </c>
      <c r="B14301" t="str">
        <f>"8908235721"</f>
        <v>8908235721</v>
      </c>
      <c r="C14301" s="1">
        <v>44991</v>
      </c>
      <c r="D14301" s="1">
        <v>44994</v>
      </c>
      <c r="E14301">
        <v>1</v>
      </c>
      <c r="F14301" t="str">
        <f>"08-M03-04"</f>
        <v>08-M03-04</v>
      </c>
      <c r="G14301">
        <v>0.87760000000000005</v>
      </c>
      <c r="H14301" t="s">
        <v>11</v>
      </c>
      <c r="I14301" t="s">
        <v>10</v>
      </c>
    </row>
    <row r="14302" spans="1:9" x14ac:dyDescent="0.25">
      <c r="A14302" t="str">
        <f t="shared" si="333"/>
        <v>89301000</v>
      </c>
      <c r="B14302" t="str">
        <f>"8909065748"</f>
        <v>8909065748</v>
      </c>
      <c r="C14302" s="1">
        <v>45140</v>
      </c>
      <c r="D14302" s="1">
        <v>45145</v>
      </c>
      <c r="E14302">
        <v>1</v>
      </c>
      <c r="F14302" t="str">
        <f>"01-K16-02"</f>
        <v>01-K16-02</v>
      </c>
      <c r="G14302">
        <v>1.0049999999999999</v>
      </c>
      <c r="H14302" t="s">
        <v>11</v>
      </c>
      <c r="I14302" t="s">
        <v>10</v>
      </c>
    </row>
    <row r="14303" spans="1:9" x14ac:dyDescent="0.25">
      <c r="A14303" t="str">
        <f t="shared" si="333"/>
        <v>89301000</v>
      </c>
      <c r="B14303" t="str">
        <f>"8909185725"</f>
        <v>8909185725</v>
      </c>
      <c r="C14303" s="1">
        <v>44976</v>
      </c>
      <c r="D14303" s="1">
        <v>44982</v>
      </c>
      <c r="E14303">
        <v>1</v>
      </c>
      <c r="F14303" t="str">
        <f>"11-I10-01"</f>
        <v>11-I10-01</v>
      </c>
      <c r="G14303">
        <v>3.0842000000000001</v>
      </c>
      <c r="H14303" t="s">
        <v>12</v>
      </c>
      <c r="I14303" t="s">
        <v>10</v>
      </c>
    </row>
    <row r="14304" spans="1:9" x14ac:dyDescent="0.25">
      <c r="A14304" t="str">
        <f t="shared" si="333"/>
        <v>89301000</v>
      </c>
      <c r="B14304" t="str">
        <f>"8909185725"</f>
        <v>8909185725</v>
      </c>
      <c r="C14304" s="1">
        <v>45125</v>
      </c>
      <c r="D14304" s="1">
        <v>45128</v>
      </c>
      <c r="E14304">
        <v>1</v>
      </c>
      <c r="F14304" t="str">
        <f>"06-K02-04"</f>
        <v>06-K02-04</v>
      </c>
      <c r="G14304">
        <v>0.37659999999999999</v>
      </c>
      <c r="H14304" t="s">
        <v>11</v>
      </c>
      <c r="I14304" t="s">
        <v>10</v>
      </c>
    </row>
    <row r="14305" spans="1:9" x14ac:dyDescent="0.25">
      <c r="A14305" t="str">
        <f t="shared" si="333"/>
        <v>89301000</v>
      </c>
      <c r="B14305" t="str">
        <f>"8910085712"</f>
        <v>8910085712</v>
      </c>
      <c r="C14305" s="1">
        <v>45082</v>
      </c>
      <c r="D14305" s="1">
        <v>45089</v>
      </c>
      <c r="E14305">
        <v>1</v>
      </c>
      <c r="F14305" t="str">
        <f>"09-K02-00"</f>
        <v>09-K02-00</v>
      </c>
      <c r="G14305">
        <v>0.99539999999999995</v>
      </c>
      <c r="H14305" t="s">
        <v>11</v>
      </c>
      <c r="I14305" t="s">
        <v>10</v>
      </c>
    </row>
    <row r="14306" spans="1:9" x14ac:dyDescent="0.25">
      <c r="A14306" t="str">
        <f t="shared" si="333"/>
        <v>89301000</v>
      </c>
      <c r="B14306" t="str">
        <f>"8910136147"</f>
        <v>8910136147</v>
      </c>
      <c r="C14306" s="1">
        <v>45258</v>
      </c>
      <c r="D14306" s="1">
        <v>45263</v>
      </c>
      <c r="E14306">
        <v>1</v>
      </c>
      <c r="F14306" t="str">
        <f>"01-K01-02"</f>
        <v>01-K01-02</v>
      </c>
      <c r="G14306">
        <v>0.442</v>
      </c>
      <c r="H14306" t="s">
        <v>11</v>
      </c>
      <c r="I14306" t="s">
        <v>10</v>
      </c>
    </row>
    <row r="14307" spans="1:9" x14ac:dyDescent="0.25">
      <c r="A14307" t="str">
        <f t="shared" si="333"/>
        <v>89301000</v>
      </c>
      <c r="B14307" t="str">
        <f>"8910196163"</f>
        <v>8910196163</v>
      </c>
      <c r="C14307" s="1">
        <v>45265</v>
      </c>
      <c r="D14307" s="1">
        <v>45270</v>
      </c>
      <c r="E14307">
        <v>1</v>
      </c>
      <c r="F14307" t="str">
        <f>"10-I13-02"</f>
        <v>10-I13-02</v>
      </c>
      <c r="G14307">
        <v>1.1124000000000001</v>
      </c>
      <c r="H14307" t="s">
        <v>9</v>
      </c>
      <c r="I14307" t="s">
        <v>10</v>
      </c>
    </row>
    <row r="14308" spans="1:9" x14ac:dyDescent="0.25">
      <c r="A14308" t="str">
        <f t="shared" si="333"/>
        <v>89301000</v>
      </c>
      <c r="B14308" t="str">
        <f>"8910305723"</f>
        <v>8910305723</v>
      </c>
      <c r="C14308" s="1">
        <v>45280</v>
      </c>
      <c r="D14308" s="1">
        <v>45281</v>
      </c>
      <c r="E14308">
        <v>1</v>
      </c>
      <c r="F14308" t="str">
        <f>"08-K13-02"</f>
        <v>08-K13-02</v>
      </c>
      <c r="G14308">
        <v>0.43440000000000001</v>
      </c>
      <c r="H14308" t="s">
        <v>11</v>
      </c>
      <c r="I14308" t="s">
        <v>10</v>
      </c>
    </row>
    <row r="14309" spans="1:9" x14ac:dyDescent="0.25">
      <c r="A14309" t="str">
        <f t="shared" si="333"/>
        <v>89301000</v>
      </c>
      <c r="B14309" t="str">
        <f>"8911075701"</f>
        <v>8911075701</v>
      </c>
      <c r="C14309" s="1">
        <v>45035</v>
      </c>
      <c r="D14309" s="1">
        <v>45041</v>
      </c>
      <c r="E14309">
        <v>1</v>
      </c>
      <c r="F14309" t="str">
        <f>"20-K03-03"</f>
        <v>20-K03-03</v>
      </c>
      <c r="G14309">
        <v>0.94020000000000004</v>
      </c>
      <c r="H14309" t="s">
        <v>11</v>
      </c>
      <c r="I14309" t="s">
        <v>10</v>
      </c>
    </row>
    <row r="14310" spans="1:9" x14ac:dyDescent="0.25">
      <c r="A14310" t="str">
        <f t="shared" si="333"/>
        <v>89301000</v>
      </c>
      <c r="B14310" t="str">
        <f>"8911075701"</f>
        <v>8911075701</v>
      </c>
      <c r="C14310" s="1">
        <v>45006</v>
      </c>
      <c r="D14310" s="1">
        <v>45006</v>
      </c>
      <c r="E14310">
        <v>6</v>
      </c>
      <c r="F14310" t="str">
        <f>"01-K16-06"</f>
        <v>01-K16-06</v>
      </c>
      <c r="G14310">
        <v>0.1358</v>
      </c>
      <c r="H14310" t="s">
        <v>11</v>
      </c>
      <c r="I14310" t="s">
        <v>10</v>
      </c>
    </row>
    <row r="14311" spans="1:9" x14ac:dyDescent="0.25">
      <c r="A14311" t="str">
        <f t="shared" si="333"/>
        <v>89301000</v>
      </c>
      <c r="B14311" t="str">
        <f>"8911185085"</f>
        <v>8911185085</v>
      </c>
      <c r="C14311" s="1">
        <v>45157</v>
      </c>
      <c r="D14311" s="1">
        <v>45161</v>
      </c>
      <c r="E14311">
        <v>1</v>
      </c>
      <c r="F14311" t="str">
        <f>"04-K05-03"</f>
        <v>04-K05-03</v>
      </c>
      <c r="G14311">
        <v>0.74039999999999995</v>
      </c>
      <c r="H14311" t="s">
        <v>11</v>
      </c>
      <c r="I14311" t="s">
        <v>10</v>
      </c>
    </row>
    <row r="14312" spans="1:9" x14ac:dyDescent="0.25">
      <c r="A14312" t="str">
        <f t="shared" si="333"/>
        <v>89301000</v>
      </c>
      <c r="B14312" t="str">
        <f>"8911246157"</f>
        <v>8911246157</v>
      </c>
      <c r="C14312" s="1">
        <v>45068</v>
      </c>
      <c r="D14312" s="1">
        <v>45075</v>
      </c>
      <c r="E14312">
        <v>1</v>
      </c>
      <c r="F14312" t="str">
        <f>"19-K03-03"</f>
        <v>19-K03-03</v>
      </c>
      <c r="G14312">
        <v>0.90410000000000001</v>
      </c>
      <c r="H14312" t="s">
        <v>15</v>
      </c>
      <c r="I14312" t="s">
        <v>10</v>
      </c>
    </row>
    <row r="14313" spans="1:9" x14ac:dyDescent="0.25">
      <c r="A14313" t="str">
        <f t="shared" si="333"/>
        <v>89301000</v>
      </c>
      <c r="B14313" t="str">
        <f>"8912085710"</f>
        <v>8912085710</v>
      </c>
      <c r="C14313" s="1">
        <v>45210</v>
      </c>
      <c r="D14313" s="1">
        <v>45213</v>
      </c>
      <c r="E14313">
        <v>1</v>
      </c>
      <c r="F14313" t="str">
        <f>"08-I22-01"</f>
        <v>08-I22-01</v>
      </c>
      <c r="G14313">
        <v>1.9497</v>
      </c>
      <c r="H14313" t="s">
        <v>12</v>
      </c>
      <c r="I14313" t="s">
        <v>10</v>
      </c>
    </row>
    <row r="14314" spans="1:9" x14ac:dyDescent="0.25">
      <c r="A14314" t="str">
        <f t="shared" si="333"/>
        <v>89301000</v>
      </c>
      <c r="B14314" t="str">
        <f>"8951025094"</f>
        <v>8951025094</v>
      </c>
      <c r="C14314" s="1">
        <v>44962</v>
      </c>
      <c r="D14314" s="1">
        <v>44967</v>
      </c>
      <c r="E14314">
        <v>1</v>
      </c>
      <c r="F14314" t="str">
        <f>"07-I10-06"</f>
        <v>07-I10-06</v>
      </c>
      <c r="G14314">
        <v>0.98419999999999996</v>
      </c>
      <c r="H14314" t="s">
        <v>12</v>
      </c>
      <c r="I14314" t="s">
        <v>10</v>
      </c>
    </row>
    <row r="14315" spans="1:9" x14ac:dyDescent="0.25">
      <c r="A14315" t="str">
        <f t="shared" si="333"/>
        <v>89301000</v>
      </c>
      <c r="B14315" t="str">
        <f>"8951025743"</f>
        <v>8951025743</v>
      </c>
      <c r="C14315" s="1">
        <v>45083</v>
      </c>
      <c r="D14315" s="1">
        <v>45085</v>
      </c>
      <c r="E14315">
        <v>1</v>
      </c>
      <c r="F14315" t="str">
        <f>"08-I32-00"</f>
        <v>08-I32-00</v>
      </c>
      <c r="G14315">
        <v>0.40870000000000001</v>
      </c>
      <c r="H14315" t="s">
        <v>11</v>
      </c>
      <c r="I14315" t="s">
        <v>10</v>
      </c>
    </row>
    <row r="14316" spans="1:9" x14ac:dyDescent="0.25">
      <c r="A14316" t="str">
        <f t="shared" si="333"/>
        <v>89301000</v>
      </c>
      <c r="B14316" t="str">
        <f>"8951065739"</f>
        <v>8951065739</v>
      </c>
      <c r="C14316" s="1">
        <v>44950</v>
      </c>
      <c r="D14316" s="1">
        <v>44954</v>
      </c>
      <c r="E14316">
        <v>1</v>
      </c>
      <c r="F14316" t="str">
        <f>"14-I01-02"</f>
        <v>14-I01-02</v>
      </c>
      <c r="G14316">
        <v>1.2935000000000001</v>
      </c>
      <c r="H14316" t="s">
        <v>13</v>
      </c>
      <c r="I14316" t="s">
        <v>10</v>
      </c>
    </row>
    <row r="14317" spans="1:9" x14ac:dyDescent="0.25">
      <c r="A14317" t="str">
        <f t="shared" si="333"/>
        <v>89301000</v>
      </c>
      <c r="B14317" t="str">
        <f>"8951065794"</f>
        <v>8951065794</v>
      </c>
      <c r="C14317" s="1">
        <v>45276</v>
      </c>
      <c r="D14317" s="1">
        <v>45284</v>
      </c>
      <c r="E14317">
        <v>1</v>
      </c>
      <c r="F14317" t="str">
        <f>"06-I18-05"</f>
        <v>06-I18-05</v>
      </c>
      <c r="G14317">
        <v>0.99080000000000001</v>
      </c>
      <c r="H14317" t="s">
        <v>9</v>
      </c>
      <c r="I14317" t="s">
        <v>10</v>
      </c>
    </row>
    <row r="14318" spans="1:9" x14ac:dyDescent="0.25">
      <c r="A14318" t="str">
        <f t="shared" si="333"/>
        <v>89301000</v>
      </c>
      <c r="B14318" t="str">
        <f>"8951115734"</f>
        <v>8951115734</v>
      </c>
      <c r="C14318" s="1">
        <v>45043</v>
      </c>
      <c r="D14318" s="1">
        <v>45046</v>
      </c>
      <c r="E14318">
        <v>1</v>
      </c>
      <c r="F14318" t="str">
        <f>"14-I01-05"</f>
        <v>14-I01-05</v>
      </c>
      <c r="G14318">
        <v>0.83340000000000003</v>
      </c>
      <c r="H14318" t="s">
        <v>13</v>
      </c>
      <c r="I14318" t="s">
        <v>10</v>
      </c>
    </row>
    <row r="14319" spans="1:9" x14ac:dyDescent="0.25">
      <c r="A14319" t="str">
        <f t="shared" si="333"/>
        <v>89301000</v>
      </c>
      <c r="B14319" t="str">
        <f>"8951116185"</f>
        <v>8951116185</v>
      </c>
      <c r="C14319" s="1">
        <v>44949</v>
      </c>
      <c r="D14319" s="1">
        <v>44952</v>
      </c>
      <c r="E14319">
        <v>1</v>
      </c>
      <c r="F14319" t="str">
        <f>"06-I17-04"</f>
        <v>06-I17-04</v>
      </c>
      <c r="G14319">
        <v>0.49869999999999998</v>
      </c>
      <c r="H14319" t="s">
        <v>12</v>
      </c>
      <c r="I14319" t="s">
        <v>10</v>
      </c>
    </row>
    <row r="14320" spans="1:9" x14ac:dyDescent="0.25">
      <c r="A14320" t="str">
        <f t="shared" si="333"/>
        <v>89301000</v>
      </c>
      <c r="B14320" t="str">
        <f>"8951174100"</f>
        <v>8951174100</v>
      </c>
      <c r="C14320" s="1">
        <v>45064</v>
      </c>
      <c r="D14320" s="1">
        <v>45070</v>
      </c>
      <c r="E14320">
        <v>1</v>
      </c>
      <c r="F14320" t="str">
        <f>"04-K02-03"</f>
        <v>04-K02-03</v>
      </c>
      <c r="G14320">
        <v>1.298</v>
      </c>
      <c r="H14320" t="s">
        <v>11</v>
      </c>
      <c r="I14320" t="s">
        <v>10</v>
      </c>
    </row>
    <row r="14321" spans="1:9" x14ac:dyDescent="0.25">
      <c r="A14321" t="str">
        <f t="shared" si="333"/>
        <v>89301000</v>
      </c>
      <c r="B14321" t="str">
        <f>"8951195726"</f>
        <v>8951195726</v>
      </c>
      <c r="C14321" s="1">
        <v>45079</v>
      </c>
      <c r="D14321" s="1">
        <v>45083</v>
      </c>
      <c r="E14321">
        <v>1</v>
      </c>
      <c r="F14321" t="str">
        <f>"14-M01-05"</f>
        <v>14-M01-05</v>
      </c>
      <c r="G14321">
        <v>0.56589999999999996</v>
      </c>
      <c r="H14321" t="s">
        <v>13</v>
      </c>
      <c r="I14321" t="s">
        <v>10</v>
      </c>
    </row>
    <row r="14322" spans="1:9" x14ac:dyDescent="0.25">
      <c r="A14322" t="str">
        <f t="shared" si="333"/>
        <v>89301000</v>
      </c>
      <c r="B14322" t="str">
        <f>"8951225734"</f>
        <v>8951225734</v>
      </c>
      <c r="C14322" s="1">
        <v>45055</v>
      </c>
      <c r="D14322" s="1">
        <v>45060</v>
      </c>
      <c r="E14322">
        <v>1</v>
      </c>
      <c r="F14322" t="str">
        <f>"14-I01-05"</f>
        <v>14-I01-05</v>
      </c>
      <c r="G14322">
        <v>0.83340000000000003</v>
      </c>
      <c r="H14322" t="s">
        <v>13</v>
      </c>
      <c r="I14322" t="s">
        <v>10</v>
      </c>
    </row>
    <row r="14323" spans="1:9" x14ac:dyDescent="0.25">
      <c r="A14323" t="str">
        <f t="shared" si="333"/>
        <v>89301000</v>
      </c>
      <c r="B14323" t="str">
        <f>"8951246139"</f>
        <v>8951246139</v>
      </c>
      <c r="C14323" s="1">
        <v>45201</v>
      </c>
      <c r="D14323" s="1">
        <v>45205</v>
      </c>
      <c r="E14323">
        <v>1</v>
      </c>
      <c r="F14323" t="str">
        <f>"10-I13-02"</f>
        <v>10-I13-02</v>
      </c>
      <c r="G14323">
        <v>1.1124000000000001</v>
      </c>
      <c r="H14323" t="s">
        <v>9</v>
      </c>
      <c r="I14323" t="s">
        <v>10</v>
      </c>
    </row>
    <row r="14324" spans="1:9" x14ac:dyDescent="0.25">
      <c r="A14324" t="str">
        <f t="shared" si="333"/>
        <v>89301000</v>
      </c>
      <c r="B14324" t="str">
        <f>"8951255720"</f>
        <v>8951255720</v>
      </c>
      <c r="C14324" s="1">
        <v>45082</v>
      </c>
      <c r="D14324" s="1">
        <v>45086</v>
      </c>
      <c r="E14324">
        <v>1</v>
      </c>
      <c r="F14324" t="str">
        <f>"14-M01-05"</f>
        <v>14-M01-05</v>
      </c>
      <c r="G14324">
        <v>0.56289999999999996</v>
      </c>
      <c r="H14324" t="s">
        <v>13</v>
      </c>
      <c r="I14324" t="s">
        <v>10</v>
      </c>
    </row>
    <row r="14325" spans="1:9" x14ac:dyDescent="0.25">
      <c r="A14325" t="str">
        <f t="shared" si="333"/>
        <v>89301000</v>
      </c>
      <c r="B14325" t="str">
        <f>"8951285717"</f>
        <v>8951285717</v>
      </c>
      <c r="C14325" s="1">
        <v>45207</v>
      </c>
      <c r="D14325" s="1">
        <v>45210</v>
      </c>
      <c r="E14325">
        <v>1</v>
      </c>
      <c r="F14325" t="str">
        <f>"14-M01-05"</f>
        <v>14-M01-05</v>
      </c>
      <c r="G14325">
        <v>0.56289999999999996</v>
      </c>
      <c r="H14325" t="s">
        <v>13</v>
      </c>
      <c r="I14325" t="s">
        <v>10</v>
      </c>
    </row>
    <row r="14326" spans="1:9" x14ac:dyDescent="0.25">
      <c r="A14326" t="str">
        <f t="shared" si="333"/>
        <v>89301000</v>
      </c>
      <c r="B14326" t="str">
        <f>"8952146148"</f>
        <v>8952146148</v>
      </c>
      <c r="C14326" s="1">
        <v>45069</v>
      </c>
      <c r="D14326" s="1">
        <v>45072</v>
      </c>
      <c r="E14326">
        <v>1</v>
      </c>
      <c r="F14326" t="str">
        <f>"14-M01-05"</f>
        <v>14-M01-05</v>
      </c>
      <c r="G14326">
        <v>0.56289999999999996</v>
      </c>
      <c r="H14326" t="s">
        <v>13</v>
      </c>
      <c r="I14326" t="s">
        <v>10</v>
      </c>
    </row>
    <row r="14327" spans="1:9" x14ac:dyDescent="0.25">
      <c r="A14327" t="str">
        <f t="shared" si="333"/>
        <v>89301000</v>
      </c>
      <c r="B14327" t="str">
        <f>"8952165706"</f>
        <v>8952165706</v>
      </c>
      <c r="C14327" s="1">
        <v>45160</v>
      </c>
      <c r="D14327" s="1">
        <v>45163</v>
      </c>
      <c r="E14327">
        <v>1</v>
      </c>
      <c r="F14327" t="str">
        <f>"14-I01-05"</f>
        <v>14-I01-05</v>
      </c>
      <c r="G14327">
        <v>0.83</v>
      </c>
      <c r="H14327" t="s">
        <v>13</v>
      </c>
      <c r="I14327" t="s">
        <v>10</v>
      </c>
    </row>
    <row r="14328" spans="1:9" x14ac:dyDescent="0.25">
      <c r="A14328" t="str">
        <f t="shared" si="333"/>
        <v>89301000</v>
      </c>
      <c r="B14328" t="str">
        <f>"8952175749"</f>
        <v>8952175749</v>
      </c>
      <c r="C14328" s="1">
        <v>45245</v>
      </c>
      <c r="D14328" s="1">
        <v>45251</v>
      </c>
      <c r="E14328">
        <v>1</v>
      </c>
      <c r="F14328" t="str">
        <f>"09-I07-01"</f>
        <v>09-I07-01</v>
      </c>
      <c r="G14328">
        <v>1.6956</v>
      </c>
      <c r="H14328" t="s">
        <v>14</v>
      </c>
      <c r="I14328" t="s">
        <v>10</v>
      </c>
    </row>
    <row r="14329" spans="1:9" x14ac:dyDescent="0.25">
      <c r="A14329" t="str">
        <f t="shared" si="333"/>
        <v>89301000</v>
      </c>
      <c r="B14329" t="str">
        <f>"8953015742"</f>
        <v>8953015742</v>
      </c>
      <c r="C14329" s="1">
        <v>44984</v>
      </c>
      <c r="D14329" s="1">
        <v>44985</v>
      </c>
      <c r="E14329">
        <v>1</v>
      </c>
      <c r="F14329" t="str">
        <f>"11-I16-02"</f>
        <v>11-I16-02</v>
      </c>
      <c r="G14329">
        <v>0.45679999999999998</v>
      </c>
      <c r="H14329" t="s">
        <v>11</v>
      </c>
      <c r="I14329" t="s">
        <v>10</v>
      </c>
    </row>
    <row r="14330" spans="1:9" x14ac:dyDescent="0.25">
      <c r="A14330" t="str">
        <f t="shared" si="333"/>
        <v>89301000</v>
      </c>
      <c r="B14330" t="str">
        <f>"8953015742"</f>
        <v>8953015742</v>
      </c>
      <c r="C14330" s="1">
        <v>45040</v>
      </c>
      <c r="D14330" s="1">
        <v>45042</v>
      </c>
      <c r="E14330">
        <v>1</v>
      </c>
      <c r="F14330" t="str">
        <f>"11-K03-02"</f>
        <v>11-K03-02</v>
      </c>
      <c r="G14330">
        <v>0.622</v>
      </c>
      <c r="H14330" t="s">
        <v>11</v>
      </c>
      <c r="I14330" t="s">
        <v>10</v>
      </c>
    </row>
    <row r="14331" spans="1:9" x14ac:dyDescent="0.25">
      <c r="A14331" t="str">
        <f t="shared" si="333"/>
        <v>89301000</v>
      </c>
      <c r="B14331" t="str">
        <f>"8953015742"</f>
        <v>8953015742</v>
      </c>
      <c r="C14331" s="1">
        <v>45280</v>
      </c>
      <c r="D14331" s="1">
        <v>45282</v>
      </c>
      <c r="E14331">
        <v>1</v>
      </c>
      <c r="F14331" t="str">
        <f>"11-I16-02"</f>
        <v>11-I16-02</v>
      </c>
      <c r="G14331">
        <v>2.0293000000000001</v>
      </c>
      <c r="H14331" t="s">
        <v>11</v>
      </c>
      <c r="I14331" t="s">
        <v>10</v>
      </c>
    </row>
    <row r="14332" spans="1:9" x14ac:dyDescent="0.25">
      <c r="A14332" t="str">
        <f t="shared" si="333"/>
        <v>89301000</v>
      </c>
      <c r="B14332" t="str">
        <f>"8953016149"</f>
        <v>8953016149</v>
      </c>
      <c r="C14332" s="1">
        <v>45271</v>
      </c>
      <c r="D14332" s="1">
        <v>45274</v>
      </c>
      <c r="E14332">
        <v>1</v>
      </c>
      <c r="F14332" t="str">
        <f>"13-I17-00"</f>
        <v>13-I17-00</v>
      </c>
      <c r="G14332">
        <v>0.80579999999999996</v>
      </c>
      <c r="H14332" t="s">
        <v>9</v>
      </c>
      <c r="I14332" t="s">
        <v>10</v>
      </c>
    </row>
    <row r="14333" spans="1:9" x14ac:dyDescent="0.25">
      <c r="A14333" t="str">
        <f t="shared" si="333"/>
        <v>89301000</v>
      </c>
      <c r="B14333" t="str">
        <f>"8953016149"</f>
        <v>8953016149</v>
      </c>
      <c r="C14333" s="1">
        <v>45259</v>
      </c>
      <c r="D14333" s="1">
        <v>45260</v>
      </c>
      <c r="E14333">
        <v>1</v>
      </c>
      <c r="F14333" t="str">
        <f>"23-K01-00"</f>
        <v>23-K01-00</v>
      </c>
      <c r="G14333">
        <v>0.1401</v>
      </c>
      <c r="H14333" t="s">
        <v>11</v>
      </c>
      <c r="I14333" t="s">
        <v>10</v>
      </c>
    </row>
    <row r="14334" spans="1:9" x14ac:dyDescent="0.25">
      <c r="A14334" t="str">
        <f t="shared" si="333"/>
        <v>89301000</v>
      </c>
      <c r="B14334" t="str">
        <f>"8953025730"</f>
        <v>8953025730</v>
      </c>
      <c r="C14334" s="1">
        <v>45050</v>
      </c>
      <c r="D14334" s="1">
        <v>45053</v>
      </c>
      <c r="E14334">
        <v>1</v>
      </c>
      <c r="F14334" t="str">
        <f>"14-M01-05"</f>
        <v>14-M01-05</v>
      </c>
      <c r="G14334">
        <v>0.56289999999999996</v>
      </c>
      <c r="H14334" t="s">
        <v>13</v>
      </c>
      <c r="I14334" t="s">
        <v>10</v>
      </c>
    </row>
    <row r="14335" spans="1:9" x14ac:dyDescent="0.25">
      <c r="A14335" t="str">
        <f t="shared" si="333"/>
        <v>89301000</v>
      </c>
      <c r="B14335" t="str">
        <f>"8953076154"</f>
        <v>8953076154</v>
      </c>
      <c r="C14335" s="1">
        <v>45078</v>
      </c>
      <c r="D14335" s="1">
        <v>45079</v>
      </c>
      <c r="E14335">
        <v>1</v>
      </c>
      <c r="F14335" t="str">
        <f>"01-K07-03"</f>
        <v>01-K07-03</v>
      </c>
      <c r="G14335">
        <v>0.48680000000000001</v>
      </c>
      <c r="H14335" t="s">
        <v>11</v>
      </c>
      <c r="I14335" t="s">
        <v>10</v>
      </c>
    </row>
    <row r="14336" spans="1:9" x14ac:dyDescent="0.25">
      <c r="A14336" t="str">
        <f t="shared" si="333"/>
        <v>89301000</v>
      </c>
      <c r="B14336" t="str">
        <f>"8953185703"</f>
        <v>8953185703</v>
      </c>
      <c r="C14336" s="1">
        <v>45138</v>
      </c>
      <c r="D14336" s="1">
        <v>45141</v>
      </c>
      <c r="E14336">
        <v>6</v>
      </c>
      <c r="F14336" t="str">
        <f>"14-I01-05"</f>
        <v>14-I01-05</v>
      </c>
      <c r="G14336">
        <v>0.83340000000000003</v>
      </c>
      <c r="H14336" t="s">
        <v>13</v>
      </c>
      <c r="I14336" t="s">
        <v>10</v>
      </c>
    </row>
    <row r="14337" spans="1:9" x14ac:dyDescent="0.25">
      <c r="A14337" t="str">
        <f t="shared" si="333"/>
        <v>89301000</v>
      </c>
      <c r="B14337" t="str">
        <f>"8953214776"</f>
        <v>8953214776</v>
      </c>
      <c r="C14337" s="1">
        <v>45139</v>
      </c>
      <c r="D14337" s="1">
        <v>45142</v>
      </c>
      <c r="E14337">
        <v>5</v>
      </c>
      <c r="F14337" t="str">
        <f>"08-I04-03"</f>
        <v>08-I04-03</v>
      </c>
      <c r="G14337">
        <v>1.3045</v>
      </c>
      <c r="H14337" t="s">
        <v>14</v>
      </c>
      <c r="I14337" t="s">
        <v>10</v>
      </c>
    </row>
    <row r="14338" spans="1:9" x14ac:dyDescent="0.25">
      <c r="A14338" t="str">
        <f t="shared" si="333"/>
        <v>89301000</v>
      </c>
      <c r="B14338" t="str">
        <f>"8953256147"</f>
        <v>8953256147</v>
      </c>
      <c r="C14338" s="1">
        <v>45179</v>
      </c>
      <c r="D14338" s="1">
        <v>45184</v>
      </c>
      <c r="E14338">
        <v>1</v>
      </c>
      <c r="F14338" t="str">
        <f>"14-I01-05"</f>
        <v>14-I01-05</v>
      </c>
      <c r="G14338">
        <v>0.83340000000000003</v>
      </c>
      <c r="H14338" t="s">
        <v>13</v>
      </c>
      <c r="I14338" t="s">
        <v>10</v>
      </c>
    </row>
    <row r="14339" spans="1:9" x14ac:dyDescent="0.25">
      <c r="A14339" t="str">
        <f t="shared" si="333"/>
        <v>89301000</v>
      </c>
      <c r="B14339" t="str">
        <f>"8953285715"</f>
        <v>8953285715</v>
      </c>
      <c r="C14339" s="1">
        <v>44994</v>
      </c>
      <c r="D14339" s="1">
        <v>44995</v>
      </c>
      <c r="E14339">
        <v>1</v>
      </c>
      <c r="F14339" t="str">
        <f>"06-I22-02"</f>
        <v>06-I22-02</v>
      </c>
      <c r="G14339">
        <v>0.41810000000000003</v>
      </c>
      <c r="H14339" t="s">
        <v>12</v>
      </c>
      <c r="I14339" t="s">
        <v>10</v>
      </c>
    </row>
    <row r="14340" spans="1:9" x14ac:dyDescent="0.25">
      <c r="A14340" t="str">
        <f t="shared" si="333"/>
        <v>89301000</v>
      </c>
      <c r="B14340" t="str">
        <f>"8954045738"</f>
        <v>8954045738</v>
      </c>
      <c r="C14340" s="1">
        <v>45146</v>
      </c>
      <c r="D14340" s="1">
        <v>45149</v>
      </c>
      <c r="E14340">
        <v>1</v>
      </c>
      <c r="F14340" t="str">
        <f>"14-I01-05"</f>
        <v>14-I01-05</v>
      </c>
      <c r="G14340">
        <v>0.83340000000000003</v>
      </c>
      <c r="H14340" t="s">
        <v>13</v>
      </c>
      <c r="I14340" t="s">
        <v>10</v>
      </c>
    </row>
    <row r="14341" spans="1:9" x14ac:dyDescent="0.25">
      <c r="A14341" t="str">
        <f t="shared" si="333"/>
        <v>89301000</v>
      </c>
      <c r="B14341" t="str">
        <f>"8954046112"</f>
        <v>8954046112</v>
      </c>
      <c r="C14341" s="1">
        <v>44950</v>
      </c>
      <c r="D14341" s="1">
        <v>44952</v>
      </c>
      <c r="E14341">
        <v>1</v>
      </c>
      <c r="F14341" t="str">
        <f>"09-K16-00"</f>
        <v>09-K16-00</v>
      </c>
      <c r="G14341">
        <v>0.61870000000000003</v>
      </c>
      <c r="H14341" t="s">
        <v>11</v>
      </c>
      <c r="I14341" t="s">
        <v>10</v>
      </c>
    </row>
    <row r="14342" spans="1:9" x14ac:dyDescent="0.25">
      <c r="A14342" t="str">
        <f t="shared" si="333"/>
        <v>89301000</v>
      </c>
      <c r="B14342" t="str">
        <f>"8954075724"</f>
        <v>8954075724</v>
      </c>
      <c r="C14342" s="1">
        <v>45124</v>
      </c>
      <c r="D14342" s="1">
        <v>45127</v>
      </c>
      <c r="E14342">
        <v>1</v>
      </c>
      <c r="F14342" t="str">
        <f>"14-I01-05"</f>
        <v>14-I01-05</v>
      </c>
      <c r="G14342">
        <v>0.83340000000000003</v>
      </c>
      <c r="H14342" t="s">
        <v>13</v>
      </c>
      <c r="I14342" t="s">
        <v>10</v>
      </c>
    </row>
    <row r="14343" spans="1:9" x14ac:dyDescent="0.25">
      <c r="A14343" t="str">
        <f t="shared" si="333"/>
        <v>89301000</v>
      </c>
      <c r="B14343" t="str">
        <f>"8954145706"</f>
        <v>8954145706</v>
      </c>
      <c r="C14343" s="1">
        <v>45272</v>
      </c>
      <c r="D14343" s="1">
        <v>45276</v>
      </c>
      <c r="E14343">
        <v>1</v>
      </c>
      <c r="F14343" t="str">
        <f>"14-I01-05"</f>
        <v>14-I01-05</v>
      </c>
      <c r="G14343">
        <v>0.83340000000000003</v>
      </c>
      <c r="H14343" t="s">
        <v>13</v>
      </c>
      <c r="I14343" t="s">
        <v>10</v>
      </c>
    </row>
    <row r="14344" spans="1:9" x14ac:dyDescent="0.25">
      <c r="A14344" t="str">
        <f t="shared" si="333"/>
        <v>89301000</v>
      </c>
      <c r="B14344" t="str">
        <f>"8954156079"</f>
        <v>8954156079</v>
      </c>
      <c r="C14344" s="1">
        <v>45052</v>
      </c>
      <c r="D14344" s="1">
        <v>45056</v>
      </c>
      <c r="E14344">
        <v>1</v>
      </c>
      <c r="F14344" t="str">
        <f>"14-M01-05"</f>
        <v>14-M01-05</v>
      </c>
      <c r="G14344">
        <v>0.56289999999999996</v>
      </c>
      <c r="H14344" t="s">
        <v>13</v>
      </c>
      <c r="I14344" t="s">
        <v>10</v>
      </c>
    </row>
    <row r="14345" spans="1:9" x14ac:dyDescent="0.25">
      <c r="A14345" t="str">
        <f t="shared" si="333"/>
        <v>89301000</v>
      </c>
      <c r="B14345" t="str">
        <f>"8954185702"</f>
        <v>8954185702</v>
      </c>
      <c r="C14345" s="1">
        <v>45271</v>
      </c>
      <c r="D14345" s="1">
        <v>45272</v>
      </c>
      <c r="E14345">
        <v>1</v>
      </c>
      <c r="F14345" t="str">
        <f>"13-I19-00"</f>
        <v>13-I19-00</v>
      </c>
      <c r="G14345">
        <v>0.28270000000000001</v>
      </c>
      <c r="H14345" t="s">
        <v>11</v>
      </c>
      <c r="I14345" t="s">
        <v>10</v>
      </c>
    </row>
    <row r="14346" spans="1:9" x14ac:dyDescent="0.25">
      <c r="A14346" t="str">
        <f t="shared" si="333"/>
        <v>89301000</v>
      </c>
      <c r="B14346" t="str">
        <f>"8954255640"</f>
        <v>8954255640</v>
      </c>
      <c r="C14346" s="1">
        <v>45197</v>
      </c>
      <c r="D14346" s="1">
        <v>45200</v>
      </c>
      <c r="E14346">
        <v>1</v>
      </c>
      <c r="F14346" t="str">
        <f>"14-M01-05"</f>
        <v>14-M01-05</v>
      </c>
      <c r="G14346">
        <v>0.56589999999999996</v>
      </c>
      <c r="H14346" t="s">
        <v>13</v>
      </c>
      <c r="I14346" t="s">
        <v>10</v>
      </c>
    </row>
    <row r="14347" spans="1:9" x14ac:dyDescent="0.25">
      <c r="A14347" t="str">
        <f t="shared" si="333"/>
        <v>89301000</v>
      </c>
      <c r="B14347" t="str">
        <f>"8954285725"</f>
        <v>8954285725</v>
      </c>
      <c r="C14347" s="1">
        <v>45246</v>
      </c>
      <c r="D14347" s="1">
        <v>45247</v>
      </c>
      <c r="E14347">
        <v>1</v>
      </c>
      <c r="F14347" t="str">
        <f>"14-K03-02"</f>
        <v>14-K03-02</v>
      </c>
      <c r="G14347">
        <v>0.30149999999999999</v>
      </c>
      <c r="H14347" t="s">
        <v>11</v>
      </c>
      <c r="I14347" t="s">
        <v>10</v>
      </c>
    </row>
    <row r="14348" spans="1:9" x14ac:dyDescent="0.25">
      <c r="A14348" t="str">
        <f t="shared" si="333"/>
        <v>89301000</v>
      </c>
      <c r="B14348" t="str">
        <f>"8954296263"</f>
        <v>8954296263</v>
      </c>
      <c r="C14348" s="1">
        <v>45272</v>
      </c>
      <c r="D14348" s="1">
        <v>45272</v>
      </c>
      <c r="E14348">
        <v>1</v>
      </c>
      <c r="F14348" t="str">
        <f>"09-K08-02"</f>
        <v>09-K08-02</v>
      </c>
      <c r="G14348">
        <v>0.28639999999999999</v>
      </c>
      <c r="H14348" t="s">
        <v>11</v>
      </c>
      <c r="I14348" t="s">
        <v>10</v>
      </c>
    </row>
    <row r="14349" spans="1:9" x14ac:dyDescent="0.25">
      <c r="A14349" t="str">
        <f t="shared" ref="A14349:A14412" si="334">"89301000"</f>
        <v>89301000</v>
      </c>
      <c r="B14349" t="str">
        <f>"8955065724"</f>
        <v>8955065724</v>
      </c>
      <c r="C14349" s="1">
        <v>45138</v>
      </c>
      <c r="D14349" s="1">
        <v>45141</v>
      </c>
      <c r="E14349">
        <v>1</v>
      </c>
      <c r="F14349" t="str">
        <f>"07-I10-06"</f>
        <v>07-I10-06</v>
      </c>
      <c r="G14349">
        <v>0.98419999999999996</v>
      </c>
      <c r="H14349" t="s">
        <v>12</v>
      </c>
      <c r="I14349" t="s">
        <v>10</v>
      </c>
    </row>
    <row r="14350" spans="1:9" x14ac:dyDescent="0.25">
      <c r="A14350" t="str">
        <f t="shared" si="334"/>
        <v>89301000</v>
      </c>
      <c r="B14350" t="str">
        <f>"8955065724"</f>
        <v>8955065724</v>
      </c>
      <c r="C14350" s="1">
        <v>45079</v>
      </c>
      <c r="D14350" s="1">
        <v>45086</v>
      </c>
      <c r="E14350">
        <v>1</v>
      </c>
      <c r="F14350" t="str">
        <f>"07-M02-03"</f>
        <v>07-M02-03</v>
      </c>
      <c r="G14350">
        <v>1.2942</v>
      </c>
      <c r="H14350" t="s">
        <v>12</v>
      </c>
      <c r="I14350" t="s">
        <v>10</v>
      </c>
    </row>
    <row r="14351" spans="1:9" x14ac:dyDescent="0.25">
      <c r="A14351" t="str">
        <f t="shared" si="334"/>
        <v>89301000</v>
      </c>
      <c r="B14351" t="str">
        <f>"8955216171"</f>
        <v>8955216171</v>
      </c>
      <c r="C14351" s="1">
        <v>45182</v>
      </c>
      <c r="D14351" s="1">
        <v>45186</v>
      </c>
      <c r="E14351">
        <v>1</v>
      </c>
      <c r="F14351" t="str">
        <f>"10-I13-02"</f>
        <v>10-I13-02</v>
      </c>
      <c r="G14351">
        <v>1.1124000000000001</v>
      </c>
      <c r="H14351" t="s">
        <v>9</v>
      </c>
      <c r="I14351" t="s">
        <v>10</v>
      </c>
    </row>
    <row r="14352" spans="1:9" x14ac:dyDescent="0.25">
      <c r="A14352" t="str">
        <f t="shared" si="334"/>
        <v>89301000</v>
      </c>
      <c r="B14352" t="str">
        <f>"8955264593"</f>
        <v>8955264593</v>
      </c>
      <c r="C14352" s="1">
        <v>45269</v>
      </c>
      <c r="D14352" s="1">
        <v>45279</v>
      </c>
      <c r="E14352">
        <v>1</v>
      </c>
      <c r="F14352" t="str">
        <f>"19-K03-03"</f>
        <v>19-K03-03</v>
      </c>
      <c r="G14352">
        <v>0.90410000000000001</v>
      </c>
      <c r="H14352" t="s">
        <v>15</v>
      </c>
      <c r="I14352" t="s">
        <v>10</v>
      </c>
    </row>
    <row r="14353" spans="1:9" x14ac:dyDescent="0.25">
      <c r="A14353" t="str">
        <f t="shared" si="334"/>
        <v>89301000</v>
      </c>
      <c r="B14353" t="str">
        <f>"8955264593"</f>
        <v>8955264593</v>
      </c>
      <c r="C14353" s="1">
        <v>45026</v>
      </c>
      <c r="D14353" s="1">
        <v>45032</v>
      </c>
      <c r="E14353">
        <v>1</v>
      </c>
      <c r="F14353" t="str">
        <f>"03-I11-01"</f>
        <v>03-I11-01</v>
      </c>
      <c r="G14353">
        <v>2.2117</v>
      </c>
      <c r="H14353" t="s">
        <v>12</v>
      </c>
      <c r="I14353" t="s">
        <v>10</v>
      </c>
    </row>
    <row r="14354" spans="1:9" x14ac:dyDescent="0.25">
      <c r="A14354" t="str">
        <f t="shared" si="334"/>
        <v>89301000</v>
      </c>
      <c r="B14354" t="str">
        <f>"8955295745"</f>
        <v>8955295745</v>
      </c>
      <c r="C14354" s="1">
        <v>45035</v>
      </c>
      <c r="D14354" s="1">
        <v>45036</v>
      </c>
      <c r="E14354">
        <v>1</v>
      </c>
      <c r="F14354" t="str">
        <f>"14-I08-03"</f>
        <v>14-I08-03</v>
      </c>
      <c r="G14354">
        <v>0.2414</v>
      </c>
      <c r="H14354" t="s">
        <v>11</v>
      </c>
      <c r="I14354" t="s">
        <v>10</v>
      </c>
    </row>
    <row r="14355" spans="1:9" x14ac:dyDescent="0.25">
      <c r="A14355" t="str">
        <f t="shared" si="334"/>
        <v>89301000</v>
      </c>
      <c r="B14355" t="str">
        <f>"8955295745"</f>
        <v>8955295745</v>
      </c>
      <c r="C14355" s="1">
        <v>44975</v>
      </c>
      <c r="D14355" s="1">
        <v>44979</v>
      </c>
      <c r="E14355">
        <v>1</v>
      </c>
      <c r="F14355" t="str">
        <f>"14-M01-05"</f>
        <v>14-M01-05</v>
      </c>
      <c r="G14355">
        <v>0.56589999999999996</v>
      </c>
      <c r="H14355" t="s">
        <v>13</v>
      </c>
      <c r="I14355" t="s">
        <v>10</v>
      </c>
    </row>
    <row r="14356" spans="1:9" x14ac:dyDescent="0.25">
      <c r="A14356" t="str">
        <f t="shared" si="334"/>
        <v>89301000</v>
      </c>
      <c r="B14356" t="str">
        <f>"8955315721"</f>
        <v>8955315721</v>
      </c>
      <c r="C14356" s="1">
        <v>44986</v>
      </c>
      <c r="D14356" s="1">
        <v>44987</v>
      </c>
      <c r="E14356">
        <v>1</v>
      </c>
      <c r="F14356" t="str">
        <f>"14-K05-03"</f>
        <v>14-K05-03</v>
      </c>
      <c r="G14356">
        <v>0.40510000000000002</v>
      </c>
      <c r="H14356" t="s">
        <v>11</v>
      </c>
      <c r="I14356" t="s">
        <v>10</v>
      </c>
    </row>
    <row r="14357" spans="1:9" x14ac:dyDescent="0.25">
      <c r="A14357" t="str">
        <f t="shared" si="334"/>
        <v>89301000</v>
      </c>
      <c r="B14357" t="str">
        <f>"8956095995"</f>
        <v>8956095995</v>
      </c>
      <c r="C14357" s="1">
        <v>45232</v>
      </c>
      <c r="D14357" s="1">
        <v>45233</v>
      </c>
      <c r="E14357">
        <v>1</v>
      </c>
      <c r="F14357" t="str">
        <f>"14-I08-03"</f>
        <v>14-I08-03</v>
      </c>
      <c r="G14357">
        <v>0.2414</v>
      </c>
      <c r="H14357" t="s">
        <v>11</v>
      </c>
      <c r="I14357" t="s">
        <v>10</v>
      </c>
    </row>
    <row r="14358" spans="1:9" x14ac:dyDescent="0.25">
      <c r="A14358" t="str">
        <f t="shared" si="334"/>
        <v>89301000</v>
      </c>
      <c r="B14358" t="str">
        <f>"8956294765"</f>
        <v>8956294765</v>
      </c>
      <c r="C14358" s="1">
        <v>45271</v>
      </c>
      <c r="D14358" s="1">
        <v>45272</v>
      </c>
      <c r="E14358">
        <v>1</v>
      </c>
      <c r="F14358" t="str">
        <f>"02-I11-02"</f>
        <v>02-I11-02</v>
      </c>
      <c r="G14358">
        <v>0.67259999999999998</v>
      </c>
      <c r="H14358" t="s">
        <v>12</v>
      </c>
      <c r="I14358" t="s">
        <v>10</v>
      </c>
    </row>
    <row r="14359" spans="1:9" x14ac:dyDescent="0.25">
      <c r="A14359" t="str">
        <f t="shared" si="334"/>
        <v>89301000</v>
      </c>
      <c r="B14359" t="str">
        <f>"8956304456"</f>
        <v>8956304456</v>
      </c>
      <c r="C14359" s="1">
        <v>44930</v>
      </c>
      <c r="D14359" s="1">
        <v>44932</v>
      </c>
      <c r="E14359">
        <v>1</v>
      </c>
      <c r="F14359" t="str">
        <f>"01-K12-01"</f>
        <v>01-K12-01</v>
      </c>
      <c r="G14359">
        <v>0.74490000000000001</v>
      </c>
      <c r="H14359" t="s">
        <v>11</v>
      </c>
      <c r="I14359" t="s">
        <v>10</v>
      </c>
    </row>
    <row r="14360" spans="1:9" x14ac:dyDescent="0.25">
      <c r="A14360" t="str">
        <f t="shared" si="334"/>
        <v>89301000</v>
      </c>
      <c r="B14360" t="str">
        <f>"8957075743"</f>
        <v>8957075743</v>
      </c>
      <c r="C14360" s="1">
        <v>45106</v>
      </c>
      <c r="D14360" s="1">
        <v>45108</v>
      </c>
      <c r="E14360">
        <v>1</v>
      </c>
      <c r="F14360" t="str">
        <f>"14-M01-05"</f>
        <v>14-M01-05</v>
      </c>
      <c r="G14360">
        <v>0.56589999999999996</v>
      </c>
      <c r="H14360" t="s">
        <v>13</v>
      </c>
      <c r="I14360" t="s">
        <v>10</v>
      </c>
    </row>
    <row r="14361" spans="1:9" x14ac:dyDescent="0.25">
      <c r="A14361" t="str">
        <f t="shared" si="334"/>
        <v>89301000</v>
      </c>
      <c r="B14361" t="str">
        <f>"8957075776"</f>
        <v>8957075776</v>
      </c>
      <c r="C14361" s="1">
        <v>45236</v>
      </c>
      <c r="D14361" s="1">
        <v>45238</v>
      </c>
      <c r="E14361">
        <v>1</v>
      </c>
      <c r="F14361" t="str">
        <f>"09-I08-02"</f>
        <v>09-I08-02</v>
      </c>
      <c r="G14361">
        <v>1.0949</v>
      </c>
      <c r="H14361" t="s">
        <v>14</v>
      </c>
      <c r="I14361" t="s">
        <v>10</v>
      </c>
    </row>
    <row r="14362" spans="1:9" x14ac:dyDescent="0.25">
      <c r="A14362" t="str">
        <f t="shared" si="334"/>
        <v>89301000</v>
      </c>
      <c r="B14362" t="str">
        <f>"8957195731"</f>
        <v>8957195731</v>
      </c>
      <c r="C14362" s="1">
        <v>45208</v>
      </c>
      <c r="D14362" s="1">
        <v>45208</v>
      </c>
      <c r="E14362">
        <v>6</v>
      </c>
      <c r="F14362" t="str">
        <f>"14-I08-03"</f>
        <v>14-I08-03</v>
      </c>
      <c r="G14362">
        <v>0.1207</v>
      </c>
      <c r="H14362" t="s">
        <v>11</v>
      </c>
      <c r="I14362" t="s">
        <v>10</v>
      </c>
    </row>
    <row r="14363" spans="1:9" x14ac:dyDescent="0.25">
      <c r="A14363" t="str">
        <f t="shared" si="334"/>
        <v>89301000</v>
      </c>
      <c r="B14363" t="str">
        <f>"8957225728"</f>
        <v>8957225728</v>
      </c>
      <c r="C14363" s="1">
        <v>45051</v>
      </c>
      <c r="D14363" s="1">
        <v>45061</v>
      </c>
      <c r="E14363">
        <v>6</v>
      </c>
      <c r="F14363" t="str">
        <f>"18-K01-01"</f>
        <v>18-K01-01</v>
      </c>
      <c r="G14363">
        <v>3.5501999999999998</v>
      </c>
      <c r="H14363" t="s">
        <v>11</v>
      </c>
      <c r="I14363" t="s">
        <v>10</v>
      </c>
    </row>
    <row r="14364" spans="1:9" x14ac:dyDescent="0.25">
      <c r="A14364" t="str">
        <f t="shared" si="334"/>
        <v>89301000</v>
      </c>
      <c r="B14364" t="str">
        <f>"8957295699"</f>
        <v>8957295699</v>
      </c>
      <c r="C14364" s="1">
        <v>45019</v>
      </c>
      <c r="D14364" s="1">
        <v>45030</v>
      </c>
      <c r="E14364">
        <v>1</v>
      </c>
      <c r="F14364" t="str">
        <f>"14-M01-05"</f>
        <v>14-M01-05</v>
      </c>
      <c r="G14364">
        <v>0.90359999999999996</v>
      </c>
      <c r="H14364" t="s">
        <v>13</v>
      </c>
      <c r="I14364" t="s">
        <v>10</v>
      </c>
    </row>
    <row r="14365" spans="1:9" x14ac:dyDescent="0.25">
      <c r="A14365" t="str">
        <f t="shared" si="334"/>
        <v>89301000</v>
      </c>
      <c r="B14365" t="str">
        <f>"8957295710"</f>
        <v>8957295710</v>
      </c>
      <c r="C14365" s="1">
        <v>44970</v>
      </c>
      <c r="D14365" s="1">
        <v>44972</v>
      </c>
      <c r="E14365">
        <v>1</v>
      </c>
      <c r="F14365" t="str">
        <f>"14-I04-00"</f>
        <v>14-I04-00</v>
      </c>
      <c r="G14365">
        <v>0.79159999999999997</v>
      </c>
      <c r="H14365" t="s">
        <v>9</v>
      </c>
      <c r="I14365" t="s">
        <v>10</v>
      </c>
    </row>
    <row r="14366" spans="1:9" x14ac:dyDescent="0.25">
      <c r="A14366" t="str">
        <f t="shared" si="334"/>
        <v>89301000</v>
      </c>
      <c r="B14366" t="str">
        <f>"8957305819"</f>
        <v>8957305819</v>
      </c>
      <c r="C14366" s="1">
        <v>45250</v>
      </c>
      <c r="D14366" s="1">
        <v>45254</v>
      </c>
      <c r="E14366">
        <v>1</v>
      </c>
      <c r="F14366" t="str">
        <f>"01-K18-04"</f>
        <v>01-K18-04</v>
      </c>
      <c r="G14366">
        <v>0.54610000000000003</v>
      </c>
      <c r="H14366" t="s">
        <v>11</v>
      </c>
      <c r="I14366" t="s">
        <v>10</v>
      </c>
    </row>
    <row r="14367" spans="1:9" x14ac:dyDescent="0.25">
      <c r="A14367" t="str">
        <f t="shared" si="334"/>
        <v>89301000</v>
      </c>
      <c r="B14367" t="str">
        <f>"8958015737"</f>
        <v>8958015737</v>
      </c>
      <c r="C14367" s="1">
        <v>45115</v>
      </c>
      <c r="D14367" s="1">
        <v>45116</v>
      </c>
      <c r="E14367">
        <v>6</v>
      </c>
      <c r="F14367" t="str">
        <f>"14-M01-05"</f>
        <v>14-M01-05</v>
      </c>
      <c r="G14367">
        <v>0.56289999999999996</v>
      </c>
      <c r="H14367" t="s">
        <v>13</v>
      </c>
      <c r="I14367" t="s">
        <v>10</v>
      </c>
    </row>
    <row r="14368" spans="1:9" x14ac:dyDescent="0.25">
      <c r="A14368" t="str">
        <f t="shared" si="334"/>
        <v>89301000</v>
      </c>
      <c r="B14368" t="str">
        <f>"8958015748"</f>
        <v>8958015748</v>
      </c>
      <c r="C14368" s="1">
        <v>45119</v>
      </c>
      <c r="D14368" s="1">
        <v>45128</v>
      </c>
      <c r="E14368">
        <v>1</v>
      </c>
      <c r="F14368" t="str">
        <f>"14-I01-05"</f>
        <v>14-I01-05</v>
      </c>
      <c r="G14368">
        <v>0.91639999999999999</v>
      </c>
      <c r="H14368" t="s">
        <v>13</v>
      </c>
      <c r="I14368" t="s">
        <v>10</v>
      </c>
    </row>
    <row r="14369" spans="1:9" x14ac:dyDescent="0.25">
      <c r="A14369" t="str">
        <f t="shared" si="334"/>
        <v>89301000</v>
      </c>
      <c r="B14369" t="str">
        <f>"8958015759"</f>
        <v>8958015759</v>
      </c>
      <c r="C14369" s="1">
        <v>45203</v>
      </c>
      <c r="D14369" s="1">
        <v>45203</v>
      </c>
      <c r="E14369">
        <v>6</v>
      </c>
      <c r="F14369" t="str">
        <f>"13-I19-00"</f>
        <v>13-I19-00</v>
      </c>
      <c r="G14369">
        <v>0.14130000000000001</v>
      </c>
      <c r="H14369" t="s">
        <v>11</v>
      </c>
      <c r="I14369" t="s">
        <v>10</v>
      </c>
    </row>
    <row r="14370" spans="1:9" x14ac:dyDescent="0.25">
      <c r="A14370" t="str">
        <f t="shared" si="334"/>
        <v>89301000</v>
      </c>
      <c r="B14370" t="str">
        <f>"8958045712"</f>
        <v>8958045712</v>
      </c>
      <c r="C14370" s="1">
        <v>45158</v>
      </c>
      <c r="D14370" s="1">
        <v>45160</v>
      </c>
      <c r="E14370">
        <v>6</v>
      </c>
      <c r="F14370" t="str">
        <f>"14-I01-05"</f>
        <v>14-I01-05</v>
      </c>
      <c r="G14370">
        <v>0.83340000000000003</v>
      </c>
      <c r="H14370" t="s">
        <v>13</v>
      </c>
      <c r="I14370" t="s">
        <v>10</v>
      </c>
    </row>
    <row r="14371" spans="1:9" x14ac:dyDescent="0.25">
      <c r="A14371" t="str">
        <f t="shared" si="334"/>
        <v>89301000</v>
      </c>
      <c r="B14371" t="str">
        <f>"8958096180"</f>
        <v>8958096180</v>
      </c>
      <c r="C14371" s="1">
        <v>45208</v>
      </c>
      <c r="D14371" s="1">
        <v>45212</v>
      </c>
      <c r="E14371">
        <v>1</v>
      </c>
      <c r="F14371" t="str">
        <f>"14-M01-05"</f>
        <v>14-M01-05</v>
      </c>
      <c r="G14371">
        <v>0.56289999999999996</v>
      </c>
      <c r="H14371" t="s">
        <v>13</v>
      </c>
      <c r="I14371" t="s">
        <v>10</v>
      </c>
    </row>
    <row r="14372" spans="1:9" x14ac:dyDescent="0.25">
      <c r="A14372" t="str">
        <f t="shared" si="334"/>
        <v>89301000</v>
      </c>
      <c r="B14372" t="str">
        <f>"8958115738"</f>
        <v>8958115738</v>
      </c>
      <c r="C14372" s="1">
        <v>44995</v>
      </c>
      <c r="D14372" s="1">
        <v>44995</v>
      </c>
      <c r="E14372">
        <v>1</v>
      </c>
      <c r="F14372" t="str">
        <f>"14-K02-00"</f>
        <v>14-K02-00</v>
      </c>
      <c r="G14372">
        <v>9.8199999999999996E-2</v>
      </c>
      <c r="H14372" t="s">
        <v>11</v>
      </c>
      <c r="I14372" t="s">
        <v>10</v>
      </c>
    </row>
    <row r="14373" spans="1:9" x14ac:dyDescent="0.25">
      <c r="A14373" t="str">
        <f t="shared" si="334"/>
        <v>89301000</v>
      </c>
      <c r="B14373" t="str">
        <f>"8958165084"</f>
        <v>8958165084</v>
      </c>
      <c r="C14373" s="1">
        <v>45135</v>
      </c>
      <c r="D14373" s="1">
        <v>45136</v>
      </c>
      <c r="E14373">
        <v>1</v>
      </c>
      <c r="F14373" t="str">
        <f>"13-I19-00"</f>
        <v>13-I19-00</v>
      </c>
      <c r="G14373">
        <v>0.28249999999999997</v>
      </c>
      <c r="H14373" t="s">
        <v>11</v>
      </c>
      <c r="I14373" t="s">
        <v>10</v>
      </c>
    </row>
    <row r="14374" spans="1:9" x14ac:dyDescent="0.25">
      <c r="A14374" t="str">
        <f t="shared" si="334"/>
        <v>89301000</v>
      </c>
      <c r="B14374" t="str">
        <f>"8958195708"</f>
        <v>8958195708</v>
      </c>
      <c r="C14374" s="1">
        <v>45065</v>
      </c>
      <c r="D14374" s="1">
        <v>45067</v>
      </c>
      <c r="E14374">
        <v>6</v>
      </c>
      <c r="F14374" t="str">
        <f>"03-I16-02"</f>
        <v>03-I16-02</v>
      </c>
      <c r="G14374">
        <v>0.92979999999999996</v>
      </c>
      <c r="H14374" t="s">
        <v>9</v>
      </c>
      <c r="I14374" t="s">
        <v>10</v>
      </c>
    </row>
    <row r="14375" spans="1:9" x14ac:dyDescent="0.25">
      <c r="A14375" t="str">
        <f t="shared" si="334"/>
        <v>89301000</v>
      </c>
      <c r="B14375" t="str">
        <f>"8958215706"</f>
        <v>8958215706</v>
      </c>
      <c r="C14375" s="1">
        <v>45047</v>
      </c>
      <c r="D14375" s="1">
        <v>45051</v>
      </c>
      <c r="E14375">
        <v>1</v>
      </c>
      <c r="F14375" t="str">
        <f>"03-I18-03"</f>
        <v>03-I18-03</v>
      </c>
      <c r="G14375">
        <v>0.83940000000000003</v>
      </c>
      <c r="H14375" t="s">
        <v>9</v>
      </c>
      <c r="I14375" t="s">
        <v>10</v>
      </c>
    </row>
    <row r="14376" spans="1:9" x14ac:dyDescent="0.25">
      <c r="A14376" t="str">
        <f t="shared" si="334"/>
        <v>89301000</v>
      </c>
      <c r="B14376" t="str">
        <f>"8958235770"</f>
        <v>8958235770</v>
      </c>
      <c r="C14376" s="1">
        <v>45201</v>
      </c>
      <c r="D14376" s="1">
        <v>45203</v>
      </c>
      <c r="E14376">
        <v>1</v>
      </c>
      <c r="F14376" t="str">
        <f>"08-I26-02"</f>
        <v>08-I26-02</v>
      </c>
      <c r="G14376">
        <v>0.83779999999999999</v>
      </c>
      <c r="H14376" t="s">
        <v>11</v>
      </c>
      <c r="I14376" t="s">
        <v>10</v>
      </c>
    </row>
    <row r="14377" spans="1:9" x14ac:dyDescent="0.25">
      <c r="A14377" t="str">
        <f t="shared" si="334"/>
        <v>89301000</v>
      </c>
      <c r="B14377" t="str">
        <f>"8959035734"</f>
        <v>8959035734</v>
      </c>
      <c r="C14377" s="1">
        <v>45075</v>
      </c>
      <c r="D14377" s="1">
        <v>45078</v>
      </c>
      <c r="E14377">
        <v>1</v>
      </c>
      <c r="F14377" t="str">
        <f>"14-M01-05"</f>
        <v>14-M01-05</v>
      </c>
      <c r="G14377">
        <v>0.56289999999999996</v>
      </c>
      <c r="H14377" t="s">
        <v>13</v>
      </c>
      <c r="I14377" t="s">
        <v>10</v>
      </c>
    </row>
    <row r="14378" spans="1:9" x14ac:dyDescent="0.25">
      <c r="A14378" t="str">
        <f t="shared" si="334"/>
        <v>89301000</v>
      </c>
      <c r="B14378" t="str">
        <f>"8959146284"</f>
        <v>8959146284</v>
      </c>
      <c r="C14378" s="1">
        <v>45206</v>
      </c>
      <c r="D14378" s="1">
        <v>45209</v>
      </c>
      <c r="E14378">
        <v>1</v>
      </c>
      <c r="F14378" t="str">
        <f>"14-I01-05"</f>
        <v>14-I01-05</v>
      </c>
      <c r="G14378">
        <v>0.83340000000000003</v>
      </c>
      <c r="H14378" t="s">
        <v>13</v>
      </c>
      <c r="I14378" t="s">
        <v>10</v>
      </c>
    </row>
    <row r="14379" spans="1:9" x14ac:dyDescent="0.25">
      <c r="A14379" t="str">
        <f t="shared" si="334"/>
        <v>89301000</v>
      </c>
      <c r="B14379" t="str">
        <f>"8959156107"</f>
        <v>8959156107</v>
      </c>
      <c r="C14379" s="1">
        <v>44956</v>
      </c>
      <c r="D14379" s="1">
        <v>44959</v>
      </c>
      <c r="E14379">
        <v>1</v>
      </c>
      <c r="F14379" t="str">
        <f>"14-M01-05"</f>
        <v>14-M01-05</v>
      </c>
      <c r="G14379">
        <v>0.56289999999999996</v>
      </c>
      <c r="H14379" t="s">
        <v>13</v>
      </c>
      <c r="I14379" t="s">
        <v>10</v>
      </c>
    </row>
    <row r="14380" spans="1:9" x14ac:dyDescent="0.25">
      <c r="A14380" t="str">
        <f t="shared" si="334"/>
        <v>89301000</v>
      </c>
      <c r="B14380" t="str">
        <f>"8959195718"</f>
        <v>8959195718</v>
      </c>
      <c r="C14380" s="1">
        <v>45085</v>
      </c>
      <c r="D14380" s="1">
        <v>45088</v>
      </c>
      <c r="E14380">
        <v>1</v>
      </c>
      <c r="F14380" t="str">
        <f>"13-I14-03"</f>
        <v>13-I14-03</v>
      </c>
      <c r="G14380">
        <v>0.87760000000000005</v>
      </c>
      <c r="H14380" t="s">
        <v>9</v>
      </c>
      <c r="I14380" t="s">
        <v>10</v>
      </c>
    </row>
    <row r="14381" spans="1:9" x14ac:dyDescent="0.25">
      <c r="A14381" t="str">
        <f t="shared" si="334"/>
        <v>89301000</v>
      </c>
      <c r="B14381" t="str">
        <f>"8959215925"</f>
        <v>8959215925</v>
      </c>
      <c r="C14381" s="1">
        <v>45007</v>
      </c>
      <c r="D14381" s="1">
        <v>45011</v>
      </c>
      <c r="E14381">
        <v>1</v>
      </c>
      <c r="F14381" t="str">
        <f>"14-M01-05"</f>
        <v>14-M01-05</v>
      </c>
      <c r="G14381">
        <v>0.56289999999999996</v>
      </c>
      <c r="H14381" t="s">
        <v>13</v>
      </c>
      <c r="I14381" t="s">
        <v>10</v>
      </c>
    </row>
    <row r="14382" spans="1:9" x14ac:dyDescent="0.25">
      <c r="A14382" t="str">
        <f t="shared" si="334"/>
        <v>89301000</v>
      </c>
      <c r="B14382" t="str">
        <f>"8959235725"</f>
        <v>8959235725</v>
      </c>
      <c r="C14382" s="1">
        <v>45265</v>
      </c>
      <c r="D14382" s="1">
        <v>45267</v>
      </c>
      <c r="E14382">
        <v>1</v>
      </c>
      <c r="F14382" t="str">
        <f>"14-M01-05"</f>
        <v>14-M01-05</v>
      </c>
      <c r="G14382">
        <v>0.56589999999999996</v>
      </c>
      <c r="H14382" t="s">
        <v>13</v>
      </c>
      <c r="I14382" t="s">
        <v>10</v>
      </c>
    </row>
    <row r="14383" spans="1:9" x14ac:dyDescent="0.25">
      <c r="A14383" t="str">
        <f t="shared" si="334"/>
        <v>89301000</v>
      </c>
      <c r="B14383" t="str">
        <f>"8959255723"</f>
        <v>8959255723</v>
      </c>
      <c r="C14383" s="1">
        <v>45243</v>
      </c>
      <c r="D14383" s="1">
        <v>45245</v>
      </c>
      <c r="E14383">
        <v>1</v>
      </c>
      <c r="F14383" t="str">
        <f>"14-M01-05"</f>
        <v>14-M01-05</v>
      </c>
      <c r="G14383">
        <v>0.56289999999999996</v>
      </c>
      <c r="H14383" t="s">
        <v>13</v>
      </c>
      <c r="I14383" t="s">
        <v>10</v>
      </c>
    </row>
    <row r="14384" spans="1:9" x14ac:dyDescent="0.25">
      <c r="A14384" t="str">
        <f t="shared" si="334"/>
        <v>89301000</v>
      </c>
      <c r="B14384" t="str">
        <f>"8959275699"</f>
        <v>8959275699</v>
      </c>
      <c r="C14384" s="1">
        <v>44946</v>
      </c>
      <c r="D14384" s="1">
        <v>44947</v>
      </c>
      <c r="E14384">
        <v>1</v>
      </c>
      <c r="F14384" t="str">
        <f>"09-I04-02"</f>
        <v>09-I04-02</v>
      </c>
      <c r="G14384">
        <v>1.0899000000000001</v>
      </c>
      <c r="H14384" t="s">
        <v>12</v>
      </c>
      <c r="I14384" t="s">
        <v>10</v>
      </c>
    </row>
    <row r="14385" spans="1:9" x14ac:dyDescent="0.25">
      <c r="A14385" t="str">
        <f t="shared" si="334"/>
        <v>89301000</v>
      </c>
      <c r="B14385" t="str">
        <f>"8960025734"</f>
        <v>8960025734</v>
      </c>
      <c r="C14385" s="1">
        <v>45113</v>
      </c>
      <c r="D14385" s="1">
        <v>45116</v>
      </c>
      <c r="E14385">
        <v>1</v>
      </c>
      <c r="F14385" t="str">
        <f>"14-M01-05"</f>
        <v>14-M01-05</v>
      </c>
      <c r="G14385">
        <v>0.56289999999999996</v>
      </c>
      <c r="H14385" t="s">
        <v>13</v>
      </c>
      <c r="I14385" t="s">
        <v>10</v>
      </c>
    </row>
    <row r="14386" spans="1:9" x14ac:dyDescent="0.25">
      <c r="A14386" t="str">
        <f t="shared" si="334"/>
        <v>89301000</v>
      </c>
      <c r="B14386" t="str">
        <f>"8960043763"</f>
        <v>8960043763</v>
      </c>
      <c r="C14386" s="1">
        <v>45031</v>
      </c>
      <c r="D14386" s="1">
        <v>45034</v>
      </c>
      <c r="E14386">
        <v>1</v>
      </c>
      <c r="F14386" t="str">
        <f>"14-M01-05"</f>
        <v>14-M01-05</v>
      </c>
      <c r="G14386">
        <v>0.56289999999999996</v>
      </c>
      <c r="H14386" t="s">
        <v>13</v>
      </c>
      <c r="I14386" t="s">
        <v>10</v>
      </c>
    </row>
    <row r="14387" spans="1:9" x14ac:dyDescent="0.25">
      <c r="A14387" t="str">
        <f t="shared" si="334"/>
        <v>89301000</v>
      </c>
      <c r="B14387" t="str">
        <f>"8960126153"</f>
        <v>8960126153</v>
      </c>
      <c r="C14387" s="1">
        <v>45232</v>
      </c>
      <c r="D14387" s="1">
        <v>45234</v>
      </c>
      <c r="E14387">
        <v>1</v>
      </c>
      <c r="F14387" t="str">
        <f>"08-I19-03"</f>
        <v>08-I19-03</v>
      </c>
      <c r="G14387">
        <v>0.59130000000000005</v>
      </c>
      <c r="H14387" t="s">
        <v>12</v>
      </c>
      <c r="I14387" t="s">
        <v>10</v>
      </c>
    </row>
    <row r="14388" spans="1:9" x14ac:dyDescent="0.25">
      <c r="A14388" t="str">
        <f t="shared" si="334"/>
        <v>89301000</v>
      </c>
      <c r="B14388" t="str">
        <f>"8960135723"</f>
        <v>8960135723</v>
      </c>
      <c r="C14388" s="1">
        <v>44970</v>
      </c>
      <c r="D14388" s="1">
        <v>44974</v>
      </c>
      <c r="E14388">
        <v>1</v>
      </c>
      <c r="F14388" t="str">
        <f>"14-I01-02"</f>
        <v>14-I01-02</v>
      </c>
      <c r="G14388">
        <v>1.2988999999999999</v>
      </c>
      <c r="H14388" t="s">
        <v>13</v>
      </c>
      <c r="I14388" t="s">
        <v>10</v>
      </c>
    </row>
    <row r="14389" spans="1:9" x14ac:dyDescent="0.25">
      <c r="A14389" t="str">
        <f t="shared" si="334"/>
        <v>89301000</v>
      </c>
      <c r="B14389" t="str">
        <f>"8960185707"</f>
        <v>8960185707</v>
      </c>
      <c r="C14389" s="1">
        <v>45149</v>
      </c>
      <c r="D14389" s="1">
        <v>45170</v>
      </c>
      <c r="E14389">
        <v>1</v>
      </c>
      <c r="F14389" t="str">
        <f>"19-K05-02"</f>
        <v>19-K05-02</v>
      </c>
      <c r="G14389">
        <v>1.7688999999999999</v>
      </c>
      <c r="H14389" t="s">
        <v>15</v>
      </c>
      <c r="I14389" t="s">
        <v>10</v>
      </c>
    </row>
    <row r="14390" spans="1:9" x14ac:dyDescent="0.25">
      <c r="A14390" t="str">
        <f t="shared" si="334"/>
        <v>89301000</v>
      </c>
      <c r="B14390" t="str">
        <f>"8960186147"</f>
        <v>8960186147</v>
      </c>
      <c r="C14390" s="1">
        <v>44938</v>
      </c>
      <c r="D14390" s="1">
        <v>44939</v>
      </c>
      <c r="E14390">
        <v>1</v>
      </c>
      <c r="F14390" t="str">
        <f>"02-I12-02"</f>
        <v>02-I12-02</v>
      </c>
      <c r="G14390">
        <v>0.78639999999999999</v>
      </c>
      <c r="H14390" t="s">
        <v>11</v>
      </c>
      <c r="I14390" t="s">
        <v>10</v>
      </c>
    </row>
    <row r="14391" spans="1:9" x14ac:dyDescent="0.25">
      <c r="A14391" t="str">
        <f t="shared" si="334"/>
        <v>89301000</v>
      </c>
      <c r="B14391" t="str">
        <f>"8960186147"</f>
        <v>8960186147</v>
      </c>
      <c r="C14391" s="1">
        <v>45001</v>
      </c>
      <c r="D14391" s="1">
        <v>45002</v>
      </c>
      <c r="E14391">
        <v>1</v>
      </c>
      <c r="F14391" t="str">
        <f>"02-I12-02"</f>
        <v>02-I12-02</v>
      </c>
      <c r="G14391">
        <v>0.78639999999999999</v>
      </c>
      <c r="H14391" t="s">
        <v>11</v>
      </c>
      <c r="I14391" t="s">
        <v>10</v>
      </c>
    </row>
    <row r="14392" spans="1:9" x14ac:dyDescent="0.25">
      <c r="A14392" t="str">
        <f t="shared" si="334"/>
        <v>89301000</v>
      </c>
      <c r="B14392" t="str">
        <f>"8960215737"</f>
        <v>8960215737</v>
      </c>
      <c r="C14392" s="1">
        <v>44928</v>
      </c>
      <c r="D14392" s="1">
        <v>44991</v>
      </c>
      <c r="E14392">
        <v>1</v>
      </c>
      <c r="F14392" t="str">
        <f>"00-M01-02"</f>
        <v>00-M01-02</v>
      </c>
      <c r="G14392">
        <v>20.229700000000001</v>
      </c>
      <c r="H14392" t="s">
        <v>11</v>
      </c>
      <c r="I14392" t="s">
        <v>10</v>
      </c>
    </row>
    <row r="14393" spans="1:9" x14ac:dyDescent="0.25">
      <c r="A14393" t="str">
        <f t="shared" si="334"/>
        <v>89301000</v>
      </c>
      <c r="B14393" t="str">
        <f>"8960235702"</f>
        <v>8960235702</v>
      </c>
      <c r="C14393" s="1">
        <v>45223</v>
      </c>
      <c r="D14393" s="1">
        <v>45238</v>
      </c>
      <c r="E14393">
        <v>6</v>
      </c>
      <c r="F14393" t="str">
        <f>"19-K05-02"</f>
        <v>19-K05-02</v>
      </c>
      <c r="G14393">
        <v>1.7688999999999999</v>
      </c>
      <c r="H14393" t="s">
        <v>15</v>
      </c>
      <c r="I14393" t="s">
        <v>10</v>
      </c>
    </row>
    <row r="14394" spans="1:9" x14ac:dyDescent="0.25">
      <c r="A14394" t="str">
        <f t="shared" si="334"/>
        <v>89301000</v>
      </c>
      <c r="B14394" t="str">
        <f>"8960256140"</f>
        <v>8960256140</v>
      </c>
      <c r="C14394" s="1">
        <v>44973</v>
      </c>
      <c r="D14394" s="1">
        <v>44977</v>
      </c>
      <c r="E14394">
        <v>1</v>
      </c>
      <c r="F14394" t="str">
        <f>"13-I17-00"</f>
        <v>13-I17-00</v>
      </c>
      <c r="G14394">
        <v>0.80579999999999996</v>
      </c>
      <c r="H14394" t="s">
        <v>9</v>
      </c>
      <c r="I14394" t="s">
        <v>10</v>
      </c>
    </row>
    <row r="14395" spans="1:9" x14ac:dyDescent="0.25">
      <c r="A14395" t="str">
        <f t="shared" si="334"/>
        <v>89301000</v>
      </c>
      <c r="B14395" t="str">
        <f>"8960315815"</f>
        <v>8960315815</v>
      </c>
      <c r="C14395" s="1">
        <v>45229</v>
      </c>
      <c r="D14395" s="1">
        <v>45234</v>
      </c>
      <c r="E14395">
        <v>1</v>
      </c>
      <c r="F14395" t="str">
        <f>"14-I01-05"</f>
        <v>14-I01-05</v>
      </c>
      <c r="G14395">
        <v>0.83340000000000003</v>
      </c>
      <c r="H14395" t="s">
        <v>13</v>
      </c>
      <c r="I14395" t="s">
        <v>10</v>
      </c>
    </row>
    <row r="14396" spans="1:9" x14ac:dyDescent="0.25">
      <c r="A14396" t="str">
        <f t="shared" si="334"/>
        <v>89301000</v>
      </c>
      <c r="B14396" t="str">
        <f>"8961045973"</f>
        <v>8961045973</v>
      </c>
      <c r="C14396" s="1">
        <v>45200</v>
      </c>
      <c r="D14396" s="1">
        <v>45205</v>
      </c>
      <c r="E14396">
        <v>1</v>
      </c>
      <c r="F14396" t="str">
        <f>"08-K08-00"</f>
        <v>08-K08-00</v>
      </c>
      <c r="G14396">
        <v>0.5272</v>
      </c>
      <c r="H14396" t="s">
        <v>11</v>
      </c>
      <c r="I14396" t="s">
        <v>10</v>
      </c>
    </row>
    <row r="14397" spans="1:9" x14ac:dyDescent="0.25">
      <c r="A14397" t="str">
        <f t="shared" si="334"/>
        <v>89301000</v>
      </c>
      <c r="B14397" t="str">
        <f>"8961065729"</f>
        <v>8961065729</v>
      </c>
      <c r="C14397" s="1">
        <v>45005</v>
      </c>
      <c r="D14397" s="1">
        <v>45010</v>
      </c>
      <c r="E14397">
        <v>1</v>
      </c>
      <c r="F14397" t="str">
        <f>"14-I01-05"</f>
        <v>14-I01-05</v>
      </c>
      <c r="G14397">
        <v>0.83340000000000003</v>
      </c>
      <c r="H14397" t="s">
        <v>13</v>
      </c>
      <c r="I14397" t="s">
        <v>10</v>
      </c>
    </row>
    <row r="14398" spans="1:9" x14ac:dyDescent="0.25">
      <c r="A14398" t="str">
        <f t="shared" si="334"/>
        <v>89301000</v>
      </c>
      <c r="B14398" t="str">
        <f>"8961072901"</f>
        <v>8961072901</v>
      </c>
      <c r="C14398" s="1">
        <v>45259</v>
      </c>
      <c r="D14398" s="1">
        <v>45264</v>
      </c>
      <c r="E14398">
        <v>1</v>
      </c>
      <c r="F14398" t="str">
        <f>"23-K05-01"</f>
        <v>23-K05-01</v>
      </c>
      <c r="G14398">
        <v>0.56269999999999998</v>
      </c>
      <c r="H14398" t="s">
        <v>11</v>
      </c>
      <c r="I14398" t="s">
        <v>10</v>
      </c>
    </row>
    <row r="14399" spans="1:9" x14ac:dyDescent="0.25">
      <c r="A14399" t="str">
        <f t="shared" si="334"/>
        <v>89301000</v>
      </c>
      <c r="B14399" t="str">
        <f>"8961095957"</f>
        <v>8961095957</v>
      </c>
      <c r="C14399" s="1">
        <v>45061</v>
      </c>
      <c r="D14399" s="1">
        <v>45063</v>
      </c>
      <c r="E14399">
        <v>1</v>
      </c>
      <c r="F14399" t="str">
        <f>"11-K03-02"</f>
        <v>11-K03-02</v>
      </c>
      <c r="G14399">
        <v>0.63990000000000002</v>
      </c>
      <c r="H14399" t="s">
        <v>11</v>
      </c>
      <c r="I14399" t="s">
        <v>10</v>
      </c>
    </row>
    <row r="14400" spans="1:9" x14ac:dyDescent="0.25">
      <c r="A14400" t="str">
        <f t="shared" si="334"/>
        <v>89301000</v>
      </c>
      <c r="B14400" t="str">
        <f>"8961095957"</f>
        <v>8961095957</v>
      </c>
      <c r="C14400" s="1">
        <v>45236</v>
      </c>
      <c r="D14400" s="1">
        <v>45245</v>
      </c>
      <c r="E14400">
        <v>1</v>
      </c>
      <c r="F14400" t="str">
        <f>"11-K03-02"</f>
        <v>11-K03-02</v>
      </c>
      <c r="G14400">
        <v>0.622</v>
      </c>
      <c r="H14400" t="s">
        <v>11</v>
      </c>
      <c r="I14400" t="s">
        <v>10</v>
      </c>
    </row>
    <row r="14401" spans="1:9" x14ac:dyDescent="0.25">
      <c r="A14401" t="str">
        <f t="shared" si="334"/>
        <v>89301000</v>
      </c>
      <c r="B14401" t="str">
        <f>"8961155104"</f>
        <v>8961155104</v>
      </c>
      <c r="C14401" s="1">
        <v>44963</v>
      </c>
      <c r="D14401" s="1">
        <v>44971</v>
      </c>
      <c r="E14401">
        <v>1</v>
      </c>
      <c r="F14401" t="str">
        <f>"14-K03-02"</f>
        <v>14-K03-02</v>
      </c>
      <c r="G14401">
        <v>0.4078</v>
      </c>
      <c r="H14401" t="s">
        <v>11</v>
      </c>
      <c r="I14401" t="s">
        <v>10</v>
      </c>
    </row>
    <row r="14402" spans="1:9" x14ac:dyDescent="0.25">
      <c r="A14402" t="str">
        <f t="shared" si="334"/>
        <v>89301000</v>
      </c>
      <c r="B14402" t="str">
        <f>"8961175718"</f>
        <v>8961175718</v>
      </c>
      <c r="C14402" s="1">
        <v>45152</v>
      </c>
      <c r="D14402" s="1">
        <v>45157</v>
      </c>
      <c r="E14402">
        <v>1</v>
      </c>
      <c r="F14402" t="str">
        <f>"14-M01-05"</f>
        <v>14-M01-05</v>
      </c>
      <c r="G14402">
        <v>0.56289999999999996</v>
      </c>
      <c r="H14402" t="s">
        <v>13</v>
      </c>
      <c r="I14402" t="s">
        <v>10</v>
      </c>
    </row>
    <row r="14403" spans="1:9" x14ac:dyDescent="0.25">
      <c r="A14403" t="str">
        <f t="shared" si="334"/>
        <v>89301000</v>
      </c>
      <c r="B14403" t="str">
        <f>"8961185706"</f>
        <v>8961185706</v>
      </c>
      <c r="C14403" s="1">
        <v>45120</v>
      </c>
      <c r="D14403" s="1">
        <v>45122</v>
      </c>
      <c r="E14403">
        <v>1</v>
      </c>
      <c r="F14403" t="str">
        <f>"09-I07-02"</f>
        <v>09-I07-02</v>
      </c>
      <c r="G14403">
        <v>1.3992</v>
      </c>
      <c r="H14403" t="s">
        <v>14</v>
      </c>
      <c r="I14403" t="s">
        <v>10</v>
      </c>
    </row>
    <row r="14404" spans="1:9" x14ac:dyDescent="0.25">
      <c r="A14404" t="str">
        <f t="shared" si="334"/>
        <v>89301000</v>
      </c>
      <c r="B14404" t="str">
        <f>"8961214196"</f>
        <v>8961214196</v>
      </c>
      <c r="C14404" s="1">
        <v>44966</v>
      </c>
      <c r="D14404" s="1">
        <v>44969</v>
      </c>
      <c r="E14404">
        <v>1</v>
      </c>
      <c r="F14404" t="str">
        <f>"14-M01-05"</f>
        <v>14-M01-05</v>
      </c>
      <c r="G14404">
        <v>0.56289999999999996</v>
      </c>
      <c r="H14404" t="s">
        <v>13</v>
      </c>
      <c r="I14404" t="s">
        <v>10</v>
      </c>
    </row>
    <row r="14405" spans="1:9" x14ac:dyDescent="0.25">
      <c r="A14405" t="str">
        <f t="shared" si="334"/>
        <v>89301000</v>
      </c>
      <c r="B14405" t="str">
        <f>"8962035753"</f>
        <v>8962035753</v>
      </c>
      <c r="C14405" s="1">
        <v>45175</v>
      </c>
      <c r="D14405" s="1">
        <v>45178</v>
      </c>
      <c r="E14405">
        <v>1</v>
      </c>
      <c r="F14405" t="str">
        <f>"06-I18-05"</f>
        <v>06-I18-05</v>
      </c>
      <c r="G14405">
        <v>0.82420000000000004</v>
      </c>
      <c r="H14405" t="s">
        <v>9</v>
      </c>
      <c r="I14405" t="s">
        <v>10</v>
      </c>
    </row>
    <row r="14406" spans="1:9" x14ac:dyDescent="0.25">
      <c r="A14406" t="str">
        <f t="shared" si="334"/>
        <v>89301000</v>
      </c>
      <c r="B14406" t="str">
        <f>"9001055646"</f>
        <v>9001055646</v>
      </c>
      <c r="C14406" s="1">
        <v>44938</v>
      </c>
      <c r="D14406" s="1">
        <v>44939</v>
      </c>
      <c r="E14406">
        <v>1</v>
      </c>
      <c r="F14406" t="str">
        <f>"03-K13-02"</f>
        <v>03-K13-02</v>
      </c>
      <c r="G14406">
        <v>0.24440000000000001</v>
      </c>
      <c r="H14406" t="s">
        <v>11</v>
      </c>
      <c r="I14406" t="s">
        <v>10</v>
      </c>
    </row>
    <row r="14407" spans="1:9" x14ac:dyDescent="0.25">
      <c r="A14407" t="str">
        <f t="shared" si="334"/>
        <v>89301000</v>
      </c>
      <c r="B14407" t="str">
        <f>"9001235716"</f>
        <v>9001235716</v>
      </c>
      <c r="C14407" s="1">
        <v>45266</v>
      </c>
      <c r="D14407" s="1">
        <v>45268</v>
      </c>
      <c r="E14407">
        <v>1</v>
      </c>
      <c r="F14407" t="str">
        <f>"08-I26-02"</f>
        <v>08-I26-02</v>
      </c>
      <c r="G14407">
        <v>0.83779999999999999</v>
      </c>
      <c r="H14407" t="s">
        <v>11</v>
      </c>
      <c r="I14407" t="s">
        <v>10</v>
      </c>
    </row>
    <row r="14408" spans="1:9" x14ac:dyDescent="0.25">
      <c r="A14408" t="str">
        <f t="shared" si="334"/>
        <v>89301000</v>
      </c>
      <c r="B14408" t="str">
        <f>"9002085730"</f>
        <v>9002085730</v>
      </c>
      <c r="C14408" s="1">
        <v>45210</v>
      </c>
      <c r="D14408" s="1">
        <v>45211</v>
      </c>
      <c r="E14408">
        <v>1</v>
      </c>
      <c r="F14408" t="str">
        <f>"01-D01-03"</f>
        <v>01-D01-03</v>
      </c>
      <c r="G14408">
        <v>0.16200000000000001</v>
      </c>
      <c r="H14408" t="s">
        <v>11</v>
      </c>
      <c r="I14408" t="s">
        <v>10</v>
      </c>
    </row>
    <row r="14409" spans="1:9" x14ac:dyDescent="0.25">
      <c r="A14409" t="str">
        <f t="shared" si="334"/>
        <v>89301000</v>
      </c>
      <c r="B14409" t="str">
        <f>"9002206191"</f>
        <v>9002206191</v>
      </c>
      <c r="C14409" s="1">
        <v>44984</v>
      </c>
      <c r="D14409" s="1">
        <v>44986</v>
      </c>
      <c r="E14409">
        <v>1</v>
      </c>
      <c r="F14409" t="str">
        <f>"01-D01-03"</f>
        <v>01-D01-03</v>
      </c>
      <c r="G14409">
        <v>0.16200000000000001</v>
      </c>
      <c r="H14409" t="s">
        <v>11</v>
      </c>
      <c r="I14409" t="s">
        <v>10</v>
      </c>
    </row>
    <row r="14410" spans="1:9" x14ac:dyDescent="0.25">
      <c r="A14410" t="str">
        <f t="shared" si="334"/>
        <v>89301000</v>
      </c>
      <c r="B14410" t="str">
        <f>"9002285699"</f>
        <v>9002285699</v>
      </c>
      <c r="C14410" s="1">
        <v>45013</v>
      </c>
      <c r="D14410" s="1">
        <v>45016</v>
      </c>
      <c r="E14410">
        <v>1</v>
      </c>
      <c r="F14410" t="str">
        <f>"10-K04-04"</f>
        <v>10-K04-04</v>
      </c>
      <c r="G14410">
        <v>0.53949999999999998</v>
      </c>
      <c r="H14410" t="s">
        <v>11</v>
      </c>
      <c r="I14410" t="s">
        <v>10</v>
      </c>
    </row>
    <row r="14411" spans="1:9" x14ac:dyDescent="0.25">
      <c r="A14411" t="str">
        <f t="shared" si="334"/>
        <v>89301000</v>
      </c>
      <c r="B14411" t="str">
        <f>"9003046063"</f>
        <v>9003046063</v>
      </c>
      <c r="C14411" s="1">
        <v>45161</v>
      </c>
      <c r="D14411" s="1">
        <v>45167</v>
      </c>
      <c r="E14411">
        <v>1</v>
      </c>
      <c r="F14411" t="str">
        <f>"03-I16-02"</f>
        <v>03-I16-02</v>
      </c>
      <c r="G14411">
        <v>0.92579999999999996</v>
      </c>
      <c r="H14411" t="s">
        <v>9</v>
      </c>
      <c r="I14411" t="s">
        <v>10</v>
      </c>
    </row>
    <row r="14412" spans="1:9" x14ac:dyDescent="0.25">
      <c r="A14412" t="str">
        <f t="shared" si="334"/>
        <v>89301000</v>
      </c>
      <c r="B14412" t="str">
        <f>"9003145712"</f>
        <v>9003145712</v>
      </c>
      <c r="C14412" s="1">
        <v>45123</v>
      </c>
      <c r="D14412" s="1">
        <v>45125</v>
      </c>
      <c r="E14412">
        <v>1</v>
      </c>
      <c r="F14412" t="str">
        <f>"08-I19-03"</f>
        <v>08-I19-03</v>
      </c>
      <c r="G14412">
        <v>0.59130000000000005</v>
      </c>
      <c r="H14412" t="s">
        <v>12</v>
      </c>
      <c r="I14412" t="s">
        <v>10</v>
      </c>
    </row>
    <row r="14413" spans="1:9" x14ac:dyDescent="0.25">
      <c r="A14413" t="str">
        <f t="shared" ref="A14413:A14476" si="335">"89301000"</f>
        <v>89301000</v>
      </c>
      <c r="B14413" t="str">
        <f>"9003145987"</f>
        <v>9003145987</v>
      </c>
      <c r="C14413" s="1">
        <v>44931</v>
      </c>
      <c r="D14413" s="1">
        <v>44933</v>
      </c>
      <c r="E14413">
        <v>1</v>
      </c>
      <c r="F14413" t="str">
        <f>"08-M03-04"</f>
        <v>08-M03-04</v>
      </c>
      <c r="G14413">
        <v>0.98499999999999999</v>
      </c>
      <c r="H14413" t="s">
        <v>11</v>
      </c>
      <c r="I14413" t="s">
        <v>10</v>
      </c>
    </row>
    <row r="14414" spans="1:9" x14ac:dyDescent="0.25">
      <c r="A14414" t="str">
        <f t="shared" si="335"/>
        <v>89301000</v>
      </c>
      <c r="B14414" t="str">
        <f>"9004054862"</f>
        <v>9004054862</v>
      </c>
      <c r="C14414" s="1">
        <v>45244</v>
      </c>
      <c r="D14414" s="1">
        <v>45248</v>
      </c>
      <c r="E14414">
        <v>1</v>
      </c>
      <c r="F14414" t="str">
        <f>"03-I24-00"</f>
        <v>03-I24-00</v>
      </c>
      <c r="G14414">
        <v>0.40899999999999997</v>
      </c>
      <c r="H14414" t="s">
        <v>11</v>
      </c>
      <c r="I14414" t="s">
        <v>10</v>
      </c>
    </row>
    <row r="14415" spans="1:9" x14ac:dyDescent="0.25">
      <c r="A14415" t="str">
        <f t="shared" si="335"/>
        <v>89301000</v>
      </c>
      <c r="B14415" t="str">
        <f>"9004075729"</f>
        <v>9004075729</v>
      </c>
      <c r="C14415" s="1">
        <v>45208</v>
      </c>
      <c r="D14415" s="1">
        <v>45210</v>
      </c>
      <c r="E14415">
        <v>1</v>
      </c>
      <c r="F14415" t="str">
        <f>"09-I13-05"</f>
        <v>09-I13-05</v>
      </c>
      <c r="G14415">
        <v>0.42570000000000002</v>
      </c>
      <c r="H14415" t="s">
        <v>11</v>
      </c>
      <c r="I14415" t="s">
        <v>10</v>
      </c>
    </row>
    <row r="14416" spans="1:9" x14ac:dyDescent="0.25">
      <c r="A14416" t="str">
        <f t="shared" si="335"/>
        <v>89301000</v>
      </c>
      <c r="B14416" t="str">
        <f>"9004155710"</f>
        <v>9004155710</v>
      </c>
      <c r="C14416" s="1">
        <v>44998</v>
      </c>
      <c r="D14416" s="1">
        <v>45001</v>
      </c>
      <c r="E14416">
        <v>1</v>
      </c>
      <c r="F14416" t="str">
        <f>"09-K02-00"</f>
        <v>09-K02-00</v>
      </c>
      <c r="G14416">
        <v>0.99539999999999995</v>
      </c>
      <c r="H14416" t="s">
        <v>11</v>
      </c>
      <c r="I14416" t="s">
        <v>10</v>
      </c>
    </row>
    <row r="14417" spans="1:9" x14ac:dyDescent="0.25">
      <c r="A14417" t="str">
        <f t="shared" si="335"/>
        <v>89301000</v>
      </c>
      <c r="B14417" t="str">
        <f>"9004214406"</f>
        <v>9004214406</v>
      </c>
      <c r="C14417" s="1">
        <v>44942</v>
      </c>
      <c r="D14417" s="1">
        <v>44960</v>
      </c>
      <c r="E14417">
        <v>1</v>
      </c>
      <c r="F14417" t="str">
        <f>"19-K05-01"</f>
        <v>19-K05-01</v>
      </c>
      <c r="G14417">
        <v>1.9512</v>
      </c>
      <c r="H14417" t="s">
        <v>15</v>
      </c>
      <c r="I14417" t="s">
        <v>10</v>
      </c>
    </row>
    <row r="14418" spans="1:9" x14ac:dyDescent="0.25">
      <c r="A14418" t="str">
        <f t="shared" si="335"/>
        <v>89301000</v>
      </c>
      <c r="B14418" t="str">
        <f>"9004235735"</f>
        <v>9004235735</v>
      </c>
      <c r="C14418" s="1">
        <v>45240</v>
      </c>
      <c r="D14418" s="1">
        <v>45241</v>
      </c>
      <c r="E14418">
        <v>1</v>
      </c>
      <c r="F14418" t="str">
        <f>"09-I13-04"</f>
        <v>09-I13-04</v>
      </c>
      <c r="G14418">
        <v>0.54139999999999999</v>
      </c>
      <c r="H14418" t="s">
        <v>11</v>
      </c>
      <c r="I14418" t="s">
        <v>10</v>
      </c>
    </row>
    <row r="14419" spans="1:9" x14ac:dyDescent="0.25">
      <c r="A14419" t="str">
        <f t="shared" si="335"/>
        <v>89301000</v>
      </c>
      <c r="B14419" t="str">
        <f>"9004245745"</f>
        <v>9004245745</v>
      </c>
      <c r="C14419" s="1">
        <v>45252</v>
      </c>
      <c r="D14419" s="1">
        <v>45253</v>
      </c>
      <c r="E14419">
        <v>1</v>
      </c>
      <c r="F14419" t="str">
        <f>"08-I19-03"</f>
        <v>08-I19-03</v>
      </c>
      <c r="G14419">
        <v>0.59130000000000005</v>
      </c>
      <c r="H14419" t="s">
        <v>12</v>
      </c>
      <c r="I14419" t="s">
        <v>10</v>
      </c>
    </row>
    <row r="14420" spans="1:9" x14ac:dyDescent="0.25">
      <c r="A14420" t="str">
        <f t="shared" si="335"/>
        <v>89301000</v>
      </c>
      <c r="B14420" t="str">
        <f>"9005244886"</f>
        <v>9005244886</v>
      </c>
      <c r="C14420" s="1">
        <v>45019</v>
      </c>
      <c r="D14420" s="1">
        <v>45020</v>
      </c>
      <c r="E14420">
        <v>1</v>
      </c>
      <c r="F14420" t="str">
        <f>"01-D01-03"</f>
        <v>01-D01-03</v>
      </c>
      <c r="G14420">
        <v>0.16200000000000001</v>
      </c>
      <c r="H14420" t="s">
        <v>11</v>
      </c>
      <c r="I14420" t="s">
        <v>10</v>
      </c>
    </row>
    <row r="14421" spans="1:9" x14ac:dyDescent="0.25">
      <c r="A14421" t="str">
        <f t="shared" si="335"/>
        <v>89301000</v>
      </c>
      <c r="B14421" t="str">
        <f>"9006286146"</f>
        <v>9006286146</v>
      </c>
      <c r="C14421" s="1">
        <v>44935</v>
      </c>
      <c r="D14421" s="1">
        <v>44937</v>
      </c>
      <c r="E14421">
        <v>1</v>
      </c>
      <c r="F14421" t="str">
        <f>"06-K11-00"</f>
        <v>06-K11-00</v>
      </c>
      <c r="G14421">
        <v>0.34639999999999999</v>
      </c>
      <c r="H14421" t="s">
        <v>11</v>
      </c>
      <c r="I14421" t="s">
        <v>10</v>
      </c>
    </row>
    <row r="14422" spans="1:9" x14ac:dyDescent="0.25">
      <c r="A14422" t="str">
        <f t="shared" si="335"/>
        <v>89301000</v>
      </c>
      <c r="B14422" t="str">
        <f>"9006304857"</f>
        <v>9006304857</v>
      </c>
      <c r="C14422" s="1">
        <v>45041</v>
      </c>
      <c r="D14422" s="1">
        <v>45043</v>
      </c>
      <c r="E14422">
        <v>1</v>
      </c>
      <c r="F14422" t="str">
        <f>"03-I19-03"</f>
        <v>03-I19-03</v>
      </c>
      <c r="G14422">
        <v>0.53420000000000001</v>
      </c>
      <c r="H14422" t="s">
        <v>11</v>
      </c>
      <c r="I14422" t="s">
        <v>10</v>
      </c>
    </row>
    <row r="14423" spans="1:9" x14ac:dyDescent="0.25">
      <c r="A14423" t="str">
        <f t="shared" si="335"/>
        <v>89301000</v>
      </c>
      <c r="B14423" t="str">
        <f>"9007056146"</f>
        <v>9007056146</v>
      </c>
      <c r="C14423" s="1">
        <v>45015</v>
      </c>
      <c r="D14423" s="1">
        <v>45021</v>
      </c>
      <c r="E14423">
        <v>1</v>
      </c>
      <c r="F14423" t="str">
        <f>"03-I16-02"</f>
        <v>03-I16-02</v>
      </c>
      <c r="G14423">
        <v>0.92979999999999996</v>
      </c>
      <c r="H14423" t="s">
        <v>9</v>
      </c>
      <c r="I14423" t="s">
        <v>10</v>
      </c>
    </row>
    <row r="14424" spans="1:9" x14ac:dyDescent="0.25">
      <c r="A14424" t="str">
        <f t="shared" si="335"/>
        <v>89301000</v>
      </c>
      <c r="B14424" t="str">
        <f>"9007075737"</f>
        <v>9007075737</v>
      </c>
      <c r="C14424" s="1">
        <v>44993</v>
      </c>
      <c r="D14424" s="1">
        <v>44994</v>
      </c>
      <c r="E14424">
        <v>1</v>
      </c>
      <c r="F14424" t="str">
        <f>"03-K13-02"</f>
        <v>03-K13-02</v>
      </c>
      <c r="G14424">
        <v>0.24440000000000001</v>
      </c>
      <c r="H14424" t="s">
        <v>11</v>
      </c>
      <c r="I14424" t="s">
        <v>10</v>
      </c>
    </row>
    <row r="14425" spans="1:9" x14ac:dyDescent="0.25">
      <c r="A14425" t="str">
        <f t="shared" si="335"/>
        <v>89301000</v>
      </c>
      <c r="B14425" t="str">
        <f>"9007266224"</f>
        <v>9007266224</v>
      </c>
      <c r="C14425" s="1">
        <v>45173</v>
      </c>
      <c r="D14425" s="1">
        <v>45175</v>
      </c>
      <c r="E14425">
        <v>1</v>
      </c>
      <c r="F14425" t="str">
        <f>"08-I19-03"</f>
        <v>08-I19-03</v>
      </c>
      <c r="G14425">
        <v>0.59130000000000005</v>
      </c>
      <c r="H14425" t="s">
        <v>12</v>
      </c>
      <c r="I14425" t="s">
        <v>10</v>
      </c>
    </row>
    <row r="14426" spans="1:9" x14ac:dyDescent="0.25">
      <c r="A14426" t="str">
        <f t="shared" si="335"/>
        <v>89301000</v>
      </c>
      <c r="B14426" t="str">
        <f>"9008096317"</f>
        <v>9008096317</v>
      </c>
      <c r="C14426" s="1">
        <v>45121</v>
      </c>
      <c r="D14426" s="1">
        <v>45132</v>
      </c>
      <c r="E14426">
        <v>1</v>
      </c>
      <c r="F14426" t="str">
        <f>"09-K04-02"</f>
        <v>09-K04-02</v>
      </c>
      <c r="G14426">
        <v>0.64849999999999997</v>
      </c>
      <c r="H14426" t="s">
        <v>11</v>
      </c>
      <c r="I14426" t="s">
        <v>10</v>
      </c>
    </row>
    <row r="14427" spans="1:9" x14ac:dyDescent="0.25">
      <c r="A14427" t="str">
        <f t="shared" si="335"/>
        <v>89301000</v>
      </c>
      <c r="B14427" t="str">
        <f>"9008145773"</f>
        <v>9008145773</v>
      </c>
      <c r="C14427" s="1">
        <v>45158</v>
      </c>
      <c r="D14427" s="1">
        <v>45160</v>
      </c>
      <c r="E14427">
        <v>1</v>
      </c>
      <c r="F14427" t="str">
        <f>"08-M03-02"</f>
        <v>08-M03-02</v>
      </c>
      <c r="G14427">
        <v>0.91359999999999997</v>
      </c>
      <c r="H14427" t="s">
        <v>11</v>
      </c>
      <c r="I14427" t="s">
        <v>10</v>
      </c>
    </row>
    <row r="14428" spans="1:9" x14ac:dyDescent="0.25">
      <c r="A14428" t="str">
        <f t="shared" si="335"/>
        <v>89301000</v>
      </c>
      <c r="B14428" t="str">
        <f>"9008194855"</f>
        <v>9008194855</v>
      </c>
      <c r="C14428" s="1">
        <v>45003</v>
      </c>
      <c r="D14428" s="1">
        <v>45009</v>
      </c>
      <c r="E14428">
        <v>5</v>
      </c>
      <c r="F14428" t="str">
        <f>"00-M01-01"</f>
        <v>00-M01-01</v>
      </c>
      <c r="G14428">
        <v>15.3116</v>
      </c>
      <c r="H14428" t="s">
        <v>11</v>
      </c>
      <c r="I14428" t="s">
        <v>10</v>
      </c>
    </row>
    <row r="14429" spans="1:9" x14ac:dyDescent="0.25">
      <c r="A14429" t="str">
        <f t="shared" si="335"/>
        <v>89301000</v>
      </c>
      <c r="B14429" t="str">
        <f>"9008201719"</f>
        <v>9008201719</v>
      </c>
      <c r="C14429" s="1">
        <v>45233</v>
      </c>
      <c r="D14429" s="1">
        <v>45238</v>
      </c>
      <c r="E14429">
        <v>1</v>
      </c>
      <c r="F14429" t="str">
        <f>"06-M01-03"</f>
        <v>06-M01-03</v>
      </c>
      <c r="G14429">
        <v>0.65980000000000005</v>
      </c>
      <c r="H14429" t="s">
        <v>11</v>
      </c>
      <c r="I14429" t="s">
        <v>10</v>
      </c>
    </row>
    <row r="14430" spans="1:9" x14ac:dyDescent="0.25">
      <c r="A14430" t="str">
        <f t="shared" si="335"/>
        <v>89301000</v>
      </c>
      <c r="B14430" t="str">
        <f>"9009033957"</f>
        <v>9009033957</v>
      </c>
      <c r="C14430" s="1">
        <v>45211</v>
      </c>
      <c r="D14430" s="1">
        <v>45211</v>
      </c>
      <c r="E14430">
        <v>1</v>
      </c>
      <c r="F14430" t="str">
        <f>"03-K08-00"</f>
        <v>03-K08-00</v>
      </c>
      <c r="G14430">
        <v>0.2276</v>
      </c>
      <c r="H14430" t="s">
        <v>11</v>
      </c>
      <c r="I14430" t="s">
        <v>10</v>
      </c>
    </row>
    <row r="14431" spans="1:9" x14ac:dyDescent="0.25">
      <c r="A14431" t="str">
        <f t="shared" si="335"/>
        <v>89301000</v>
      </c>
      <c r="B14431" t="str">
        <f>"9009033957"</f>
        <v>9009033957</v>
      </c>
      <c r="C14431" s="1">
        <v>45215</v>
      </c>
      <c r="D14431" s="1">
        <v>45216</v>
      </c>
      <c r="E14431">
        <v>1</v>
      </c>
      <c r="F14431" t="str">
        <f>"23-K01-00"</f>
        <v>23-K01-00</v>
      </c>
      <c r="G14431">
        <v>0.14760000000000001</v>
      </c>
      <c r="H14431" t="s">
        <v>11</v>
      </c>
      <c r="I14431" t="s">
        <v>10</v>
      </c>
    </row>
    <row r="14432" spans="1:9" x14ac:dyDescent="0.25">
      <c r="A14432" t="str">
        <f t="shared" si="335"/>
        <v>89301000</v>
      </c>
      <c r="B14432" t="str">
        <f>"9009145739"</f>
        <v>9009145739</v>
      </c>
      <c r="C14432" s="1">
        <v>45184</v>
      </c>
      <c r="D14432" s="1">
        <v>45188</v>
      </c>
      <c r="E14432">
        <v>1</v>
      </c>
      <c r="F14432" t="str">
        <f>"06-I18-05"</f>
        <v>06-I18-05</v>
      </c>
      <c r="G14432">
        <v>0.82420000000000004</v>
      </c>
      <c r="H14432" t="s">
        <v>9</v>
      </c>
      <c r="I14432" t="s">
        <v>10</v>
      </c>
    </row>
    <row r="14433" spans="1:9" x14ac:dyDescent="0.25">
      <c r="A14433" t="str">
        <f t="shared" si="335"/>
        <v>89301000</v>
      </c>
      <c r="B14433" t="str">
        <f>"9010144176"</f>
        <v>9010144176</v>
      </c>
      <c r="C14433" s="1">
        <v>45238</v>
      </c>
      <c r="D14433" s="1">
        <v>45240</v>
      </c>
      <c r="E14433">
        <v>1</v>
      </c>
      <c r="F14433" t="str">
        <f>"02-I06-03"</f>
        <v>02-I06-03</v>
      </c>
      <c r="G14433">
        <v>0.99260000000000004</v>
      </c>
      <c r="H14433" t="s">
        <v>12</v>
      </c>
      <c r="I14433" t="s">
        <v>10</v>
      </c>
    </row>
    <row r="14434" spans="1:9" x14ac:dyDescent="0.25">
      <c r="A14434" t="str">
        <f t="shared" si="335"/>
        <v>89301000</v>
      </c>
      <c r="B14434" t="str">
        <f>"9010144176"</f>
        <v>9010144176</v>
      </c>
      <c r="C14434" s="1">
        <v>45217</v>
      </c>
      <c r="D14434" s="1">
        <v>45219</v>
      </c>
      <c r="E14434">
        <v>1</v>
      </c>
      <c r="F14434" t="str">
        <f>"23-I10-00"</f>
        <v>23-I10-00</v>
      </c>
      <c r="G14434">
        <v>0.57330000000000003</v>
      </c>
      <c r="H14434" t="s">
        <v>11</v>
      </c>
      <c r="I14434" t="s">
        <v>10</v>
      </c>
    </row>
    <row r="14435" spans="1:9" x14ac:dyDescent="0.25">
      <c r="A14435" t="str">
        <f t="shared" si="335"/>
        <v>89301000</v>
      </c>
      <c r="B14435" t="str">
        <f>"9010144176"</f>
        <v>9010144176</v>
      </c>
      <c r="C14435" s="1">
        <v>44984</v>
      </c>
      <c r="D14435" s="1">
        <v>44987</v>
      </c>
      <c r="E14435">
        <v>1</v>
      </c>
      <c r="F14435" t="str">
        <f>"02-I06-02"</f>
        <v>02-I06-02</v>
      </c>
      <c r="G14435">
        <v>1.2479</v>
      </c>
      <c r="H14435" t="s">
        <v>12</v>
      </c>
      <c r="I14435" t="s">
        <v>10</v>
      </c>
    </row>
    <row r="14436" spans="1:9" x14ac:dyDescent="0.25">
      <c r="A14436" t="str">
        <f t="shared" si="335"/>
        <v>89301000</v>
      </c>
      <c r="B14436" t="str">
        <f>"9010165703"</f>
        <v>9010165703</v>
      </c>
      <c r="C14436" s="1">
        <v>45015</v>
      </c>
      <c r="D14436" s="1">
        <v>45018</v>
      </c>
      <c r="E14436">
        <v>1</v>
      </c>
      <c r="F14436" t="str">
        <f>"08-M03-04"</f>
        <v>08-M03-04</v>
      </c>
      <c r="G14436">
        <v>0.91559999999999997</v>
      </c>
      <c r="H14436" t="s">
        <v>11</v>
      </c>
      <c r="I14436" t="s">
        <v>10</v>
      </c>
    </row>
    <row r="14437" spans="1:9" x14ac:dyDescent="0.25">
      <c r="A14437" t="str">
        <f t="shared" si="335"/>
        <v>89301000</v>
      </c>
      <c r="B14437" t="str">
        <f>"9010184854"</f>
        <v>9010184854</v>
      </c>
      <c r="C14437" s="1">
        <v>44932</v>
      </c>
      <c r="D14437" s="1">
        <v>44935</v>
      </c>
      <c r="E14437">
        <v>1</v>
      </c>
      <c r="F14437" t="str">
        <f>"01-D01-03"</f>
        <v>01-D01-03</v>
      </c>
      <c r="G14437">
        <v>0.21060000000000001</v>
      </c>
      <c r="H14437" t="s">
        <v>11</v>
      </c>
      <c r="I14437" t="s">
        <v>10</v>
      </c>
    </row>
    <row r="14438" spans="1:9" x14ac:dyDescent="0.25">
      <c r="A14438" t="str">
        <f t="shared" si="335"/>
        <v>89301000</v>
      </c>
      <c r="B14438" t="str">
        <f>"9010185745"</f>
        <v>9010185745</v>
      </c>
      <c r="C14438" s="1">
        <v>45000</v>
      </c>
      <c r="D14438" s="1">
        <v>45002</v>
      </c>
      <c r="E14438">
        <v>1</v>
      </c>
      <c r="F14438" t="str">
        <f>"09-K13-02"</f>
        <v>09-K13-02</v>
      </c>
      <c r="G14438">
        <v>0.31409999999999999</v>
      </c>
      <c r="H14438" t="s">
        <v>11</v>
      </c>
      <c r="I14438" t="s">
        <v>10</v>
      </c>
    </row>
    <row r="14439" spans="1:9" x14ac:dyDescent="0.25">
      <c r="A14439" t="str">
        <f t="shared" si="335"/>
        <v>89301000</v>
      </c>
      <c r="B14439" t="str">
        <f>"9010196184"</f>
        <v>9010196184</v>
      </c>
      <c r="C14439" s="1">
        <v>45194</v>
      </c>
      <c r="D14439" s="1">
        <v>45196</v>
      </c>
      <c r="E14439">
        <v>1</v>
      </c>
      <c r="F14439" t="str">
        <f>"08-M03-02"</f>
        <v>08-M03-02</v>
      </c>
      <c r="G14439">
        <v>0.91359999999999997</v>
      </c>
      <c r="H14439" t="s">
        <v>11</v>
      </c>
      <c r="I14439" t="s">
        <v>10</v>
      </c>
    </row>
    <row r="14440" spans="1:9" x14ac:dyDescent="0.25">
      <c r="A14440" t="str">
        <f t="shared" si="335"/>
        <v>89301000</v>
      </c>
      <c r="B14440" t="str">
        <f>"9010206073"</f>
        <v>9010206073</v>
      </c>
      <c r="C14440" s="1">
        <v>45141</v>
      </c>
      <c r="D14440" s="1">
        <v>45143</v>
      </c>
      <c r="E14440">
        <v>1</v>
      </c>
      <c r="F14440" t="str">
        <f>"23-K04-02"</f>
        <v>23-K04-02</v>
      </c>
      <c r="G14440">
        <v>0.38150000000000001</v>
      </c>
      <c r="H14440" t="s">
        <v>11</v>
      </c>
      <c r="I14440" t="s">
        <v>10</v>
      </c>
    </row>
    <row r="14441" spans="1:9" x14ac:dyDescent="0.25">
      <c r="A14441" t="str">
        <f t="shared" si="335"/>
        <v>89301000</v>
      </c>
      <c r="B14441" t="str">
        <f>"9010206073"</f>
        <v>9010206073</v>
      </c>
      <c r="C14441" s="1">
        <v>45205</v>
      </c>
      <c r="D14441" s="1">
        <v>45206</v>
      </c>
      <c r="E14441">
        <v>1</v>
      </c>
      <c r="F14441" t="str">
        <f>"11-I16-02"</f>
        <v>11-I16-02</v>
      </c>
      <c r="G14441">
        <v>0.45679999999999998</v>
      </c>
      <c r="H14441" t="s">
        <v>11</v>
      </c>
      <c r="I14441" t="s">
        <v>10</v>
      </c>
    </row>
    <row r="14442" spans="1:9" x14ac:dyDescent="0.25">
      <c r="A14442" t="str">
        <f t="shared" si="335"/>
        <v>89301000</v>
      </c>
      <c r="B14442" t="str">
        <f>"9010225730"</f>
        <v>9010225730</v>
      </c>
      <c r="C14442" s="1">
        <v>45210</v>
      </c>
      <c r="D14442" s="1">
        <v>45215</v>
      </c>
      <c r="E14442">
        <v>1</v>
      </c>
      <c r="F14442" t="str">
        <f>"03-K04-01"</f>
        <v>03-K04-01</v>
      </c>
      <c r="G14442">
        <v>0.46479999999999999</v>
      </c>
      <c r="H14442" t="s">
        <v>11</v>
      </c>
      <c r="I14442" t="s">
        <v>10</v>
      </c>
    </row>
    <row r="14443" spans="1:9" x14ac:dyDescent="0.25">
      <c r="A14443" t="str">
        <f t="shared" si="335"/>
        <v>89301000</v>
      </c>
      <c r="B14443" t="str">
        <f>"9011035726"</f>
        <v>9011035726</v>
      </c>
      <c r="C14443" s="1">
        <v>45260</v>
      </c>
      <c r="D14443" s="1">
        <v>45261</v>
      </c>
      <c r="E14443">
        <v>1</v>
      </c>
      <c r="F14443" t="str">
        <f>"01-D01-03"</f>
        <v>01-D01-03</v>
      </c>
      <c r="G14443">
        <v>0.16200000000000001</v>
      </c>
      <c r="H14443" t="s">
        <v>11</v>
      </c>
      <c r="I14443" t="s">
        <v>10</v>
      </c>
    </row>
    <row r="14444" spans="1:9" x14ac:dyDescent="0.25">
      <c r="A14444" t="str">
        <f t="shared" si="335"/>
        <v>89301000</v>
      </c>
      <c r="B14444" t="str">
        <f>"9011055735"</f>
        <v>9011055735</v>
      </c>
      <c r="C14444" s="1">
        <v>45095</v>
      </c>
      <c r="D14444" s="1">
        <v>45100</v>
      </c>
      <c r="E14444">
        <v>1</v>
      </c>
      <c r="F14444" t="str">
        <f>"20-K03-03"</f>
        <v>20-K03-03</v>
      </c>
      <c r="G14444">
        <v>0.94020000000000004</v>
      </c>
      <c r="H14444" t="s">
        <v>11</v>
      </c>
      <c r="I14444" t="s">
        <v>10</v>
      </c>
    </row>
    <row r="14445" spans="1:9" x14ac:dyDescent="0.25">
      <c r="A14445" t="str">
        <f t="shared" si="335"/>
        <v>89301000</v>
      </c>
      <c r="B14445" t="str">
        <f>"9011065404"</f>
        <v>9011065404</v>
      </c>
      <c r="C14445" s="1">
        <v>45180</v>
      </c>
      <c r="D14445" s="1">
        <v>45182</v>
      </c>
      <c r="E14445">
        <v>1</v>
      </c>
      <c r="F14445" t="str">
        <f>"01-K06-00"</f>
        <v>01-K06-00</v>
      </c>
      <c r="G14445">
        <v>0.1535</v>
      </c>
      <c r="H14445" t="s">
        <v>11</v>
      </c>
      <c r="I14445" t="s">
        <v>10</v>
      </c>
    </row>
    <row r="14446" spans="1:9" x14ac:dyDescent="0.25">
      <c r="A14446" t="str">
        <f t="shared" si="335"/>
        <v>89301000</v>
      </c>
      <c r="B14446" t="str">
        <f>"9011145759"</f>
        <v>9011145759</v>
      </c>
      <c r="C14446" s="1">
        <v>45089</v>
      </c>
      <c r="D14446" s="1">
        <v>45091</v>
      </c>
      <c r="E14446">
        <v>1</v>
      </c>
      <c r="F14446" t="str">
        <f>"03-I11-03"</f>
        <v>03-I11-03</v>
      </c>
      <c r="G14446">
        <v>1.1267</v>
      </c>
      <c r="H14446" t="s">
        <v>12</v>
      </c>
      <c r="I14446" t="s">
        <v>10</v>
      </c>
    </row>
    <row r="14447" spans="1:9" x14ac:dyDescent="0.25">
      <c r="A14447" t="str">
        <f t="shared" si="335"/>
        <v>89301000</v>
      </c>
      <c r="B14447" t="str">
        <f>"9011196139"</f>
        <v>9011196139</v>
      </c>
      <c r="C14447" s="1">
        <v>45021</v>
      </c>
      <c r="D14447" s="1">
        <v>45027</v>
      </c>
      <c r="E14447">
        <v>5</v>
      </c>
      <c r="F14447" t="str">
        <f>"08-I15-03"</f>
        <v>08-I15-03</v>
      </c>
      <c r="G14447">
        <v>0.94059999999999999</v>
      </c>
      <c r="H14447" t="s">
        <v>12</v>
      </c>
      <c r="I14447" t="s">
        <v>10</v>
      </c>
    </row>
    <row r="14448" spans="1:9" x14ac:dyDescent="0.25">
      <c r="A14448" t="str">
        <f t="shared" si="335"/>
        <v>89301000</v>
      </c>
      <c r="B14448" t="str">
        <f>"9012025737"</f>
        <v>9012025737</v>
      </c>
      <c r="C14448" s="1">
        <v>45268</v>
      </c>
      <c r="D14448" s="1">
        <v>45269</v>
      </c>
      <c r="E14448">
        <v>1</v>
      </c>
      <c r="F14448" t="str">
        <f>"12-I14-00"</f>
        <v>12-I14-00</v>
      </c>
      <c r="G14448">
        <v>0.42920000000000003</v>
      </c>
      <c r="H14448" t="s">
        <v>11</v>
      </c>
      <c r="I14448" t="s">
        <v>10</v>
      </c>
    </row>
    <row r="14449" spans="1:9" x14ac:dyDescent="0.25">
      <c r="A14449" t="str">
        <f t="shared" si="335"/>
        <v>89301000</v>
      </c>
      <c r="B14449" t="str">
        <f>"9012176140"</f>
        <v>9012176140</v>
      </c>
      <c r="C14449" s="1">
        <v>45202</v>
      </c>
      <c r="D14449" s="1">
        <v>45206</v>
      </c>
      <c r="E14449">
        <v>1</v>
      </c>
      <c r="F14449" t="str">
        <f>"12-C01-01"</f>
        <v>12-C01-01</v>
      </c>
      <c r="G14449">
        <v>0.66679999999999995</v>
      </c>
      <c r="H14449" t="s">
        <v>11</v>
      </c>
      <c r="I14449" t="s">
        <v>10</v>
      </c>
    </row>
    <row r="14450" spans="1:9" x14ac:dyDescent="0.25">
      <c r="A14450" t="str">
        <f t="shared" si="335"/>
        <v>89301000</v>
      </c>
      <c r="B14450" t="str">
        <f>"9012176140"</f>
        <v>9012176140</v>
      </c>
      <c r="C14450" s="1">
        <v>45159</v>
      </c>
      <c r="D14450" s="1">
        <v>45164</v>
      </c>
      <c r="E14450">
        <v>1</v>
      </c>
      <c r="F14450" t="str">
        <f>"12-C01-01"</f>
        <v>12-C01-01</v>
      </c>
      <c r="G14450">
        <v>0.66679999999999995</v>
      </c>
      <c r="H14450" t="s">
        <v>11</v>
      </c>
      <c r="I14450" t="s">
        <v>10</v>
      </c>
    </row>
    <row r="14451" spans="1:9" x14ac:dyDescent="0.25">
      <c r="A14451" t="str">
        <f t="shared" si="335"/>
        <v>89301000</v>
      </c>
      <c r="B14451" t="str">
        <f>"9012176140"</f>
        <v>9012176140</v>
      </c>
      <c r="C14451" s="1">
        <v>45181</v>
      </c>
      <c r="D14451" s="1">
        <v>45185</v>
      </c>
      <c r="E14451">
        <v>1</v>
      </c>
      <c r="F14451" t="str">
        <f>"12-C01-01"</f>
        <v>12-C01-01</v>
      </c>
      <c r="G14451">
        <v>0.66679999999999995</v>
      </c>
      <c r="H14451" t="s">
        <v>11</v>
      </c>
      <c r="I14451" t="s">
        <v>10</v>
      </c>
    </row>
    <row r="14452" spans="1:9" x14ac:dyDescent="0.25">
      <c r="A14452" t="str">
        <f t="shared" si="335"/>
        <v>89301000</v>
      </c>
      <c r="B14452" t="str">
        <f>"9051155784"</f>
        <v>9051155784</v>
      </c>
      <c r="C14452" s="1">
        <v>44978</v>
      </c>
      <c r="D14452" s="1">
        <v>44982</v>
      </c>
      <c r="E14452">
        <v>1</v>
      </c>
      <c r="F14452" t="str">
        <f>"14-M01-05"</f>
        <v>14-M01-05</v>
      </c>
      <c r="G14452">
        <v>0.56589999999999996</v>
      </c>
      <c r="H14452" t="s">
        <v>13</v>
      </c>
      <c r="I14452" t="s">
        <v>10</v>
      </c>
    </row>
    <row r="14453" spans="1:9" x14ac:dyDescent="0.25">
      <c r="A14453" t="str">
        <f t="shared" si="335"/>
        <v>89301000</v>
      </c>
      <c r="B14453" t="str">
        <f>"9051175331"</f>
        <v>9051175331</v>
      </c>
      <c r="C14453" s="1">
        <v>45270</v>
      </c>
      <c r="D14453" s="1">
        <v>45274</v>
      </c>
      <c r="E14453">
        <v>1</v>
      </c>
      <c r="F14453" t="str">
        <f>"14-M01-05"</f>
        <v>14-M01-05</v>
      </c>
      <c r="G14453">
        <v>0.56289999999999996</v>
      </c>
      <c r="H14453" t="s">
        <v>13</v>
      </c>
      <c r="I14453" t="s">
        <v>10</v>
      </c>
    </row>
    <row r="14454" spans="1:9" x14ac:dyDescent="0.25">
      <c r="A14454" t="str">
        <f t="shared" si="335"/>
        <v>89301000</v>
      </c>
      <c r="B14454" t="str">
        <f>"9051176167"</f>
        <v>9051176167</v>
      </c>
      <c r="C14454" s="1">
        <v>45099</v>
      </c>
      <c r="D14454" s="1">
        <v>45100</v>
      </c>
      <c r="E14454">
        <v>1</v>
      </c>
      <c r="F14454" t="str">
        <f>"13-I19-00"</f>
        <v>13-I19-00</v>
      </c>
      <c r="G14454">
        <v>0.28249999999999997</v>
      </c>
      <c r="H14454" t="s">
        <v>11</v>
      </c>
      <c r="I14454" t="s">
        <v>10</v>
      </c>
    </row>
    <row r="14455" spans="1:9" x14ac:dyDescent="0.25">
      <c r="A14455" t="str">
        <f t="shared" si="335"/>
        <v>89301000</v>
      </c>
      <c r="B14455" t="str">
        <f>"9051186144"</f>
        <v>9051186144</v>
      </c>
      <c r="C14455" s="1">
        <v>45189</v>
      </c>
      <c r="D14455" s="1">
        <v>45192</v>
      </c>
      <c r="E14455">
        <v>1</v>
      </c>
      <c r="F14455" t="str">
        <f>"14-M01-05"</f>
        <v>14-M01-05</v>
      </c>
      <c r="G14455">
        <v>0.56589999999999996</v>
      </c>
      <c r="H14455" t="s">
        <v>13</v>
      </c>
      <c r="I14455" t="s">
        <v>10</v>
      </c>
    </row>
    <row r="14456" spans="1:9" x14ac:dyDescent="0.25">
      <c r="A14456" t="str">
        <f t="shared" si="335"/>
        <v>89301000</v>
      </c>
      <c r="B14456" t="str">
        <f>"9051295704"</f>
        <v>9051295704</v>
      </c>
      <c r="C14456" s="1">
        <v>45061</v>
      </c>
      <c r="D14456" s="1">
        <v>45065</v>
      </c>
      <c r="E14456">
        <v>1</v>
      </c>
      <c r="F14456" t="str">
        <f>"14-M01-05"</f>
        <v>14-M01-05</v>
      </c>
      <c r="G14456">
        <v>0.56589999999999996</v>
      </c>
      <c r="H14456" t="s">
        <v>13</v>
      </c>
      <c r="I14456" t="s">
        <v>10</v>
      </c>
    </row>
    <row r="14457" spans="1:9" x14ac:dyDescent="0.25">
      <c r="A14457" t="str">
        <f t="shared" si="335"/>
        <v>89301000</v>
      </c>
      <c r="B14457" t="str">
        <f>"9052045717"</f>
        <v>9052045717</v>
      </c>
      <c r="C14457" s="1">
        <v>45062</v>
      </c>
      <c r="D14457" s="1">
        <v>45066</v>
      </c>
      <c r="E14457">
        <v>1</v>
      </c>
      <c r="F14457" t="str">
        <f>"03-I17-00"</f>
        <v>03-I17-00</v>
      </c>
      <c r="G14457">
        <v>0.83489999999999998</v>
      </c>
      <c r="H14457" t="s">
        <v>9</v>
      </c>
      <c r="I14457" t="s">
        <v>10</v>
      </c>
    </row>
    <row r="14458" spans="1:9" x14ac:dyDescent="0.25">
      <c r="A14458" t="str">
        <f t="shared" si="335"/>
        <v>89301000</v>
      </c>
      <c r="B14458" t="str">
        <f>"9052056178"</f>
        <v>9052056178</v>
      </c>
      <c r="C14458" s="1">
        <v>45114</v>
      </c>
      <c r="D14458" s="1">
        <v>45118</v>
      </c>
      <c r="E14458">
        <v>1</v>
      </c>
      <c r="F14458" t="str">
        <f>"14-M01-05"</f>
        <v>14-M01-05</v>
      </c>
      <c r="G14458">
        <v>0.56589999999999996</v>
      </c>
      <c r="H14458" t="s">
        <v>13</v>
      </c>
      <c r="I14458" t="s">
        <v>10</v>
      </c>
    </row>
    <row r="14459" spans="1:9" x14ac:dyDescent="0.25">
      <c r="A14459" t="str">
        <f t="shared" si="335"/>
        <v>89301000</v>
      </c>
      <c r="B14459" t="str">
        <f>"9052106063"</f>
        <v>9052106063</v>
      </c>
      <c r="C14459" s="1">
        <v>45095</v>
      </c>
      <c r="D14459" s="1">
        <v>45098</v>
      </c>
      <c r="E14459">
        <v>1</v>
      </c>
      <c r="F14459" t="str">
        <f>"10-I13-02"</f>
        <v>10-I13-02</v>
      </c>
      <c r="G14459">
        <v>1.1124000000000001</v>
      </c>
      <c r="H14459" t="s">
        <v>9</v>
      </c>
      <c r="I14459" t="s">
        <v>10</v>
      </c>
    </row>
    <row r="14460" spans="1:9" x14ac:dyDescent="0.25">
      <c r="A14460" t="str">
        <f t="shared" si="335"/>
        <v>89301000</v>
      </c>
      <c r="B14460" t="str">
        <f>"9052135752"</f>
        <v>9052135752</v>
      </c>
      <c r="C14460" s="1">
        <v>44939</v>
      </c>
      <c r="D14460" s="1">
        <v>44944</v>
      </c>
      <c r="E14460">
        <v>1</v>
      </c>
      <c r="F14460" t="str">
        <f>"10-I13-02"</f>
        <v>10-I13-02</v>
      </c>
      <c r="G14460">
        <v>1.1124000000000001</v>
      </c>
      <c r="H14460" t="s">
        <v>9</v>
      </c>
      <c r="I14460" t="s">
        <v>10</v>
      </c>
    </row>
    <row r="14461" spans="1:9" x14ac:dyDescent="0.25">
      <c r="A14461" t="str">
        <f t="shared" si="335"/>
        <v>89301000</v>
      </c>
      <c r="B14461" t="str">
        <f>"9052155728"</f>
        <v>9052155728</v>
      </c>
      <c r="C14461" s="1">
        <v>45237</v>
      </c>
      <c r="D14461" s="1">
        <v>45239</v>
      </c>
      <c r="E14461">
        <v>1</v>
      </c>
      <c r="F14461" t="str">
        <f>"07-I10-06"</f>
        <v>07-I10-06</v>
      </c>
      <c r="G14461">
        <v>0.98419999999999996</v>
      </c>
      <c r="H14461" t="s">
        <v>12</v>
      </c>
      <c r="I14461" t="s">
        <v>10</v>
      </c>
    </row>
    <row r="14462" spans="1:9" x14ac:dyDescent="0.25">
      <c r="A14462" t="str">
        <f t="shared" si="335"/>
        <v>89301000</v>
      </c>
      <c r="B14462" t="str">
        <f>"9052176155"</f>
        <v>9052176155</v>
      </c>
      <c r="C14462" s="1">
        <v>45214</v>
      </c>
      <c r="D14462" s="1">
        <v>45219</v>
      </c>
      <c r="E14462">
        <v>1</v>
      </c>
      <c r="F14462" t="str">
        <f>"14-I01-05"</f>
        <v>14-I01-05</v>
      </c>
      <c r="G14462">
        <v>0.83340000000000003</v>
      </c>
      <c r="H14462" t="s">
        <v>13</v>
      </c>
      <c r="I14462" t="s">
        <v>10</v>
      </c>
    </row>
    <row r="14463" spans="1:9" x14ac:dyDescent="0.25">
      <c r="A14463" t="str">
        <f t="shared" si="335"/>
        <v>89301000</v>
      </c>
      <c r="B14463" t="str">
        <f>"9053115753"</f>
        <v>9053115753</v>
      </c>
      <c r="C14463" s="1">
        <v>45187</v>
      </c>
      <c r="D14463" s="1">
        <v>45188</v>
      </c>
      <c r="E14463">
        <v>1</v>
      </c>
      <c r="F14463" t="str">
        <f>"08-I16-04"</f>
        <v>08-I16-04</v>
      </c>
      <c r="G14463">
        <v>0.83040000000000003</v>
      </c>
      <c r="H14463" t="s">
        <v>12</v>
      </c>
      <c r="I14463" t="s">
        <v>10</v>
      </c>
    </row>
    <row r="14464" spans="1:9" x14ac:dyDescent="0.25">
      <c r="A14464" t="str">
        <f t="shared" si="335"/>
        <v>89301000</v>
      </c>
      <c r="B14464" t="str">
        <f>"9053135740"</f>
        <v>9053135740</v>
      </c>
      <c r="C14464" s="1">
        <v>45282</v>
      </c>
      <c r="D14464" s="1">
        <v>45284</v>
      </c>
      <c r="E14464">
        <v>1</v>
      </c>
      <c r="F14464" t="str">
        <f>"14-M01-05"</f>
        <v>14-M01-05</v>
      </c>
      <c r="G14464">
        <v>0.56289999999999996</v>
      </c>
      <c r="H14464" t="s">
        <v>13</v>
      </c>
      <c r="I14464" t="s">
        <v>10</v>
      </c>
    </row>
    <row r="14465" spans="1:9" x14ac:dyDescent="0.25">
      <c r="A14465" t="str">
        <f t="shared" si="335"/>
        <v>89301000</v>
      </c>
      <c r="B14465" t="str">
        <f>"9053155749"</f>
        <v>9053155749</v>
      </c>
      <c r="C14465" s="1">
        <v>45181</v>
      </c>
      <c r="D14465" s="1">
        <v>45195</v>
      </c>
      <c r="E14465">
        <v>1</v>
      </c>
      <c r="F14465" t="str">
        <f>"07-I10-02"</f>
        <v>07-I10-02</v>
      </c>
      <c r="G14465">
        <v>2.0217999999999998</v>
      </c>
      <c r="H14465" t="s">
        <v>12</v>
      </c>
      <c r="I14465" t="s">
        <v>10</v>
      </c>
    </row>
    <row r="14466" spans="1:9" x14ac:dyDescent="0.25">
      <c r="A14466" t="str">
        <f t="shared" si="335"/>
        <v>89301000</v>
      </c>
      <c r="B14466" t="str">
        <f>"9053175747"</f>
        <v>9053175747</v>
      </c>
      <c r="C14466" s="1">
        <v>45075</v>
      </c>
      <c r="D14466" s="1">
        <v>45076</v>
      </c>
      <c r="E14466">
        <v>1</v>
      </c>
      <c r="F14466" t="str">
        <f>"08-K11-03"</f>
        <v>08-K11-03</v>
      </c>
      <c r="G14466">
        <v>0.37030000000000002</v>
      </c>
      <c r="H14466" t="s">
        <v>11</v>
      </c>
      <c r="I14466" t="s">
        <v>10</v>
      </c>
    </row>
    <row r="14467" spans="1:9" x14ac:dyDescent="0.25">
      <c r="A14467" t="str">
        <f t="shared" si="335"/>
        <v>89301000</v>
      </c>
      <c r="B14467" t="str">
        <f>"9053255376"</f>
        <v>9053255376</v>
      </c>
      <c r="C14467" s="1">
        <v>45148</v>
      </c>
      <c r="D14467" s="1">
        <v>45150</v>
      </c>
      <c r="E14467">
        <v>1</v>
      </c>
      <c r="F14467" t="str">
        <f>"14-M01-05"</f>
        <v>14-M01-05</v>
      </c>
      <c r="G14467">
        <v>0.56289999999999996</v>
      </c>
      <c r="H14467" t="s">
        <v>13</v>
      </c>
      <c r="I14467" t="s">
        <v>10</v>
      </c>
    </row>
    <row r="14468" spans="1:9" x14ac:dyDescent="0.25">
      <c r="A14468" t="str">
        <f t="shared" si="335"/>
        <v>89301000</v>
      </c>
      <c r="B14468" t="str">
        <f>"9053295790"</f>
        <v>9053295790</v>
      </c>
      <c r="C14468" s="1">
        <v>45251</v>
      </c>
      <c r="D14468" s="1">
        <v>45254</v>
      </c>
      <c r="E14468">
        <v>1</v>
      </c>
      <c r="F14468" t="str">
        <f>"14-I01-05"</f>
        <v>14-I01-05</v>
      </c>
      <c r="G14468">
        <v>0.83340000000000003</v>
      </c>
      <c r="H14468" t="s">
        <v>13</v>
      </c>
      <c r="I14468" t="s">
        <v>10</v>
      </c>
    </row>
    <row r="14469" spans="1:9" x14ac:dyDescent="0.25">
      <c r="A14469" t="str">
        <f t="shared" si="335"/>
        <v>89301000</v>
      </c>
      <c r="B14469" t="str">
        <f>"9053315700"</f>
        <v>9053315700</v>
      </c>
      <c r="C14469" s="1">
        <v>45095</v>
      </c>
      <c r="D14469" s="1">
        <v>45104</v>
      </c>
      <c r="E14469">
        <v>1</v>
      </c>
      <c r="F14469" t="str">
        <f>"06-I12-03"</f>
        <v>06-I12-03</v>
      </c>
      <c r="G14469">
        <v>1.9540999999999999</v>
      </c>
      <c r="H14469" t="s">
        <v>11</v>
      </c>
      <c r="I14469" t="s">
        <v>10</v>
      </c>
    </row>
    <row r="14470" spans="1:9" x14ac:dyDescent="0.25">
      <c r="A14470" t="str">
        <f t="shared" si="335"/>
        <v>89301000</v>
      </c>
      <c r="B14470" t="str">
        <f>"9054024606"</f>
        <v>9054024606</v>
      </c>
      <c r="C14470" s="1">
        <v>44939</v>
      </c>
      <c r="D14470" s="1">
        <v>44943</v>
      </c>
      <c r="E14470">
        <v>1</v>
      </c>
      <c r="F14470" t="str">
        <f>"14-M01-05"</f>
        <v>14-M01-05</v>
      </c>
      <c r="G14470">
        <v>0.56289999999999996</v>
      </c>
      <c r="H14470" t="s">
        <v>13</v>
      </c>
      <c r="I14470" t="s">
        <v>10</v>
      </c>
    </row>
    <row r="14471" spans="1:9" x14ac:dyDescent="0.25">
      <c r="A14471" t="str">
        <f t="shared" si="335"/>
        <v>89301000</v>
      </c>
      <c r="B14471" t="str">
        <f>"9054025772"</f>
        <v>9054025772</v>
      </c>
      <c r="C14471" s="1">
        <v>45091</v>
      </c>
      <c r="D14471" s="1">
        <v>45093</v>
      </c>
      <c r="E14471">
        <v>1</v>
      </c>
      <c r="F14471" t="str">
        <f>"02-C01-00"</f>
        <v>02-C01-00</v>
      </c>
      <c r="G14471">
        <v>0.89910000000000001</v>
      </c>
      <c r="H14471" t="s">
        <v>11</v>
      </c>
      <c r="I14471" t="s">
        <v>10</v>
      </c>
    </row>
    <row r="14472" spans="1:9" x14ac:dyDescent="0.25">
      <c r="A14472" t="str">
        <f t="shared" si="335"/>
        <v>89301000</v>
      </c>
      <c r="B14472" t="str">
        <f>"9054025772"</f>
        <v>9054025772</v>
      </c>
      <c r="C14472" s="1">
        <v>45084</v>
      </c>
      <c r="D14472" s="1">
        <v>45086</v>
      </c>
      <c r="E14472">
        <v>1</v>
      </c>
      <c r="F14472" t="str">
        <f>"02-C01-00"</f>
        <v>02-C01-00</v>
      </c>
      <c r="G14472">
        <v>0.89910000000000001</v>
      </c>
      <c r="H14472" t="s">
        <v>11</v>
      </c>
      <c r="I14472" t="s">
        <v>10</v>
      </c>
    </row>
    <row r="14473" spans="1:9" x14ac:dyDescent="0.25">
      <c r="A14473" t="str">
        <f t="shared" si="335"/>
        <v>89301000</v>
      </c>
      <c r="B14473" t="str">
        <f>"9054025772"</f>
        <v>9054025772</v>
      </c>
      <c r="C14473" s="1">
        <v>45077</v>
      </c>
      <c r="D14473" s="1">
        <v>45079</v>
      </c>
      <c r="E14473">
        <v>1</v>
      </c>
      <c r="F14473" t="str">
        <f>"02-C01-00"</f>
        <v>02-C01-00</v>
      </c>
      <c r="G14473">
        <v>0.89910000000000001</v>
      </c>
      <c r="H14473" t="s">
        <v>11</v>
      </c>
      <c r="I14473" t="s">
        <v>10</v>
      </c>
    </row>
    <row r="14474" spans="1:9" x14ac:dyDescent="0.25">
      <c r="A14474" t="str">
        <f t="shared" si="335"/>
        <v>89301000</v>
      </c>
      <c r="B14474" t="str">
        <f>"9054025772"</f>
        <v>9054025772</v>
      </c>
      <c r="C14474" s="1">
        <v>44973</v>
      </c>
      <c r="D14474" s="1">
        <v>44977</v>
      </c>
      <c r="E14474">
        <v>1</v>
      </c>
      <c r="F14474" t="str">
        <f>"02-I07-01"</f>
        <v>02-I07-01</v>
      </c>
      <c r="G14474">
        <v>2.4097</v>
      </c>
      <c r="H14474" t="s">
        <v>12</v>
      </c>
      <c r="I14474" t="s">
        <v>10</v>
      </c>
    </row>
    <row r="14475" spans="1:9" x14ac:dyDescent="0.25">
      <c r="A14475" t="str">
        <f t="shared" si="335"/>
        <v>89301000</v>
      </c>
      <c r="B14475" t="str">
        <f>"9054085733"</f>
        <v>9054085733</v>
      </c>
      <c r="C14475" s="1">
        <v>45068</v>
      </c>
      <c r="D14475" s="1">
        <v>45070</v>
      </c>
      <c r="E14475">
        <v>1</v>
      </c>
      <c r="F14475" t="str">
        <f>"14-I08-03"</f>
        <v>14-I08-03</v>
      </c>
      <c r="G14475">
        <v>0.2414</v>
      </c>
      <c r="H14475" t="s">
        <v>11</v>
      </c>
      <c r="I14475" t="s">
        <v>10</v>
      </c>
    </row>
    <row r="14476" spans="1:9" x14ac:dyDescent="0.25">
      <c r="A14476" t="str">
        <f t="shared" si="335"/>
        <v>89301000</v>
      </c>
      <c r="B14476" t="str">
        <f>"9054105709"</f>
        <v>9054105709</v>
      </c>
      <c r="C14476" s="1">
        <v>45012</v>
      </c>
      <c r="D14476" s="1">
        <v>45016</v>
      </c>
      <c r="E14476">
        <v>1</v>
      </c>
      <c r="F14476" t="str">
        <f>"14-I01-02"</f>
        <v>14-I01-02</v>
      </c>
      <c r="G14476">
        <v>1.2988999999999999</v>
      </c>
      <c r="H14476" t="s">
        <v>13</v>
      </c>
      <c r="I14476" t="s">
        <v>10</v>
      </c>
    </row>
    <row r="14477" spans="1:9" x14ac:dyDescent="0.25">
      <c r="A14477" t="str">
        <f t="shared" ref="A14477:A14539" si="336">"89301000"</f>
        <v>89301000</v>
      </c>
      <c r="B14477" t="str">
        <f>"9054105731"</f>
        <v>9054105731</v>
      </c>
      <c r="C14477" s="1">
        <v>44942</v>
      </c>
      <c r="D14477" s="1">
        <v>44946</v>
      </c>
      <c r="E14477">
        <v>1</v>
      </c>
      <c r="F14477" t="str">
        <f>"14-I01-01"</f>
        <v>14-I01-01</v>
      </c>
      <c r="G14477">
        <v>1.6020000000000001</v>
      </c>
      <c r="H14477" t="s">
        <v>13</v>
      </c>
      <c r="I14477" t="s">
        <v>10</v>
      </c>
    </row>
    <row r="14478" spans="1:9" x14ac:dyDescent="0.25">
      <c r="A14478" t="str">
        <f t="shared" si="336"/>
        <v>89301000</v>
      </c>
      <c r="B14478" t="str">
        <f>"9054126213"</f>
        <v>9054126213</v>
      </c>
      <c r="C14478" s="1">
        <v>45128</v>
      </c>
      <c r="D14478" s="1">
        <v>45132</v>
      </c>
      <c r="E14478">
        <v>1</v>
      </c>
      <c r="F14478" t="str">
        <f>"14-I01-05"</f>
        <v>14-I01-05</v>
      </c>
      <c r="G14478">
        <v>0.83340000000000003</v>
      </c>
      <c r="H14478" t="s">
        <v>13</v>
      </c>
      <c r="I14478" t="s">
        <v>10</v>
      </c>
    </row>
    <row r="14479" spans="1:9" x14ac:dyDescent="0.25">
      <c r="A14479" t="str">
        <f t="shared" si="336"/>
        <v>89301000</v>
      </c>
      <c r="B14479" t="str">
        <f>"9054186064"</f>
        <v>9054186064</v>
      </c>
      <c r="C14479" s="1">
        <v>45050</v>
      </c>
      <c r="D14479" s="1">
        <v>45053</v>
      </c>
      <c r="E14479">
        <v>1</v>
      </c>
      <c r="F14479" t="str">
        <f>"10-K03-04"</f>
        <v>10-K03-04</v>
      </c>
      <c r="G14479">
        <v>0.67159999999999997</v>
      </c>
      <c r="H14479" t="s">
        <v>11</v>
      </c>
      <c r="I14479" t="s">
        <v>10</v>
      </c>
    </row>
    <row r="14480" spans="1:9" x14ac:dyDescent="0.25">
      <c r="A14480" t="str">
        <f t="shared" si="336"/>
        <v>89301000</v>
      </c>
      <c r="B14480" t="str">
        <f>"9054195755"</f>
        <v>9054195755</v>
      </c>
      <c r="C14480" s="1">
        <v>45098</v>
      </c>
      <c r="D14480" s="1">
        <v>45101</v>
      </c>
      <c r="E14480">
        <v>1</v>
      </c>
      <c r="F14480" t="str">
        <f>"13-I11-03"</f>
        <v>13-I11-03</v>
      </c>
      <c r="G14480">
        <v>1.4332</v>
      </c>
      <c r="H14480" t="s">
        <v>9</v>
      </c>
      <c r="I14480" t="s">
        <v>10</v>
      </c>
    </row>
    <row r="14481" spans="1:9" x14ac:dyDescent="0.25">
      <c r="A14481" t="str">
        <f t="shared" si="336"/>
        <v>89301000</v>
      </c>
      <c r="B14481" t="str">
        <f>"9054235740"</f>
        <v>9054235740</v>
      </c>
      <c r="C14481" s="1">
        <v>45200</v>
      </c>
      <c r="D14481" s="1">
        <v>45203</v>
      </c>
      <c r="E14481">
        <v>1</v>
      </c>
      <c r="F14481" t="str">
        <f>"14-M01-05"</f>
        <v>14-M01-05</v>
      </c>
      <c r="G14481">
        <v>0.56589999999999996</v>
      </c>
      <c r="H14481" t="s">
        <v>13</v>
      </c>
      <c r="I14481" t="s">
        <v>10</v>
      </c>
    </row>
    <row r="14482" spans="1:9" x14ac:dyDescent="0.25">
      <c r="A14482" t="str">
        <f t="shared" si="336"/>
        <v>89301000</v>
      </c>
      <c r="B14482" t="str">
        <f>"9054255716"</f>
        <v>9054255716</v>
      </c>
      <c r="C14482" s="1">
        <v>44936</v>
      </c>
      <c r="D14482" s="1">
        <v>44937</v>
      </c>
      <c r="E14482">
        <v>1</v>
      </c>
      <c r="F14482" t="str">
        <f>"14-I08-03"</f>
        <v>14-I08-03</v>
      </c>
      <c r="G14482">
        <v>0.2414</v>
      </c>
      <c r="H14482" t="s">
        <v>11</v>
      </c>
      <c r="I14482" t="s">
        <v>10</v>
      </c>
    </row>
    <row r="14483" spans="1:9" x14ac:dyDescent="0.25">
      <c r="A14483" t="str">
        <f t="shared" si="336"/>
        <v>89301000</v>
      </c>
      <c r="B14483" t="str">
        <f>"9054255727"</f>
        <v>9054255727</v>
      </c>
      <c r="C14483" s="1">
        <v>45107</v>
      </c>
      <c r="D14483" s="1">
        <v>45111</v>
      </c>
      <c r="E14483">
        <v>1</v>
      </c>
      <c r="F14483" t="str">
        <f>"06-I21-03"</f>
        <v>06-I21-03</v>
      </c>
      <c r="G14483">
        <v>0.4572</v>
      </c>
      <c r="H14483" t="s">
        <v>12</v>
      </c>
      <c r="I14483" t="s">
        <v>10</v>
      </c>
    </row>
    <row r="14484" spans="1:9" x14ac:dyDescent="0.25">
      <c r="A14484" t="str">
        <f t="shared" si="336"/>
        <v>89301000</v>
      </c>
      <c r="B14484" t="str">
        <f>"9054255727"</f>
        <v>9054255727</v>
      </c>
      <c r="C14484" s="1">
        <v>44927</v>
      </c>
      <c r="D14484" s="1">
        <v>44930</v>
      </c>
      <c r="E14484">
        <v>1</v>
      </c>
      <c r="F14484" t="str">
        <f>"06-I21-03"</f>
        <v>06-I21-03</v>
      </c>
      <c r="G14484">
        <v>0.4572</v>
      </c>
      <c r="H14484" t="s">
        <v>12</v>
      </c>
      <c r="I14484" t="s">
        <v>10</v>
      </c>
    </row>
    <row r="14485" spans="1:9" x14ac:dyDescent="0.25">
      <c r="A14485" t="str">
        <f t="shared" si="336"/>
        <v>89301000</v>
      </c>
      <c r="B14485" t="str">
        <f>"9054285757"</f>
        <v>9054285757</v>
      </c>
      <c r="C14485" s="1">
        <v>45129</v>
      </c>
      <c r="D14485" s="1">
        <v>45137</v>
      </c>
      <c r="E14485">
        <v>1</v>
      </c>
      <c r="F14485" t="str">
        <f>"14-M01-05"</f>
        <v>14-M01-05</v>
      </c>
      <c r="G14485">
        <v>0.70099999999999996</v>
      </c>
      <c r="H14485" t="s">
        <v>13</v>
      </c>
      <c r="I14485" t="s">
        <v>10</v>
      </c>
    </row>
    <row r="14486" spans="1:9" x14ac:dyDescent="0.25">
      <c r="A14486" t="str">
        <f t="shared" si="336"/>
        <v>89301000</v>
      </c>
      <c r="B14486" t="str">
        <f>"9054293281"</f>
        <v>9054293281</v>
      </c>
      <c r="C14486" s="1">
        <v>45114</v>
      </c>
      <c r="D14486" s="1">
        <v>45116</v>
      </c>
      <c r="E14486">
        <v>1</v>
      </c>
      <c r="F14486" t="str">
        <f>"14-M01-05"</f>
        <v>14-M01-05</v>
      </c>
      <c r="G14486">
        <v>0.56289999999999996</v>
      </c>
      <c r="H14486" t="s">
        <v>13</v>
      </c>
      <c r="I14486" t="s">
        <v>10</v>
      </c>
    </row>
    <row r="14487" spans="1:9" x14ac:dyDescent="0.25">
      <c r="A14487" t="str">
        <f t="shared" si="336"/>
        <v>89301000</v>
      </c>
      <c r="B14487" t="str">
        <f>"9055025749"</f>
        <v>9055025749</v>
      </c>
      <c r="C14487" s="1">
        <v>45098</v>
      </c>
      <c r="D14487" s="1">
        <v>45103</v>
      </c>
      <c r="E14487">
        <v>1</v>
      </c>
      <c r="F14487" t="str">
        <f>"23-K05-01"</f>
        <v>23-K05-01</v>
      </c>
      <c r="G14487">
        <v>0.56269999999999998</v>
      </c>
      <c r="H14487" t="s">
        <v>11</v>
      </c>
      <c r="I14487" t="s">
        <v>10</v>
      </c>
    </row>
    <row r="14488" spans="1:9" x14ac:dyDescent="0.25">
      <c r="A14488" t="str">
        <f t="shared" si="336"/>
        <v>89301000</v>
      </c>
      <c r="B14488" t="str">
        <f>"9055025749"</f>
        <v>9055025749</v>
      </c>
      <c r="C14488" s="1">
        <v>44935</v>
      </c>
      <c r="D14488" s="1">
        <v>44944</v>
      </c>
      <c r="E14488">
        <v>1</v>
      </c>
      <c r="F14488" t="str">
        <f>"10-R02-01"</f>
        <v>10-R02-01</v>
      </c>
      <c r="G14488">
        <v>0.92279999999999995</v>
      </c>
      <c r="H14488" t="s">
        <v>9</v>
      </c>
      <c r="I14488" t="s">
        <v>10</v>
      </c>
    </row>
    <row r="14489" spans="1:9" x14ac:dyDescent="0.25">
      <c r="A14489" t="str">
        <f t="shared" si="336"/>
        <v>89301000</v>
      </c>
      <c r="B14489" t="str">
        <f>"9055086183"</f>
        <v>9055086183</v>
      </c>
      <c r="C14489" s="1">
        <v>45020</v>
      </c>
      <c r="D14489" s="1">
        <v>45022</v>
      </c>
      <c r="E14489">
        <v>1</v>
      </c>
      <c r="F14489" t="str">
        <f>"08-K08-00"</f>
        <v>08-K08-00</v>
      </c>
      <c r="G14489">
        <v>0.5272</v>
      </c>
      <c r="H14489" t="s">
        <v>11</v>
      </c>
      <c r="I14489" t="s">
        <v>10</v>
      </c>
    </row>
    <row r="14490" spans="1:9" x14ac:dyDescent="0.25">
      <c r="A14490" t="str">
        <f t="shared" si="336"/>
        <v>89301000</v>
      </c>
      <c r="B14490" t="str">
        <f>"9055086205"</f>
        <v>9055086205</v>
      </c>
      <c r="C14490" s="1">
        <v>45021</v>
      </c>
      <c r="D14490" s="1">
        <v>45023</v>
      </c>
      <c r="E14490">
        <v>1</v>
      </c>
      <c r="F14490" t="str">
        <f>"14-M01-05"</f>
        <v>14-M01-05</v>
      </c>
      <c r="G14490">
        <v>0.56289999999999996</v>
      </c>
      <c r="H14490" t="s">
        <v>13</v>
      </c>
      <c r="I14490" t="s">
        <v>10</v>
      </c>
    </row>
    <row r="14491" spans="1:9" x14ac:dyDescent="0.25">
      <c r="A14491" t="str">
        <f t="shared" si="336"/>
        <v>89301000</v>
      </c>
      <c r="B14491" t="str">
        <f>"9055096149"</f>
        <v>9055096149</v>
      </c>
      <c r="C14491" s="1">
        <v>45079</v>
      </c>
      <c r="D14491" s="1">
        <v>45079</v>
      </c>
      <c r="E14491">
        <v>6</v>
      </c>
      <c r="F14491" t="str">
        <f>"13-I19-00"</f>
        <v>13-I19-00</v>
      </c>
      <c r="G14491">
        <v>0.14130000000000001</v>
      </c>
      <c r="H14491" t="s">
        <v>11</v>
      </c>
      <c r="I14491" t="s">
        <v>10</v>
      </c>
    </row>
    <row r="14492" spans="1:9" x14ac:dyDescent="0.25">
      <c r="A14492" t="str">
        <f t="shared" si="336"/>
        <v>89301000</v>
      </c>
      <c r="B14492" t="str">
        <f>"9055105741"</f>
        <v>9055105741</v>
      </c>
      <c r="C14492" s="1">
        <v>44995</v>
      </c>
      <c r="D14492" s="1">
        <v>44998</v>
      </c>
      <c r="E14492">
        <v>1</v>
      </c>
      <c r="F14492" t="str">
        <f>"06-I22-02"</f>
        <v>06-I22-02</v>
      </c>
      <c r="G14492">
        <v>0.41749999999999998</v>
      </c>
      <c r="H14492" t="s">
        <v>12</v>
      </c>
      <c r="I14492" t="s">
        <v>10</v>
      </c>
    </row>
    <row r="14493" spans="1:9" x14ac:dyDescent="0.25">
      <c r="A14493" t="str">
        <f t="shared" si="336"/>
        <v>89301000</v>
      </c>
      <c r="B14493" t="str">
        <f>"9055116092"</f>
        <v>9055116092</v>
      </c>
      <c r="C14493" s="1">
        <v>44994</v>
      </c>
      <c r="D14493" s="1">
        <v>45001</v>
      </c>
      <c r="E14493">
        <v>1</v>
      </c>
      <c r="F14493" t="str">
        <f>"19-K03-03"</f>
        <v>19-K03-03</v>
      </c>
      <c r="G14493">
        <v>0.90410000000000001</v>
      </c>
      <c r="H14493" t="s">
        <v>15</v>
      </c>
      <c r="I14493" t="s">
        <v>10</v>
      </c>
    </row>
    <row r="14494" spans="1:9" x14ac:dyDescent="0.25">
      <c r="A14494" t="str">
        <f t="shared" si="336"/>
        <v>89301000</v>
      </c>
      <c r="B14494" t="str">
        <f>"9055125739"</f>
        <v>9055125739</v>
      </c>
      <c r="C14494" s="1">
        <v>45028</v>
      </c>
      <c r="D14494" s="1">
        <v>45030</v>
      </c>
      <c r="E14494">
        <v>1</v>
      </c>
      <c r="F14494" t="str">
        <f>"11-K03-02"</f>
        <v>11-K03-02</v>
      </c>
      <c r="G14494">
        <v>0.63990000000000002</v>
      </c>
      <c r="H14494" t="s">
        <v>11</v>
      </c>
      <c r="I14494" t="s">
        <v>10</v>
      </c>
    </row>
    <row r="14495" spans="1:9" x14ac:dyDescent="0.25">
      <c r="A14495" t="str">
        <f t="shared" si="336"/>
        <v>89301000</v>
      </c>
      <c r="B14495" t="str">
        <f>"9055225718"</f>
        <v>9055225718</v>
      </c>
      <c r="C14495" s="1">
        <v>45112</v>
      </c>
      <c r="D14495" s="1">
        <v>45115</v>
      </c>
      <c r="E14495">
        <v>1</v>
      </c>
      <c r="F14495" t="str">
        <f>"14-M01-05"</f>
        <v>14-M01-05</v>
      </c>
      <c r="G14495">
        <v>0.56289999999999996</v>
      </c>
      <c r="H14495" t="s">
        <v>13</v>
      </c>
      <c r="I14495" t="s">
        <v>10</v>
      </c>
    </row>
    <row r="14496" spans="1:9" x14ac:dyDescent="0.25">
      <c r="A14496" t="str">
        <f t="shared" si="336"/>
        <v>89301000</v>
      </c>
      <c r="B14496" t="str">
        <f>"9055236168"</f>
        <v>9055236168</v>
      </c>
      <c r="C14496" s="1">
        <v>44984</v>
      </c>
      <c r="D14496" s="1">
        <v>44987</v>
      </c>
      <c r="E14496">
        <v>1</v>
      </c>
      <c r="F14496" t="str">
        <f>"14-M01-05"</f>
        <v>14-M01-05</v>
      </c>
      <c r="G14496">
        <v>0.56289999999999996</v>
      </c>
      <c r="H14496" t="s">
        <v>13</v>
      </c>
      <c r="I14496" t="s">
        <v>10</v>
      </c>
    </row>
    <row r="14497" spans="1:9" x14ac:dyDescent="0.25">
      <c r="A14497" t="str">
        <f t="shared" si="336"/>
        <v>89301000</v>
      </c>
      <c r="B14497" t="str">
        <f>"9055274844"</f>
        <v>9055274844</v>
      </c>
      <c r="C14497" s="1">
        <v>45279</v>
      </c>
      <c r="D14497" s="1">
        <v>45283</v>
      </c>
      <c r="E14497">
        <v>1</v>
      </c>
      <c r="F14497" t="str">
        <f>"14-M01-05"</f>
        <v>14-M01-05</v>
      </c>
      <c r="G14497">
        <v>0.56289999999999996</v>
      </c>
      <c r="H14497" t="s">
        <v>13</v>
      </c>
      <c r="I14497" t="s">
        <v>10</v>
      </c>
    </row>
    <row r="14498" spans="1:9" x14ac:dyDescent="0.25">
      <c r="A14498" t="str">
        <f t="shared" si="336"/>
        <v>89301000</v>
      </c>
      <c r="B14498" t="str">
        <f>"9055284843"</f>
        <v>9055284843</v>
      </c>
      <c r="C14498" s="1">
        <v>44977</v>
      </c>
      <c r="D14498" s="1">
        <v>44981</v>
      </c>
      <c r="E14498">
        <v>1</v>
      </c>
      <c r="F14498" t="str">
        <f>"14-I01-01"</f>
        <v>14-I01-01</v>
      </c>
      <c r="G14498">
        <v>1.6604000000000001</v>
      </c>
      <c r="H14498" t="s">
        <v>13</v>
      </c>
      <c r="I14498" t="s">
        <v>10</v>
      </c>
    </row>
    <row r="14499" spans="1:9" x14ac:dyDescent="0.25">
      <c r="A14499" t="str">
        <f t="shared" si="336"/>
        <v>89301000</v>
      </c>
      <c r="B14499" t="str">
        <f>"9055285701"</f>
        <v>9055285701</v>
      </c>
      <c r="C14499" s="1">
        <v>45064</v>
      </c>
      <c r="D14499" s="1">
        <v>45072</v>
      </c>
      <c r="E14499">
        <v>1</v>
      </c>
      <c r="F14499" t="str">
        <f>"14-I01-02"</f>
        <v>14-I01-02</v>
      </c>
      <c r="G14499">
        <v>1.2935000000000001</v>
      </c>
      <c r="H14499" t="s">
        <v>13</v>
      </c>
      <c r="I14499" t="s">
        <v>10</v>
      </c>
    </row>
    <row r="14500" spans="1:9" x14ac:dyDescent="0.25">
      <c r="A14500" t="str">
        <f t="shared" si="336"/>
        <v>89301000</v>
      </c>
      <c r="B14500" t="str">
        <f>"9055314158"</f>
        <v>9055314158</v>
      </c>
      <c r="C14500" s="1">
        <v>44937</v>
      </c>
      <c r="D14500" s="1">
        <v>44939</v>
      </c>
      <c r="E14500">
        <v>6</v>
      </c>
      <c r="F14500" t="str">
        <f>"14-M01-05"</f>
        <v>14-M01-05</v>
      </c>
      <c r="G14500">
        <v>0.56289999999999996</v>
      </c>
      <c r="H14500" t="s">
        <v>13</v>
      </c>
      <c r="I14500" t="s">
        <v>10</v>
      </c>
    </row>
    <row r="14501" spans="1:9" x14ac:dyDescent="0.25">
      <c r="A14501" t="str">
        <f t="shared" si="336"/>
        <v>89301000</v>
      </c>
      <c r="B14501" t="str">
        <f>"9056025759"</f>
        <v>9056025759</v>
      </c>
      <c r="C14501" s="1">
        <v>44943</v>
      </c>
      <c r="D14501" s="1">
        <v>44947</v>
      </c>
      <c r="E14501">
        <v>1</v>
      </c>
      <c r="F14501" t="str">
        <f>"14-M01-05"</f>
        <v>14-M01-05</v>
      </c>
      <c r="G14501">
        <v>0.56289999999999996</v>
      </c>
      <c r="H14501" t="s">
        <v>13</v>
      </c>
      <c r="I14501" t="s">
        <v>10</v>
      </c>
    </row>
    <row r="14502" spans="1:9" x14ac:dyDescent="0.25">
      <c r="A14502" t="str">
        <f t="shared" si="336"/>
        <v>89301000</v>
      </c>
      <c r="B14502" t="str">
        <f>"9056034845"</f>
        <v>9056034845</v>
      </c>
      <c r="C14502" s="1">
        <v>45028</v>
      </c>
      <c r="D14502" s="1">
        <v>45030</v>
      </c>
      <c r="E14502">
        <v>1</v>
      </c>
      <c r="F14502" t="str">
        <f>"14-M01-05"</f>
        <v>14-M01-05</v>
      </c>
      <c r="G14502">
        <v>0.56589999999999996</v>
      </c>
      <c r="H14502" t="s">
        <v>13</v>
      </c>
      <c r="I14502" t="s">
        <v>10</v>
      </c>
    </row>
    <row r="14503" spans="1:9" x14ac:dyDescent="0.25">
      <c r="A14503" t="str">
        <f t="shared" si="336"/>
        <v>89301000</v>
      </c>
      <c r="B14503" t="str">
        <f>"9056135726"</f>
        <v>9056135726</v>
      </c>
      <c r="C14503" s="1">
        <v>45140</v>
      </c>
      <c r="D14503" s="1">
        <v>45143</v>
      </c>
      <c r="E14503">
        <v>1</v>
      </c>
      <c r="F14503" t="str">
        <f>"14-M01-05"</f>
        <v>14-M01-05</v>
      </c>
      <c r="G14503">
        <v>0.56289999999999996</v>
      </c>
      <c r="H14503" t="s">
        <v>13</v>
      </c>
      <c r="I14503" t="s">
        <v>10</v>
      </c>
    </row>
    <row r="14504" spans="1:9" x14ac:dyDescent="0.25">
      <c r="A14504" t="str">
        <f t="shared" si="336"/>
        <v>89301000</v>
      </c>
      <c r="B14504" t="str">
        <f>"9056184841"</f>
        <v>9056184841</v>
      </c>
      <c r="C14504" s="1">
        <v>44936</v>
      </c>
      <c r="D14504" s="1">
        <v>44939</v>
      </c>
      <c r="E14504">
        <v>1</v>
      </c>
      <c r="F14504" t="str">
        <f>"09-K04-02"</f>
        <v>09-K04-02</v>
      </c>
      <c r="G14504">
        <v>0.64849999999999997</v>
      </c>
      <c r="H14504" t="s">
        <v>11</v>
      </c>
      <c r="I14504" t="s">
        <v>10</v>
      </c>
    </row>
    <row r="14505" spans="1:9" x14ac:dyDescent="0.25">
      <c r="A14505" t="str">
        <f t="shared" si="336"/>
        <v>89301000</v>
      </c>
      <c r="B14505" t="str">
        <f>"9056186194"</f>
        <v>9056186194</v>
      </c>
      <c r="C14505" s="1">
        <v>45105</v>
      </c>
      <c r="D14505" s="1">
        <v>45108</v>
      </c>
      <c r="E14505">
        <v>1</v>
      </c>
      <c r="F14505" t="str">
        <f>"14-I01-05"</f>
        <v>14-I01-05</v>
      </c>
      <c r="G14505">
        <v>0.83340000000000003</v>
      </c>
      <c r="H14505" t="s">
        <v>13</v>
      </c>
      <c r="I14505" t="s">
        <v>10</v>
      </c>
    </row>
    <row r="14506" spans="1:9" x14ac:dyDescent="0.25">
      <c r="A14506" t="str">
        <f t="shared" si="336"/>
        <v>89301000</v>
      </c>
      <c r="B14506" t="str">
        <f>"9056226146"</f>
        <v>9056226146</v>
      </c>
      <c r="C14506" s="1">
        <v>45249</v>
      </c>
      <c r="D14506" s="1">
        <v>45253</v>
      </c>
      <c r="E14506">
        <v>1</v>
      </c>
      <c r="F14506" t="str">
        <f>"14-M01-05"</f>
        <v>14-M01-05</v>
      </c>
      <c r="G14506">
        <v>0.56289999999999996</v>
      </c>
      <c r="H14506" t="s">
        <v>13</v>
      </c>
      <c r="I14506" t="s">
        <v>10</v>
      </c>
    </row>
    <row r="14507" spans="1:9" x14ac:dyDescent="0.25">
      <c r="A14507" t="str">
        <f t="shared" si="336"/>
        <v>89301000</v>
      </c>
      <c r="B14507" t="str">
        <f>"9056265735"</f>
        <v>9056265735</v>
      </c>
      <c r="C14507" s="1">
        <v>45251</v>
      </c>
      <c r="D14507" s="1">
        <v>45254</v>
      </c>
      <c r="E14507">
        <v>1</v>
      </c>
      <c r="F14507" t="str">
        <f>"14-M01-05"</f>
        <v>14-M01-05</v>
      </c>
      <c r="G14507">
        <v>0.56289999999999996</v>
      </c>
      <c r="H14507" t="s">
        <v>13</v>
      </c>
      <c r="I14507" t="s">
        <v>10</v>
      </c>
    </row>
    <row r="14508" spans="1:9" x14ac:dyDescent="0.25">
      <c r="A14508" t="str">
        <f t="shared" si="336"/>
        <v>89301000</v>
      </c>
      <c r="B14508" t="str">
        <f>"9057115716"</f>
        <v>9057115716</v>
      </c>
      <c r="C14508" s="1">
        <v>45148</v>
      </c>
      <c r="D14508" s="1">
        <v>45153</v>
      </c>
      <c r="E14508">
        <v>1</v>
      </c>
      <c r="F14508" t="str">
        <f>"14-M01-01"</f>
        <v>14-M01-01</v>
      </c>
      <c r="G14508">
        <v>0.81010000000000004</v>
      </c>
      <c r="H14508" t="s">
        <v>13</v>
      </c>
      <c r="I14508" t="s">
        <v>10</v>
      </c>
    </row>
    <row r="14509" spans="1:9" x14ac:dyDescent="0.25">
      <c r="A14509" t="str">
        <f t="shared" si="336"/>
        <v>89301000</v>
      </c>
      <c r="B14509" t="str">
        <f>"9057154843"</f>
        <v>9057154843</v>
      </c>
      <c r="C14509" s="1">
        <v>45029</v>
      </c>
      <c r="D14509" s="1">
        <v>45033</v>
      </c>
      <c r="E14509">
        <v>1</v>
      </c>
      <c r="F14509" t="str">
        <f>"14-M01-05"</f>
        <v>14-M01-05</v>
      </c>
      <c r="G14509">
        <v>0.56289999999999996</v>
      </c>
      <c r="H14509" t="s">
        <v>13</v>
      </c>
      <c r="I14509" t="s">
        <v>10</v>
      </c>
    </row>
    <row r="14510" spans="1:9" x14ac:dyDescent="0.25">
      <c r="A14510" t="str">
        <f t="shared" si="336"/>
        <v>89301000</v>
      </c>
      <c r="B14510" t="str">
        <f>"9057175732"</f>
        <v>9057175732</v>
      </c>
      <c r="C14510" s="1">
        <v>45084</v>
      </c>
      <c r="D14510" s="1">
        <v>45086</v>
      </c>
      <c r="E14510">
        <v>1</v>
      </c>
      <c r="F14510" t="str">
        <f>"14-M01-05"</f>
        <v>14-M01-05</v>
      </c>
      <c r="G14510">
        <v>0.56289999999999996</v>
      </c>
      <c r="H14510" t="s">
        <v>13</v>
      </c>
      <c r="I14510" t="s">
        <v>10</v>
      </c>
    </row>
    <row r="14511" spans="1:9" x14ac:dyDescent="0.25">
      <c r="A14511" t="str">
        <f t="shared" si="336"/>
        <v>89301000</v>
      </c>
      <c r="B14511" t="str">
        <f>"9057194850"</f>
        <v>9057194850</v>
      </c>
      <c r="C14511" s="1">
        <v>45125</v>
      </c>
      <c r="D14511" s="1">
        <v>45140</v>
      </c>
      <c r="E14511">
        <v>1</v>
      </c>
      <c r="F14511" t="str">
        <f>"19-K05-02"</f>
        <v>19-K05-02</v>
      </c>
      <c r="G14511">
        <v>1.7688999999999999</v>
      </c>
      <c r="H14511" t="s">
        <v>15</v>
      </c>
      <c r="I14511" t="s">
        <v>10</v>
      </c>
    </row>
    <row r="14512" spans="1:9" x14ac:dyDescent="0.25">
      <c r="A14512" t="str">
        <f t="shared" si="336"/>
        <v>89301000</v>
      </c>
      <c r="B14512" t="str">
        <f>"9057226178"</f>
        <v>9057226178</v>
      </c>
      <c r="C14512" s="1">
        <v>45188</v>
      </c>
      <c r="D14512" s="1">
        <v>45195</v>
      </c>
      <c r="E14512">
        <v>1</v>
      </c>
      <c r="F14512" t="str">
        <f>"14-I01-01"</f>
        <v>14-I01-01</v>
      </c>
      <c r="G14512">
        <v>1.7554000000000001</v>
      </c>
      <c r="H14512" t="s">
        <v>13</v>
      </c>
      <c r="I14512" t="s">
        <v>10</v>
      </c>
    </row>
    <row r="14513" spans="1:9" x14ac:dyDescent="0.25">
      <c r="A14513" t="str">
        <f t="shared" si="336"/>
        <v>89301000</v>
      </c>
      <c r="B14513" t="str">
        <f>"9057244845"</f>
        <v>9057244845</v>
      </c>
      <c r="C14513" s="1">
        <v>44953</v>
      </c>
      <c r="D14513" s="1">
        <v>44963</v>
      </c>
      <c r="E14513">
        <v>1</v>
      </c>
      <c r="F14513" t="str">
        <f>"14-I01-05"</f>
        <v>14-I01-05</v>
      </c>
      <c r="G14513">
        <v>0.996</v>
      </c>
      <c r="H14513" t="s">
        <v>13</v>
      </c>
      <c r="I14513" t="s">
        <v>10</v>
      </c>
    </row>
    <row r="14514" spans="1:9" x14ac:dyDescent="0.25">
      <c r="A14514" t="str">
        <f t="shared" si="336"/>
        <v>89301000</v>
      </c>
      <c r="B14514" t="str">
        <f>"9057306148"</f>
        <v>9057306148</v>
      </c>
      <c r="C14514" s="1">
        <v>45271</v>
      </c>
      <c r="D14514" s="1">
        <v>45274</v>
      </c>
      <c r="E14514">
        <v>1</v>
      </c>
      <c r="F14514" t="str">
        <f>"08-I04-03"</f>
        <v>08-I04-03</v>
      </c>
      <c r="G14514">
        <v>1.3045</v>
      </c>
      <c r="H14514" t="s">
        <v>14</v>
      </c>
      <c r="I14514" t="s">
        <v>10</v>
      </c>
    </row>
    <row r="14515" spans="1:9" x14ac:dyDescent="0.25">
      <c r="A14515" t="str">
        <f t="shared" si="336"/>
        <v>89301000</v>
      </c>
      <c r="B14515" t="str">
        <f>"9058025757"</f>
        <v>9058025757</v>
      </c>
      <c r="C14515" s="1">
        <v>45191</v>
      </c>
      <c r="D14515" s="1">
        <v>45196</v>
      </c>
      <c r="E14515">
        <v>1</v>
      </c>
      <c r="F14515" t="str">
        <f>"09-K02-00"</f>
        <v>09-K02-00</v>
      </c>
      <c r="G14515">
        <v>0.99539999999999995</v>
      </c>
      <c r="H14515" t="s">
        <v>11</v>
      </c>
      <c r="I14515" t="s">
        <v>10</v>
      </c>
    </row>
    <row r="14516" spans="1:9" x14ac:dyDescent="0.25">
      <c r="A14516" t="str">
        <f t="shared" si="336"/>
        <v>89301000</v>
      </c>
      <c r="B14516" t="str">
        <f>"9058055710"</f>
        <v>9058055710</v>
      </c>
      <c r="C14516" s="1">
        <v>44987</v>
      </c>
      <c r="D14516" s="1">
        <v>44988</v>
      </c>
      <c r="E14516">
        <v>1</v>
      </c>
      <c r="F14516" t="str">
        <f>"14-I08-03"</f>
        <v>14-I08-03</v>
      </c>
      <c r="G14516">
        <v>0.2414</v>
      </c>
      <c r="H14516" t="s">
        <v>11</v>
      </c>
      <c r="I14516" t="s">
        <v>10</v>
      </c>
    </row>
    <row r="14517" spans="1:9" x14ac:dyDescent="0.25">
      <c r="A14517" t="str">
        <f t="shared" si="336"/>
        <v>89301000</v>
      </c>
      <c r="B14517" t="str">
        <f>"9058195729"</f>
        <v>9058195729</v>
      </c>
      <c r="C14517" s="1">
        <v>45171</v>
      </c>
      <c r="D14517" s="1">
        <v>45175</v>
      </c>
      <c r="E14517">
        <v>1</v>
      </c>
      <c r="F14517" t="str">
        <f>"14-M01-05"</f>
        <v>14-M01-05</v>
      </c>
      <c r="G14517">
        <v>0.56589999999999996</v>
      </c>
      <c r="H14517" t="s">
        <v>13</v>
      </c>
      <c r="I14517" t="s">
        <v>10</v>
      </c>
    </row>
    <row r="14518" spans="1:9" x14ac:dyDescent="0.25">
      <c r="A14518" t="str">
        <f t="shared" si="336"/>
        <v>89301000</v>
      </c>
      <c r="B14518" t="str">
        <f>"9058286149"</f>
        <v>9058286149</v>
      </c>
      <c r="C14518" s="1">
        <v>45174</v>
      </c>
      <c r="D14518" s="1">
        <v>45177</v>
      </c>
      <c r="E14518">
        <v>1</v>
      </c>
      <c r="F14518" t="str">
        <f>"14-M01-05"</f>
        <v>14-M01-05</v>
      </c>
      <c r="G14518">
        <v>0.56289999999999996</v>
      </c>
      <c r="H14518" t="s">
        <v>13</v>
      </c>
      <c r="I14518" t="s">
        <v>10</v>
      </c>
    </row>
    <row r="14519" spans="1:9" x14ac:dyDescent="0.25">
      <c r="A14519" t="str">
        <f t="shared" si="336"/>
        <v>89301000</v>
      </c>
      <c r="B14519" t="str">
        <f>"9059046238"</f>
        <v>9059046238</v>
      </c>
      <c r="C14519" s="1">
        <v>45104</v>
      </c>
      <c r="D14519" s="1">
        <v>45106</v>
      </c>
      <c r="E14519">
        <v>1</v>
      </c>
      <c r="F14519" t="str">
        <f>"11-K03-02"</f>
        <v>11-K03-02</v>
      </c>
      <c r="G14519">
        <v>0.63990000000000002</v>
      </c>
      <c r="H14519" t="s">
        <v>11</v>
      </c>
      <c r="I14519" t="s">
        <v>10</v>
      </c>
    </row>
    <row r="14520" spans="1:9" x14ac:dyDescent="0.25">
      <c r="A14520" t="str">
        <f t="shared" si="336"/>
        <v>89301000</v>
      </c>
      <c r="B14520" t="str">
        <f>"9059101304"</f>
        <v>9059101304</v>
      </c>
      <c r="C14520" s="1">
        <v>45226</v>
      </c>
      <c r="D14520" s="1">
        <v>45228</v>
      </c>
      <c r="E14520">
        <v>1</v>
      </c>
      <c r="F14520" t="str">
        <f>"14-K02-00"</f>
        <v>14-K02-00</v>
      </c>
      <c r="G14520">
        <v>0.19639999999999999</v>
      </c>
      <c r="H14520" t="s">
        <v>11</v>
      </c>
      <c r="I14520" t="s">
        <v>10</v>
      </c>
    </row>
    <row r="14521" spans="1:9" x14ac:dyDescent="0.25">
      <c r="A14521" t="str">
        <f t="shared" si="336"/>
        <v>89301000</v>
      </c>
      <c r="B14521" t="str">
        <f>"9059116165"</f>
        <v>9059116165</v>
      </c>
      <c r="C14521" s="1">
        <v>45011</v>
      </c>
      <c r="D14521" s="1">
        <v>45013</v>
      </c>
      <c r="E14521">
        <v>1</v>
      </c>
      <c r="F14521" t="str">
        <f>"05-M08-00"</f>
        <v>05-M08-00</v>
      </c>
      <c r="G14521">
        <v>2.6318000000000001</v>
      </c>
      <c r="H14521" t="s">
        <v>12</v>
      </c>
      <c r="I14521" t="s">
        <v>10</v>
      </c>
    </row>
    <row r="14522" spans="1:9" x14ac:dyDescent="0.25">
      <c r="A14522" t="str">
        <f t="shared" si="336"/>
        <v>89301000</v>
      </c>
      <c r="B14522" t="str">
        <f>"9059155710"</f>
        <v>9059155710</v>
      </c>
      <c r="C14522" s="1">
        <v>44985</v>
      </c>
      <c r="D14522" s="1">
        <v>44987</v>
      </c>
      <c r="E14522">
        <v>1</v>
      </c>
      <c r="F14522" t="str">
        <f>"14-K03-01"</f>
        <v>14-K03-01</v>
      </c>
      <c r="G14522">
        <v>0.54159999999999997</v>
      </c>
      <c r="H14522" t="s">
        <v>11</v>
      </c>
      <c r="I14522" t="s">
        <v>10</v>
      </c>
    </row>
    <row r="14523" spans="1:9" x14ac:dyDescent="0.25">
      <c r="A14523" t="str">
        <f t="shared" si="336"/>
        <v>89301000</v>
      </c>
      <c r="B14523" t="str">
        <f>"9059155710"</f>
        <v>9059155710</v>
      </c>
      <c r="C14523" s="1">
        <v>45134</v>
      </c>
      <c r="D14523" s="1">
        <v>45139</v>
      </c>
      <c r="E14523">
        <v>1</v>
      </c>
      <c r="F14523" t="str">
        <f>"14-K03-01"</f>
        <v>14-K03-01</v>
      </c>
      <c r="G14523">
        <v>0.54239999999999999</v>
      </c>
      <c r="H14523" t="s">
        <v>11</v>
      </c>
      <c r="I14523" t="s">
        <v>10</v>
      </c>
    </row>
    <row r="14524" spans="1:9" x14ac:dyDescent="0.25">
      <c r="A14524" t="str">
        <f t="shared" si="336"/>
        <v>89301000</v>
      </c>
      <c r="B14524" t="str">
        <f>"9059155710"</f>
        <v>9059155710</v>
      </c>
      <c r="C14524" s="1">
        <v>45173</v>
      </c>
      <c r="D14524" s="1">
        <v>45183</v>
      </c>
      <c r="E14524">
        <v>1</v>
      </c>
      <c r="F14524" t="str">
        <f>"14-I01-02"</f>
        <v>14-I01-02</v>
      </c>
      <c r="G14524">
        <v>1.5576000000000001</v>
      </c>
      <c r="H14524" t="s">
        <v>13</v>
      </c>
      <c r="I14524" t="s">
        <v>10</v>
      </c>
    </row>
    <row r="14525" spans="1:9" x14ac:dyDescent="0.25">
      <c r="A14525" t="str">
        <f t="shared" si="336"/>
        <v>89301000</v>
      </c>
      <c r="B14525" t="str">
        <f>"9059186103"</f>
        <v>9059186103</v>
      </c>
      <c r="C14525" s="1">
        <v>45144</v>
      </c>
      <c r="D14525" s="1">
        <v>45149</v>
      </c>
      <c r="E14525">
        <v>1</v>
      </c>
      <c r="F14525" t="str">
        <f>"14-I01-05"</f>
        <v>14-I01-05</v>
      </c>
      <c r="G14525">
        <v>0.83340000000000003</v>
      </c>
      <c r="H14525" t="s">
        <v>13</v>
      </c>
      <c r="I14525" t="s">
        <v>10</v>
      </c>
    </row>
    <row r="14526" spans="1:9" x14ac:dyDescent="0.25">
      <c r="A14526" t="str">
        <f t="shared" si="336"/>
        <v>89301000</v>
      </c>
      <c r="B14526" t="str">
        <f>"9059195750"</f>
        <v>9059195750</v>
      </c>
      <c r="C14526" s="1">
        <v>45212</v>
      </c>
      <c r="D14526" s="1">
        <v>45215</v>
      </c>
      <c r="E14526">
        <v>1</v>
      </c>
      <c r="F14526" t="str">
        <f>"14-M01-05"</f>
        <v>14-M01-05</v>
      </c>
      <c r="G14526">
        <v>0.56589999999999996</v>
      </c>
      <c r="H14526" t="s">
        <v>13</v>
      </c>
      <c r="I14526" t="s">
        <v>10</v>
      </c>
    </row>
    <row r="14527" spans="1:9" x14ac:dyDescent="0.25">
      <c r="A14527" t="str">
        <f t="shared" si="336"/>
        <v>89301000</v>
      </c>
      <c r="B14527" t="str">
        <f>"9059245305"</f>
        <v>9059245305</v>
      </c>
      <c r="C14527" s="1">
        <v>44976</v>
      </c>
      <c r="D14527" s="1">
        <v>44978</v>
      </c>
      <c r="E14527">
        <v>1</v>
      </c>
      <c r="F14527" t="str">
        <f>"18-K02-05"</f>
        <v>18-K02-05</v>
      </c>
      <c r="G14527">
        <v>0.48089999999999999</v>
      </c>
      <c r="H14527" t="s">
        <v>11</v>
      </c>
      <c r="I14527" t="s">
        <v>10</v>
      </c>
    </row>
    <row r="14528" spans="1:9" x14ac:dyDescent="0.25">
      <c r="A14528" t="str">
        <f t="shared" si="336"/>
        <v>89301000</v>
      </c>
      <c r="B14528" t="str">
        <f>"9059285763"</f>
        <v>9059285763</v>
      </c>
      <c r="C14528" s="1">
        <v>45120</v>
      </c>
      <c r="D14528" s="1">
        <v>45122</v>
      </c>
      <c r="E14528">
        <v>1</v>
      </c>
      <c r="F14528" t="str">
        <f>"14-M01-05"</f>
        <v>14-M01-05</v>
      </c>
      <c r="G14528">
        <v>0.56289999999999996</v>
      </c>
      <c r="H14528" t="s">
        <v>13</v>
      </c>
      <c r="I14528" t="s">
        <v>10</v>
      </c>
    </row>
    <row r="14529" spans="1:9" x14ac:dyDescent="0.25">
      <c r="A14529" t="str">
        <f t="shared" si="336"/>
        <v>89301000</v>
      </c>
      <c r="B14529" t="str">
        <f>"9060046083"</f>
        <v>9060046083</v>
      </c>
      <c r="C14529" s="1">
        <v>45215</v>
      </c>
      <c r="D14529" s="1">
        <v>45219</v>
      </c>
      <c r="E14529">
        <v>1</v>
      </c>
      <c r="F14529" t="str">
        <f>"13-I11-03"</f>
        <v>13-I11-03</v>
      </c>
      <c r="G14529">
        <v>1.4332</v>
      </c>
      <c r="H14529" t="s">
        <v>9</v>
      </c>
      <c r="I14529" t="s">
        <v>10</v>
      </c>
    </row>
    <row r="14530" spans="1:9" x14ac:dyDescent="0.25">
      <c r="A14530" t="str">
        <f t="shared" si="336"/>
        <v>89301000</v>
      </c>
      <c r="B14530" t="str">
        <f>"9060115735"</f>
        <v>9060115735</v>
      </c>
      <c r="C14530" s="1">
        <v>45120</v>
      </c>
      <c r="D14530" s="1">
        <v>45126</v>
      </c>
      <c r="E14530">
        <v>1</v>
      </c>
      <c r="F14530" t="str">
        <f>"14-I01-02"</f>
        <v>14-I01-02</v>
      </c>
      <c r="G14530">
        <v>1.2935000000000001</v>
      </c>
      <c r="H14530" t="s">
        <v>13</v>
      </c>
      <c r="I14530" t="s">
        <v>10</v>
      </c>
    </row>
    <row r="14531" spans="1:9" x14ac:dyDescent="0.25">
      <c r="A14531" t="str">
        <f t="shared" si="336"/>
        <v>89301000</v>
      </c>
      <c r="B14531" t="str">
        <f>"9060155753"</f>
        <v>9060155753</v>
      </c>
      <c r="C14531" s="1">
        <v>45168</v>
      </c>
      <c r="D14531" s="1">
        <v>45170</v>
      </c>
      <c r="E14531">
        <v>1</v>
      </c>
      <c r="F14531" t="str">
        <f>"14-M01-05"</f>
        <v>14-M01-05</v>
      </c>
      <c r="G14531">
        <v>0.56289999999999996</v>
      </c>
      <c r="H14531" t="s">
        <v>13</v>
      </c>
      <c r="I14531" t="s">
        <v>10</v>
      </c>
    </row>
    <row r="14532" spans="1:9" x14ac:dyDescent="0.25">
      <c r="A14532" t="str">
        <f t="shared" si="336"/>
        <v>89301000</v>
      </c>
      <c r="B14532" t="str">
        <f>"9060194847"</f>
        <v>9060194847</v>
      </c>
      <c r="C14532" s="1">
        <v>45225</v>
      </c>
      <c r="D14532" s="1">
        <v>45227</v>
      </c>
      <c r="E14532">
        <v>1</v>
      </c>
      <c r="F14532" t="str">
        <f>"14-M01-05"</f>
        <v>14-M01-05</v>
      </c>
      <c r="G14532">
        <v>0.56289999999999996</v>
      </c>
      <c r="H14532" t="s">
        <v>13</v>
      </c>
      <c r="I14532" t="s">
        <v>10</v>
      </c>
    </row>
    <row r="14533" spans="1:9" x14ac:dyDescent="0.25">
      <c r="A14533" t="str">
        <f t="shared" si="336"/>
        <v>89301000</v>
      </c>
      <c r="B14533" t="str">
        <f>"9060255710"</f>
        <v>9060255710</v>
      </c>
      <c r="C14533" s="1">
        <v>44964</v>
      </c>
      <c r="D14533" s="1">
        <v>44966</v>
      </c>
      <c r="E14533">
        <v>1</v>
      </c>
      <c r="F14533" t="str">
        <f>"08-I16-04"</f>
        <v>08-I16-04</v>
      </c>
      <c r="G14533">
        <v>0.83040000000000003</v>
      </c>
      <c r="H14533" t="s">
        <v>12</v>
      </c>
      <c r="I14533" t="s">
        <v>10</v>
      </c>
    </row>
    <row r="14534" spans="1:9" x14ac:dyDescent="0.25">
      <c r="A14534" t="str">
        <f t="shared" si="336"/>
        <v>89301000</v>
      </c>
      <c r="B14534" t="str">
        <f>"9061154861"</f>
        <v>9061154861</v>
      </c>
      <c r="C14534" s="1">
        <v>45067</v>
      </c>
      <c r="D14534" s="1">
        <v>45070</v>
      </c>
      <c r="E14534">
        <v>1</v>
      </c>
      <c r="F14534" t="str">
        <f>"13-I14-03"</f>
        <v>13-I14-03</v>
      </c>
      <c r="G14534">
        <v>0.87760000000000005</v>
      </c>
      <c r="H14534" t="s">
        <v>9</v>
      </c>
      <c r="I14534" t="s">
        <v>10</v>
      </c>
    </row>
    <row r="14535" spans="1:9" x14ac:dyDescent="0.25">
      <c r="A14535" t="str">
        <f t="shared" si="336"/>
        <v>89301000</v>
      </c>
      <c r="B14535" t="str">
        <f>"9061185562"</f>
        <v>9061185562</v>
      </c>
      <c r="C14535" s="1">
        <v>45041</v>
      </c>
      <c r="D14535" s="1">
        <v>45044</v>
      </c>
      <c r="E14535">
        <v>1</v>
      </c>
      <c r="F14535" t="str">
        <f>"14-M01-05"</f>
        <v>14-M01-05</v>
      </c>
      <c r="G14535">
        <v>0.56289999999999996</v>
      </c>
      <c r="H14535" t="s">
        <v>13</v>
      </c>
      <c r="I14535" t="s">
        <v>10</v>
      </c>
    </row>
    <row r="14536" spans="1:9" x14ac:dyDescent="0.25">
      <c r="A14536" t="str">
        <f t="shared" si="336"/>
        <v>89301000</v>
      </c>
      <c r="B14536" t="str">
        <f>"9061194098"</f>
        <v>9061194098</v>
      </c>
      <c r="C14536" s="1">
        <v>45040</v>
      </c>
      <c r="D14536" s="1">
        <v>45045</v>
      </c>
      <c r="E14536">
        <v>1</v>
      </c>
      <c r="F14536" t="str">
        <f>"14-M01-05"</f>
        <v>14-M01-05</v>
      </c>
      <c r="G14536">
        <v>0.56589999999999996</v>
      </c>
      <c r="H14536" t="s">
        <v>13</v>
      </c>
      <c r="I14536" t="s">
        <v>10</v>
      </c>
    </row>
    <row r="14537" spans="1:9" x14ac:dyDescent="0.25">
      <c r="A14537" t="str">
        <f t="shared" si="336"/>
        <v>89301000</v>
      </c>
      <c r="B14537" t="str">
        <f>"9061215702"</f>
        <v>9061215702</v>
      </c>
      <c r="C14537" s="1">
        <v>45055</v>
      </c>
      <c r="D14537" s="1">
        <v>45068</v>
      </c>
      <c r="E14537">
        <v>1</v>
      </c>
      <c r="F14537" t="str">
        <f>"14-I01-05"</f>
        <v>14-I01-05</v>
      </c>
      <c r="G14537">
        <v>1.1654</v>
      </c>
      <c r="H14537" t="s">
        <v>13</v>
      </c>
      <c r="I14537" t="s">
        <v>10</v>
      </c>
    </row>
    <row r="14538" spans="1:9" x14ac:dyDescent="0.25">
      <c r="A14538" t="str">
        <f t="shared" si="336"/>
        <v>89301000</v>
      </c>
      <c r="B14538" t="str">
        <f>"9061225723"</f>
        <v>9061225723</v>
      </c>
      <c r="C14538" s="1">
        <v>45047</v>
      </c>
      <c r="D14538" s="1">
        <v>45052</v>
      </c>
      <c r="E14538">
        <v>1</v>
      </c>
      <c r="F14538" t="str">
        <f>"14-I01-05"</f>
        <v>14-I01-05</v>
      </c>
      <c r="G14538">
        <v>0.83340000000000003</v>
      </c>
      <c r="H14538" t="s">
        <v>13</v>
      </c>
      <c r="I14538" t="s">
        <v>10</v>
      </c>
    </row>
    <row r="14539" spans="1:9" x14ac:dyDescent="0.25">
      <c r="A14539" t="str">
        <f t="shared" si="336"/>
        <v>89301000</v>
      </c>
      <c r="B14539" t="str">
        <f>"9061275718"</f>
        <v>9061275718</v>
      </c>
      <c r="C14539" s="1">
        <v>45258</v>
      </c>
      <c r="D14539" s="1">
        <v>45261</v>
      </c>
      <c r="E14539">
        <v>1</v>
      </c>
      <c r="F14539" t="str">
        <f>"14-M01-05"</f>
        <v>14-M01-05</v>
      </c>
      <c r="G14539">
        <v>0.56289999999999996</v>
      </c>
      <c r="H14539" t="s">
        <v>13</v>
      </c>
      <c r="I14539" t="s">
        <v>10</v>
      </c>
    </row>
    <row r="14540" spans="1:9" x14ac:dyDescent="0.25">
      <c r="A14540" t="str">
        <f t="shared" ref="A14540:A14603" si="337">"89301000"</f>
        <v>89301000</v>
      </c>
      <c r="B14540" t="str">
        <f>"9061284133"</f>
        <v>9061284133</v>
      </c>
      <c r="C14540" s="1">
        <v>44938</v>
      </c>
      <c r="D14540" s="1">
        <v>44940</v>
      </c>
      <c r="E14540">
        <v>1</v>
      </c>
      <c r="F14540" t="str">
        <f>"14-M01-05"</f>
        <v>14-M01-05</v>
      </c>
      <c r="G14540">
        <v>0.56289999999999996</v>
      </c>
      <c r="H14540" t="s">
        <v>13</v>
      </c>
      <c r="I14540" t="s">
        <v>10</v>
      </c>
    </row>
    <row r="14541" spans="1:9" x14ac:dyDescent="0.25">
      <c r="A14541" t="str">
        <f t="shared" si="337"/>
        <v>89301000</v>
      </c>
      <c r="B14541" t="str">
        <f>"9062065716"</f>
        <v>9062065716</v>
      </c>
      <c r="C14541" s="1">
        <v>45193</v>
      </c>
      <c r="D14541" s="1">
        <v>45198</v>
      </c>
      <c r="E14541">
        <v>1</v>
      </c>
      <c r="F14541" t="str">
        <f>"14-M01-05"</f>
        <v>14-M01-05</v>
      </c>
      <c r="G14541">
        <v>0.56589999999999996</v>
      </c>
      <c r="H14541" t="s">
        <v>13</v>
      </c>
      <c r="I14541" t="s">
        <v>10</v>
      </c>
    </row>
    <row r="14542" spans="1:9" x14ac:dyDescent="0.25">
      <c r="A14542" t="str">
        <f t="shared" si="337"/>
        <v>89301000</v>
      </c>
      <c r="B14542" t="str">
        <f>"9062075715"</f>
        <v>9062075715</v>
      </c>
      <c r="C14542" s="1">
        <v>45238</v>
      </c>
      <c r="D14542" s="1">
        <v>45240</v>
      </c>
      <c r="E14542">
        <v>1</v>
      </c>
      <c r="F14542" t="str">
        <f>"14-K03-02"</f>
        <v>14-K03-02</v>
      </c>
      <c r="G14542">
        <v>0.30149999999999999</v>
      </c>
      <c r="H14542" t="s">
        <v>11</v>
      </c>
      <c r="I14542" t="s">
        <v>10</v>
      </c>
    </row>
    <row r="14543" spans="1:9" x14ac:dyDescent="0.25">
      <c r="A14543" t="str">
        <f t="shared" si="337"/>
        <v>89301000</v>
      </c>
      <c r="B14543" t="str">
        <f>"9062075715"</f>
        <v>9062075715</v>
      </c>
      <c r="C14543" s="1">
        <v>45273</v>
      </c>
      <c r="D14543" s="1">
        <v>45277</v>
      </c>
      <c r="E14543">
        <v>1</v>
      </c>
      <c r="F14543" t="str">
        <f>"14-I01-05"</f>
        <v>14-I01-05</v>
      </c>
      <c r="G14543">
        <v>0.83340000000000003</v>
      </c>
      <c r="H14543" t="s">
        <v>13</v>
      </c>
      <c r="I14543" t="s">
        <v>10</v>
      </c>
    </row>
    <row r="14544" spans="1:9" x14ac:dyDescent="0.25">
      <c r="A14544" t="str">
        <f t="shared" si="337"/>
        <v>89301000</v>
      </c>
      <c r="B14544" t="str">
        <f>"9062105701"</f>
        <v>9062105701</v>
      </c>
      <c r="C14544" s="1">
        <v>45271</v>
      </c>
      <c r="D14544" s="1">
        <v>45276</v>
      </c>
      <c r="E14544">
        <v>1</v>
      </c>
      <c r="F14544" t="str">
        <f>"14-I01-01"</f>
        <v>14-I01-01</v>
      </c>
      <c r="G14544">
        <v>1.6020000000000001</v>
      </c>
      <c r="H14544" t="s">
        <v>13</v>
      </c>
      <c r="I14544" t="s">
        <v>10</v>
      </c>
    </row>
    <row r="14545" spans="1:9" x14ac:dyDescent="0.25">
      <c r="A14545" t="str">
        <f t="shared" si="337"/>
        <v>89301000</v>
      </c>
      <c r="B14545" t="str">
        <f>"9062145741"</f>
        <v>9062145741</v>
      </c>
      <c r="C14545" s="1">
        <v>45218</v>
      </c>
      <c r="D14545" s="1">
        <v>45221</v>
      </c>
      <c r="E14545">
        <v>1</v>
      </c>
      <c r="F14545" t="str">
        <f>"13-I14-03"</f>
        <v>13-I14-03</v>
      </c>
      <c r="G14545">
        <v>0.87760000000000005</v>
      </c>
      <c r="H14545" t="s">
        <v>9</v>
      </c>
      <c r="I14545" t="s">
        <v>10</v>
      </c>
    </row>
    <row r="14546" spans="1:9" x14ac:dyDescent="0.25">
      <c r="A14546" t="str">
        <f t="shared" si="337"/>
        <v>89301000</v>
      </c>
      <c r="B14546" t="str">
        <f>"9062185308"</f>
        <v>9062185308</v>
      </c>
      <c r="C14546" s="1">
        <v>45278</v>
      </c>
      <c r="D14546" s="1">
        <v>45279</v>
      </c>
      <c r="E14546">
        <v>1</v>
      </c>
      <c r="F14546" t="str">
        <f>"08-I17-02"</f>
        <v>08-I17-02</v>
      </c>
      <c r="G14546">
        <v>0.89680000000000004</v>
      </c>
      <c r="H14546" t="s">
        <v>11</v>
      </c>
      <c r="I14546" t="s">
        <v>10</v>
      </c>
    </row>
    <row r="14547" spans="1:9" x14ac:dyDescent="0.25">
      <c r="A14547" t="str">
        <f t="shared" si="337"/>
        <v>89301000</v>
      </c>
      <c r="B14547" t="str">
        <f>"9062246182"</f>
        <v>9062246182</v>
      </c>
      <c r="C14547" s="1">
        <v>45015</v>
      </c>
      <c r="D14547" s="1">
        <v>45018</v>
      </c>
      <c r="E14547">
        <v>1</v>
      </c>
      <c r="F14547" t="str">
        <f>"13-I18-03"</f>
        <v>13-I18-03</v>
      </c>
      <c r="G14547">
        <v>0.62870000000000004</v>
      </c>
      <c r="H14547" t="s">
        <v>11</v>
      </c>
      <c r="I14547" t="s">
        <v>10</v>
      </c>
    </row>
    <row r="14548" spans="1:9" x14ac:dyDescent="0.25">
      <c r="A14548" t="str">
        <f t="shared" si="337"/>
        <v>89301000</v>
      </c>
      <c r="B14548" t="str">
        <f>"9062295374"</f>
        <v>9062295374</v>
      </c>
      <c r="C14548" s="1">
        <v>45043</v>
      </c>
      <c r="D14548" s="1">
        <v>45047</v>
      </c>
      <c r="E14548">
        <v>1</v>
      </c>
      <c r="F14548" t="str">
        <f>"14-M01-05"</f>
        <v>14-M01-05</v>
      </c>
      <c r="G14548">
        <v>0.56589999999999996</v>
      </c>
      <c r="H14548" t="s">
        <v>13</v>
      </c>
      <c r="I14548" t="s">
        <v>10</v>
      </c>
    </row>
    <row r="14549" spans="1:9" x14ac:dyDescent="0.25">
      <c r="A14549" t="str">
        <f t="shared" si="337"/>
        <v>89301000</v>
      </c>
      <c r="B14549" t="str">
        <f>"9101025714"</f>
        <v>9101025714</v>
      </c>
      <c r="C14549" s="1">
        <v>45057</v>
      </c>
      <c r="D14549" s="1">
        <v>45059</v>
      </c>
      <c r="E14549">
        <v>1</v>
      </c>
      <c r="F14549" t="str">
        <f>"08-I16-04"</f>
        <v>08-I16-04</v>
      </c>
      <c r="G14549">
        <v>0.83040000000000003</v>
      </c>
      <c r="H14549" t="s">
        <v>12</v>
      </c>
      <c r="I14549" t="s">
        <v>10</v>
      </c>
    </row>
    <row r="14550" spans="1:9" x14ac:dyDescent="0.25">
      <c r="A14550" t="str">
        <f t="shared" si="337"/>
        <v>89301000</v>
      </c>
      <c r="B14550" t="str">
        <f>"9101055711"</f>
        <v>9101055711</v>
      </c>
      <c r="C14550" s="1">
        <v>44995</v>
      </c>
      <c r="D14550" s="1">
        <v>44998</v>
      </c>
      <c r="E14550">
        <v>1</v>
      </c>
      <c r="F14550" t="str">
        <f>"03-I24-00"</f>
        <v>03-I24-00</v>
      </c>
      <c r="G14550">
        <v>0.40899999999999997</v>
      </c>
      <c r="H14550" t="s">
        <v>11</v>
      </c>
      <c r="I14550" t="s">
        <v>10</v>
      </c>
    </row>
    <row r="14551" spans="1:9" x14ac:dyDescent="0.25">
      <c r="A14551" t="str">
        <f t="shared" si="337"/>
        <v>89301000</v>
      </c>
      <c r="B14551" t="str">
        <f>"9101315740"</f>
        <v>9101315740</v>
      </c>
      <c r="C14551" s="1">
        <v>45139</v>
      </c>
      <c r="D14551" s="1">
        <v>45140</v>
      </c>
      <c r="E14551">
        <v>1</v>
      </c>
      <c r="F14551" t="str">
        <f>"03-K13-02"</f>
        <v>03-K13-02</v>
      </c>
      <c r="G14551">
        <v>0.24440000000000001</v>
      </c>
      <c r="H14551" t="s">
        <v>11</v>
      </c>
      <c r="I14551" t="s">
        <v>10</v>
      </c>
    </row>
    <row r="14552" spans="1:9" x14ac:dyDescent="0.25">
      <c r="A14552" t="str">
        <f t="shared" si="337"/>
        <v>89301000</v>
      </c>
      <c r="B14552" t="str">
        <f>"9103025085"</f>
        <v>9103025085</v>
      </c>
      <c r="C14552" s="1">
        <v>44967</v>
      </c>
      <c r="D14552" s="1">
        <v>44969</v>
      </c>
      <c r="E14552">
        <v>1</v>
      </c>
      <c r="F14552" t="str">
        <f>"03-K03-02"</f>
        <v>03-K03-02</v>
      </c>
      <c r="G14552">
        <v>0.51949999999999996</v>
      </c>
      <c r="H14552" t="s">
        <v>11</v>
      </c>
      <c r="I14552" t="s">
        <v>10</v>
      </c>
    </row>
    <row r="14553" spans="1:9" x14ac:dyDescent="0.25">
      <c r="A14553" t="str">
        <f t="shared" si="337"/>
        <v>89301000</v>
      </c>
      <c r="B14553" t="str">
        <f>"9103286203"</f>
        <v>9103286203</v>
      </c>
      <c r="C14553" s="1">
        <v>45186</v>
      </c>
      <c r="D14553" s="1">
        <v>45218</v>
      </c>
      <c r="E14553">
        <v>5</v>
      </c>
      <c r="F14553" t="str">
        <f>"25-I02-02"</f>
        <v>25-I02-02</v>
      </c>
      <c r="G14553">
        <v>6.6448999999999998</v>
      </c>
      <c r="H14553" t="s">
        <v>14</v>
      </c>
      <c r="I14553" t="s">
        <v>10</v>
      </c>
    </row>
    <row r="14554" spans="1:9" x14ac:dyDescent="0.25">
      <c r="A14554" t="str">
        <f t="shared" si="337"/>
        <v>89301000</v>
      </c>
      <c r="B14554" t="str">
        <f>"9104234843"</f>
        <v>9104234843</v>
      </c>
      <c r="C14554" s="1">
        <v>45248</v>
      </c>
      <c r="D14554" s="1">
        <v>45253</v>
      </c>
      <c r="E14554">
        <v>1</v>
      </c>
      <c r="F14554" t="str">
        <f>"02-I04-00"</f>
        <v>02-I04-00</v>
      </c>
      <c r="G14554">
        <v>0.97260000000000002</v>
      </c>
      <c r="H14554" t="s">
        <v>12</v>
      </c>
      <c r="I14554" t="s">
        <v>10</v>
      </c>
    </row>
    <row r="14555" spans="1:9" x14ac:dyDescent="0.25">
      <c r="A14555" t="str">
        <f t="shared" si="337"/>
        <v>89301000</v>
      </c>
      <c r="B14555" t="str">
        <f>"9105285739"</f>
        <v>9105285739</v>
      </c>
      <c r="C14555" s="1">
        <v>45048</v>
      </c>
      <c r="D14555" s="1">
        <v>45058</v>
      </c>
      <c r="E14555">
        <v>1</v>
      </c>
      <c r="F14555" t="str">
        <f>"24-M06-02"</f>
        <v>24-M06-02</v>
      </c>
      <c r="G14555">
        <v>1.0699000000000001</v>
      </c>
      <c r="H14555" t="s">
        <v>11</v>
      </c>
      <c r="I14555" t="s">
        <v>10</v>
      </c>
    </row>
    <row r="14556" spans="1:9" x14ac:dyDescent="0.25">
      <c r="A14556" t="str">
        <f t="shared" si="337"/>
        <v>89301000</v>
      </c>
      <c r="B14556" t="str">
        <f>"9105285739"</f>
        <v>9105285739</v>
      </c>
      <c r="C14556" s="1">
        <v>44985</v>
      </c>
      <c r="D14556" s="1">
        <v>44986</v>
      </c>
      <c r="E14556">
        <v>1</v>
      </c>
      <c r="F14556" t="str">
        <f>"08-I15-03"</f>
        <v>08-I15-03</v>
      </c>
      <c r="G14556">
        <v>0.94059999999999999</v>
      </c>
      <c r="H14556" t="s">
        <v>12</v>
      </c>
      <c r="I14556" t="s">
        <v>10</v>
      </c>
    </row>
    <row r="14557" spans="1:9" x14ac:dyDescent="0.25">
      <c r="A14557" t="str">
        <f t="shared" si="337"/>
        <v>89301000</v>
      </c>
      <c r="B14557" t="str">
        <f>"9106044860"</f>
        <v>9106044860</v>
      </c>
      <c r="C14557" s="1">
        <v>45201</v>
      </c>
      <c r="D14557" s="1">
        <v>45202</v>
      </c>
      <c r="E14557">
        <v>1</v>
      </c>
      <c r="F14557" t="str">
        <f>"01-D01-03"</f>
        <v>01-D01-03</v>
      </c>
      <c r="G14557">
        <v>0.16200000000000001</v>
      </c>
      <c r="H14557" t="s">
        <v>11</v>
      </c>
      <c r="I14557" t="s">
        <v>10</v>
      </c>
    </row>
    <row r="14558" spans="1:9" x14ac:dyDescent="0.25">
      <c r="A14558" t="str">
        <f t="shared" si="337"/>
        <v>89301000</v>
      </c>
      <c r="B14558" t="str">
        <f>"9106225700"</f>
        <v>9106225700</v>
      </c>
      <c r="C14558" s="1">
        <v>45056</v>
      </c>
      <c r="D14558" s="1">
        <v>45068</v>
      </c>
      <c r="E14558">
        <v>1</v>
      </c>
      <c r="F14558" t="str">
        <f>"20-K04-02"</f>
        <v>20-K04-02</v>
      </c>
      <c r="G14558">
        <v>1.3379000000000001</v>
      </c>
      <c r="H14558" t="s">
        <v>11</v>
      </c>
      <c r="I14558" t="s">
        <v>10</v>
      </c>
    </row>
    <row r="14559" spans="1:9" x14ac:dyDescent="0.25">
      <c r="A14559" t="str">
        <f t="shared" si="337"/>
        <v>89301000</v>
      </c>
      <c r="B14559" t="str">
        <f>"9106245753"</f>
        <v>9106245753</v>
      </c>
      <c r="C14559" s="1">
        <v>44966</v>
      </c>
      <c r="D14559" s="1">
        <v>44970</v>
      </c>
      <c r="E14559">
        <v>1</v>
      </c>
      <c r="F14559" t="str">
        <f>"08-I19-01"</f>
        <v>08-I19-01</v>
      </c>
      <c r="G14559">
        <v>0.91039999999999999</v>
      </c>
      <c r="H14559" t="s">
        <v>12</v>
      </c>
      <c r="I14559" t="s">
        <v>10</v>
      </c>
    </row>
    <row r="14560" spans="1:9" x14ac:dyDescent="0.25">
      <c r="A14560" t="str">
        <f t="shared" si="337"/>
        <v>89301000</v>
      </c>
      <c r="B14560" t="str">
        <f>"9106286178"</f>
        <v>9106286178</v>
      </c>
      <c r="C14560" s="1">
        <v>45168</v>
      </c>
      <c r="D14560" s="1">
        <v>45171</v>
      </c>
      <c r="E14560">
        <v>1</v>
      </c>
      <c r="F14560" t="str">
        <f>"08-K08-00"</f>
        <v>08-K08-00</v>
      </c>
      <c r="G14560">
        <v>0.5272</v>
      </c>
      <c r="H14560" t="s">
        <v>11</v>
      </c>
      <c r="I14560" t="s">
        <v>10</v>
      </c>
    </row>
    <row r="14561" spans="1:9" x14ac:dyDescent="0.25">
      <c r="A14561" t="str">
        <f t="shared" si="337"/>
        <v>89301000</v>
      </c>
      <c r="B14561" t="str">
        <f>"9107045717"</f>
        <v>9107045717</v>
      </c>
      <c r="C14561" s="1">
        <v>44956</v>
      </c>
      <c r="D14561" s="1">
        <v>44958</v>
      </c>
      <c r="E14561">
        <v>1</v>
      </c>
      <c r="F14561" t="str">
        <f>"01-K04-02"</f>
        <v>01-K04-02</v>
      </c>
      <c r="G14561">
        <v>0.79990000000000006</v>
      </c>
      <c r="H14561" t="s">
        <v>11</v>
      </c>
      <c r="I14561" t="s">
        <v>10</v>
      </c>
    </row>
    <row r="14562" spans="1:9" x14ac:dyDescent="0.25">
      <c r="A14562" t="str">
        <f t="shared" si="337"/>
        <v>89301000</v>
      </c>
      <c r="B14562" t="str">
        <f>"9107045717"</f>
        <v>9107045717</v>
      </c>
      <c r="C14562" s="1">
        <v>45008</v>
      </c>
      <c r="D14562" s="1">
        <v>45009</v>
      </c>
      <c r="E14562">
        <v>1</v>
      </c>
      <c r="F14562" t="str">
        <f>"11-M05-01"</f>
        <v>11-M05-01</v>
      </c>
      <c r="G14562">
        <v>0.83750000000000002</v>
      </c>
      <c r="H14562" t="s">
        <v>12</v>
      </c>
      <c r="I14562" t="s">
        <v>10</v>
      </c>
    </row>
    <row r="14563" spans="1:9" x14ac:dyDescent="0.25">
      <c r="A14563" t="str">
        <f t="shared" si="337"/>
        <v>89301000</v>
      </c>
      <c r="B14563" t="str">
        <f>"9107184999"</f>
        <v>9107184999</v>
      </c>
      <c r="C14563" s="1">
        <v>45195</v>
      </c>
      <c r="D14563" s="1">
        <v>45196</v>
      </c>
      <c r="E14563">
        <v>1</v>
      </c>
      <c r="F14563" t="str">
        <f>"01-D01-03"</f>
        <v>01-D01-03</v>
      </c>
      <c r="G14563">
        <v>0.16200000000000001</v>
      </c>
      <c r="H14563" t="s">
        <v>11</v>
      </c>
      <c r="I14563" t="s">
        <v>10</v>
      </c>
    </row>
    <row r="14564" spans="1:9" x14ac:dyDescent="0.25">
      <c r="A14564" t="str">
        <f t="shared" si="337"/>
        <v>89301000</v>
      </c>
      <c r="B14564" t="str">
        <f>"9107184999"</f>
        <v>9107184999</v>
      </c>
      <c r="C14564" s="1">
        <v>45125</v>
      </c>
      <c r="D14564" s="1">
        <v>45126</v>
      </c>
      <c r="E14564">
        <v>1</v>
      </c>
      <c r="F14564" t="str">
        <f>"03-K13-02"</f>
        <v>03-K13-02</v>
      </c>
      <c r="G14564">
        <v>0.24440000000000001</v>
      </c>
      <c r="H14564" t="s">
        <v>11</v>
      </c>
      <c r="I14564" t="s">
        <v>10</v>
      </c>
    </row>
    <row r="14565" spans="1:9" x14ac:dyDescent="0.25">
      <c r="A14565" t="str">
        <f t="shared" si="337"/>
        <v>89301000</v>
      </c>
      <c r="B14565" t="str">
        <f>"9107245708"</f>
        <v>9107245708</v>
      </c>
      <c r="C14565" s="1">
        <v>45140</v>
      </c>
      <c r="D14565" s="1">
        <v>45142</v>
      </c>
      <c r="E14565">
        <v>6</v>
      </c>
      <c r="F14565" t="str">
        <f>"08-I17-02"</f>
        <v>08-I17-02</v>
      </c>
      <c r="G14565">
        <v>0.89680000000000004</v>
      </c>
      <c r="H14565" t="s">
        <v>11</v>
      </c>
      <c r="I14565" t="s">
        <v>10</v>
      </c>
    </row>
    <row r="14566" spans="1:9" x14ac:dyDescent="0.25">
      <c r="A14566" t="str">
        <f t="shared" si="337"/>
        <v>89301000</v>
      </c>
      <c r="B14566" t="str">
        <f>"9108056144"</f>
        <v>9108056144</v>
      </c>
      <c r="C14566" s="1">
        <v>45210</v>
      </c>
      <c r="D14566" s="1">
        <v>45215</v>
      </c>
      <c r="E14566">
        <v>1</v>
      </c>
      <c r="F14566" t="str">
        <f>"03-I16-02"</f>
        <v>03-I16-02</v>
      </c>
      <c r="G14566">
        <v>0.92979999999999996</v>
      </c>
      <c r="H14566" t="s">
        <v>9</v>
      </c>
      <c r="I14566" t="s">
        <v>10</v>
      </c>
    </row>
    <row r="14567" spans="1:9" x14ac:dyDescent="0.25">
      <c r="A14567" t="str">
        <f t="shared" si="337"/>
        <v>89301000</v>
      </c>
      <c r="B14567" t="str">
        <f>"9108155771"</f>
        <v>9108155771</v>
      </c>
      <c r="C14567" s="1">
        <v>45019</v>
      </c>
      <c r="D14567" s="1">
        <v>45027</v>
      </c>
      <c r="E14567">
        <v>1</v>
      </c>
      <c r="F14567" t="str">
        <f>"08-I15-02"</f>
        <v>08-I15-02</v>
      </c>
      <c r="G14567">
        <v>1.5535000000000001</v>
      </c>
      <c r="H14567" t="s">
        <v>12</v>
      </c>
      <c r="I14567" t="s">
        <v>10</v>
      </c>
    </row>
    <row r="14568" spans="1:9" x14ac:dyDescent="0.25">
      <c r="A14568" t="str">
        <f t="shared" si="337"/>
        <v>89301000</v>
      </c>
      <c r="B14568" t="str">
        <f>"9108204600"</f>
        <v>9108204600</v>
      </c>
      <c r="C14568" s="1">
        <v>45245</v>
      </c>
      <c r="D14568" s="1">
        <v>45247</v>
      </c>
      <c r="E14568">
        <v>5</v>
      </c>
      <c r="F14568" t="str">
        <f>"20-K01-05"</f>
        <v>20-K01-05</v>
      </c>
      <c r="G14568">
        <v>0.3952</v>
      </c>
      <c r="H14568" t="s">
        <v>11</v>
      </c>
      <c r="I14568" t="s">
        <v>10</v>
      </c>
    </row>
    <row r="14569" spans="1:9" x14ac:dyDescent="0.25">
      <c r="A14569" t="str">
        <f t="shared" si="337"/>
        <v>89301000</v>
      </c>
      <c r="B14569" t="str">
        <f>"9109135717"</f>
        <v>9109135717</v>
      </c>
      <c r="C14569" s="1">
        <v>45007</v>
      </c>
      <c r="D14569" s="1">
        <v>45009</v>
      </c>
      <c r="E14569">
        <v>1</v>
      </c>
      <c r="F14569" t="str">
        <f>"23-I10-00"</f>
        <v>23-I10-00</v>
      </c>
      <c r="G14569">
        <v>0.57869999999999999</v>
      </c>
      <c r="H14569" t="s">
        <v>11</v>
      </c>
      <c r="I14569" t="s">
        <v>10</v>
      </c>
    </row>
    <row r="14570" spans="1:9" x14ac:dyDescent="0.25">
      <c r="A14570" t="str">
        <f t="shared" si="337"/>
        <v>89301000</v>
      </c>
      <c r="B14570" t="str">
        <f>"9109166187"</f>
        <v>9109166187</v>
      </c>
      <c r="C14570" s="1">
        <v>45120</v>
      </c>
      <c r="D14570" s="1">
        <v>45124</v>
      </c>
      <c r="E14570">
        <v>1</v>
      </c>
      <c r="F14570" t="str">
        <f>"08-I15-02"</f>
        <v>08-I15-02</v>
      </c>
      <c r="G14570">
        <v>1.5535000000000001</v>
      </c>
      <c r="H14570" t="s">
        <v>12</v>
      </c>
      <c r="I14570" t="s">
        <v>10</v>
      </c>
    </row>
    <row r="14571" spans="1:9" x14ac:dyDescent="0.25">
      <c r="A14571" t="str">
        <f t="shared" si="337"/>
        <v>89301000</v>
      </c>
      <c r="B14571" t="str">
        <f>"9109264868"</f>
        <v>9109264868</v>
      </c>
      <c r="C14571" s="1">
        <v>45084</v>
      </c>
      <c r="D14571" s="1">
        <v>45121</v>
      </c>
      <c r="E14571">
        <v>1</v>
      </c>
      <c r="F14571" t="str">
        <f>"16-C02-00"</f>
        <v>16-C02-00</v>
      </c>
      <c r="G14571">
        <v>7.7375999999999996</v>
      </c>
      <c r="H14571" t="s">
        <v>11</v>
      </c>
      <c r="I14571" t="s">
        <v>10</v>
      </c>
    </row>
    <row r="14572" spans="1:9" x14ac:dyDescent="0.25">
      <c r="A14572" t="str">
        <f t="shared" si="337"/>
        <v>89301000</v>
      </c>
      <c r="B14572" t="str">
        <f>"9110055713"</f>
        <v>9110055713</v>
      </c>
      <c r="C14572" s="1">
        <v>45224</v>
      </c>
      <c r="D14572" s="1">
        <v>45225</v>
      </c>
      <c r="E14572">
        <v>1</v>
      </c>
      <c r="F14572" t="str">
        <f>"05-M05-02"</f>
        <v>05-M05-02</v>
      </c>
      <c r="G14572">
        <v>3.5566</v>
      </c>
      <c r="H14572" t="s">
        <v>14</v>
      </c>
      <c r="I14572" t="s">
        <v>10</v>
      </c>
    </row>
    <row r="14573" spans="1:9" x14ac:dyDescent="0.25">
      <c r="A14573" t="str">
        <f t="shared" si="337"/>
        <v>89301000</v>
      </c>
      <c r="B14573" t="str">
        <f>"9110143779"</f>
        <v>9110143779</v>
      </c>
      <c r="C14573" s="1">
        <v>45267</v>
      </c>
      <c r="D14573" s="1">
        <v>45273</v>
      </c>
      <c r="E14573">
        <v>1</v>
      </c>
      <c r="F14573" t="str">
        <f>"08-I19-03"</f>
        <v>08-I19-03</v>
      </c>
      <c r="G14573">
        <v>0.59130000000000005</v>
      </c>
      <c r="H14573" t="s">
        <v>12</v>
      </c>
      <c r="I14573" t="s">
        <v>10</v>
      </c>
    </row>
    <row r="14574" spans="1:9" x14ac:dyDescent="0.25">
      <c r="A14574" t="str">
        <f t="shared" si="337"/>
        <v>89301000</v>
      </c>
      <c r="B14574" t="str">
        <f>"9110175745"</f>
        <v>9110175745</v>
      </c>
      <c r="C14574" s="1">
        <v>45041</v>
      </c>
      <c r="D14574" s="1">
        <v>45045</v>
      </c>
      <c r="E14574">
        <v>1</v>
      </c>
      <c r="F14574" t="str">
        <f>"03-I19-02"</f>
        <v>03-I19-02</v>
      </c>
      <c r="G14574">
        <v>0.71340000000000003</v>
      </c>
      <c r="H14574" t="s">
        <v>11</v>
      </c>
      <c r="I14574" t="s">
        <v>10</v>
      </c>
    </row>
    <row r="14575" spans="1:9" x14ac:dyDescent="0.25">
      <c r="A14575" t="str">
        <f t="shared" si="337"/>
        <v>89301000</v>
      </c>
      <c r="B14575" t="str">
        <f>"9110304236"</f>
        <v>9110304236</v>
      </c>
      <c r="C14575" s="1">
        <v>44945</v>
      </c>
      <c r="D14575" s="1">
        <v>44946</v>
      </c>
      <c r="E14575">
        <v>1</v>
      </c>
      <c r="F14575" t="str">
        <f>"01-D01-03"</f>
        <v>01-D01-03</v>
      </c>
      <c r="G14575">
        <v>0.16200000000000001</v>
      </c>
      <c r="H14575" t="s">
        <v>11</v>
      </c>
      <c r="I14575" t="s">
        <v>10</v>
      </c>
    </row>
    <row r="14576" spans="1:9" x14ac:dyDescent="0.25">
      <c r="A14576" t="str">
        <f t="shared" si="337"/>
        <v>89301000</v>
      </c>
      <c r="B14576" t="str">
        <f>"9111035703"</f>
        <v>9111035703</v>
      </c>
      <c r="C14576" s="1">
        <v>45187</v>
      </c>
      <c r="D14576" s="1">
        <v>45189</v>
      </c>
      <c r="E14576">
        <v>1</v>
      </c>
      <c r="F14576" t="str">
        <f>"11-K03-02"</f>
        <v>11-K03-02</v>
      </c>
      <c r="G14576">
        <v>0.63990000000000002</v>
      </c>
      <c r="H14576" t="s">
        <v>11</v>
      </c>
      <c r="I14576" t="s">
        <v>10</v>
      </c>
    </row>
    <row r="14577" spans="1:9" x14ac:dyDescent="0.25">
      <c r="A14577" t="str">
        <f t="shared" si="337"/>
        <v>89301000</v>
      </c>
      <c r="B14577" t="str">
        <f>"9111114452"</f>
        <v>9111114452</v>
      </c>
      <c r="C14577" s="1">
        <v>44963</v>
      </c>
      <c r="D14577" s="1">
        <v>44970</v>
      </c>
      <c r="E14577">
        <v>4</v>
      </c>
      <c r="F14577" t="str">
        <f>"20-K03-03"</f>
        <v>20-K03-03</v>
      </c>
      <c r="G14577">
        <v>0.94020000000000004</v>
      </c>
      <c r="H14577" t="s">
        <v>11</v>
      </c>
      <c r="I14577" t="s">
        <v>10</v>
      </c>
    </row>
    <row r="14578" spans="1:9" x14ac:dyDescent="0.25">
      <c r="A14578" t="str">
        <f t="shared" si="337"/>
        <v>89301000</v>
      </c>
      <c r="B14578" t="str">
        <f>"9111125749"</f>
        <v>9111125749</v>
      </c>
      <c r="C14578" s="1">
        <v>45014</v>
      </c>
      <c r="D14578" s="1">
        <v>45018</v>
      </c>
      <c r="E14578">
        <v>1</v>
      </c>
      <c r="F14578" t="str">
        <f>"10-K03-04"</f>
        <v>10-K03-04</v>
      </c>
      <c r="G14578">
        <v>0.67159999999999997</v>
      </c>
      <c r="H14578" t="s">
        <v>11</v>
      </c>
      <c r="I14578" t="s">
        <v>10</v>
      </c>
    </row>
    <row r="14579" spans="1:9" x14ac:dyDescent="0.25">
      <c r="A14579" t="str">
        <f t="shared" si="337"/>
        <v>89301000</v>
      </c>
      <c r="B14579" t="str">
        <f>"9111164458"</f>
        <v>9111164458</v>
      </c>
      <c r="C14579" s="1">
        <v>45259</v>
      </c>
      <c r="D14579" s="1">
        <v>45262</v>
      </c>
      <c r="E14579">
        <v>1</v>
      </c>
      <c r="F14579" t="str">
        <f>"08-M03-05"</f>
        <v>08-M03-05</v>
      </c>
      <c r="G14579">
        <v>0.46910000000000002</v>
      </c>
      <c r="H14579" t="s">
        <v>11</v>
      </c>
      <c r="I14579" t="s">
        <v>10</v>
      </c>
    </row>
    <row r="14580" spans="1:9" x14ac:dyDescent="0.25">
      <c r="A14580" t="str">
        <f t="shared" si="337"/>
        <v>89301000</v>
      </c>
      <c r="B14580" t="str">
        <f>"9111295710"</f>
        <v>9111295710</v>
      </c>
      <c r="C14580" s="1">
        <v>44927</v>
      </c>
      <c r="D14580" s="1">
        <v>44929</v>
      </c>
      <c r="E14580">
        <v>1</v>
      </c>
      <c r="F14580" t="str">
        <f>"03-I21-00"</f>
        <v>03-I21-00</v>
      </c>
      <c r="G14580">
        <v>0.42449999999999999</v>
      </c>
      <c r="H14580" t="s">
        <v>11</v>
      </c>
      <c r="I14580" t="s">
        <v>10</v>
      </c>
    </row>
    <row r="14581" spans="1:9" x14ac:dyDescent="0.25">
      <c r="A14581" t="str">
        <f t="shared" si="337"/>
        <v>89301000</v>
      </c>
      <c r="B14581" t="str">
        <f>"9112084850"</f>
        <v>9112084850</v>
      </c>
      <c r="C14581" s="1">
        <v>45037</v>
      </c>
      <c r="D14581" s="1">
        <v>45045</v>
      </c>
      <c r="E14581">
        <v>1</v>
      </c>
      <c r="F14581" t="str">
        <f>"05-M08-00"</f>
        <v>05-M08-00</v>
      </c>
      <c r="G14581">
        <v>2.2210000000000001</v>
      </c>
      <c r="H14581" t="s">
        <v>12</v>
      </c>
      <c r="I14581" t="s">
        <v>10</v>
      </c>
    </row>
    <row r="14582" spans="1:9" x14ac:dyDescent="0.25">
      <c r="A14582" t="str">
        <f t="shared" si="337"/>
        <v>89301000</v>
      </c>
      <c r="B14582" t="str">
        <f>"9112084850"</f>
        <v>9112084850</v>
      </c>
      <c r="C14582" s="1">
        <v>45172</v>
      </c>
      <c r="D14582" s="1">
        <v>45180</v>
      </c>
      <c r="E14582">
        <v>1</v>
      </c>
      <c r="F14582" t="str">
        <f>"08-K08-00"</f>
        <v>08-K08-00</v>
      </c>
      <c r="G14582">
        <v>0.52949999999999997</v>
      </c>
      <c r="H14582" t="s">
        <v>11</v>
      </c>
      <c r="I14582" t="s">
        <v>10</v>
      </c>
    </row>
    <row r="14583" spans="1:9" x14ac:dyDescent="0.25">
      <c r="A14583" t="str">
        <f t="shared" si="337"/>
        <v>89301000</v>
      </c>
      <c r="B14583" t="str">
        <f>"9112199954"</f>
        <v>9112199954</v>
      </c>
      <c r="C14583" s="1">
        <v>45183</v>
      </c>
      <c r="D14583" s="1">
        <v>45187</v>
      </c>
      <c r="E14583">
        <v>1</v>
      </c>
      <c r="F14583" t="str">
        <f>"08-I15-02"</f>
        <v>08-I15-02</v>
      </c>
      <c r="G14583">
        <v>1.5535000000000001</v>
      </c>
      <c r="H14583" t="s">
        <v>12</v>
      </c>
      <c r="I14583" t="s">
        <v>10</v>
      </c>
    </row>
    <row r="14584" spans="1:9" x14ac:dyDescent="0.25">
      <c r="A14584" t="str">
        <f t="shared" si="337"/>
        <v>89301000</v>
      </c>
      <c r="B14584" t="str">
        <f>"9151024861"</f>
        <v>9151024861</v>
      </c>
      <c r="C14584" s="1">
        <v>45272</v>
      </c>
      <c r="D14584" s="1">
        <v>45278</v>
      </c>
      <c r="E14584">
        <v>1</v>
      </c>
      <c r="F14584" t="str">
        <f>"14-I01-05"</f>
        <v>14-I01-05</v>
      </c>
      <c r="G14584">
        <v>0.83</v>
      </c>
      <c r="H14584" t="s">
        <v>13</v>
      </c>
      <c r="I14584" t="s">
        <v>10</v>
      </c>
    </row>
    <row r="14585" spans="1:9" x14ac:dyDescent="0.25">
      <c r="A14585" t="str">
        <f t="shared" si="337"/>
        <v>89301000</v>
      </c>
      <c r="B14585" t="str">
        <f>"9151033793"</f>
        <v>9151033793</v>
      </c>
      <c r="C14585" s="1">
        <v>45100</v>
      </c>
      <c r="D14585" s="1">
        <v>45103</v>
      </c>
      <c r="E14585">
        <v>1</v>
      </c>
      <c r="F14585" t="str">
        <f>"14-M01-05"</f>
        <v>14-M01-05</v>
      </c>
      <c r="G14585">
        <v>0.56289999999999996</v>
      </c>
      <c r="H14585" t="s">
        <v>13</v>
      </c>
      <c r="I14585" t="s">
        <v>10</v>
      </c>
    </row>
    <row r="14586" spans="1:9" x14ac:dyDescent="0.25">
      <c r="A14586" t="str">
        <f t="shared" si="337"/>
        <v>89301000</v>
      </c>
      <c r="B14586" t="str">
        <f>"9151033793"</f>
        <v>9151033793</v>
      </c>
      <c r="C14586" s="1">
        <v>45085</v>
      </c>
      <c r="D14586" s="1">
        <v>45088</v>
      </c>
      <c r="E14586">
        <v>1</v>
      </c>
      <c r="F14586" t="str">
        <f>"14-K03-01"</f>
        <v>14-K03-01</v>
      </c>
      <c r="G14586">
        <v>0.54159999999999997</v>
      </c>
      <c r="H14586" t="s">
        <v>11</v>
      </c>
      <c r="I14586" t="s">
        <v>10</v>
      </c>
    </row>
    <row r="14587" spans="1:9" x14ac:dyDescent="0.25">
      <c r="A14587" t="str">
        <f t="shared" si="337"/>
        <v>89301000</v>
      </c>
      <c r="B14587" t="str">
        <f>"9151056068"</f>
        <v>9151056068</v>
      </c>
      <c r="C14587" s="1">
        <v>45030</v>
      </c>
      <c r="D14587" s="1">
        <v>45031</v>
      </c>
      <c r="E14587">
        <v>1</v>
      </c>
      <c r="F14587" t="str">
        <f>"05-M05-02"</f>
        <v>05-M05-02</v>
      </c>
      <c r="G14587">
        <v>3.4817999999999998</v>
      </c>
      <c r="H14587" t="s">
        <v>14</v>
      </c>
      <c r="I14587" t="s">
        <v>10</v>
      </c>
    </row>
    <row r="14588" spans="1:9" x14ac:dyDescent="0.25">
      <c r="A14588" t="str">
        <f t="shared" si="337"/>
        <v>89301000</v>
      </c>
      <c r="B14588" t="str">
        <f>"9151096141"</f>
        <v>9151096141</v>
      </c>
      <c r="C14588" s="1">
        <v>45084</v>
      </c>
      <c r="D14588" s="1">
        <v>45085</v>
      </c>
      <c r="E14588">
        <v>1</v>
      </c>
      <c r="F14588" t="str">
        <f>"03-K13-02"</f>
        <v>03-K13-02</v>
      </c>
      <c r="G14588">
        <v>0.24440000000000001</v>
      </c>
      <c r="H14588" t="s">
        <v>11</v>
      </c>
      <c r="I14588" t="s">
        <v>10</v>
      </c>
    </row>
    <row r="14589" spans="1:9" x14ac:dyDescent="0.25">
      <c r="A14589" t="str">
        <f t="shared" si="337"/>
        <v>89301000</v>
      </c>
      <c r="B14589" t="str">
        <f>"9151105711"</f>
        <v>9151105711</v>
      </c>
      <c r="C14589" s="1">
        <v>45244</v>
      </c>
      <c r="D14589" s="1">
        <v>45246</v>
      </c>
      <c r="E14589">
        <v>1</v>
      </c>
      <c r="F14589" t="str">
        <f>"14-M01-05"</f>
        <v>14-M01-05</v>
      </c>
      <c r="G14589">
        <v>0.56289999999999996</v>
      </c>
      <c r="H14589" t="s">
        <v>13</v>
      </c>
      <c r="I14589" t="s">
        <v>10</v>
      </c>
    </row>
    <row r="14590" spans="1:9" x14ac:dyDescent="0.25">
      <c r="A14590" t="str">
        <f t="shared" si="337"/>
        <v>89301000</v>
      </c>
      <c r="B14590" t="str">
        <f>"9151110199"</f>
        <v>9151110199</v>
      </c>
      <c r="C14590" s="1">
        <v>44985</v>
      </c>
      <c r="D14590" s="1">
        <v>44987</v>
      </c>
      <c r="E14590">
        <v>1</v>
      </c>
      <c r="F14590" t="str">
        <f>"01-K01-02"</f>
        <v>01-K01-02</v>
      </c>
      <c r="G14590">
        <v>0.442</v>
      </c>
      <c r="H14590" t="s">
        <v>11</v>
      </c>
      <c r="I14590" t="s">
        <v>10</v>
      </c>
    </row>
    <row r="14591" spans="1:9" x14ac:dyDescent="0.25">
      <c r="A14591" t="str">
        <f t="shared" si="337"/>
        <v>89301000</v>
      </c>
      <c r="B14591" t="str">
        <f>"9151125720"</f>
        <v>9151125720</v>
      </c>
      <c r="C14591" s="1">
        <v>45184</v>
      </c>
      <c r="D14591" s="1">
        <v>45185</v>
      </c>
      <c r="E14591">
        <v>1</v>
      </c>
      <c r="F14591" t="str">
        <f>"06-I17-04"</f>
        <v>06-I17-04</v>
      </c>
      <c r="G14591">
        <v>0.49869999999999998</v>
      </c>
      <c r="H14591" t="s">
        <v>12</v>
      </c>
      <c r="I14591" t="s">
        <v>10</v>
      </c>
    </row>
    <row r="14592" spans="1:9" x14ac:dyDescent="0.25">
      <c r="A14592" t="str">
        <f t="shared" si="337"/>
        <v>89301000</v>
      </c>
      <c r="B14592" t="str">
        <f>"9151135719"</f>
        <v>9151135719</v>
      </c>
      <c r="C14592" s="1">
        <v>44935</v>
      </c>
      <c r="D14592" s="1">
        <v>44940</v>
      </c>
      <c r="E14592">
        <v>1</v>
      </c>
      <c r="F14592" t="str">
        <f>"14-I01-05"</f>
        <v>14-I01-05</v>
      </c>
      <c r="G14592">
        <v>0.83340000000000003</v>
      </c>
      <c r="H14592" t="s">
        <v>13</v>
      </c>
      <c r="I14592" t="s">
        <v>10</v>
      </c>
    </row>
    <row r="14593" spans="1:9" x14ac:dyDescent="0.25">
      <c r="A14593" t="str">
        <f t="shared" si="337"/>
        <v>89301000</v>
      </c>
      <c r="B14593" t="str">
        <f>"9151135719"</f>
        <v>9151135719</v>
      </c>
      <c r="C14593" s="1">
        <v>44918</v>
      </c>
      <c r="D14593" s="1">
        <v>44928</v>
      </c>
      <c r="E14593">
        <v>1</v>
      </c>
      <c r="F14593" t="str">
        <f>"14-K03-02"</f>
        <v>14-K03-02</v>
      </c>
      <c r="G14593">
        <v>0.4824</v>
      </c>
      <c r="H14593" t="s">
        <v>11</v>
      </c>
      <c r="I14593" t="s">
        <v>10</v>
      </c>
    </row>
    <row r="14594" spans="1:9" x14ac:dyDescent="0.25">
      <c r="A14594" t="str">
        <f t="shared" si="337"/>
        <v>89301000</v>
      </c>
      <c r="B14594" t="str">
        <f>"9151166145"</f>
        <v>9151166145</v>
      </c>
      <c r="C14594" s="1">
        <v>45111</v>
      </c>
      <c r="D14594" s="1">
        <v>45115</v>
      </c>
      <c r="E14594">
        <v>1</v>
      </c>
      <c r="F14594" t="str">
        <f>"14-I01-02"</f>
        <v>14-I01-02</v>
      </c>
      <c r="G14594">
        <v>1.2935000000000001</v>
      </c>
      <c r="H14594" t="s">
        <v>13</v>
      </c>
      <c r="I14594" t="s">
        <v>10</v>
      </c>
    </row>
    <row r="14595" spans="1:9" x14ac:dyDescent="0.25">
      <c r="A14595" t="str">
        <f t="shared" si="337"/>
        <v>89301000</v>
      </c>
      <c r="B14595" t="str">
        <f>"9151205756"</f>
        <v>9151205756</v>
      </c>
      <c r="C14595" s="1">
        <v>44990</v>
      </c>
      <c r="D14595" s="1">
        <v>44993</v>
      </c>
      <c r="E14595">
        <v>1</v>
      </c>
      <c r="F14595" t="str">
        <f>"14-M01-05"</f>
        <v>14-M01-05</v>
      </c>
      <c r="G14595">
        <v>0.56589999999999996</v>
      </c>
      <c r="H14595" t="s">
        <v>13</v>
      </c>
      <c r="I14595" t="s">
        <v>10</v>
      </c>
    </row>
    <row r="14596" spans="1:9" x14ac:dyDescent="0.25">
      <c r="A14596" t="str">
        <f t="shared" si="337"/>
        <v>89301000</v>
      </c>
      <c r="B14596" t="str">
        <f>"9151245323"</f>
        <v>9151245323</v>
      </c>
      <c r="C14596" s="1">
        <v>44956</v>
      </c>
      <c r="D14596" s="1">
        <v>44961</v>
      </c>
      <c r="E14596">
        <v>1</v>
      </c>
      <c r="F14596" t="str">
        <f>"14-M01-05"</f>
        <v>14-M01-05</v>
      </c>
      <c r="G14596">
        <v>0.56589999999999996</v>
      </c>
      <c r="H14596" t="s">
        <v>13</v>
      </c>
      <c r="I14596" t="s">
        <v>10</v>
      </c>
    </row>
    <row r="14597" spans="1:9" x14ac:dyDescent="0.25">
      <c r="A14597" t="str">
        <f t="shared" si="337"/>
        <v>89301000</v>
      </c>
      <c r="B14597" t="str">
        <f>"9151245708"</f>
        <v>9151245708</v>
      </c>
      <c r="C14597" s="1">
        <v>45102</v>
      </c>
      <c r="D14597" s="1">
        <v>45104</v>
      </c>
      <c r="E14597">
        <v>1</v>
      </c>
      <c r="F14597" t="str">
        <f>"06-I17-04"</f>
        <v>06-I17-04</v>
      </c>
      <c r="G14597">
        <v>0.49869999999999998</v>
      </c>
      <c r="H14597" t="s">
        <v>12</v>
      </c>
      <c r="I14597" t="s">
        <v>10</v>
      </c>
    </row>
    <row r="14598" spans="1:9" x14ac:dyDescent="0.25">
      <c r="A14598" t="str">
        <f t="shared" si="337"/>
        <v>89301000</v>
      </c>
      <c r="B14598" t="str">
        <f>"9151285869"</f>
        <v>9151285869</v>
      </c>
      <c r="C14598" s="1">
        <v>45029</v>
      </c>
      <c r="D14598" s="1">
        <v>45031</v>
      </c>
      <c r="E14598">
        <v>1</v>
      </c>
      <c r="F14598" t="str">
        <f>"14-M01-05"</f>
        <v>14-M01-05</v>
      </c>
      <c r="G14598">
        <v>0.56289999999999996</v>
      </c>
      <c r="H14598" t="s">
        <v>13</v>
      </c>
      <c r="I14598" t="s">
        <v>10</v>
      </c>
    </row>
    <row r="14599" spans="1:9" x14ac:dyDescent="0.25">
      <c r="A14599" t="str">
        <f t="shared" si="337"/>
        <v>89301000</v>
      </c>
      <c r="B14599" t="str">
        <f>"9151295747"</f>
        <v>9151295747</v>
      </c>
      <c r="C14599" s="1">
        <v>45196</v>
      </c>
      <c r="D14599" s="1">
        <v>45200</v>
      </c>
      <c r="E14599">
        <v>1</v>
      </c>
      <c r="F14599" t="str">
        <f>"14-M01-05"</f>
        <v>14-M01-05</v>
      </c>
      <c r="G14599">
        <v>0.56289999999999996</v>
      </c>
      <c r="H14599" t="s">
        <v>13</v>
      </c>
      <c r="I14599" t="s">
        <v>10</v>
      </c>
    </row>
    <row r="14600" spans="1:9" x14ac:dyDescent="0.25">
      <c r="A14600" t="str">
        <f t="shared" si="337"/>
        <v>89301000</v>
      </c>
      <c r="B14600" t="str">
        <f>"9151295758"</f>
        <v>9151295758</v>
      </c>
      <c r="C14600" s="1">
        <v>45179</v>
      </c>
      <c r="D14600" s="1">
        <v>45180</v>
      </c>
      <c r="E14600">
        <v>1</v>
      </c>
      <c r="F14600" t="str">
        <f>"14-I08-03"</f>
        <v>14-I08-03</v>
      </c>
      <c r="G14600">
        <v>0.2414</v>
      </c>
      <c r="H14600" t="s">
        <v>11</v>
      </c>
      <c r="I14600" t="s">
        <v>10</v>
      </c>
    </row>
    <row r="14601" spans="1:9" x14ac:dyDescent="0.25">
      <c r="A14601" t="str">
        <f t="shared" si="337"/>
        <v>89301000</v>
      </c>
      <c r="B14601" t="str">
        <f>"9152054076"</f>
        <v>9152054076</v>
      </c>
      <c r="C14601" s="1">
        <v>45201</v>
      </c>
      <c r="D14601" s="1">
        <v>45231</v>
      </c>
      <c r="E14601">
        <v>3</v>
      </c>
      <c r="F14601" t="str">
        <f>"09-I01-02"</f>
        <v>09-I01-02</v>
      </c>
      <c r="G14601">
        <v>5.8365</v>
      </c>
      <c r="H14601" t="s">
        <v>14</v>
      </c>
      <c r="I14601" t="s">
        <v>10</v>
      </c>
    </row>
    <row r="14602" spans="1:9" x14ac:dyDescent="0.25">
      <c r="A14602" t="str">
        <f t="shared" si="337"/>
        <v>89301000</v>
      </c>
      <c r="B14602" t="str">
        <f>"9152054076"</f>
        <v>9152054076</v>
      </c>
      <c r="C14602" s="1">
        <v>45231</v>
      </c>
      <c r="D14602" s="1">
        <v>45246</v>
      </c>
      <c r="E14602">
        <v>1</v>
      </c>
      <c r="F14602" t="str">
        <f>"24-M07-02"</f>
        <v>24-M07-02</v>
      </c>
      <c r="G14602">
        <v>1.5729</v>
      </c>
      <c r="H14602" t="s">
        <v>11</v>
      </c>
      <c r="I14602" t="s">
        <v>10</v>
      </c>
    </row>
    <row r="14603" spans="1:9" x14ac:dyDescent="0.25">
      <c r="A14603" t="str">
        <f t="shared" si="337"/>
        <v>89301000</v>
      </c>
      <c r="B14603" t="str">
        <f>"9152075757"</f>
        <v>9152075757</v>
      </c>
      <c r="C14603" s="1">
        <v>45171</v>
      </c>
      <c r="D14603" s="1">
        <v>45174</v>
      </c>
      <c r="E14603">
        <v>1</v>
      </c>
      <c r="F14603" t="str">
        <f>"14-M01-05"</f>
        <v>14-M01-05</v>
      </c>
      <c r="G14603">
        <v>0.56289999999999996</v>
      </c>
      <c r="H14603" t="s">
        <v>13</v>
      </c>
      <c r="I14603" t="s">
        <v>10</v>
      </c>
    </row>
    <row r="14604" spans="1:9" x14ac:dyDescent="0.25">
      <c r="A14604" t="str">
        <f t="shared" ref="A14604:A14666" si="338">"89301000"</f>
        <v>89301000</v>
      </c>
      <c r="B14604" t="str">
        <f>"9152155012"</f>
        <v>9152155012</v>
      </c>
      <c r="C14604" s="1">
        <v>45082</v>
      </c>
      <c r="D14604" s="1">
        <v>45084</v>
      </c>
      <c r="E14604">
        <v>1</v>
      </c>
      <c r="F14604" t="str">
        <f>"08-K02-03"</f>
        <v>08-K02-03</v>
      </c>
      <c r="G14604">
        <v>0.6361</v>
      </c>
      <c r="H14604" t="s">
        <v>11</v>
      </c>
      <c r="I14604" t="s">
        <v>10</v>
      </c>
    </row>
    <row r="14605" spans="1:9" x14ac:dyDescent="0.25">
      <c r="A14605" t="str">
        <f t="shared" si="338"/>
        <v>89301000</v>
      </c>
      <c r="B14605" t="str">
        <f>"9152195723"</f>
        <v>9152195723</v>
      </c>
      <c r="C14605" s="1">
        <v>45055</v>
      </c>
      <c r="D14605" s="1">
        <v>45056</v>
      </c>
      <c r="E14605">
        <v>1</v>
      </c>
      <c r="F14605" t="str">
        <f>"13-I19-00"</f>
        <v>13-I19-00</v>
      </c>
      <c r="G14605">
        <v>0.28249999999999997</v>
      </c>
      <c r="H14605" t="s">
        <v>11</v>
      </c>
      <c r="I14605" t="s">
        <v>10</v>
      </c>
    </row>
    <row r="14606" spans="1:9" x14ac:dyDescent="0.25">
      <c r="A14606" t="str">
        <f t="shared" si="338"/>
        <v>89301000</v>
      </c>
      <c r="B14606" t="str">
        <f>"9152205700"</f>
        <v>9152205700</v>
      </c>
      <c r="C14606" s="1">
        <v>45183</v>
      </c>
      <c r="D14606" s="1">
        <v>45184</v>
      </c>
      <c r="E14606">
        <v>1</v>
      </c>
      <c r="F14606" t="str">
        <f>"03-K13-02"</f>
        <v>03-K13-02</v>
      </c>
      <c r="G14606">
        <v>0.24440000000000001</v>
      </c>
      <c r="H14606" t="s">
        <v>11</v>
      </c>
      <c r="I14606" t="s">
        <v>10</v>
      </c>
    </row>
    <row r="14607" spans="1:9" x14ac:dyDescent="0.25">
      <c r="A14607" t="str">
        <f t="shared" si="338"/>
        <v>89301000</v>
      </c>
      <c r="B14607" t="str">
        <f>"9152226182"</f>
        <v>9152226182</v>
      </c>
      <c r="C14607" s="1">
        <v>45257</v>
      </c>
      <c r="D14607" s="1">
        <v>45262</v>
      </c>
      <c r="E14607">
        <v>1</v>
      </c>
      <c r="F14607" t="str">
        <f>"14-M01-05"</f>
        <v>14-M01-05</v>
      </c>
      <c r="G14607">
        <v>0.56589999999999996</v>
      </c>
      <c r="H14607" t="s">
        <v>13</v>
      </c>
      <c r="I14607" t="s">
        <v>10</v>
      </c>
    </row>
    <row r="14608" spans="1:9" x14ac:dyDescent="0.25">
      <c r="A14608" t="str">
        <f t="shared" si="338"/>
        <v>89301000</v>
      </c>
      <c r="B14608" t="str">
        <f>"9152234850"</f>
        <v>9152234850</v>
      </c>
      <c r="C14608" s="1">
        <v>45051</v>
      </c>
      <c r="D14608" s="1">
        <v>45054</v>
      </c>
      <c r="E14608">
        <v>1</v>
      </c>
      <c r="F14608" t="str">
        <f>"14-M01-05"</f>
        <v>14-M01-05</v>
      </c>
      <c r="G14608">
        <v>0.56289999999999996</v>
      </c>
      <c r="H14608" t="s">
        <v>13</v>
      </c>
      <c r="I14608" t="s">
        <v>10</v>
      </c>
    </row>
    <row r="14609" spans="1:9" x14ac:dyDescent="0.25">
      <c r="A14609" t="str">
        <f t="shared" si="338"/>
        <v>89301000</v>
      </c>
      <c r="B14609" t="str">
        <f>"9152255717"</f>
        <v>9152255717</v>
      </c>
      <c r="C14609" s="1">
        <v>45177</v>
      </c>
      <c r="D14609" s="1">
        <v>45181</v>
      </c>
      <c r="E14609">
        <v>1</v>
      </c>
      <c r="F14609" t="str">
        <f>"14-M01-05"</f>
        <v>14-M01-05</v>
      </c>
      <c r="G14609">
        <v>0.56289999999999996</v>
      </c>
      <c r="H14609" t="s">
        <v>13</v>
      </c>
      <c r="I14609" t="s">
        <v>10</v>
      </c>
    </row>
    <row r="14610" spans="1:9" x14ac:dyDescent="0.25">
      <c r="A14610" t="str">
        <f t="shared" si="338"/>
        <v>89301000</v>
      </c>
      <c r="B14610" t="str">
        <f>"9152264847"</f>
        <v>9152264847</v>
      </c>
      <c r="C14610" s="1">
        <v>45236</v>
      </c>
      <c r="D14610" s="1">
        <v>45240</v>
      </c>
      <c r="E14610">
        <v>1</v>
      </c>
      <c r="F14610" t="str">
        <f>"14-M01-05"</f>
        <v>14-M01-05</v>
      </c>
      <c r="G14610">
        <v>0.56589999999999996</v>
      </c>
      <c r="H14610" t="s">
        <v>13</v>
      </c>
      <c r="I14610" t="s">
        <v>10</v>
      </c>
    </row>
    <row r="14611" spans="1:9" x14ac:dyDescent="0.25">
      <c r="A14611" t="str">
        <f t="shared" si="338"/>
        <v>89301000</v>
      </c>
      <c r="B14611" t="str">
        <f>"9152265826"</f>
        <v>9152265826</v>
      </c>
      <c r="C14611" s="1">
        <v>45134</v>
      </c>
      <c r="D14611" s="1">
        <v>45137</v>
      </c>
      <c r="E14611">
        <v>1</v>
      </c>
      <c r="F14611" t="str">
        <f>"08-I22-02"</f>
        <v>08-I22-02</v>
      </c>
      <c r="G14611">
        <v>1.131</v>
      </c>
      <c r="H14611" t="s">
        <v>12</v>
      </c>
      <c r="I14611" t="s">
        <v>10</v>
      </c>
    </row>
    <row r="14612" spans="1:9" x14ac:dyDescent="0.25">
      <c r="A14612" t="str">
        <f t="shared" si="338"/>
        <v>89301000</v>
      </c>
      <c r="B14612" t="str">
        <f>"9152275704"</f>
        <v>9152275704</v>
      </c>
      <c r="C14612" s="1">
        <v>45022</v>
      </c>
      <c r="D14612" s="1">
        <v>45026</v>
      </c>
      <c r="E14612">
        <v>1</v>
      </c>
      <c r="F14612" t="str">
        <f>"14-M01-05"</f>
        <v>14-M01-05</v>
      </c>
      <c r="G14612">
        <v>0.56289999999999996</v>
      </c>
      <c r="H14612" t="s">
        <v>13</v>
      </c>
      <c r="I14612" t="s">
        <v>10</v>
      </c>
    </row>
    <row r="14613" spans="1:9" x14ac:dyDescent="0.25">
      <c r="A14613" t="str">
        <f t="shared" si="338"/>
        <v>89301000</v>
      </c>
      <c r="B14613" t="str">
        <f>"9153075734"</f>
        <v>9153075734</v>
      </c>
      <c r="C14613" s="1">
        <v>45184</v>
      </c>
      <c r="D14613" s="1">
        <v>45185</v>
      </c>
      <c r="E14613">
        <v>1</v>
      </c>
      <c r="F14613" t="str">
        <f>"13-I19-00"</f>
        <v>13-I19-00</v>
      </c>
      <c r="G14613">
        <v>0.28249999999999997</v>
      </c>
      <c r="H14613" t="s">
        <v>11</v>
      </c>
      <c r="I14613" t="s">
        <v>10</v>
      </c>
    </row>
    <row r="14614" spans="1:9" x14ac:dyDescent="0.25">
      <c r="A14614" t="str">
        <f t="shared" si="338"/>
        <v>89301000</v>
      </c>
      <c r="B14614" t="str">
        <f>"9153091332"</f>
        <v>9153091332</v>
      </c>
      <c r="C14614" s="1">
        <v>44932</v>
      </c>
      <c r="D14614" s="1">
        <v>44935</v>
      </c>
      <c r="E14614">
        <v>1</v>
      </c>
      <c r="F14614" t="str">
        <f>"14-M01-05"</f>
        <v>14-M01-05</v>
      </c>
      <c r="G14614">
        <v>0.56289999999999996</v>
      </c>
      <c r="H14614" t="s">
        <v>13</v>
      </c>
      <c r="I14614" t="s">
        <v>10</v>
      </c>
    </row>
    <row r="14615" spans="1:9" x14ac:dyDescent="0.25">
      <c r="A14615" t="str">
        <f t="shared" si="338"/>
        <v>89301000</v>
      </c>
      <c r="B14615" t="str">
        <f>"9153294854"</f>
        <v>9153294854</v>
      </c>
      <c r="C14615" s="1">
        <v>45021</v>
      </c>
      <c r="D14615" s="1">
        <v>45025</v>
      </c>
      <c r="E14615">
        <v>1</v>
      </c>
      <c r="F14615" t="str">
        <f>"03-I18-03"</f>
        <v>03-I18-03</v>
      </c>
      <c r="G14615">
        <v>0.83940000000000003</v>
      </c>
      <c r="H14615" t="s">
        <v>9</v>
      </c>
      <c r="I14615" t="s">
        <v>10</v>
      </c>
    </row>
    <row r="14616" spans="1:9" x14ac:dyDescent="0.25">
      <c r="A14616" t="str">
        <f t="shared" si="338"/>
        <v>89301000</v>
      </c>
      <c r="B14616" t="str">
        <f>"9153305700"</f>
        <v>9153305700</v>
      </c>
      <c r="C14616" s="1">
        <v>45119</v>
      </c>
      <c r="D14616" s="1">
        <v>45121</v>
      </c>
      <c r="E14616">
        <v>1</v>
      </c>
      <c r="F14616" t="str">
        <f>"14-M01-05"</f>
        <v>14-M01-05</v>
      </c>
      <c r="G14616">
        <v>0.56589999999999996</v>
      </c>
      <c r="H14616" t="s">
        <v>13</v>
      </c>
      <c r="I14616" t="s">
        <v>10</v>
      </c>
    </row>
    <row r="14617" spans="1:9" x14ac:dyDescent="0.25">
      <c r="A14617" t="str">
        <f t="shared" si="338"/>
        <v>89301000</v>
      </c>
      <c r="B14617" t="str">
        <f>"9153650528"</f>
        <v>9153650528</v>
      </c>
      <c r="C14617" s="1">
        <v>45152</v>
      </c>
      <c r="D14617" s="1">
        <v>45156</v>
      </c>
      <c r="E14617">
        <v>1</v>
      </c>
      <c r="F14617" t="str">
        <f>"14-I01-05"</f>
        <v>14-I01-05</v>
      </c>
      <c r="G14617">
        <v>0.83340000000000003</v>
      </c>
      <c r="H14617" t="s">
        <v>13</v>
      </c>
      <c r="I14617" t="s">
        <v>10</v>
      </c>
    </row>
    <row r="14618" spans="1:9" x14ac:dyDescent="0.25">
      <c r="A14618" t="str">
        <f t="shared" si="338"/>
        <v>89301000</v>
      </c>
      <c r="B14618" t="str">
        <f>"9154046143"</f>
        <v>9154046143</v>
      </c>
      <c r="C14618" s="1">
        <v>45058</v>
      </c>
      <c r="D14618" s="1">
        <v>45065</v>
      </c>
      <c r="E14618">
        <v>1</v>
      </c>
      <c r="F14618" t="str">
        <f>"09-K04-02"</f>
        <v>09-K04-02</v>
      </c>
      <c r="G14618">
        <v>0.64849999999999997</v>
      </c>
      <c r="H14618" t="s">
        <v>11</v>
      </c>
      <c r="I14618" t="s">
        <v>10</v>
      </c>
    </row>
    <row r="14619" spans="1:9" x14ac:dyDescent="0.25">
      <c r="A14619" t="str">
        <f t="shared" si="338"/>
        <v>89301000</v>
      </c>
      <c r="B14619" t="str">
        <f>"9154085732"</f>
        <v>9154085732</v>
      </c>
      <c r="C14619" s="1">
        <v>44928</v>
      </c>
      <c r="D14619" s="1">
        <v>44931</v>
      </c>
      <c r="E14619">
        <v>1</v>
      </c>
      <c r="F14619" t="str">
        <f>"14-M01-05"</f>
        <v>14-M01-05</v>
      </c>
      <c r="G14619">
        <v>0.56589999999999996</v>
      </c>
      <c r="H14619" t="s">
        <v>13</v>
      </c>
      <c r="I14619" t="s">
        <v>10</v>
      </c>
    </row>
    <row r="14620" spans="1:9" x14ac:dyDescent="0.25">
      <c r="A14620" t="str">
        <f t="shared" si="338"/>
        <v>89301000</v>
      </c>
      <c r="B14620" t="str">
        <f>"9154156066"</f>
        <v>9154156066</v>
      </c>
      <c r="C14620" s="1">
        <v>44982</v>
      </c>
      <c r="D14620" s="1">
        <v>44985</v>
      </c>
      <c r="E14620">
        <v>1</v>
      </c>
      <c r="F14620" t="str">
        <f>"14-M01-05"</f>
        <v>14-M01-05</v>
      </c>
      <c r="G14620">
        <v>0.56289999999999996</v>
      </c>
      <c r="H14620" t="s">
        <v>13</v>
      </c>
      <c r="I14620" t="s">
        <v>10</v>
      </c>
    </row>
    <row r="14621" spans="1:9" x14ac:dyDescent="0.25">
      <c r="A14621" t="str">
        <f t="shared" si="338"/>
        <v>89301000</v>
      </c>
      <c r="B14621" t="str">
        <f>"9154185722"</f>
        <v>9154185722</v>
      </c>
      <c r="C14621" s="1">
        <v>45084</v>
      </c>
      <c r="D14621" s="1">
        <v>45087</v>
      </c>
      <c r="E14621">
        <v>1</v>
      </c>
      <c r="F14621" t="str">
        <f>"14-M01-05"</f>
        <v>14-M01-05</v>
      </c>
      <c r="G14621">
        <v>0.56289999999999996</v>
      </c>
      <c r="H14621" t="s">
        <v>13</v>
      </c>
      <c r="I14621" t="s">
        <v>10</v>
      </c>
    </row>
    <row r="14622" spans="1:9" x14ac:dyDescent="0.25">
      <c r="A14622" t="str">
        <f t="shared" si="338"/>
        <v>89301000</v>
      </c>
      <c r="B14622" t="str">
        <f>"9154265318"</f>
        <v>9154265318</v>
      </c>
      <c r="C14622" s="1">
        <v>45251</v>
      </c>
      <c r="D14622" s="1">
        <v>45256</v>
      </c>
      <c r="E14622">
        <v>1</v>
      </c>
      <c r="F14622" t="str">
        <f>"14-M01-05"</f>
        <v>14-M01-05</v>
      </c>
      <c r="G14622">
        <v>0.56589999999999996</v>
      </c>
      <c r="H14622" t="s">
        <v>13</v>
      </c>
      <c r="I14622" t="s">
        <v>10</v>
      </c>
    </row>
    <row r="14623" spans="1:9" x14ac:dyDescent="0.25">
      <c r="A14623" t="str">
        <f t="shared" si="338"/>
        <v>89301000</v>
      </c>
      <c r="B14623" t="str">
        <f>"9154265758"</f>
        <v>9154265758</v>
      </c>
      <c r="C14623" s="1">
        <v>44959</v>
      </c>
      <c r="D14623" s="1">
        <v>44964</v>
      </c>
      <c r="E14623">
        <v>1</v>
      </c>
      <c r="F14623" t="str">
        <f>"14-I01-02"</f>
        <v>14-I01-02</v>
      </c>
      <c r="G14623">
        <v>1.2988999999999999</v>
      </c>
      <c r="H14623" t="s">
        <v>13</v>
      </c>
      <c r="I14623" t="s">
        <v>10</v>
      </c>
    </row>
    <row r="14624" spans="1:9" x14ac:dyDescent="0.25">
      <c r="A14624" t="str">
        <f t="shared" si="338"/>
        <v>89301000</v>
      </c>
      <c r="B14624" t="str">
        <f>"9154296195"</f>
        <v>9154296195</v>
      </c>
      <c r="C14624" s="1">
        <v>45204</v>
      </c>
      <c r="D14624" s="1">
        <v>45209</v>
      </c>
      <c r="E14624">
        <v>1</v>
      </c>
      <c r="F14624" t="str">
        <f>"14-M01-05"</f>
        <v>14-M01-05</v>
      </c>
      <c r="G14624">
        <v>0.56289999999999996</v>
      </c>
      <c r="H14624" t="s">
        <v>13</v>
      </c>
      <c r="I14624" t="s">
        <v>10</v>
      </c>
    </row>
    <row r="14625" spans="1:9" x14ac:dyDescent="0.25">
      <c r="A14625" t="str">
        <f t="shared" si="338"/>
        <v>89301000</v>
      </c>
      <c r="B14625" t="str">
        <f>"9155025704"</f>
        <v>9155025704</v>
      </c>
      <c r="C14625" s="1">
        <v>45215</v>
      </c>
      <c r="D14625" s="1">
        <v>45223</v>
      </c>
      <c r="E14625">
        <v>1</v>
      </c>
      <c r="F14625" t="str">
        <f>"19-K03-03"</f>
        <v>19-K03-03</v>
      </c>
      <c r="G14625">
        <v>0.90410000000000001</v>
      </c>
      <c r="H14625" t="s">
        <v>15</v>
      </c>
      <c r="I14625" t="s">
        <v>10</v>
      </c>
    </row>
    <row r="14626" spans="1:9" x14ac:dyDescent="0.25">
      <c r="A14626" t="str">
        <f t="shared" si="338"/>
        <v>89301000</v>
      </c>
      <c r="B14626" t="str">
        <f>"9155025704"</f>
        <v>9155025704</v>
      </c>
      <c r="C14626" s="1">
        <v>45012</v>
      </c>
      <c r="D14626" s="1">
        <v>45051</v>
      </c>
      <c r="E14626">
        <v>1</v>
      </c>
      <c r="F14626" t="str">
        <f>"19-K08-02"</f>
        <v>19-K08-02</v>
      </c>
      <c r="G14626">
        <v>4.4416000000000002</v>
      </c>
      <c r="H14626" t="s">
        <v>15</v>
      </c>
      <c r="I14626" t="s">
        <v>10</v>
      </c>
    </row>
    <row r="14627" spans="1:9" x14ac:dyDescent="0.25">
      <c r="A14627" t="str">
        <f t="shared" si="338"/>
        <v>89301000</v>
      </c>
      <c r="B14627" t="str">
        <f>"9155135935"</f>
        <v>9155135935</v>
      </c>
      <c r="C14627" s="1">
        <v>45096</v>
      </c>
      <c r="D14627" s="1">
        <v>45134</v>
      </c>
      <c r="E14627">
        <v>1</v>
      </c>
      <c r="F14627" t="str">
        <f>"19-K08-02"</f>
        <v>19-K08-02</v>
      </c>
      <c r="G14627">
        <v>4.4416000000000002</v>
      </c>
      <c r="H14627" t="s">
        <v>15</v>
      </c>
      <c r="I14627" t="s">
        <v>10</v>
      </c>
    </row>
    <row r="14628" spans="1:9" x14ac:dyDescent="0.25">
      <c r="A14628" t="str">
        <f t="shared" si="338"/>
        <v>89301000</v>
      </c>
      <c r="B14628" t="str">
        <f>"9155185380"</f>
        <v>9155185380</v>
      </c>
      <c r="C14628" s="1">
        <v>45064</v>
      </c>
      <c r="D14628" s="1">
        <v>45066</v>
      </c>
      <c r="E14628">
        <v>1</v>
      </c>
      <c r="F14628" t="str">
        <f>"14-M01-05"</f>
        <v>14-M01-05</v>
      </c>
      <c r="G14628">
        <v>0.56289999999999996</v>
      </c>
      <c r="H14628" t="s">
        <v>13</v>
      </c>
      <c r="I14628" t="s">
        <v>10</v>
      </c>
    </row>
    <row r="14629" spans="1:9" x14ac:dyDescent="0.25">
      <c r="A14629" t="str">
        <f t="shared" si="338"/>
        <v>89301000</v>
      </c>
      <c r="B14629" t="str">
        <f>"9155285425"</f>
        <v>9155285425</v>
      </c>
      <c r="C14629" s="1">
        <v>44931</v>
      </c>
      <c r="D14629" s="1">
        <v>44934</v>
      </c>
      <c r="E14629">
        <v>1</v>
      </c>
      <c r="F14629" t="str">
        <f>"14-M01-05"</f>
        <v>14-M01-05</v>
      </c>
      <c r="G14629">
        <v>0.56289999999999996</v>
      </c>
      <c r="H14629" t="s">
        <v>13</v>
      </c>
      <c r="I14629" t="s">
        <v>10</v>
      </c>
    </row>
    <row r="14630" spans="1:9" x14ac:dyDescent="0.25">
      <c r="A14630" t="str">
        <f t="shared" si="338"/>
        <v>89301000</v>
      </c>
      <c r="B14630" t="str">
        <f>"9155305775"</f>
        <v>9155305775</v>
      </c>
      <c r="C14630" s="1">
        <v>44989</v>
      </c>
      <c r="D14630" s="1">
        <v>44992</v>
      </c>
      <c r="E14630">
        <v>1</v>
      </c>
      <c r="F14630" t="str">
        <f>"14-M01-05"</f>
        <v>14-M01-05</v>
      </c>
      <c r="G14630">
        <v>0.56589999999999996</v>
      </c>
      <c r="H14630" t="s">
        <v>13</v>
      </c>
      <c r="I14630" t="s">
        <v>10</v>
      </c>
    </row>
    <row r="14631" spans="1:9" x14ac:dyDescent="0.25">
      <c r="A14631" t="str">
        <f t="shared" si="338"/>
        <v>89301000</v>
      </c>
      <c r="B14631" t="str">
        <f>"9156155932"</f>
        <v>9156155932</v>
      </c>
      <c r="C14631" s="1">
        <v>45171</v>
      </c>
      <c r="D14631" s="1">
        <v>45172</v>
      </c>
      <c r="E14631">
        <v>1</v>
      </c>
      <c r="F14631" t="str">
        <f>"14-M01-05"</f>
        <v>14-M01-05</v>
      </c>
      <c r="G14631">
        <v>0.56289999999999996</v>
      </c>
      <c r="H14631" t="s">
        <v>13</v>
      </c>
      <c r="I14631" t="s">
        <v>10</v>
      </c>
    </row>
    <row r="14632" spans="1:9" x14ac:dyDescent="0.25">
      <c r="A14632" t="str">
        <f t="shared" si="338"/>
        <v>89301000</v>
      </c>
      <c r="B14632" t="str">
        <f>"9156266163"</f>
        <v>9156266163</v>
      </c>
      <c r="C14632" s="1">
        <v>44976</v>
      </c>
      <c r="D14632" s="1">
        <v>44978</v>
      </c>
      <c r="E14632">
        <v>1</v>
      </c>
      <c r="F14632" t="str">
        <f>"14-M01-05"</f>
        <v>14-M01-05</v>
      </c>
      <c r="G14632">
        <v>0.56289999999999996</v>
      </c>
      <c r="H14632" t="s">
        <v>13</v>
      </c>
      <c r="I14632" t="s">
        <v>10</v>
      </c>
    </row>
    <row r="14633" spans="1:9" x14ac:dyDescent="0.25">
      <c r="A14633" t="str">
        <f t="shared" si="338"/>
        <v>89301000</v>
      </c>
      <c r="B14633" t="str">
        <f>"9156285699"</f>
        <v>9156285699</v>
      </c>
      <c r="C14633" s="1">
        <v>45062</v>
      </c>
      <c r="D14633" s="1">
        <v>45062</v>
      </c>
      <c r="E14633">
        <v>6</v>
      </c>
      <c r="F14633" t="str">
        <f>"14-I08-03"</f>
        <v>14-I08-03</v>
      </c>
      <c r="G14633">
        <v>0.1207</v>
      </c>
      <c r="H14633" t="s">
        <v>11</v>
      </c>
      <c r="I14633" t="s">
        <v>10</v>
      </c>
    </row>
    <row r="14634" spans="1:9" x14ac:dyDescent="0.25">
      <c r="A14634" t="str">
        <f t="shared" si="338"/>
        <v>89301000</v>
      </c>
      <c r="B14634" t="str">
        <f>"9157024877"</f>
        <v>9157024877</v>
      </c>
      <c r="C14634" s="1">
        <v>45172</v>
      </c>
      <c r="D14634" s="1">
        <v>45176</v>
      </c>
      <c r="E14634">
        <v>1</v>
      </c>
      <c r="F14634" t="str">
        <f>"07-I10-06"</f>
        <v>07-I10-06</v>
      </c>
      <c r="G14634">
        <v>0.98419999999999996</v>
      </c>
      <c r="H14634" t="s">
        <v>12</v>
      </c>
      <c r="I14634" t="s">
        <v>10</v>
      </c>
    </row>
    <row r="14635" spans="1:9" x14ac:dyDescent="0.25">
      <c r="A14635" t="str">
        <f t="shared" si="338"/>
        <v>89301000</v>
      </c>
      <c r="B14635" t="str">
        <f>"9157045524"</f>
        <v>9157045524</v>
      </c>
      <c r="C14635" s="1">
        <v>45090</v>
      </c>
      <c r="D14635" s="1">
        <v>45093</v>
      </c>
      <c r="E14635">
        <v>1</v>
      </c>
      <c r="F14635" t="str">
        <f>"23-I05-03"</f>
        <v>23-I05-03</v>
      </c>
      <c r="G14635">
        <v>1.5604</v>
      </c>
      <c r="H14635" t="s">
        <v>9</v>
      </c>
      <c r="I14635" t="s">
        <v>10</v>
      </c>
    </row>
    <row r="14636" spans="1:9" x14ac:dyDescent="0.25">
      <c r="A14636" t="str">
        <f t="shared" si="338"/>
        <v>89301000</v>
      </c>
      <c r="B14636" t="str">
        <f>"9157106189"</f>
        <v>9157106189</v>
      </c>
      <c r="C14636" s="1">
        <v>45006</v>
      </c>
      <c r="D14636" s="1">
        <v>45007</v>
      </c>
      <c r="E14636">
        <v>1</v>
      </c>
      <c r="F14636" t="str">
        <f>"13-I19-00"</f>
        <v>13-I19-00</v>
      </c>
      <c r="G14636">
        <v>0.28249999999999997</v>
      </c>
      <c r="H14636" t="s">
        <v>11</v>
      </c>
      <c r="I14636" t="s">
        <v>10</v>
      </c>
    </row>
    <row r="14637" spans="1:9" x14ac:dyDescent="0.25">
      <c r="A14637" t="str">
        <f t="shared" si="338"/>
        <v>89301000</v>
      </c>
      <c r="B14637" t="str">
        <f>"9157121556"</f>
        <v>9157121556</v>
      </c>
      <c r="C14637" s="1">
        <v>45224</v>
      </c>
      <c r="D14637" s="1">
        <v>45225</v>
      </c>
      <c r="E14637">
        <v>1</v>
      </c>
      <c r="F14637" t="str">
        <f>"14-K03-02"</f>
        <v>14-K03-02</v>
      </c>
      <c r="G14637">
        <v>0.30149999999999999</v>
      </c>
      <c r="H14637" t="s">
        <v>11</v>
      </c>
      <c r="I14637" t="s">
        <v>10</v>
      </c>
    </row>
    <row r="14638" spans="1:9" x14ac:dyDescent="0.25">
      <c r="A14638" t="str">
        <f t="shared" si="338"/>
        <v>89301000</v>
      </c>
      <c r="B14638" t="str">
        <f>"9157134866"</f>
        <v>9157134866</v>
      </c>
      <c r="C14638" s="1">
        <v>45125</v>
      </c>
      <c r="D14638" s="1">
        <v>45140</v>
      </c>
      <c r="E14638">
        <v>1</v>
      </c>
      <c r="F14638" t="str">
        <f>"24-M07-02"</f>
        <v>24-M07-02</v>
      </c>
      <c r="G14638">
        <v>1.5729</v>
      </c>
      <c r="H14638" t="s">
        <v>11</v>
      </c>
      <c r="I14638" t="s">
        <v>10</v>
      </c>
    </row>
    <row r="14639" spans="1:9" x14ac:dyDescent="0.25">
      <c r="A14639" t="str">
        <f t="shared" si="338"/>
        <v>89301000</v>
      </c>
      <c r="B14639" t="str">
        <f>"9157135702"</f>
        <v>9157135702</v>
      </c>
      <c r="C14639" s="1">
        <v>44989</v>
      </c>
      <c r="D14639" s="1">
        <v>44992</v>
      </c>
      <c r="E14639">
        <v>1</v>
      </c>
      <c r="F14639" t="str">
        <f>"14-M01-05"</f>
        <v>14-M01-05</v>
      </c>
      <c r="G14639">
        <v>0.56289999999999996</v>
      </c>
      <c r="H14639" t="s">
        <v>13</v>
      </c>
      <c r="I14639" t="s">
        <v>10</v>
      </c>
    </row>
    <row r="14640" spans="1:9" x14ac:dyDescent="0.25">
      <c r="A14640" t="str">
        <f t="shared" si="338"/>
        <v>89301000</v>
      </c>
      <c r="B14640" t="str">
        <f>"9157185763"</f>
        <v>9157185763</v>
      </c>
      <c r="C14640" s="1">
        <v>45056</v>
      </c>
      <c r="D14640" s="1">
        <v>45059</v>
      </c>
      <c r="E14640">
        <v>1</v>
      </c>
      <c r="F14640" t="str">
        <f>"14-M01-01"</f>
        <v>14-M01-01</v>
      </c>
      <c r="G14640">
        <v>0.81010000000000004</v>
      </c>
      <c r="H14640" t="s">
        <v>13</v>
      </c>
      <c r="I14640" t="s">
        <v>10</v>
      </c>
    </row>
    <row r="14641" spans="1:9" x14ac:dyDescent="0.25">
      <c r="A14641" t="str">
        <f t="shared" si="338"/>
        <v>89301000</v>
      </c>
      <c r="B14641" t="str">
        <f>"9157254854"</f>
        <v>9157254854</v>
      </c>
      <c r="C14641" s="1">
        <v>45159</v>
      </c>
      <c r="D14641" s="1">
        <v>45163</v>
      </c>
      <c r="E14641">
        <v>1</v>
      </c>
      <c r="F14641" t="str">
        <f>"01-K18-04"</f>
        <v>01-K18-04</v>
      </c>
      <c r="G14641">
        <v>0.54610000000000003</v>
      </c>
      <c r="H14641" t="s">
        <v>11</v>
      </c>
      <c r="I14641" t="s">
        <v>10</v>
      </c>
    </row>
    <row r="14642" spans="1:9" x14ac:dyDescent="0.25">
      <c r="A14642" t="str">
        <f t="shared" si="338"/>
        <v>89301000</v>
      </c>
      <c r="B14642" t="str">
        <f>"9157255712"</f>
        <v>9157255712</v>
      </c>
      <c r="C14642" s="1">
        <v>45005</v>
      </c>
      <c r="D14642" s="1">
        <v>45009</v>
      </c>
      <c r="E14642">
        <v>1</v>
      </c>
      <c r="F14642" t="str">
        <f>"14-M01-05"</f>
        <v>14-M01-05</v>
      </c>
      <c r="G14642">
        <v>0.56589999999999996</v>
      </c>
      <c r="H14642" t="s">
        <v>13</v>
      </c>
      <c r="I14642" t="s">
        <v>10</v>
      </c>
    </row>
    <row r="14643" spans="1:9" x14ac:dyDescent="0.25">
      <c r="A14643" t="str">
        <f t="shared" si="338"/>
        <v>89301000</v>
      </c>
      <c r="B14643" t="str">
        <f>"9157305707"</f>
        <v>9157305707</v>
      </c>
      <c r="C14643" s="1">
        <v>45138</v>
      </c>
      <c r="D14643" s="1">
        <v>45141</v>
      </c>
      <c r="E14643">
        <v>1</v>
      </c>
      <c r="F14643" t="str">
        <f>"14-M01-05"</f>
        <v>14-M01-05</v>
      </c>
      <c r="G14643">
        <v>0.56589999999999996</v>
      </c>
      <c r="H14643" t="s">
        <v>13</v>
      </c>
      <c r="I14643" t="s">
        <v>10</v>
      </c>
    </row>
    <row r="14644" spans="1:9" x14ac:dyDescent="0.25">
      <c r="A14644" t="str">
        <f t="shared" si="338"/>
        <v>89301000</v>
      </c>
      <c r="B14644" t="str">
        <f>"9158016153"</f>
        <v>9158016153</v>
      </c>
      <c r="C14644" s="1">
        <v>45034</v>
      </c>
      <c r="D14644" s="1">
        <v>45035</v>
      </c>
      <c r="E14644">
        <v>1</v>
      </c>
      <c r="F14644" t="str">
        <f>"17-K10-02"</f>
        <v>17-K10-02</v>
      </c>
      <c r="G14644">
        <v>0.59770000000000001</v>
      </c>
      <c r="H14644" t="s">
        <v>11</v>
      </c>
      <c r="I14644" t="s">
        <v>10</v>
      </c>
    </row>
    <row r="14645" spans="1:9" x14ac:dyDescent="0.25">
      <c r="A14645" t="str">
        <f t="shared" si="338"/>
        <v>89301000</v>
      </c>
      <c r="B14645" t="str">
        <f>"9158084848"</f>
        <v>9158084848</v>
      </c>
      <c r="C14645" s="1">
        <v>45028</v>
      </c>
      <c r="D14645" s="1">
        <v>45029</v>
      </c>
      <c r="E14645">
        <v>1</v>
      </c>
      <c r="F14645" t="str">
        <f>"14-M01-05"</f>
        <v>14-M01-05</v>
      </c>
      <c r="G14645">
        <v>0.56289999999999996</v>
      </c>
      <c r="H14645" t="s">
        <v>13</v>
      </c>
      <c r="I14645" t="s">
        <v>10</v>
      </c>
    </row>
    <row r="14646" spans="1:9" x14ac:dyDescent="0.25">
      <c r="A14646" t="str">
        <f t="shared" si="338"/>
        <v>89301000</v>
      </c>
      <c r="B14646" t="str">
        <f>"9158085772"</f>
        <v>9158085772</v>
      </c>
      <c r="C14646" s="1">
        <v>45250</v>
      </c>
      <c r="D14646" s="1">
        <v>45254</v>
      </c>
      <c r="E14646">
        <v>1</v>
      </c>
      <c r="F14646" t="str">
        <f>"14-I01-02"</f>
        <v>14-I01-02</v>
      </c>
      <c r="G14646">
        <v>1.2988999999999999</v>
      </c>
      <c r="H14646" t="s">
        <v>13</v>
      </c>
      <c r="I14646" t="s">
        <v>10</v>
      </c>
    </row>
    <row r="14647" spans="1:9" x14ac:dyDescent="0.25">
      <c r="A14647" t="str">
        <f t="shared" si="338"/>
        <v>89301000</v>
      </c>
      <c r="B14647" t="str">
        <f>"9158095716"</f>
        <v>9158095716</v>
      </c>
      <c r="C14647" s="1">
        <v>44957</v>
      </c>
      <c r="D14647" s="1">
        <v>44961</v>
      </c>
      <c r="E14647">
        <v>1</v>
      </c>
      <c r="F14647" t="str">
        <f>"14-M01-05"</f>
        <v>14-M01-05</v>
      </c>
      <c r="G14647">
        <v>0.56589999999999996</v>
      </c>
      <c r="H14647" t="s">
        <v>13</v>
      </c>
      <c r="I14647" t="s">
        <v>10</v>
      </c>
    </row>
    <row r="14648" spans="1:9" x14ac:dyDescent="0.25">
      <c r="A14648" t="str">
        <f t="shared" si="338"/>
        <v>89301000</v>
      </c>
      <c r="B14648" t="str">
        <f>"9158125768"</f>
        <v>9158125768</v>
      </c>
      <c r="C14648" s="1">
        <v>44927</v>
      </c>
      <c r="D14648" s="1">
        <v>44930</v>
      </c>
      <c r="E14648">
        <v>1</v>
      </c>
      <c r="F14648" t="str">
        <f>"07-I10-06"</f>
        <v>07-I10-06</v>
      </c>
      <c r="G14648">
        <v>0.98419999999999996</v>
      </c>
      <c r="H14648" t="s">
        <v>12</v>
      </c>
      <c r="I14648" t="s">
        <v>10</v>
      </c>
    </row>
    <row r="14649" spans="1:9" x14ac:dyDescent="0.25">
      <c r="A14649" t="str">
        <f t="shared" si="338"/>
        <v>89301000</v>
      </c>
      <c r="B14649" t="str">
        <f>"9158154093"</f>
        <v>9158154093</v>
      </c>
      <c r="C14649" s="1">
        <v>45047</v>
      </c>
      <c r="D14649" s="1">
        <v>45050</v>
      </c>
      <c r="E14649">
        <v>1</v>
      </c>
      <c r="F14649" t="str">
        <f>"14-M01-05"</f>
        <v>14-M01-05</v>
      </c>
      <c r="G14649">
        <v>0.56289999999999996</v>
      </c>
      <c r="H14649" t="s">
        <v>13</v>
      </c>
      <c r="I14649" t="s">
        <v>10</v>
      </c>
    </row>
    <row r="14650" spans="1:9" x14ac:dyDescent="0.25">
      <c r="A14650" t="str">
        <f t="shared" si="338"/>
        <v>89301000</v>
      </c>
      <c r="B14650" t="str">
        <f>"9158155721"</f>
        <v>9158155721</v>
      </c>
      <c r="C14650" s="1">
        <v>45283</v>
      </c>
      <c r="D14650" s="1">
        <v>45285</v>
      </c>
      <c r="E14650">
        <v>1</v>
      </c>
      <c r="F14650" t="str">
        <f>"14-M01-05"</f>
        <v>14-M01-05</v>
      </c>
      <c r="G14650">
        <v>0.56289999999999996</v>
      </c>
      <c r="H14650" t="s">
        <v>13</v>
      </c>
      <c r="I14650" t="s">
        <v>10</v>
      </c>
    </row>
    <row r="14651" spans="1:9" x14ac:dyDescent="0.25">
      <c r="A14651" t="str">
        <f t="shared" si="338"/>
        <v>89301000</v>
      </c>
      <c r="B14651" t="str">
        <f>"9158155721"</f>
        <v>9158155721</v>
      </c>
      <c r="C14651" s="1">
        <v>45274</v>
      </c>
      <c r="D14651" s="1">
        <v>45275</v>
      </c>
      <c r="E14651">
        <v>1</v>
      </c>
      <c r="F14651" t="str">
        <f>"14-K03-02"</f>
        <v>14-K03-02</v>
      </c>
      <c r="G14651">
        <v>0.30149999999999999</v>
      </c>
      <c r="H14651" t="s">
        <v>11</v>
      </c>
      <c r="I14651" t="s">
        <v>10</v>
      </c>
    </row>
    <row r="14652" spans="1:9" x14ac:dyDescent="0.25">
      <c r="A14652" t="str">
        <f t="shared" si="338"/>
        <v>89301000</v>
      </c>
      <c r="B14652" t="str">
        <f>"9158294860"</f>
        <v>9158294860</v>
      </c>
      <c r="C14652" s="1">
        <v>45099</v>
      </c>
      <c r="D14652" s="1">
        <v>45100</v>
      </c>
      <c r="E14652">
        <v>1</v>
      </c>
      <c r="F14652" t="str">
        <f>"03-K13-02"</f>
        <v>03-K13-02</v>
      </c>
      <c r="G14652">
        <v>0.24440000000000001</v>
      </c>
      <c r="H14652" t="s">
        <v>11</v>
      </c>
      <c r="I14652" t="s">
        <v>10</v>
      </c>
    </row>
    <row r="14653" spans="1:9" x14ac:dyDescent="0.25">
      <c r="A14653" t="str">
        <f t="shared" si="338"/>
        <v>89301000</v>
      </c>
      <c r="B14653" t="str">
        <f>"9159035303"</f>
        <v>9159035303</v>
      </c>
      <c r="C14653" s="1">
        <v>45250</v>
      </c>
      <c r="D14653" s="1">
        <v>45257</v>
      </c>
      <c r="E14653">
        <v>1</v>
      </c>
      <c r="F14653" t="str">
        <f>"09-I04-02"</f>
        <v>09-I04-02</v>
      </c>
      <c r="G14653">
        <v>1.0899000000000001</v>
      </c>
      <c r="H14653" t="s">
        <v>12</v>
      </c>
      <c r="I14653" t="s">
        <v>10</v>
      </c>
    </row>
    <row r="14654" spans="1:9" x14ac:dyDescent="0.25">
      <c r="A14654" t="str">
        <f t="shared" si="338"/>
        <v>89301000</v>
      </c>
      <c r="B14654" t="str">
        <f>"9159045313"</f>
        <v>9159045313</v>
      </c>
      <c r="C14654" s="1">
        <v>45075</v>
      </c>
      <c r="D14654" s="1">
        <v>45077</v>
      </c>
      <c r="E14654">
        <v>1</v>
      </c>
      <c r="F14654" t="str">
        <f>"08-M03-05"</f>
        <v>08-M03-05</v>
      </c>
      <c r="G14654">
        <v>0.46910000000000002</v>
      </c>
      <c r="H14654" t="s">
        <v>11</v>
      </c>
      <c r="I14654" t="s">
        <v>10</v>
      </c>
    </row>
    <row r="14655" spans="1:9" x14ac:dyDescent="0.25">
      <c r="A14655" t="str">
        <f t="shared" si="338"/>
        <v>89301000</v>
      </c>
      <c r="B14655" t="str">
        <f>"9159055433"</f>
        <v>9159055433</v>
      </c>
      <c r="C14655" s="1">
        <v>45215</v>
      </c>
      <c r="D14655" s="1">
        <v>45218</v>
      </c>
      <c r="E14655">
        <v>1</v>
      </c>
      <c r="F14655" t="str">
        <f>"14-I08-01"</f>
        <v>14-I08-01</v>
      </c>
      <c r="G14655">
        <v>0.55700000000000005</v>
      </c>
      <c r="H14655" t="s">
        <v>11</v>
      </c>
      <c r="I14655" t="s">
        <v>10</v>
      </c>
    </row>
    <row r="14656" spans="1:9" x14ac:dyDescent="0.25">
      <c r="A14656" t="str">
        <f t="shared" si="338"/>
        <v>89301000</v>
      </c>
      <c r="B14656" t="str">
        <f>"9159135304"</f>
        <v>9159135304</v>
      </c>
      <c r="C14656" s="1">
        <v>45150</v>
      </c>
      <c r="D14656" s="1">
        <v>45154</v>
      </c>
      <c r="E14656">
        <v>1</v>
      </c>
      <c r="F14656" t="str">
        <f>"14-I01-05"</f>
        <v>14-I01-05</v>
      </c>
      <c r="G14656">
        <v>0.83</v>
      </c>
      <c r="H14656" t="s">
        <v>13</v>
      </c>
      <c r="I14656" t="s">
        <v>10</v>
      </c>
    </row>
    <row r="14657" spans="1:9" x14ac:dyDescent="0.25">
      <c r="A14657" t="str">
        <f t="shared" si="338"/>
        <v>89301000</v>
      </c>
      <c r="B14657" t="str">
        <f>"9159165510"</f>
        <v>9159165510</v>
      </c>
      <c r="C14657" s="1">
        <v>45151</v>
      </c>
      <c r="D14657" s="1">
        <v>45152</v>
      </c>
      <c r="E14657">
        <v>1</v>
      </c>
      <c r="F14657" t="str">
        <f>"08-K13-02"</f>
        <v>08-K13-02</v>
      </c>
      <c r="G14657">
        <v>0.43059999999999998</v>
      </c>
      <c r="H14657" t="s">
        <v>11</v>
      </c>
      <c r="I14657" t="s">
        <v>10</v>
      </c>
    </row>
    <row r="14658" spans="1:9" x14ac:dyDescent="0.25">
      <c r="A14658" t="str">
        <f t="shared" si="338"/>
        <v>89301000</v>
      </c>
      <c r="B14658" t="str">
        <f>"9159165708"</f>
        <v>9159165708</v>
      </c>
      <c r="C14658" s="1">
        <v>45019</v>
      </c>
      <c r="D14658" s="1">
        <v>45023</v>
      </c>
      <c r="E14658">
        <v>1</v>
      </c>
      <c r="F14658" t="str">
        <f>"14-M01-05"</f>
        <v>14-M01-05</v>
      </c>
      <c r="G14658">
        <v>0.56589999999999996</v>
      </c>
      <c r="H14658" t="s">
        <v>13</v>
      </c>
      <c r="I14658" t="s">
        <v>10</v>
      </c>
    </row>
    <row r="14659" spans="1:9" x14ac:dyDescent="0.25">
      <c r="A14659" t="str">
        <f t="shared" si="338"/>
        <v>89301000</v>
      </c>
      <c r="B14659" t="str">
        <f>"9159255721"</f>
        <v>9159255721</v>
      </c>
      <c r="C14659" s="1">
        <v>45240</v>
      </c>
      <c r="D14659" s="1">
        <v>45243</v>
      </c>
      <c r="E14659">
        <v>1</v>
      </c>
      <c r="F14659" t="str">
        <f>"14-M01-05"</f>
        <v>14-M01-05</v>
      </c>
      <c r="G14659">
        <v>0.56289999999999996</v>
      </c>
      <c r="H14659" t="s">
        <v>13</v>
      </c>
      <c r="I14659" t="s">
        <v>10</v>
      </c>
    </row>
    <row r="14660" spans="1:9" x14ac:dyDescent="0.25">
      <c r="A14660" t="str">
        <f t="shared" si="338"/>
        <v>89301000</v>
      </c>
      <c r="B14660" t="str">
        <f>"9159265742"</f>
        <v>9159265742</v>
      </c>
      <c r="C14660" s="1">
        <v>45131</v>
      </c>
      <c r="D14660" s="1">
        <v>45134</v>
      </c>
      <c r="E14660">
        <v>1</v>
      </c>
      <c r="F14660" t="str">
        <f>"14-M01-05"</f>
        <v>14-M01-05</v>
      </c>
      <c r="G14660">
        <v>0.56589999999999996</v>
      </c>
      <c r="H14660" t="s">
        <v>13</v>
      </c>
      <c r="I14660" t="s">
        <v>10</v>
      </c>
    </row>
    <row r="14661" spans="1:9" x14ac:dyDescent="0.25">
      <c r="A14661" t="str">
        <f t="shared" si="338"/>
        <v>89301000</v>
      </c>
      <c r="B14661" t="str">
        <f>"9159275752"</f>
        <v>9159275752</v>
      </c>
      <c r="C14661" s="1">
        <v>44984</v>
      </c>
      <c r="D14661" s="1">
        <v>44987</v>
      </c>
      <c r="E14661">
        <v>1</v>
      </c>
      <c r="F14661" t="str">
        <f>"14-I01-01"</f>
        <v>14-I01-01</v>
      </c>
      <c r="G14661">
        <v>1.6020000000000001</v>
      </c>
      <c r="H14661" t="s">
        <v>13</v>
      </c>
      <c r="I14661" t="s">
        <v>10</v>
      </c>
    </row>
    <row r="14662" spans="1:9" x14ac:dyDescent="0.25">
      <c r="A14662" t="str">
        <f t="shared" si="338"/>
        <v>89301000</v>
      </c>
      <c r="B14662" t="str">
        <f>"9159275752"</f>
        <v>9159275752</v>
      </c>
      <c r="C14662" s="1">
        <v>44967</v>
      </c>
      <c r="D14662" s="1">
        <v>44971</v>
      </c>
      <c r="E14662">
        <v>1</v>
      </c>
      <c r="F14662" t="str">
        <f>"14-K03-01"</f>
        <v>14-K03-01</v>
      </c>
      <c r="G14662">
        <v>0.54159999999999997</v>
      </c>
      <c r="H14662" t="s">
        <v>11</v>
      </c>
      <c r="I14662" t="s">
        <v>10</v>
      </c>
    </row>
    <row r="14663" spans="1:9" x14ac:dyDescent="0.25">
      <c r="A14663" t="str">
        <f t="shared" si="338"/>
        <v>89301000</v>
      </c>
      <c r="B14663" t="str">
        <f>"9159305760"</f>
        <v>9159305760</v>
      </c>
      <c r="C14663" s="1">
        <v>45214</v>
      </c>
      <c r="D14663" s="1">
        <v>45216</v>
      </c>
      <c r="E14663">
        <v>1</v>
      </c>
      <c r="F14663" t="str">
        <f>"03-I22-02"</f>
        <v>03-I22-02</v>
      </c>
      <c r="G14663">
        <v>0.49809999999999999</v>
      </c>
      <c r="H14663" t="s">
        <v>11</v>
      </c>
      <c r="I14663" t="s">
        <v>10</v>
      </c>
    </row>
    <row r="14664" spans="1:9" x14ac:dyDescent="0.25">
      <c r="A14664" t="str">
        <f t="shared" si="338"/>
        <v>89301000</v>
      </c>
      <c r="B14664" t="str">
        <f>"9160074847"</f>
        <v>9160074847</v>
      </c>
      <c r="C14664" s="1">
        <v>45032</v>
      </c>
      <c r="D14664" s="1">
        <v>45052</v>
      </c>
      <c r="E14664">
        <v>1</v>
      </c>
      <c r="F14664" t="str">
        <f>"14-M01-02"</f>
        <v>14-M01-02</v>
      </c>
      <c r="G14664">
        <v>2.0243000000000002</v>
      </c>
      <c r="H14664" t="s">
        <v>13</v>
      </c>
      <c r="I14664" t="s">
        <v>10</v>
      </c>
    </row>
    <row r="14665" spans="1:9" x14ac:dyDescent="0.25">
      <c r="A14665" t="str">
        <f t="shared" si="338"/>
        <v>89301000</v>
      </c>
      <c r="B14665" t="str">
        <f>"9160075705"</f>
        <v>9160075705</v>
      </c>
      <c r="C14665" s="1">
        <v>44999</v>
      </c>
      <c r="D14665" s="1">
        <v>45002</v>
      </c>
      <c r="E14665">
        <v>1</v>
      </c>
      <c r="F14665" t="str">
        <f>"05-I30-01"</f>
        <v>05-I30-01</v>
      </c>
      <c r="G14665">
        <v>0.60309999999999997</v>
      </c>
      <c r="H14665" t="s">
        <v>12</v>
      </c>
      <c r="I14665" t="s">
        <v>10</v>
      </c>
    </row>
    <row r="14666" spans="1:9" x14ac:dyDescent="0.25">
      <c r="A14666" t="str">
        <f t="shared" si="338"/>
        <v>89301000</v>
      </c>
      <c r="B14666" t="str">
        <f>"9160114865"</f>
        <v>9160114865</v>
      </c>
      <c r="C14666" s="1">
        <v>45035</v>
      </c>
      <c r="D14666" s="1">
        <v>45037</v>
      </c>
      <c r="E14666">
        <v>1</v>
      </c>
      <c r="F14666" t="str">
        <f>"14-M01-05"</f>
        <v>14-M01-05</v>
      </c>
      <c r="G14666">
        <v>0.56289999999999996</v>
      </c>
      <c r="H14666" t="s">
        <v>13</v>
      </c>
      <c r="I14666" t="s">
        <v>10</v>
      </c>
    </row>
    <row r="14667" spans="1:9" x14ac:dyDescent="0.25">
      <c r="A14667" t="str">
        <f t="shared" ref="A14667:A14730" si="339">"89301000"</f>
        <v>89301000</v>
      </c>
      <c r="B14667" t="str">
        <f>"9160185254"</f>
        <v>9160185254</v>
      </c>
      <c r="C14667" s="1">
        <v>45068</v>
      </c>
      <c r="D14667" s="1">
        <v>45069</v>
      </c>
      <c r="E14667">
        <v>1</v>
      </c>
      <c r="F14667" t="str">
        <f>"02-I13-02"</f>
        <v>02-I13-02</v>
      </c>
      <c r="G14667">
        <v>0.4259</v>
      </c>
      <c r="H14667" t="s">
        <v>11</v>
      </c>
      <c r="I14667" t="s">
        <v>10</v>
      </c>
    </row>
    <row r="14668" spans="1:9" x14ac:dyDescent="0.25">
      <c r="A14668" t="str">
        <f t="shared" si="339"/>
        <v>89301000</v>
      </c>
      <c r="B14668" t="str">
        <f>"9160185716"</f>
        <v>9160185716</v>
      </c>
      <c r="C14668" s="1">
        <v>45240</v>
      </c>
      <c r="D14668" s="1">
        <v>45243</v>
      </c>
      <c r="E14668">
        <v>1</v>
      </c>
      <c r="F14668" t="str">
        <f>"14-M01-05"</f>
        <v>14-M01-05</v>
      </c>
      <c r="G14668">
        <v>0.56289999999999996</v>
      </c>
      <c r="H14668" t="s">
        <v>13</v>
      </c>
      <c r="I14668" t="s">
        <v>10</v>
      </c>
    </row>
    <row r="14669" spans="1:9" x14ac:dyDescent="0.25">
      <c r="A14669" t="str">
        <f t="shared" si="339"/>
        <v>89301000</v>
      </c>
      <c r="B14669" t="str">
        <f>"9160195704"</f>
        <v>9160195704</v>
      </c>
      <c r="C14669" s="1">
        <v>45271</v>
      </c>
      <c r="D14669" s="1">
        <v>45276</v>
      </c>
      <c r="E14669">
        <v>1</v>
      </c>
      <c r="F14669" t="str">
        <f>"14-I01-05"</f>
        <v>14-I01-05</v>
      </c>
      <c r="G14669">
        <v>0.83340000000000003</v>
      </c>
      <c r="H14669" t="s">
        <v>13</v>
      </c>
      <c r="I14669" t="s">
        <v>10</v>
      </c>
    </row>
    <row r="14670" spans="1:9" x14ac:dyDescent="0.25">
      <c r="A14670" t="str">
        <f t="shared" si="339"/>
        <v>89301000</v>
      </c>
      <c r="B14670" t="str">
        <f>"9160235711"</f>
        <v>9160235711</v>
      </c>
      <c r="C14670" s="1">
        <v>45235</v>
      </c>
      <c r="D14670" s="1">
        <v>45238</v>
      </c>
      <c r="E14670">
        <v>1</v>
      </c>
      <c r="F14670" t="str">
        <f>"14-M01-05"</f>
        <v>14-M01-05</v>
      </c>
      <c r="G14670">
        <v>0.56289999999999996</v>
      </c>
      <c r="H14670" t="s">
        <v>13</v>
      </c>
      <c r="I14670" t="s">
        <v>10</v>
      </c>
    </row>
    <row r="14671" spans="1:9" x14ac:dyDescent="0.25">
      <c r="A14671" t="str">
        <f t="shared" si="339"/>
        <v>89301000</v>
      </c>
      <c r="B14671" t="str">
        <f>"9160242025"</f>
        <v>9160242025</v>
      </c>
      <c r="C14671" s="1">
        <v>45039</v>
      </c>
      <c r="D14671" s="1">
        <v>45040</v>
      </c>
      <c r="E14671">
        <v>1</v>
      </c>
      <c r="F14671" t="str">
        <f>"14-M01-05"</f>
        <v>14-M01-05</v>
      </c>
      <c r="G14671">
        <v>0.56289999999999996</v>
      </c>
      <c r="H14671" t="s">
        <v>13</v>
      </c>
      <c r="I14671" t="s">
        <v>10</v>
      </c>
    </row>
    <row r="14672" spans="1:9" x14ac:dyDescent="0.25">
      <c r="A14672" t="str">
        <f t="shared" si="339"/>
        <v>89301000</v>
      </c>
      <c r="B14672" t="str">
        <f>"9160295738"</f>
        <v>9160295738</v>
      </c>
      <c r="C14672" s="1">
        <v>44945</v>
      </c>
      <c r="D14672" s="1">
        <v>44952</v>
      </c>
      <c r="E14672">
        <v>1</v>
      </c>
      <c r="F14672" t="str">
        <f>"14-I01-01"</f>
        <v>14-I01-01</v>
      </c>
      <c r="G14672">
        <v>1.6020000000000001</v>
      </c>
      <c r="H14672" t="s">
        <v>13</v>
      </c>
      <c r="I14672" t="s">
        <v>10</v>
      </c>
    </row>
    <row r="14673" spans="1:9" x14ac:dyDescent="0.25">
      <c r="A14673" t="str">
        <f t="shared" si="339"/>
        <v>89301000</v>
      </c>
      <c r="B14673" t="str">
        <f>"9161045707"</f>
        <v>9161045707</v>
      </c>
      <c r="C14673" s="1">
        <v>45152</v>
      </c>
      <c r="D14673" s="1">
        <v>45155</v>
      </c>
      <c r="E14673">
        <v>1</v>
      </c>
      <c r="F14673" t="str">
        <f>"09-K02-00"</f>
        <v>09-K02-00</v>
      </c>
      <c r="G14673">
        <v>0.99539999999999995</v>
      </c>
      <c r="H14673" t="s">
        <v>11</v>
      </c>
      <c r="I14673" t="s">
        <v>10</v>
      </c>
    </row>
    <row r="14674" spans="1:9" x14ac:dyDescent="0.25">
      <c r="A14674" t="str">
        <f t="shared" si="339"/>
        <v>89301000</v>
      </c>
      <c r="B14674" t="str">
        <f>"9161135764"</f>
        <v>9161135764</v>
      </c>
      <c r="C14674" s="1">
        <v>44935</v>
      </c>
      <c r="D14674" s="1">
        <v>44937</v>
      </c>
      <c r="E14674">
        <v>1</v>
      </c>
      <c r="F14674" t="str">
        <f>"14-M01-05"</f>
        <v>14-M01-05</v>
      </c>
      <c r="G14674">
        <v>0.56289999999999996</v>
      </c>
      <c r="H14674" t="s">
        <v>13</v>
      </c>
      <c r="I14674" t="s">
        <v>10</v>
      </c>
    </row>
    <row r="14675" spans="1:9" x14ac:dyDescent="0.25">
      <c r="A14675" t="str">
        <f t="shared" si="339"/>
        <v>89301000</v>
      </c>
      <c r="B14675" t="str">
        <f>"9161176145"</f>
        <v>9161176145</v>
      </c>
      <c r="C14675" s="1">
        <v>45051</v>
      </c>
      <c r="D14675" s="1">
        <v>45052</v>
      </c>
      <c r="E14675">
        <v>1</v>
      </c>
      <c r="F14675" t="str">
        <f>"14-I08-03"</f>
        <v>14-I08-03</v>
      </c>
      <c r="G14675">
        <v>0.2414</v>
      </c>
      <c r="H14675" t="s">
        <v>11</v>
      </c>
      <c r="I14675" t="s">
        <v>10</v>
      </c>
    </row>
    <row r="14676" spans="1:9" x14ac:dyDescent="0.25">
      <c r="A14676" t="str">
        <f t="shared" si="339"/>
        <v>89301000</v>
      </c>
      <c r="B14676" t="str">
        <f>"9161195780"</f>
        <v>9161195780</v>
      </c>
      <c r="C14676" s="1">
        <v>45210</v>
      </c>
      <c r="D14676" s="1">
        <v>45233</v>
      </c>
      <c r="E14676">
        <v>1</v>
      </c>
      <c r="F14676" t="str">
        <f>"19-K06-02"</f>
        <v>19-K06-02</v>
      </c>
      <c r="G14676">
        <v>2.2334999999999998</v>
      </c>
      <c r="H14676" t="s">
        <v>15</v>
      </c>
      <c r="I14676" t="s">
        <v>10</v>
      </c>
    </row>
    <row r="14677" spans="1:9" x14ac:dyDescent="0.25">
      <c r="A14677" t="str">
        <f t="shared" si="339"/>
        <v>89301000</v>
      </c>
      <c r="B14677" t="str">
        <f>"9161275728"</f>
        <v>9161275728</v>
      </c>
      <c r="C14677" s="1">
        <v>45047</v>
      </c>
      <c r="D14677" s="1">
        <v>45052</v>
      </c>
      <c r="E14677">
        <v>1</v>
      </c>
      <c r="F14677" t="str">
        <f>"14-I01-05"</f>
        <v>14-I01-05</v>
      </c>
      <c r="G14677">
        <v>0.83340000000000003</v>
      </c>
      <c r="H14677" t="s">
        <v>13</v>
      </c>
      <c r="I14677" t="s">
        <v>10</v>
      </c>
    </row>
    <row r="14678" spans="1:9" x14ac:dyDescent="0.25">
      <c r="A14678" t="str">
        <f t="shared" si="339"/>
        <v>89301000</v>
      </c>
      <c r="B14678" t="str">
        <f>"9162035729"</f>
        <v>9162035729</v>
      </c>
      <c r="C14678" s="1">
        <v>45062</v>
      </c>
      <c r="D14678" s="1">
        <v>45066</v>
      </c>
      <c r="E14678">
        <v>1</v>
      </c>
      <c r="F14678" t="str">
        <f>"07-I10-06"</f>
        <v>07-I10-06</v>
      </c>
      <c r="G14678">
        <v>0.98419999999999996</v>
      </c>
      <c r="H14678" t="s">
        <v>12</v>
      </c>
      <c r="I14678" t="s">
        <v>10</v>
      </c>
    </row>
    <row r="14679" spans="1:9" x14ac:dyDescent="0.25">
      <c r="A14679" t="str">
        <f t="shared" si="339"/>
        <v>89301000</v>
      </c>
      <c r="B14679" t="str">
        <f>"9162036158"</f>
        <v>9162036158</v>
      </c>
      <c r="C14679" s="1">
        <v>45219</v>
      </c>
      <c r="D14679" s="1">
        <v>45224</v>
      </c>
      <c r="E14679">
        <v>1</v>
      </c>
      <c r="F14679" t="str">
        <f>"14-I01-05"</f>
        <v>14-I01-05</v>
      </c>
      <c r="G14679">
        <v>0.83</v>
      </c>
      <c r="H14679" t="s">
        <v>13</v>
      </c>
      <c r="I14679" t="s">
        <v>10</v>
      </c>
    </row>
    <row r="14680" spans="1:9" x14ac:dyDescent="0.25">
      <c r="A14680" t="str">
        <f t="shared" si="339"/>
        <v>89301000</v>
      </c>
      <c r="B14680" t="str">
        <f>"9162075703"</f>
        <v>9162075703</v>
      </c>
      <c r="C14680" s="1">
        <v>45217</v>
      </c>
      <c r="D14680" s="1">
        <v>45220</v>
      </c>
      <c r="E14680">
        <v>1</v>
      </c>
      <c r="F14680" t="str">
        <f>"14-M01-05"</f>
        <v>14-M01-05</v>
      </c>
      <c r="G14680">
        <v>0.56289999999999996</v>
      </c>
      <c r="H14680" t="s">
        <v>13</v>
      </c>
      <c r="I14680" t="s">
        <v>10</v>
      </c>
    </row>
    <row r="14681" spans="1:9" x14ac:dyDescent="0.25">
      <c r="A14681" t="str">
        <f t="shared" si="339"/>
        <v>89301000</v>
      </c>
      <c r="B14681" t="str">
        <f>"9162154848"</f>
        <v>9162154848</v>
      </c>
      <c r="C14681" s="1">
        <v>45004</v>
      </c>
      <c r="D14681" s="1">
        <v>45011</v>
      </c>
      <c r="E14681">
        <v>1</v>
      </c>
      <c r="F14681" t="str">
        <f>"14-M01-01"</f>
        <v>14-M01-01</v>
      </c>
      <c r="G14681">
        <v>0.81010000000000004</v>
      </c>
      <c r="H14681" t="s">
        <v>13</v>
      </c>
      <c r="I14681" t="s">
        <v>10</v>
      </c>
    </row>
    <row r="14682" spans="1:9" x14ac:dyDescent="0.25">
      <c r="A14682" t="str">
        <f t="shared" si="339"/>
        <v>89301000</v>
      </c>
      <c r="B14682" t="str">
        <f>"9162195713"</f>
        <v>9162195713</v>
      </c>
      <c r="C14682" s="1">
        <v>44956</v>
      </c>
      <c r="D14682" s="1">
        <v>44959</v>
      </c>
      <c r="E14682">
        <v>1</v>
      </c>
      <c r="F14682" t="str">
        <f>"14-M01-05"</f>
        <v>14-M01-05</v>
      </c>
      <c r="G14682">
        <v>0.56289999999999996</v>
      </c>
      <c r="H14682" t="s">
        <v>13</v>
      </c>
      <c r="I14682" t="s">
        <v>10</v>
      </c>
    </row>
    <row r="14683" spans="1:9" x14ac:dyDescent="0.25">
      <c r="A14683" t="str">
        <f t="shared" si="339"/>
        <v>89301000</v>
      </c>
      <c r="B14683" t="str">
        <f>"9162244850"</f>
        <v>9162244850</v>
      </c>
      <c r="C14683" s="1">
        <v>44999</v>
      </c>
      <c r="D14683" s="1">
        <v>45002</v>
      </c>
      <c r="E14683">
        <v>1</v>
      </c>
      <c r="F14683" t="str">
        <f>"14-M01-05"</f>
        <v>14-M01-05</v>
      </c>
      <c r="G14683">
        <v>0.56289999999999996</v>
      </c>
      <c r="H14683" t="s">
        <v>13</v>
      </c>
      <c r="I14683" t="s">
        <v>10</v>
      </c>
    </row>
    <row r="14684" spans="1:9" x14ac:dyDescent="0.25">
      <c r="A14684" t="str">
        <f t="shared" si="339"/>
        <v>89301000</v>
      </c>
      <c r="B14684" t="str">
        <f>"9162285814"</f>
        <v>9162285814</v>
      </c>
      <c r="C14684" s="1">
        <v>45208</v>
      </c>
      <c r="D14684" s="1">
        <v>45212</v>
      </c>
      <c r="E14684">
        <v>1</v>
      </c>
      <c r="F14684" t="str">
        <f>"14-M01-05"</f>
        <v>14-M01-05</v>
      </c>
      <c r="G14684">
        <v>0.56289999999999996</v>
      </c>
      <c r="H14684" t="s">
        <v>13</v>
      </c>
      <c r="I14684" t="s">
        <v>10</v>
      </c>
    </row>
    <row r="14685" spans="1:9" x14ac:dyDescent="0.25">
      <c r="A14685" t="str">
        <f t="shared" si="339"/>
        <v>89301000</v>
      </c>
      <c r="B14685" t="str">
        <f>"9162304844"</f>
        <v>9162304844</v>
      </c>
      <c r="C14685" s="1">
        <v>45013</v>
      </c>
      <c r="D14685" s="1">
        <v>45014</v>
      </c>
      <c r="E14685">
        <v>1</v>
      </c>
      <c r="F14685" t="str">
        <f>"06-I17-04"</f>
        <v>06-I17-04</v>
      </c>
      <c r="G14685">
        <v>0.49869999999999998</v>
      </c>
      <c r="H14685" t="s">
        <v>12</v>
      </c>
      <c r="I14685" t="s">
        <v>10</v>
      </c>
    </row>
    <row r="14686" spans="1:9" x14ac:dyDescent="0.25">
      <c r="A14686" t="str">
        <f t="shared" si="339"/>
        <v>89301000</v>
      </c>
      <c r="B14686" t="str">
        <f>"9201065720"</f>
        <v>9201065720</v>
      </c>
      <c r="C14686" s="1">
        <v>44957</v>
      </c>
      <c r="D14686" s="1">
        <v>44959</v>
      </c>
      <c r="E14686">
        <v>1</v>
      </c>
      <c r="F14686" t="str">
        <f>"08-I18-02"</f>
        <v>08-I18-02</v>
      </c>
      <c r="G14686">
        <v>0.62509999999999999</v>
      </c>
      <c r="H14686" t="s">
        <v>12</v>
      </c>
      <c r="I14686" t="s">
        <v>10</v>
      </c>
    </row>
    <row r="14687" spans="1:9" x14ac:dyDescent="0.25">
      <c r="A14687" t="str">
        <f t="shared" si="339"/>
        <v>89301000</v>
      </c>
      <c r="B14687" t="str">
        <f>"9201125714"</f>
        <v>9201125714</v>
      </c>
      <c r="C14687" s="1">
        <v>45159</v>
      </c>
      <c r="D14687" s="1">
        <v>45163</v>
      </c>
      <c r="E14687">
        <v>1</v>
      </c>
      <c r="F14687" t="str">
        <f>"18-K02-04"</f>
        <v>18-K02-04</v>
      </c>
      <c r="G14687">
        <v>0.73280000000000001</v>
      </c>
      <c r="H14687" t="s">
        <v>11</v>
      </c>
      <c r="I14687" t="s">
        <v>10</v>
      </c>
    </row>
    <row r="14688" spans="1:9" x14ac:dyDescent="0.25">
      <c r="A14688" t="str">
        <f t="shared" si="339"/>
        <v>89301000</v>
      </c>
      <c r="B14688" t="str">
        <f>"9201154699"</f>
        <v>9201154699</v>
      </c>
      <c r="C14688" s="1">
        <v>44941</v>
      </c>
      <c r="D14688" s="1">
        <v>44942</v>
      </c>
      <c r="E14688">
        <v>1</v>
      </c>
      <c r="F14688" t="str">
        <f>"05-K05-05"</f>
        <v>05-K05-05</v>
      </c>
      <c r="G14688">
        <v>0.35659999999999997</v>
      </c>
      <c r="H14688" t="s">
        <v>11</v>
      </c>
      <c r="I14688" t="s">
        <v>10</v>
      </c>
    </row>
    <row r="14689" spans="1:9" x14ac:dyDescent="0.25">
      <c r="A14689" t="str">
        <f t="shared" si="339"/>
        <v>89301000</v>
      </c>
      <c r="B14689" t="str">
        <f>"9201235703"</f>
        <v>9201235703</v>
      </c>
      <c r="C14689" s="1">
        <v>45063</v>
      </c>
      <c r="D14689" s="1">
        <v>45066</v>
      </c>
      <c r="E14689">
        <v>1</v>
      </c>
      <c r="F14689" t="str">
        <f>"08-M03-04"</f>
        <v>08-M03-04</v>
      </c>
      <c r="G14689">
        <v>0.87760000000000005</v>
      </c>
      <c r="H14689" t="s">
        <v>11</v>
      </c>
      <c r="I14689" t="s">
        <v>10</v>
      </c>
    </row>
    <row r="14690" spans="1:9" x14ac:dyDescent="0.25">
      <c r="A14690" t="str">
        <f t="shared" si="339"/>
        <v>89301000</v>
      </c>
      <c r="B14690" t="str">
        <f>"9201245790"</f>
        <v>9201245790</v>
      </c>
      <c r="C14690" s="1">
        <v>45127</v>
      </c>
      <c r="D14690" s="1">
        <v>45133</v>
      </c>
      <c r="E14690">
        <v>1</v>
      </c>
      <c r="F14690" t="str">
        <f>"09-K11-00"</f>
        <v>09-K11-00</v>
      </c>
      <c r="G14690">
        <v>0.81259999999999999</v>
      </c>
      <c r="H14690" t="s">
        <v>11</v>
      </c>
      <c r="I14690" t="s">
        <v>10</v>
      </c>
    </row>
    <row r="14691" spans="1:9" x14ac:dyDescent="0.25">
      <c r="A14691" t="str">
        <f t="shared" si="339"/>
        <v>89301000</v>
      </c>
      <c r="B14691" t="str">
        <f>"9202056149"</f>
        <v>9202056149</v>
      </c>
      <c r="C14691" s="1">
        <v>45156</v>
      </c>
      <c r="D14691" s="1">
        <v>45157</v>
      </c>
      <c r="E14691">
        <v>1</v>
      </c>
      <c r="F14691" t="str">
        <f>"03-K12-01"</f>
        <v>03-K12-01</v>
      </c>
      <c r="G14691">
        <v>0.37</v>
      </c>
      <c r="H14691" t="s">
        <v>11</v>
      </c>
      <c r="I14691" t="s">
        <v>10</v>
      </c>
    </row>
    <row r="14692" spans="1:9" x14ac:dyDescent="0.25">
      <c r="A14692" t="str">
        <f t="shared" si="339"/>
        <v>89301000</v>
      </c>
      <c r="B14692" t="str">
        <f>"9202116176"</f>
        <v>9202116176</v>
      </c>
      <c r="C14692" s="1">
        <v>45035</v>
      </c>
      <c r="D14692" s="1">
        <v>45036</v>
      </c>
      <c r="E14692">
        <v>1</v>
      </c>
      <c r="F14692" t="str">
        <f>"05-D01-02"</f>
        <v>05-D01-02</v>
      </c>
      <c r="G14692">
        <v>1.6551</v>
      </c>
      <c r="H14692" t="s">
        <v>11</v>
      </c>
      <c r="I14692" t="s">
        <v>10</v>
      </c>
    </row>
    <row r="14693" spans="1:9" x14ac:dyDescent="0.25">
      <c r="A14693" t="str">
        <f t="shared" si="339"/>
        <v>89301000</v>
      </c>
      <c r="B14693" t="str">
        <f>"9202154841"</f>
        <v>9202154841</v>
      </c>
      <c r="C14693" s="1">
        <v>45246</v>
      </c>
      <c r="D14693" s="1">
        <v>45250</v>
      </c>
      <c r="E14693">
        <v>1</v>
      </c>
      <c r="F14693" t="str">
        <f>"12-C01-01"</f>
        <v>12-C01-01</v>
      </c>
      <c r="G14693">
        <v>0.66679999999999995</v>
      </c>
      <c r="H14693" t="s">
        <v>11</v>
      </c>
      <c r="I14693" t="s">
        <v>10</v>
      </c>
    </row>
    <row r="14694" spans="1:9" x14ac:dyDescent="0.25">
      <c r="A14694" t="str">
        <f t="shared" si="339"/>
        <v>89301000</v>
      </c>
      <c r="B14694" t="str">
        <f>"9202154841"</f>
        <v>9202154841</v>
      </c>
      <c r="C14694" s="1">
        <v>45203</v>
      </c>
      <c r="D14694" s="1">
        <v>45209</v>
      </c>
      <c r="E14694">
        <v>1</v>
      </c>
      <c r="F14694" t="str">
        <f>"12-C01-01"</f>
        <v>12-C01-01</v>
      </c>
      <c r="G14694">
        <v>0.66679999999999995</v>
      </c>
      <c r="H14694" t="s">
        <v>11</v>
      </c>
      <c r="I14694" t="s">
        <v>10</v>
      </c>
    </row>
    <row r="14695" spans="1:9" x14ac:dyDescent="0.25">
      <c r="A14695" t="str">
        <f t="shared" si="339"/>
        <v>89301000</v>
      </c>
      <c r="B14695" t="str">
        <f>"9202154841"</f>
        <v>9202154841</v>
      </c>
      <c r="C14695" s="1">
        <v>45267</v>
      </c>
      <c r="D14695" s="1">
        <v>45271</v>
      </c>
      <c r="E14695">
        <v>1</v>
      </c>
      <c r="F14695" t="str">
        <f>"12-C01-01"</f>
        <v>12-C01-01</v>
      </c>
      <c r="G14695">
        <v>0.66679999999999995</v>
      </c>
      <c r="H14695" t="s">
        <v>11</v>
      </c>
      <c r="I14695" t="s">
        <v>10</v>
      </c>
    </row>
    <row r="14696" spans="1:9" x14ac:dyDescent="0.25">
      <c r="A14696" t="str">
        <f t="shared" si="339"/>
        <v>89301000</v>
      </c>
      <c r="B14696" t="str">
        <f>"9202154841"</f>
        <v>9202154841</v>
      </c>
      <c r="C14696" s="1">
        <v>45225</v>
      </c>
      <c r="D14696" s="1">
        <v>45229</v>
      </c>
      <c r="E14696">
        <v>1</v>
      </c>
      <c r="F14696" t="str">
        <f>"12-C01-01"</f>
        <v>12-C01-01</v>
      </c>
      <c r="G14696">
        <v>0.66679999999999995</v>
      </c>
      <c r="H14696" t="s">
        <v>11</v>
      </c>
      <c r="I14696" t="s">
        <v>10</v>
      </c>
    </row>
    <row r="14697" spans="1:9" x14ac:dyDescent="0.25">
      <c r="A14697" t="str">
        <f t="shared" si="339"/>
        <v>89301000</v>
      </c>
      <c r="B14697" t="str">
        <f>"9202154841"</f>
        <v>9202154841</v>
      </c>
      <c r="C14697" s="1">
        <v>45183</v>
      </c>
      <c r="D14697" s="1">
        <v>45184</v>
      </c>
      <c r="E14697">
        <v>1</v>
      </c>
      <c r="F14697" t="str">
        <f>"12-I08-03"</f>
        <v>12-I08-03</v>
      </c>
      <c r="G14697">
        <v>0.75260000000000005</v>
      </c>
      <c r="H14697" t="s">
        <v>11</v>
      </c>
      <c r="I14697" t="s">
        <v>10</v>
      </c>
    </row>
    <row r="14698" spans="1:9" x14ac:dyDescent="0.25">
      <c r="A14698" t="str">
        <f t="shared" si="339"/>
        <v>89301000</v>
      </c>
      <c r="B14698" t="str">
        <f>"9202194463"</f>
        <v>9202194463</v>
      </c>
      <c r="C14698" s="1">
        <v>45064</v>
      </c>
      <c r="D14698" s="1">
        <v>45067</v>
      </c>
      <c r="E14698">
        <v>1</v>
      </c>
      <c r="F14698" t="str">
        <f>"08-M03-04"</f>
        <v>08-M03-04</v>
      </c>
      <c r="G14698">
        <v>0.87760000000000005</v>
      </c>
      <c r="H14698" t="s">
        <v>11</v>
      </c>
      <c r="I14698" t="s">
        <v>10</v>
      </c>
    </row>
    <row r="14699" spans="1:9" x14ac:dyDescent="0.25">
      <c r="A14699" t="str">
        <f t="shared" si="339"/>
        <v>89301000</v>
      </c>
      <c r="B14699" t="str">
        <f>"9202225736"</f>
        <v>9202225736</v>
      </c>
      <c r="C14699" s="1">
        <v>45160</v>
      </c>
      <c r="D14699" s="1">
        <v>45162</v>
      </c>
      <c r="E14699">
        <v>1</v>
      </c>
      <c r="F14699" t="str">
        <f>"08-I19-03"</f>
        <v>08-I19-03</v>
      </c>
      <c r="G14699">
        <v>0.59130000000000005</v>
      </c>
      <c r="H14699" t="s">
        <v>12</v>
      </c>
      <c r="I14699" t="s">
        <v>10</v>
      </c>
    </row>
    <row r="14700" spans="1:9" x14ac:dyDescent="0.25">
      <c r="A14700" t="str">
        <f t="shared" si="339"/>
        <v>89301000</v>
      </c>
      <c r="B14700" t="str">
        <f>"9203036183"</f>
        <v>9203036183</v>
      </c>
      <c r="C14700" s="1">
        <v>45085</v>
      </c>
      <c r="D14700" s="1">
        <v>45087</v>
      </c>
      <c r="E14700">
        <v>1</v>
      </c>
      <c r="F14700" t="str">
        <f>"08-M03-05"</f>
        <v>08-M03-05</v>
      </c>
      <c r="G14700">
        <v>0.46910000000000002</v>
      </c>
      <c r="H14700" t="s">
        <v>11</v>
      </c>
      <c r="I14700" t="s">
        <v>10</v>
      </c>
    </row>
    <row r="14701" spans="1:9" x14ac:dyDescent="0.25">
      <c r="A14701" t="str">
        <f t="shared" si="339"/>
        <v>89301000</v>
      </c>
      <c r="B14701" t="str">
        <f>"9203064871"</f>
        <v>9203064871</v>
      </c>
      <c r="C14701" s="1">
        <v>45110</v>
      </c>
      <c r="D14701" s="1">
        <v>45111</v>
      </c>
      <c r="E14701">
        <v>1</v>
      </c>
      <c r="F14701" t="str">
        <f>"12-I14-00"</f>
        <v>12-I14-00</v>
      </c>
      <c r="G14701">
        <v>0.42920000000000003</v>
      </c>
      <c r="H14701" t="s">
        <v>11</v>
      </c>
      <c r="I14701" t="s">
        <v>10</v>
      </c>
    </row>
    <row r="14702" spans="1:9" x14ac:dyDescent="0.25">
      <c r="A14702" t="str">
        <f t="shared" si="339"/>
        <v>89301000</v>
      </c>
      <c r="B14702" t="str">
        <f>"9203095737"</f>
        <v>9203095737</v>
      </c>
      <c r="C14702" s="1">
        <v>45102</v>
      </c>
      <c r="D14702" s="1">
        <v>45110</v>
      </c>
      <c r="E14702">
        <v>4</v>
      </c>
      <c r="F14702" t="str">
        <f>"25-I02-02"</f>
        <v>25-I02-02</v>
      </c>
      <c r="G14702">
        <v>6.6448999999999998</v>
      </c>
      <c r="H14702" t="s">
        <v>14</v>
      </c>
      <c r="I14702" t="s">
        <v>10</v>
      </c>
    </row>
    <row r="14703" spans="1:9" x14ac:dyDescent="0.25">
      <c r="A14703" t="str">
        <f t="shared" si="339"/>
        <v>89301000</v>
      </c>
      <c r="B14703" t="str">
        <f>"9203096144"</f>
        <v>9203096144</v>
      </c>
      <c r="C14703" s="1">
        <v>45090</v>
      </c>
      <c r="D14703" s="1">
        <v>45098</v>
      </c>
      <c r="E14703">
        <v>1</v>
      </c>
      <c r="F14703" t="str">
        <f>"07-M02-04"</f>
        <v>07-M02-04</v>
      </c>
      <c r="G14703">
        <v>0.77339999999999998</v>
      </c>
      <c r="H14703" t="s">
        <v>12</v>
      </c>
      <c r="I14703" t="s">
        <v>10</v>
      </c>
    </row>
    <row r="14704" spans="1:9" x14ac:dyDescent="0.25">
      <c r="A14704" t="str">
        <f t="shared" si="339"/>
        <v>89301000</v>
      </c>
      <c r="B14704" t="str">
        <f>"9203096144"</f>
        <v>9203096144</v>
      </c>
      <c r="C14704" s="1">
        <v>45145</v>
      </c>
      <c r="D14704" s="1">
        <v>45146</v>
      </c>
      <c r="E14704">
        <v>1</v>
      </c>
      <c r="F14704" t="str">
        <f>"07-M02-04"</f>
        <v>07-M02-04</v>
      </c>
      <c r="G14704">
        <v>0.77339999999999998</v>
      </c>
      <c r="H14704" t="s">
        <v>12</v>
      </c>
      <c r="I14704" t="s">
        <v>10</v>
      </c>
    </row>
    <row r="14705" spans="1:9" x14ac:dyDescent="0.25">
      <c r="A14705" t="str">
        <f t="shared" si="339"/>
        <v>89301000</v>
      </c>
      <c r="B14705" t="str">
        <f>"9203096144"</f>
        <v>9203096144</v>
      </c>
      <c r="C14705" s="1">
        <v>45068</v>
      </c>
      <c r="D14705" s="1">
        <v>45071</v>
      </c>
      <c r="E14705">
        <v>1</v>
      </c>
      <c r="F14705" t="str">
        <f>"07-M02-04"</f>
        <v>07-M02-04</v>
      </c>
      <c r="G14705">
        <v>1.4775</v>
      </c>
      <c r="H14705" t="s">
        <v>12</v>
      </c>
      <c r="I14705" t="s">
        <v>10</v>
      </c>
    </row>
    <row r="14706" spans="1:9" x14ac:dyDescent="0.25">
      <c r="A14706" t="str">
        <f t="shared" si="339"/>
        <v>89301000</v>
      </c>
      <c r="B14706" t="str">
        <f>"9203225504"</f>
        <v>9203225504</v>
      </c>
      <c r="C14706" s="1">
        <v>44927</v>
      </c>
      <c r="D14706" s="1">
        <v>44931</v>
      </c>
      <c r="E14706">
        <v>1</v>
      </c>
      <c r="F14706" t="str">
        <f>"08-M03-01"</f>
        <v>08-M03-01</v>
      </c>
      <c r="G14706">
        <v>0.93420000000000003</v>
      </c>
      <c r="H14706" t="s">
        <v>11</v>
      </c>
      <c r="I14706" t="s">
        <v>10</v>
      </c>
    </row>
    <row r="14707" spans="1:9" x14ac:dyDescent="0.25">
      <c r="A14707" t="str">
        <f t="shared" si="339"/>
        <v>89301000</v>
      </c>
      <c r="B14707" t="str">
        <f>"9203285751"</f>
        <v>9203285751</v>
      </c>
      <c r="C14707" s="1">
        <v>44935</v>
      </c>
      <c r="D14707" s="1">
        <v>44937</v>
      </c>
      <c r="E14707">
        <v>1</v>
      </c>
      <c r="F14707" t="str">
        <f>"03-I14-02"</f>
        <v>03-I14-02</v>
      </c>
      <c r="G14707">
        <v>1.0793999999999999</v>
      </c>
      <c r="H14707" t="s">
        <v>11</v>
      </c>
      <c r="I14707" t="s">
        <v>10</v>
      </c>
    </row>
    <row r="14708" spans="1:9" x14ac:dyDescent="0.25">
      <c r="A14708" t="str">
        <f t="shared" si="339"/>
        <v>89301000</v>
      </c>
      <c r="B14708" t="str">
        <f>"9204024841"</f>
        <v>9204024841</v>
      </c>
      <c r="C14708" s="1">
        <v>45229</v>
      </c>
      <c r="D14708" s="1">
        <v>45231</v>
      </c>
      <c r="E14708">
        <v>1</v>
      </c>
      <c r="F14708" t="str">
        <f>"08-I04-03"</f>
        <v>08-I04-03</v>
      </c>
      <c r="G14708">
        <v>1.3045</v>
      </c>
      <c r="H14708" t="s">
        <v>14</v>
      </c>
      <c r="I14708" t="s">
        <v>10</v>
      </c>
    </row>
    <row r="14709" spans="1:9" x14ac:dyDescent="0.25">
      <c r="A14709" t="str">
        <f t="shared" si="339"/>
        <v>89301000</v>
      </c>
      <c r="B14709" t="str">
        <f>"9204114843"</f>
        <v>9204114843</v>
      </c>
      <c r="C14709" s="1">
        <v>45186</v>
      </c>
      <c r="D14709" s="1">
        <v>45192</v>
      </c>
      <c r="E14709">
        <v>1</v>
      </c>
      <c r="F14709" t="str">
        <f>"01-I06-04"</f>
        <v>01-I06-04</v>
      </c>
      <c r="G14709">
        <v>3.6478999999999999</v>
      </c>
      <c r="H14709" t="s">
        <v>12</v>
      </c>
      <c r="I14709" t="s">
        <v>10</v>
      </c>
    </row>
    <row r="14710" spans="1:9" x14ac:dyDescent="0.25">
      <c r="A14710" t="str">
        <f t="shared" si="339"/>
        <v>89301000</v>
      </c>
      <c r="B14710" t="str">
        <f>"9204155741"</f>
        <v>9204155741</v>
      </c>
      <c r="C14710" s="1">
        <v>44977</v>
      </c>
      <c r="D14710" s="1">
        <v>44981</v>
      </c>
      <c r="E14710">
        <v>1</v>
      </c>
      <c r="F14710" t="str">
        <f>"08-K08-00"</f>
        <v>08-K08-00</v>
      </c>
      <c r="G14710">
        <v>0.5272</v>
      </c>
      <c r="H14710" t="s">
        <v>11</v>
      </c>
      <c r="I14710" t="s">
        <v>10</v>
      </c>
    </row>
    <row r="14711" spans="1:9" x14ac:dyDescent="0.25">
      <c r="A14711" t="str">
        <f t="shared" si="339"/>
        <v>89301000</v>
      </c>
      <c r="B14711" t="str">
        <f>"9204156170"</f>
        <v>9204156170</v>
      </c>
      <c r="C14711" s="1">
        <v>45258</v>
      </c>
      <c r="D14711" s="1">
        <v>45260</v>
      </c>
      <c r="E14711">
        <v>1</v>
      </c>
      <c r="F14711" t="str">
        <f>"08-M03-02"</f>
        <v>08-M03-02</v>
      </c>
      <c r="G14711">
        <v>0.91359999999999997</v>
      </c>
      <c r="H14711" t="s">
        <v>11</v>
      </c>
      <c r="I14711" t="s">
        <v>10</v>
      </c>
    </row>
    <row r="14712" spans="1:9" x14ac:dyDescent="0.25">
      <c r="A14712" t="str">
        <f t="shared" si="339"/>
        <v>89301000</v>
      </c>
      <c r="B14712" t="str">
        <f>"9204175717"</f>
        <v>9204175717</v>
      </c>
      <c r="C14712" s="1">
        <v>45264</v>
      </c>
      <c r="D14712" s="1">
        <v>45265</v>
      </c>
      <c r="E14712">
        <v>1</v>
      </c>
      <c r="F14712" t="str">
        <f>"05-K05-05"</f>
        <v>05-K05-05</v>
      </c>
      <c r="G14712">
        <v>0.3579</v>
      </c>
      <c r="H14712" t="s">
        <v>11</v>
      </c>
      <c r="I14712" t="s">
        <v>10</v>
      </c>
    </row>
    <row r="14713" spans="1:9" x14ac:dyDescent="0.25">
      <c r="A14713" t="str">
        <f t="shared" si="339"/>
        <v>89301000</v>
      </c>
      <c r="B14713" t="str">
        <f>"9204225712"</f>
        <v>9204225712</v>
      </c>
      <c r="C14713" s="1">
        <v>45049</v>
      </c>
      <c r="D14713" s="1">
        <v>45051</v>
      </c>
      <c r="E14713">
        <v>1</v>
      </c>
      <c r="F14713" t="str">
        <f>"03-I14-02"</f>
        <v>03-I14-02</v>
      </c>
      <c r="G14713">
        <v>1.0793999999999999</v>
      </c>
      <c r="H14713" t="s">
        <v>11</v>
      </c>
      <c r="I14713" t="s">
        <v>10</v>
      </c>
    </row>
    <row r="14714" spans="1:9" x14ac:dyDescent="0.25">
      <c r="A14714" t="str">
        <f t="shared" si="339"/>
        <v>89301000</v>
      </c>
      <c r="B14714" t="str">
        <f>"9204234017"</f>
        <v>9204234017</v>
      </c>
      <c r="C14714" s="1">
        <v>44993</v>
      </c>
      <c r="D14714" s="1">
        <v>44995</v>
      </c>
      <c r="E14714">
        <v>1</v>
      </c>
      <c r="F14714" t="str">
        <f>"08-M03-02"</f>
        <v>08-M03-02</v>
      </c>
      <c r="G14714">
        <v>0.91359999999999997</v>
      </c>
      <c r="H14714" t="s">
        <v>11</v>
      </c>
      <c r="I14714" t="s">
        <v>10</v>
      </c>
    </row>
    <row r="14715" spans="1:9" x14ac:dyDescent="0.25">
      <c r="A14715" t="str">
        <f t="shared" si="339"/>
        <v>89301000</v>
      </c>
      <c r="B14715" t="str">
        <f>"9205025709"</f>
        <v>9205025709</v>
      </c>
      <c r="C14715" s="1">
        <v>45211</v>
      </c>
      <c r="D14715" s="1">
        <v>45217</v>
      </c>
      <c r="E14715">
        <v>1</v>
      </c>
      <c r="F14715" t="str">
        <f>"11-K12-02"</f>
        <v>11-K12-02</v>
      </c>
      <c r="G14715">
        <v>0.58330000000000004</v>
      </c>
      <c r="H14715" t="s">
        <v>11</v>
      </c>
      <c r="I14715" t="s">
        <v>10</v>
      </c>
    </row>
    <row r="14716" spans="1:9" x14ac:dyDescent="0.25">
      <c r="A14716" t="str">
        <f t="shared" si="339"/>
        <v>89301000</v>
      </c>
      <c r="B14716" t="str">
        <f>"9205165717"</f>
        <v>9205165717</v>
      </c>
      <c r="C14716" s="1">
        <v>45223</v>
      </c>
      <c r="D14716" s="1">
        <v>45224</v>
      </c>
      <c r="E14716">
        <v>1</v>
      </c>
      <c r="F14716" t="str">
        <f>"06-I17-04"</f>
        <v>06-I17-04</v>
      </c>
      <c r="G14716">
        <v>0.49869999999999998</v>
      </c>
      <c r="H14716" t="s">
        <v>12</v>
      </c>
      <c r="I14716" t="s">
        <v>10</v>
      </c>
    </row>
    <row r="14717" spans="1:9" x14ac:dyDescent="0.25">
      <c r="A14717" t="str">
        <f t="shared" si="339"/>
        <v>89301000</v>
      </c>
      <c r="B14717" t="str">
        <f>"9205215778"</f>
        <v>9205215778</v>
      </c>
      <c r="C14717" s="1">
        <v>44957</v>
      </c>
      <c r="D14717" s="1">
        <v>44959</v>
      </c>
      <c r="E14717">
        <v>1</v>
      </c>
      <c r="F14717" t="str">
        <f>"08-I32-00"</f>
        <v>08-I32-00</v>
      </c>
      <c r="G14717">
        <v>0.4093</v>
      </c>
      <c r="H14717" t="s">
        <v>11</v>
      </c>
      <c r="I14717" t="s">
        <v>10</v>
      </c>
    </row>
    <row r="14718" spans="1:9" x14ac:dyDescent="0.25">
      <c r="A14718" t="str">
        <f t="shared" si="339"/>
        <v>89301000</v>
      </c>
      <c r="B14718" t="str">
        <f>"9205245742"</f>
        <v>9205245742</v>
      </c>
      <c r="C14718" s="1">
        <v>45078</v>
      </c>
      <c r="D14718" s="1">
        <v>45079</v>
      </c>
      <c r="E14718">
        <v>1</v>
      </c>
      <c r="F14718" t="str">
        <f>"01-D01-03"</f>
        <v>01-D01-03</v>
      </c>
      <c r="G14718">
        <v>0.16200000000000001</v>
      </c>
      <c r="H14718" t="s">
        <v>11</v>
      </c>
      <c r="I14718" t="s">
        <v>10</v>
      </c>
    </row>
    <row r="14719" spans="1:9" x14ac:dyDescent="0.25">
      <c r="A14719" t="str">
        <f t="shared" si="339"/>
        <v>89301000</v>
      </c>
      <c r="B14719" t="str">
        <f>"9205245742"</f>
        <v>9205245742</v>
      </c>
      <c r="C14719" s="1">
        <v>45142</v>
      </c>
      <c r="D14719" s="1">
        <v>45145</v>
      </c>
      <c r="E14719">
        <v>1</v>
      </c>
      <c r="F14719" t="str">
        <f>"10-K15-02"</f>
        <v>10-K15-02</v>
      </c>
      <c r="G14719">
        <v>0.66379999999999995</v>
      </c>
      <c r="H14719" t="s">
        <v>11</v>
      </c>
      <c r="I14719" t="s">
        <v>10</v>
      </c>
    </row>
    <row r="14720" spans="1:9" x14ac:dyDescent="0.25">
      <c r="A14720" t="str">
        <f t="shared" si="339"/>
        <v>89301000</v>
      </c>
      <c r="B14720" t="str">
        <f>"9205276146"</f>
        <v>9205276146</v>
      </c>
      <c r="C14720" s="1">
        <v>45265</v>
      </c>
      <c r="D14720" s="1">
        <v>45272</v>
      </c>
      <c r="E14720">
        <v>1</v>
      </c>
      <c r="F14720" t="str">
        <f>"20-K03-03"</f>
        <v>20-K03-03</v>
      </c>
      <c r="G14720">
        <v>0.94020000000000004</v>
      </c>
      <c r="H14720" t="s">
        <v>11</v>
      </c>
      <c r="I14720" t="s">
        <v>10</v>
      </c>
    </row>
    <row r="14721" spans="1:9" x14ac:dyDescent="0.25">
      <c r="A14721" t="str">
        <f t="shared" si="339"/>
        <v>89301000</v>
      </c>
      <c r="B14721" t="str">
        <f>"9205295770"</f>
        <v>9205295770</v>
      </c>
      <c r="C14721" s="1">
        <v>44976</v>
      </c>
      <c r="D14721" s="1">
        <v>44979</v>
      </c>
      <c r="E14721">
        <v>1</v>
      </c>
      <c r="F14721" t="str">
        <f>"01-K16-02"</f>
        <v>01-K16-02</v>
      </c>
      <c r="G14721">
        <v>1.0049999999999999</v>
      </c>
      <c r="H14721" t="s">
        <v>11</v>
      </c>
      <c r="I14721" t="s">
        <v>10</v>
      </c>
    </row>
    <row r="14722" spans="1:9" x14ac:dyDescent="0.25">
      <c r="A14722" t="str">
        <f t="shared" si="339"/>
        <v>89301000</v>
      </c>
      <c r="B14722" t="str">
        <f>"9206024872"</f>
        <v>9206024872</v>
      </c>
      <c r="C14722" s="1">
        <v>45020</v>
      </c>
      <c r="D14722" s="1">
        <v>45025</v>
      </c>
      <c r="E14722">
        <v>1</v>
      </c>
      <c r="F14722" t="str">
        <f>"03-I11-03"</f>
        <v>03-I11-03</v>
      </c>
      <c r="G14722">
        <v>1.1267</v>
      </c>
      <c r="H14722" t="s">
        <v>12</v>
      </c>
      <c r="I14722" t="s">
        <v>10</v>
      </c>
    </row>
    <row r="14723" spans="1:9" x14ac:dyDescent="0.25">
      <c r="A14723" t="str">
        <f t="shared" si="339"/>
        <v>89301000</v>
      </c>
      <c r="B14723" t="str">
        <f>"9207015675"</f>
        <v>9207015675</v>
      </c>
      <c r="C14723" s="1">
        <v>44984</v>
      </c>
      <c r="D14723" s="1">
        <v>44985</v>
      </c>
      <c r="E14723">
        <v>1</v>
      </c>
      <c r="F14723" t="str">
        <f>"17-K10-02"</f>
        <v>17-K10-02</v>
      </c>
      <c r="G14723">
        <v>0.59770000000000001</v>
      </c>
      <c r="H14723" t="s">
        <v>11</v>
      </c>
      <c r="I14723" t="s">
        <v>10</v>
      </c>
    </row>
    <row r="14724" spans="1:9" x14ac:dyDescent="0.25">
      <c r="A14724" t="str">
        <f t="shared" si="339"/>
        <v>89301000</v>
      </c>
      <c r="B14724" t="str">
        <f>"9207036190"</f>
        <v>9207036190</v>
      </c>
      <c r="C14724" s="1">
        <v>44966</v>
      </c>
      <c r="D14724" s="1">
        <v>44967</v>
      </c>
      <c r="E14724">
        <v>1</v>
      </c>
      <c r="F14724" t="str">
        <f>"02-I12-02"</f>
        <v>02-I12-02</v>
      </c>
      <c r="G14724">
        <v>0.78639999999999999</v>
      </c>
      <c r="H14724" t="s">
        <v>11</v>
      </c>
      <c r="I14724" t="s">
        <v>10</v>
      </c>
    </row>
    <row r="14725" spans="1:9" x14ac:dyDescent="0.25">
      <c r="A14725" t="str">
        <f t="shared" si="339"/>
        <v>89301000</v>
      </c>
      <c r="B14725" t="str">
        <f>"9207085723"</f>
        <v>9207085723</v>
      </c>
      <c r="C14725" s="1">
        <v>44935</v>
      </c>
      <c r="D14725" s="1">
        <v>44936</v>
      </c>
      <c r="E14725">
        <v>1</v>
      </c>
      <c r="F14725" t="str">
        <f>"08-I32-00"</f>
        <v>08-I32-00</v>
      </c>
      <c r="G14725">
        <v>0.4093</v>
      </c>
      <c r="H14725" t="s">
        <v>11</v>
      </c>
      <c r="I14725" t="s">
        <v>10</v>
      </c>
    </row>
    <row r="14726" spans="1:9" x14ac:dyDescent="0.25">
      <c r="A14726" t="str">
        <f t="shared" si="339"/>
        <v>89301000</v>
      </c>
      <c r="B14726" t="str">
        <f>"9207085734"</f>
        <v>9207085734</v>
      </c>
      <c r="C14726" s="1">
        <v>45085</v>
      </c>
      <c r="D14726" s="1">
        <v>45086</v>
      </c>
      <c r="E14726">
        <v>1</v>
      </c>
      <c r="F14726" t="str">
        <f>"23-K04-02"</f>
        <v>23-K04-02</v>
      </c>
      <c r="G14726">
        <v>0.38150000000000001</v>
      </c>
      <c r="H14726" t="s">
        <v>11</v>
      </c>
      <c r="I14726" t="s">
        <v>10</v>
      </c>
    </row>
    <row r="14727" spans="1:9" x14ac:dyDescent="0.25">
      <c r="A14727" t="str">
        <f t="shared" si="339"/>
        <v>89301000</v>
      </c>
      <c r="B14727" t="str">
        <f>"9207245751"</f>
        <v>9207245751</v>
      </c>
      <c r="C14727" s="1">
        <v>44942</v>
      </c>
      <c r="D14727" s="1">
        <v>44944</v>
      </c>
      <c r="E14727">
        <v>1</v>
      </c>
      <c r="F14727" t="str">
        <f>"08-M03-05"</f>
        <v>08-M03-05</v>
      </c>
      <c r="G14727">
        <v>0.46810000000000002</v>
      </c>
      <c r="H14727" t="s">
        <v>11</v>
      </c>
      <c r="I14727" t="s">
        <v>10</v>
      </c>
    </row>
    <row r="14728" spans="1:9" x14ac:dyDescent="0.25">
      <c r="A14728" t="str">
        <f t="shared" si="339"/>
        <v>89301000</v>
      </c>
      <c r="B14728" t="str">
        <f>"9208155099"</f>
        <v>9208155099</v>
      </c>
      <c r="C14728" s="1">
        <v>45000</v>
      </c>
      <c r="D14728" s="1">
        <v>45005</v>
      </c>
      <c r="E14728">
        <v>1</v>
      </c>
      <c r="F14728" t="str">
        <f>"10-K15-02"</f>
        <v>10-K15-02</v>
      </c>
      <c r="G14728">
        <v>0.66379999999999995</v>
      </c>
      <c r="H14728" t="s">
        <v>11</v>
      </c>
      <c r="I14728" t="s">
        <v>10</v>
      </c>
    </row>
    <row r="14729" spans="1:9" x14ac:dyDescent="0.25">
      <c r="A14729" t="str">
        <f t="shared" si="339"/>
        <v>89301000</v>
      </c>
      <c r="B14729" t="str">
        <f>"9208285746"</f>
        <v>9208285746</v>
      </c>
      <c r="C14729" s="1">
        <v>44906</v>
      </c>
      <c r="D14729" s="1">
        <v>44931</v>
      </c>
      <c r="E14729">
        <v>1</v>
      </c>
      <c r="F14729" t="str">
        <f>"20-K07-02"</f>
        <v>20-K07-02</v>
      </c>
      <c r="G14729">
        <v>2.5350000000000001</v>
      </c>
      <c r="H14729" t="s">
        <v>11</v>
      </c>
      <c r="I14729" t="s">
        <v>10</v>
      </c>
    </row>
    <row r="14730" spans="1:9" x14ac:dyDescent="0.25">
      <c r="A14730" t="str">
        <f t="shared" si="339"/>
        <v>89301000</v>
      </c>
      <c r="B14730" t="str">
        <f>"9209045714"</f>
        <v>9209045714</v>
      </c>
      <c r="C14730" s="1">
        <v>45052</v>
      </c>
      <c r="D14730" s="1">
        <v>45056</v>
      </c>
      <c r="E14730">
        <v>1</v>
      </c>
      <c r="F14730" t="str">
        <f>"01-K03-08"</f>
        <v>01-K03-08</v>
      </c>
      <c r="G14730">
        <v>0.38290000000000002</v>
      </c>
      <c r="H14730" t="s">
        <v>11</v>
      </c>
      <c r="I14730" t="s">
        <v>10</v>
      </c>
    </row>
    <row r="14731" spans="1:9" x14ac:dyDescent="0.25">
      <c r="A14731" t="str">
        <f t="shared" ref="A14731:A14793" si="340">"89301000"</f>
        <v>89301000</v>
      </c>
      <c r="B14731" t="str">
        <f>"9209045714"</f>
        <v>9209045714</v>
      </c>
      <c r="C14731" s="1">
        <v>45090</v>
      </c>
      <c r="D14731" s="1">
        <v>45092</v>
      </c>
      <c r="E14731">
        <v>1</v>
      </c>
      <c r="F14731" t="str">
        <f>"01-D01-02"</f>
        <v>01-D01-02</v>
      </c>
      <c r="G14731">
        <v>0.4461</v>
      </c>
      <c r="H14731" t="s">
        <v>11</v>
      </c>
      <c r="I14731" t="s">
        <v>10</v>
      </c>
    </row>
    <row r="14732" spans="1:9" x14ac:dyDescent="0.25">
      <c r="A14732" t="str">
        <f t="shared" si="340"/>
        <v>89301000</v>
      </c>
      <c r="B14732" t="str">
        <f>"9209114849"</f>
        <v>9209114849</v>
      </c>
      <c r="C14732" s="1">
        <v>44998</v>
      </c>
      <c r="D14732" s="1">
        <v>44999</v>
      </c>
      <c r="E14732">
        <v>1</v>
      </c>
      <c r="F14732" t="str">
        <f>"12-I14-00"</f>
        <v>12-I14-00</v>
      </c>
      <c r="G14732">
        <v>0.42920000000000003</v>
      </c>
      <c r="H14732" t="s">
        <v>11</v>
      </c>
      <c r="I14732" t="s">
        <v>10</v>
      </c>
    </row>
    <row r="14733" spans="1:9" x14ac:dyDescent="0.25">
      <c r="A14733" t="str">
        <f t="shared" si="340"/>
        <v>89301000</v>
      </c>
      <c r="B14733" t="str">
        <f>"9209174843"</f>
        <v>9209174843</v>
      </c>
      <c r="C14733" s="1">
        <v>44935</v>
      </c>
      <c r="D14733" s="1">
        <v>44936</v>
      </c>
      <c r="E14733">
        <v>1</v>
      </c>
      <c r="F14733" t="str">
        <f>"01-D01-03"</f>
        <v>01-D01-03</v>
      </c>
      <c r="G14733">
        <v>0.16200000000000001</v>
      </c>
      <c r="H14733" t="s">
        <v>11</v>
      </c>
      <c r="I14733" t="s">
        <v>10</v>
      </c>
    </row>
    <row r="14734" spans="1:9" x14ac:dyDescent="0.25">
      <c r="A14734" t="str">
        <f t="shared" si="340"/>
        <v>89301000</v>
      </c>
      <c r="B14734" t="str">
        <f>"9209174843"</f>
        <v>9209174843</v>
      </c>
      <c r="C14734" s="1">
        <v>44978</v>
      </c>
      <c r="D14734" s="1">
        <v>44979</v>
      </c>
      <c r="E14734">
        <v>1</v>
      </c>
      <c r="F14734" t="str">
        <f>"01-D01-03"</f>
        <v>01-D01-03</v>
      </c>
      <c r="G14734">
        <v>0.16200000000000001</v>
      </c>
      <c r="H14734" t="s">
        <v>11</v>
      </c>
      <c r="I14734" t="s">
        <v>10</v>
      </c>
    </row>
    <row r="14735" spans="1:9" x14ac:dyDescent="0.25">
      <c r="A14735" t="str">
        <f t="shared" si="340"/>
        <v>89301000</v>
      </c>
      <c r="B14735" t="str">
        <f>"9209185755"</f>
        <v>9209185755</v>
      </c>
      <c r="C14735" s="1">
        <v>45189</v>
      </c>
      <c r="D14735" s="1">
        <v>45191</v>
      </c>
      <c r="E14735">
        <v>1</v>
      </c>
      <c r="F14735" t="str">
        <f>"08-I04-03"</f>
        <v>08-I04-03</v>
      </c>
      <c r="G14735">
        <v>1.3045</v>
      </c>
      <c r="H14735" t="s">
        <v>14</v>
      </c>
      <c r="I14735" t="s">
        <v>10</v>
      </c>
    </row>
    <row r="14736" spans="1:9" x14ac:dyDescent="0.25">
      <c r="A14736" t="str">
        <f t="shared" si="340"/>
        <v>89301000</v>
      </c>
      <c r="B14736" t="str">
        <f>"9209185755"</f>
        <v>9209185755</v>
      </c>
      <c r="C14736" s="1">
        <v>45114</v>
      </c>
      <c r="D14736" s="1">
        <v>45128</v>
      </c>
      <c r="E14736">
        <v>1</v>
      </c>
      <c r="F14736" t="str">
        <f>"24-M07-02"</f>
        <v>24-M07-02</v>
      </c>
      <c r="G14736">
        <v>1.5729</v>
      </c>
      <c r="H14736" t="s">
        <v>11</v>
      </c>
      <c r="I14736" t="s">
        <v>10</v>
      </c>
    </row>
    <row r="14737" spans="1:9" x14ac:dyDescent="0.25">
      <c r="A14737" t="str">
        <f t="shared" si="340"/>
        <v>89301000</v>
      </c>
      <c r="B14737" t="str">
        <f>"9209185755"</f>
        <v>9209185755</v>
      </c>
      <c r="C14737" s="1">
        <v>45215</v>
      </c>
      <c r="D14737" s="1">
        <v>45226</v>
      </c>
      <c r="E14737">
        <v>1</v>
      </c>
      <c r="F14737" t="str">
        <f>"24-M06-02"</f>
        <v>24-M06-02</v>
      </c>
      <c r="G14737">
        <v>1.0699000000000001</v>
      </c>
      <c r="H14737" t="s">
        <v>11</v>
      </c>
      <c r="I14737" t="s">
        <v>10</v>
      </c>
    </row>
    <row r="14738" spans="1:9" x14ac:dyDescent="0.25">
      <c r="A14738" t="str">
        <f t="shared" si="340"/>
        <v>89301000</v>
      </c>
      <c r="B14738" t="str">
        <f>"9209224882"</f>
        <v>9209224882</v>
      </c>
      <c r="C14738" s="1">
        <v>45197</v>
      </c>
      <c r="D14738" s="1">
        <v>45200</v>
      </c>
      <c r="E14738">
        <v>1</v>
      </c>
      <c r="F14738" t="str">
        <f>"08-I23-02"</f>
        <v>08-I23-02</v>
      </c>
      <c r="G14738">
        <v>0.91059999999999997</v>
      </c>
      <c r="H14738" t="s">
        <v>12</v>
      </c>
      <c r="I14738" t="s">
        <v>10</v>
      </c>
    </row>
    <row r="14739" spans="1:9" x14ac:dyDescent="0.25">
      <c r="A14739" t="str">
        <f t="shared" si="340"/>
        <v>89301000</v>
      </c>
      <c r="B14739" t="str">
        <f>"9210175711"</f>
        <v>9210175711</v>
      </c>
      <c r="C14739" s="1">
        <v>45223</v>
      </c>
      <c r="D14739" s="1">
        <v>45224</v>
      </c>
      <c r="E14739">
        <v>1</v>
      </c>
      <c r="F14739" t="str">
        <f>"03-K13-02"</f>
        <v>03-K13-02</v>
      </c>
      <c r="G14739">
        <v>0.24440000000000001</v>
      </c>
      <c r="H14739" t="s">
        <v>11</v>
      </c>
      <c r="I14739" t="s">
        <v>10</v>
      </c>
    </row>
    <row r="14740" spans="1:9" x14ac:dyDescent="0.25">
      <c r="A14740" t="str">
        <f t="shared" si="340"/>
        <v>89301000</v>
      </c>
      <c r="B14740" t="str">
        <f>"9210264844"</f>
        <v>9210264844</v>
      </c>
      <c r="C14740" s="1">
        <v>44930</v>
      </c>
      <c r="D14740" s="1">
        <v>44939</v>
      </c>
      <c r="E14740">
        <v>1</v>
      </c>
      <c r="F14740" t="str">
        <f>"20-K03-03"</f>
        <v>20-K03-03</v>
      </c>
      <c r="G14740">
        <v>0.94020000000000004</v>
      </c>
      <c r="H14740" t="s">
        <v>11</v>
      </c>
      <c r="I14740" t="s">
        <v>10</v>
      </c>
    </row>
    <row r="14741" spans="1:9" x14ac:dyDescent="0.25">
      <c r="A14741" t="str">
        <f t="shared" si="340"/>
        <v>89301000</v>
      </c>
      <c r="B14741" t="str">
        <f>"9211144855"</f>
        <v>9211144855</v>
      </c>
      <c r="C14741" s="1">
        <v>45018</v>
      </c>
      <c r="D14741" s="1">
        <v>45020</v>
      </c>
      <c r="E14741">
        <v>1</v>
      </c>
      <c r="F14741" t="str">
        <f>"08-I32-00"</f>
        <v>08-I32-00</v>
      </c>
      <c r="G14741">
        <v>0.4093</v>
      </c>
      <c r="H14741" t="s">
        <v>11</v>
      </c>
      <c r="I14741" t="s">
        <v>10</v>
      </c>
    </row>
    <row r="14742" spans="1:9" x14ac:dyDescent="0.25">
      <c r="A14742" t="str">
        <f t="shared" si="340"/>
        <v>89301000</v>
      </c>
      <c r="B14742" t="str">
        <f>"9211224847"</f>
        <v>9211224847</v>
      </c>
      <c r="C14742" s="1">
        <v>45154</v>
      </c>
      <c r="D14742" s="1">
        <v>45157</v>
      </c>
      <c r="E14742">
        <v>1</v>
      </c>
      <c r="F14742" t="str">
        <f>"05-K17-00"</f>
        <v>05-K17-00</v>
      </c>
      <c r="G14742">
        <v>0.80159999999999998</v>
      </c>
      <c r="H14742" t="s">
        <v>11</v>
      </c>
      <c r="I14742" t="s">
        <v>10</v>
      </c>
    </row>
    <row r="14743" spans="1:9" x14ac:dyDescent="0.25">
      <c r="A14743" t="str">
        <f t="shared" si="340"/>
        <v>89301000</v>
      </c>
      <c r="B14743" t="str">
        <f>"9211225738"</f>
        <v>9211225738</v>
      </c>
      <c r="C14743" s="1">
        <v>45190</v>
      </c>
      <c r="D14743" s="1">
        <v>45193</v>
      </c>
      <c r="E14743">
        <v>1</v>
      </c>
      <c r="F14743" t="str">
        <f>"03-I18-01"</f>
        <v>03-I18-01</v>
      </c>
      <c r="G14743">
        <v>1.1439999999999999</v>
      </c>
      <c r="H14743" t="s">
        <v>9</v>
      </c>
      <c r="I14743" t="s">
        <v>10</v>
      </c>
    </row>
    <row r="14744" spans="1:9" x14ac:dyDescent="0.25">
      <c r="A14744" t="str">
        <f t="shared" si="340"/>
        <v>89301000</v>
      </c>
      <c r="B14744" t="str">
        <f>"9212014845"</f>
        <v>9212014845</v>
      </c>
      <c r="C14744" s="1">
        <v>45007</v>
      </c>
      <c r="D14744" s="1">
        <v>45009</v>
      </c>
      <c r="E14744">
        <v>1</v>
      </c>
      <c r="F14744" t="str">
        <f>"04-K07-03"</f>
        <v>04-K07-03</v>
      </c>
      <c r="G14744">
        <v>0.61119999999999997</v>
      </c>
      <c r="H14744" t="s">
        <v>11</v>
      </c>
      <c r="I14744" t="s">
        <v>10</v>
      </c>
    </row>
    <row r="14745" spans="1:9" x14ac:dyDescent="0.25">
      <c r="A14745" t="str">
        <f t="shared" si="340"/>
        <v>89301000</v>
      </c>
      <c r="B14745" t="str">
        <f>"9212014845"</f>
        <v>9212014845</v>
      </c>
      <c r="C14745" s="1">
        <v>44979</v>
      </c>
      <c r="D14745" s="1">
        <v>44982</v>
      </c>
      <c r="E14745">
        <v>1</v>
      </c>
      <c r="F14745" t="str">
        <f>"04-I09-02"</f>
        <v>04-I09-02</v>
      </c>
      <c r="G14745">
        <v>0.89080000000000004</v>
      </c>
      <c r="H14745" t="s">
        <v>11</v>
      </c>
      <c r="I14745" t="s">
        <v>10</v>
      </c>
    </row>
    <row r="14746" spans="1:9" x14ac:dyDescent="0.25">
      <c r="A14746" t="str">
        <f t="shared" si="340"/>
        <v>89301000</v>
      </c>
      <c r="B14746" t="str">
        <f>"9212024855"</f>
        <v>9212024855</v>
      </c>
      <c r="C14746" s="1">
        <v>44997</v>
      </c>
      <c r="D14746" s="1">
        <v>44999</v>
      </c>
      <c r="E14746">
        <v>1</v>
      </c>
      <c r="F14746" t="str">
        <f>"06-I16-03"</f>
        <v>06-I16-03</v>
      </c>
      <c r="G14746">
        <v>0.83740000000000003</v>
      </c>
      <c r="H14746" t="s">
        <v>9</v>
      </c>
      <c r="I14746" t="s">
        <v>10</v>
      </c>
    </row>
    <row r="14747" spans="1:9" x14ac:dyDescent="0.25">
      <c r="A14747" t="str">
        <f t="shared" si="340"/>
        <v>89301000</v>
      </c>
      <c r="B14747" t="str">
        <f>"9212135724"</f>
        <v>9212135724</v>
      </c>
      <c r="C14747" s="1">
        <v>45019</v>
      </c>
      <c r="D14747" s="1">
        <v>45021</v>
      </c>
      <c r="E14747">
        <v>1</v>
      </c>
      <c r="F14747" t="str">
        <f>"05-I30-01"</f>
        <v>05-I30-01</v>
      </c>
      <c r="G14747">
        <v>0.60309999999999997</v>
      </c>
      <c r="H14747" t="s">
        <v>12</v>
      </c>
      <c r="I14747" t="s">
        <v>10</v>
      </c>
    </row>
    <row r="14748" spans="1:9" x14ac:dyDescent="0.25">
      <c r="A14748" t="str">
        <f t="shared" si="340"/>
        <v>89301000</v>
      </c>
      <c r="B14748" t="str">
        <f>"9212195322"</f>
        <v>9212195322</v>
      </c>
      <c r="C14748" s="1">
        <v>45016</v>
      </c>
      <c r="D14748" s="1">
        <v>45019</v>
      </c>
      <c r="E14748">
        <v>1</v>
      </c>
      <c r="F14748" t="str">
        <f>"10-K04-04"</f>
        <v>10-K04-04</v>
      </c>
      <c r="G14748">
        <v>0.53949999999999998</v>
      </c>
      <c r="H14748" t="s">
        <v>11</v>
      </c>
      <c r="I14748" t="s">
        <v>10</v>
      </c>
    </row>
    <row r="14749" spans="1:9" x14ac:dyDescent="0.25">
      <c r="A14749" t="str">
        <f t="shared" si="340"/>
        <v>89301000</v>
      </c>
      <c r="B14749" t="str">
        <f>"9251015719"</f>
        <v>9251015719</v>
      </c>
      <c r="C14749" s="1">
        <v>45036</v>
      </c>
      <c r="D14749" s="1">
        <v>45042</v>
      </c>
      <c r="E14749">
        <v>1</v>
      </c>
      <c r="F14749" t="str">
        <f>"14-I01-05"</f>
        <v>14-I01-05</v>
      </c>
      <c r="G14749">
        <v>0.83</v>
      </c>
      <c r="H14749" t="s">
        <v>13</v>
      </c>
      <c r="I14749" t="s">
        <v>10</v>
      </c>
    </row>
    <row r="14750" spans="1:9" x14ac:dyDescent="0.25">
      <c r="A14750" t="str">
        <f t="shared" si="340"/>
        <v>89301000</v>
      </c>
      <c r="B14750" t="str">
        <f>"9251035057"</f>
        <v>9251035057</v>
      </c>
      <c r="C14750" s="1">
        <v>45217</v>
      </c>
      <c r="D14750" s="1">
        <v>45217</v>
      </c>
      <c r="E14750">
        <v>1</v>
      </c>
      <c r="F14750" t="str">
        <f>"08-I18-02"</f>
        <v>08-I18-02</v>
      </c>
      <c r="G14750">
        <v>0.3422</v>
      </c>
      <c r="H14750" t="s">
        <v>12</v>
      </c>
      <c r="I14750" t="s">
        <v>10</v>
      </c>
    </row>
    <row r="14751" spans="1:9" x14ac:dyDescent="0.25">
      <c r="A14751" t="str">
        <f t="shared" si="340"/>
        <v>89301000</v>
      </c>
      <c r="B14751" t="str">
        <f>"9251035057"</f>
        <v>9251035057</v>
      </c>
      <c r="C14751" s="1">
        <v>45119</v>
      </c>
      <c r="D14751" s="1">
        <v>45122</v>
      </c>
      <c r="E14751">
        <v>1</v>
      </c>
      <c r="F14751" t="str">
        <f>"14-M01-02"</f>
        <v>14-M01-02</v>
      </c>
      <c r="G14751">
        <v>0.78449999999999998</v>
      </c>
      <c r="H14751" t="s">
        <v>13</v>
      </c>
      <c r="I14751" t="s">
        <v>10</v>
      </c>
    </row>
    <row r="14752" spans="1:9" x14ac:dyDescent="0.25">
      <c r="A14752" t="str">
        <f t="shared" si="340"/>
        <v>89301000</v>
      </c>
      <c r="B14752" t="str">
        <f>"9251085305"</f>
        <v>9251085305</v>
      </c>
      <c r="C14752" s="1">
        <v>45147</v>
      </c>
      <c r="D14752" s="1">
        <v>45148</v>
      </c>
      <c r="E14752">
        <v>1</v>
      </c>
      <c r="F14752" t="str">
        <f>"13-K15-02"</f>
        <v>13-K15-02</v>
      </c>
      <c r="G14752">
        <v>0.23619999999999999</v>
      </c>
      <c r="H14752" t="s">
        <v>11</v>
      </c>
      <c r="I14752" t="s">
        <v>10</v>
      </c>
    </row>
    <row r="14753" spans="1:9" x14ac:dyDescent="0.25">
      <c r="A14753" t="str">
        <f t="shared" si="340"/>
        <v>89301000</v>
      </c>
      <c r="B14753" t="str">
        <f>"9251125719"</f>
        <v>9251125719</v>
      </c>
      <c r="C14753" s="1">
        <v>44936</v>
      </c>
      <c r="D14753" s="1">
        <v>44940</v>
      </c>
      <c r="E14753">
        <v>1</v>
      </c>
      <c r="F14753" t="str">
        <f>"03-I18-03"</f>
        <v>03-I18-03</v>
      </c>
      <c r="G14753">
        <v>0.83940000000000003</v>
      </c>
      <c r="H14753" t="s">
        <v>9</v>
      </c>
      <c r="I14753" t="s">
        <v>10</v>
      </c>
    </row>
    <row r="14754" spans="1:9" x14ac:dyDescent="0.25">
      <c r="A14754" t="str">
        <f t="shared" si="340"/>
        <v>89301000</v>
      </c>
      <c r="B14754" t="str">
        <f>"9251165748"</f>
        <v>9251165748</v>
      </c>
      <c r="C14754" s="1">
        <v>45108</v>
      </c>
      <c r="D14754" s="1">
        <v>45115</v>
      </c>
      <c r="E14754">
        <v>1</v>
      </c>
      <c r="F14754" t="str">
        <f>"08-I04-03"</f>
        <v>08-I04-03</v>
      </c>
      <c r="G14754">
        <v>1.3045</v>
      </c>
      <c r="H14754" t="s">
        <v>14</v>
      </c>
      <c r="I14754" t="s">
        <v>10</v>
      </c>
    </row>
    <row r="14755" spans="1:9" x14ac:dyDescent="0.25">
      <c r="A14755" t="str">
        <f t="shared" si="340"/>
        <v>89301000</v>
      </c>
      <c r="B14755" t="str">
        <f>"9251214841"</f>
        <v>9251214841</v>
      </c>
      <c r="C14755" s="1">
        <v>45147</v>
      </c>
      <c r="D14755" s="1">
        <v>45149</v>
      </c>
      <c r="E14755">
        <v>1</v>
      </c>
      <c r="F14755" t="str">
        <f>"14-M01-05"</f>
        <v>14-M01-05</v>
      </c>
      <c r="G14755">
        <v>0.56589999999999996</v>
      </c>
      <c r="H14755" t="s">
        <v>13</v>
      </c>
      <c r="I14755" t="s">
        <v>10</v>
      </c>
    </row>
    <row r="14756" spans="1:9" x14ac:dyDescent="0.25">
      <c r="A14756" t="str">
        <f t="shared" si="340"/>
        <v>89301000</v>
      </c>
      <c r="B14756" t="str">
        <f>"9251225742"</f>
        <v>9251225742</v>
      </c>
      <c r="C14756" s="1">
        <v>45042</v>
      </c>
      <c r="D14756" s="1">
        <v>45045</v>
      </c>
      <c r="E14756">
        <v>1</v>
      </c>
      <c r="F14756" t="str">
        <f>"14-M01-05"</f>
        <v>14-M01-05</v>
      </c>
      <c r="G14756">
        <v>0.56289999999999996</v>
      </c>
      <c r="H14756" t="s">
        <v>13</v>
      </c>
      <c r="I14756" t="s">
        <v>10</v>
      </c>
    </row>
    <row r="14757" spans="1:9" x14ac:dyDescent="0.25">
      <c r="A14757" t="str">
        <f t="shared" si="340"/>
        <v>89301000</v>
      </c>
      <c r="B14757" t="str">
        <f>"9251228162"</f>
        <v>9251228162</v>
      </c>
      <c r="C14757" s="1">
        <v>45100</v>
      </c>
      <c r="D14757" s="1">
        <v>45104</v>
      </c>
      <c r="E14757">
        <v>1</v>
      </c>
      <c r="F14757" t="str">
        <f>"14-M01-05"</f>
        <v>14-M01-05</v>
      </c>
      <c r="G14757">
        <v>0.56589999999999996</v>
      </c>
      <c r="H14757" t="s">
        <v>13</v>
      </c>
      <c r="I14757" t="s">
        <v>10</v>
      </c>
    </row>
    <row r="14758" spans="1:9" x14ac:dyDescent="0.25">
      <c r="A14758" t="str">
        <f t="shared" si="340"/>
        <v>89301000</v>
      </c>
      <c r="B14758" t="str">
        <f>"9251234608"</f>
        <v>9251234608</v>
      </c>
      <c r="C14758" s="1">
        <v>45261</v>
      </c>
      <c r="D14758" s="1">
        <v>45265</v>
      </c>
      <c r="E14758">
        <v>1</v>
      </c>
      <c r="F14758" t="str">
        <f>"14-M01-05"</f>
        <v>14-M01-05</v>
      </c>
      <c r="G14758">
        <v>0.56289999999999996</v>
      </c>
      <c r="H14758" t="s">
        <v>13</v>
      </c>
      <c r="I14758" t="s">
        <v>10</v>
      </c>
    </row>
    <row r="14759" spans="1:9" x14ac:dyDescent="0.25">
      <c r="A14759" t="str">
        <f t="shared" si="340"/>
        <v>89301000</v>
      </c>
      <c r="B14759" t="str">
        <f>"9251235301"</f>
        <v>9251235301</v>
      </c>
      <c r="C14759" s="1">
        <v>45217</v>
      </c>
      <c r="D14759" s="1">
        <v>45227</v>
      </c>
      <c r="E14759">
        <v>1</v>
      </c>
      <c r="F14759" t="str">
        <f>"14-I01-02"</f>
        <v>14-I01-02</v>
      </c>
      <c r="G14759">
        <v>1.5576000000000001</v>
      </c>
      <c r="H14759" t="s">
        <v>13</v>
      </c>
      <c r="I14759" t="s">
        <v>10</v>
      </c>
    </row>
    <row r="14760" spans="1:9" x14ac:dyDescent="0.25">
      <c r="A14760" t="str">
        <f t="shared" si="340"/>
        <v>89301000</v>
      </c>
      <c r="B14760" t="str">
        <f>"9251235741"</f>
        <v>9251235741</v>
      </c>
      <c r="C14760" s="1">
        <v>45205</v>
      </c>
      <c r="D14760" s="1">
        <v>45210</v>
      </c>
      <c r="E14760">
        <v>1</v>
      </c>
      <c r="F14760" t="str">
        <f>"11-K01-04"</f>
        <v>11-K01-04</v>
      </c>
      <c r="G14760">
        <v>0.57130000000000003</v>
      </c>
      <c r="H14760" t="s">
        <v>11</v>
      </c>
      <c r="I14760" t="s">
        <v>10</v>
      </c>
    </row>
    <row r="14761" spans="1:9" x14ac:dyDescent="0.25">
      <c r="A14761" t="str">
        <f t="shared" si="340"/>
        <v>89301000</v>
      </c>
      <c r="B14761" t="str">
        <f>"9251250910"</f>
        <v>9251250910</v>
      </c>
      <c r="C14761" s="1">
        <v>45203</v>
      </c>
      <c r="D14761" s="1">
        <v>45205</v>
      </c>
      <c r="E14761">
        <v>1</v>
      </c>
      <c r="F14761" t="str">
        <f>"11-M05-01"</f>
        <v>11-M05-01</v>
      </c>
      <c r="G14761">
        <v>0.83750000000000002</v>
      </c>
      <c r="H14761" t="s">
        <v>12</v>
      </c>
      <c r="I14761" t="s">
        <v>10</v>
      </c>
    </row>
    <row r="14762" spans="1:9" x14ac:dyDescent="0.25">
      <c r="A14762" t="str">
        <f t="shared" si="340"/>
        <v>89301000</v>
      </c>
      <c r="B14762" t="str">
        <f>"9251250910"</f>
        <v>9251250910</v>
      </c>
      <c r="C14762" s="1">
        <v>45103</v>
      </c>
      <c r="D14762" s="1">
        <v>45105</v>
      </c>
      <c r="E14762">
        <v>1</v>
      </c>
      <c r="F14762" t="str">
        <f>"11-K14-03"</f>
        <v>11-K14-03</v>
      </c>
      <c r="G14762">
        <v>0.31240000000000001</v>
      </c>
      <c r="H14762" t="s">
        <v>11</v>
      </c>
      <c r="I14762" t="s">
        <v>10</v>
      </c>
    </row>
    <row r="14763" spans="1:9" x14ac:dyDescent="0.25">
      <c r="A14763" t="str">
        <f t="shared" si="340"/>
        <v>89301000</v>
      </c>
      <c r="B14763" t="str">
        <f>"9251265705"</f>
        <v>9251265705</v>
      </c>
      <c r="C14763" s="1">
        <v>45213</v>
      </c>
      <c r="D14763" s="1">
        <v>45216</v>
      </c>
      <c r="E14763">
        <v>1</v>
      </c>
      <c r="F14763" t="str">
        <f>"06-K02-02"</f>
        <v>06-K02-02</v>
      </c>
      <c r="G14763">
        <v>0.85289999999999999</v>
      </c>
      <c r="H14763" t="s">
        <v>11</v>
      </c>
      <c r="I14763" t="s">
        <v>10</v>
      </c>
    </row>
    <row r="14764" spans="1:9" x14ac:dyDescent="0.25">
      <c r="A14764" t="str">
        <f t="shared" si="340"/>
        <v>89301000</v>
      </c>
      <c r="B14764" t="str">
        <f>"9251274879"</f>
        <v>9251274879</v>
      </c>
      <c r="C14764" s="1">
        <v>45167</v>
      </c>
      <c r="D14764" s="1">
        <v>45170</v>
      </c>
      <c r="E14764">
        <v>1</v>
      </c>
      <c r="F14764" t="str">
        <f>"10-I13-02"</f>
        <v>10-I13-02</v>
      </c>
      <c r="G14764">
        <v>1.1227</v>
      </c>
      <c r="H14764" t="s">
        <v>9</v>
      </c>
      <c r="I14764" t="s">
        <v>10</v>
      </c>
    </row>
    <row r="14765" spans="1:9" x14ac:dyDescent="0.25">
      <c r="A14765" t="str">
        <f t="shared" si="340"/>
        <v>89301000</v>
      </c>
      <c r="B14765" t="str">
        <f>"9251740531"</f>
        <v>9251740531</v>
      </c>
      <c r="C14765" s="1">
        <v>44960</v>
      </c>
      <c r="D14765" s="1">
        <v>44963</v>
      </c>
      <c r="E14765">
        <v>1</v>
      </c>
      <c r="F14765" t="str">
        <f>"14-M01-05"</f>
        <v>14-M01-05</v>
      </c>
      <c r="G14765">
        <v>0.56289999999999996</v>
      </c>
      <c r="H14765" t="s">
        <v>13</v>
      </c>
      <c r="I14765" t="s">
        <v>10</v>
      </c>
    </row>
    <row r="14766" spans="1:9" x14ac:dyDescent="0.25">
      <c r="A14766" t="str">
        <f t="shared" si="340"/>
        <v>89301000</v>
      </c>
      <c r="B14766" t="str">
        <f>"9252065702"</f>
        <v>9252065702</v>
      </c>
      <c r="C14766" s="1">
        <v>44965</v>
      </c>
      <c r="D14766" s="1">
        <v>44970</v>
      </c>
      <c r="E14766">
        <v>1</v>
      </c>
      <c r="F14766" t="str">
        <f>"14-I01-02"</f>
        <v>14-I01-02</v>
      </c>
      <c r="G14766">
        <v>1.2935000000000001</v>
      </c>
      <c r="H14766" t="s">
        <v>13</v>
      </c>
      <c r="I14766" t="s">
        <v>10</v>
      </c>
    </row>
    <row r="14767" spans="1:9" x14ac:dyDescent="0.25">
      <c r="A14767" t="str">
        <f t="shared" si="340"/>
        <v>89301000</v>
      </c>
      <c r="B14767" t="str">
        <f>"9252145749"</f>
        <v>9252145749</v>
      </c>
      <c r="C14767" s="1">
        <v>44951</v>
      </c>
      <c r="D14767" s="1">
        <v>44956</v>
      </c>
      <c r="E14767">
        <v>1</v>
      </c>
      <c r="F14767" t="str">
        <f>"14-M01-05"</f>
        <v>14-M01-05</v>
      </c>
      <c r="G14767">
        <v>0.56289999999999996</v>
      </c>
      <c r="H14767" t="s">
        <v>13</v>
      </c>
      <c r="I14767" t="s">
        <v>10</v>
      </c>
    </row>
    <row r="14768" spans="1:9" x14ac:dyDescent="0.25">
      <c r="A14768" t="str">
        <f t="shared" si="340"/>
        <v>89301000</v>
      </c>
      <c r="B14768" t="str">
        <f>"9252175757"</f>
        <v>9252175757</v>
      </c>
      <c r="C14768" s="1">
        <v>44995</v>
      </c>
      <c r="D14768" s="1">
        <v>45002</v>
      </c>
      <c r="E14768">
        <v>1</v>
      </c>
      <c r="F14768" t="str">
        <f>"09-K02-00"</f>
        <v>09-K02-00</v>
      </c>
      <c r="G14768">
        <v>0.99539999999999995</v>
      </c>
      <c r="H14768" t="s">
        <v>11</v>
      </c>
      <c r="I14768" t="s">
        <v>10</v>
      </c>
    </row>
    <row r="14769" spans="1:9" x14ac:dyDescent="0.25">
      <c r="A14769" t="str">
        <f t="shared" si="340"/>
        <v>89301000</v>
      </c>
      <c r="B14769" t="str">
        <f>"9252186152"</f>
        <v>9252186152</v>
      </c>
      <c r="C14769" s="1">
        <v>44956</v>
      </c>
      <c r="D14769" s="1">
        <v>44958</v>
      </c>
      <c r="E14769">
        <v>1</v>
      </c>
      <c r="F14769" t="str">
        <f>"01-I13-00"</f>
        <v>01-I13-00</v>
      </c>
      <c r="G14769">
        <v>0.38400000000000001</v>
      </c>
      <c r="H14769" t="s">
        <v>11</v>
      </c>
      <c r="I14769" t="s">
        <v>10</v>
      </c>
    </row>
    <row r="14770" spans="1:9" x14ac:dyDescent="0.25">
      <c r="A14770" t="str">
        <f t="shared" si="340"/>
        <v>89301000</v>
      </c>
      <c r="B14770" t="str">
        <f>"9252246179"</f>
        <v>9252246179</v>
      </c>
      <c r="C14770" s="1">
        <v>45280</v>
      </c>
      <c r="D14770" s="1">
        <v>45282</v>
      </c>
      <c r="E14770">
        <v>1</v>
      </c>
      <c r="F14770" t="str">
        <f>"14-K03-02"</f>
        <v>14-K03-02</v>
      </c>
      <c r="G14770">
        <v>0.30149999999999999</v>
      </c>
      <c r="H14770" t="s">
        <v>11</v>
      </c>
      <c r="I14770" t="s">
        <v>10</v>
      </c>
    </row>
    <row r="14771" spans="1:9" x14ac:dyDescent="0.25">
      <c r="A14771" t="str">
        <f t="shared" si="340"/>
        <v>89301000</v>
      </c>
      <c r="B14771" t="str">
        <f>"9252285570"</f>
        <v>9252285570</v>
      </c>
      <c r="C14771" s="1">
        <v>45103</v>
      </c>
      <c r="D14771" s="1">
        <v>45105</v>
      </c>
      <c r="E14771">
        <v>1</v>
      </c>
      <c r="F14771" t="str">
        <f>"08-K04-01"</f>
        <v>08-K04-01</v>
      </c>
      <c r="G14771">
        <v>0.89059999999999995</v>
      </c>
      <c r="H14771" t="s">
        <v>11</v>
      </c>
      <c r="I14771" t="s">
        <v>10</v>
      </c>
    </row>
    <row r="14772" spans="1:9" x14ac:dyDescent="0.25">
      <c r="A14772" t="str">
        <f t="shared" si="340"/>
        <v>89301000</v>
      </c>
      <c r="B14772" t="str">
        <f>"9252285570"</f>
        <v>9252285570</v>
      </c>
      <c r="C14772" s="1">
        <v>45217</v>
      </c>
      <c r="D14772" s="1">
        <v>45221</v>
      </c>
      <c r="E14772">
        <v>1</v>
      </c>
      <c r="F14772" t="str">
        <f>"07-I10-06"</f>
        <v>07-I10-06</v>
      </c>
      <c r="G14772">
        <v>0.98419999999999996</v>
      </c>
      <c r="H14772" t="s">
        <v>12</v>
      </c>
      <c r="I14772" t="s">
        <v>10</v>
      </c>
    </row>
    <row r="14773" spans="1:9" x14ac:dyDescent="0.25">
      <c r="A14773" t="str">
        <f t="shared" si="340"/>
        <v>89301000</v>
      </c>
      <c r="B14773" t="str">
        <f>"9252295745"</f>
        <v>9252295745</v>
      </c>
      <c r="C14773" s="1">
        <v>45175</v>
      </c>
      <c r="D14773" s="1">
        <v>45179</v>
      </c>
      <c r="E14773">
        <v>1</v>
      </c>
      <c r="F14773" t="str">
        <f>"03-I19-03"</f>
        <v>03-I19-03</v>
      </c>
      <c r="G14773">
        <v>0.53249999999999997</v>
      </c>
      <c r="H14773" t="s">
        <v>11</v>
      </c>
      <c r="I14773" t="s">
        <v>10</v>
      </c>
    </row>
    <row r="14774" spans="1:9" x14ac:dyDescent="0.25">
      <c r="A14774" t="str">
        <f t="shared" si="340"/>
        <v>89301000</v>
      </c>
      <c r="B14774" t="str">
        <f>"9253025298"</f>
        <v>9253025298</v>
      </c>
      <c r="C14774" s="1">
        <v>45113</v>
      </c>
      <c r="D14774" s="1">
        <v>45120</v>
      </c>
      <c r="E14774">
        <v>1</v>
      </c>
      <c r="F14774" t="str">
        <f>"08-I14-02"</f>
        <v>08-I14-02</v>
      </c>
      <c r="G14774">
        <v>1.6909000000000001</v>
      </c>
      <c r="H14774" t="s">
        <v>12</v>
      </c>
      <c r="I14774" t="s">
        <v>10</v>
      </c>
    </row>
    <row r="14775" spans="1:9" x14ac:dyDescent="0.25">
      <c r="A14775" t="str">
        <f t="shared" si="340"/>
        <v>89301000</v>
      </c>
      <c r="B14775" t="str">
        <f>"9253065701"</f>
        <v>9253065701</v>
      </c>
      <c r="C14775" s="1">
        <v>45195</v>
      </c>
      <c r="D14775" s="1">
        <v>45197</v>
      </c>
      <c r="E14775">
        <v>1</v>
      </c>
      <c r="F14775" t="str">
        <f>"14-M01-05"</f>
        <v>14-M01-05</v>
      </c>
      <c r="G14775">
        <v>0.56289999999999996</v>
      </c>
      <c r="H14775" t="s">
        <v>13</v>
      </c>
      <c r="I14775" t="s">
        <v>10</v>
      </c>
    </row>
    <row r="14776" spans="1:9" x14ac:dyDescent="0.25">
      <c r="A14776" t="str">
        <f t="shared" si="340"/>
        <v>89301000</v>
      </c>
      <c r="B14776" t="str">
        <f>"9253094851"</f>
        <v>9253094851</v>
      </c>
      <c r="C14776" s="1">
        <v>45179</v>
      </c>
      <c r="D14776" s="1">
        <v>45183</v>
      </c>
      <c r="E14776">
        <v>1</v>
      </c>
      <c r="F14776" t="str">
        <f>"14-I01-05"</f>
        <v>14-I01-05</v>
      </c>
      <c r="G14776">
        <v>0.88180000000000003</v>
      </c>
      <c r="H14776" t="s">
        <v>13</v>
      </c>
      <c r="I14776" t="s">
        <v>10</v>
      </c>
    </row>
    <row r="14777" spans="1:9" x14ac:dyDescent="0.25">
      <c r="A14777" t="str">
        <f t="shared" si="340"/>
        <v>89301000</v>
      </c>
      <c r="B14777" t="str">
        <f>"9253125310"</f>
        <v>9253125310</v>
      </c>
      <c r="C14777" s="1">
        <v>45184</v>
      </c>
      <c r="D14777" s="1">
        <v>45187</v>
      </c>
      <c r="E14777">
        <v>1</v>
      </c>
      <c r="F14777" t="str">
        <f>"01-K16-02"</f>
        <v>01-K16-02</v>
      </c>
      <c r="G14777">
        <v>1.0049999999999999</v>
      </c>
      <c r="H14777" t="s">
        <v>11</v>
      </c>
      <c r="I14777" t="s">
        <v>10</v>
      </c>
    </row>
    <row r="14778" spans="1:9" x14ac:dyDescent="0.25">
      <c r="A14778" t="str">
        <f t="shared" si="340"/>
        <v>89301000</v>
      </c>
      <c r="B14778" t="str">
        <f>"9253125750"</f>
        <v>9253125750</v>
      </c>
      <c r="C14778" s="1">
        <v>45084</v>
      </c>
      <c r="D14778" s="1">
        <v>45086</v>
      </c>
      <c r="E14778">
        <v>1</v>
      </c>
      <c r="F14778" t="str">
        <f>"03-I14-02"</f>
        <v>03-I14-02</v>
      </c>
      <c r="G14778">
        <v>1.0793999999999999</v>
      </c>
      <c r="H14778" t="s">
        <v>11</v>
      </c>
      <c r="I14778" t="s">
        <v>10</v>
      </c>
    </row>
    <row r="14779" spans="1:9" x14ac:dyDescent="0.25">
      <c r="A14779" t="str">
        <f t="shared" si="340"/>
        <v>89301000</v>
      </c>
      <c r="B14779" t="str">
        <f>"9253135716"</f>
        <v>9253135716</v>
      </c>
      <c r="C14779" s="1">
        <v>44934</v>
      </c>
      <c r="D14779" s="1">
        <v>44937</v>
      </c>
      <c r="E14779">
        <v>1</v>
      </c>
      <c r="F14779" t="str">
        <f>"08-M03-04"</f>
        <v>08-M03-04</v>
      </c>
      <c r="G14779">
        <v>0.87760000000000005</v>
      </c>
      <c r="H14779" t="s">
        <v>11</v>
      </c>
      <c r="I14779" t="s">
        <v>10</v>
      </c>
    </row>
    <row r="14780" spans="1:9" x14ac:dyDescent="0.25">
      <c r="A14780" t="str">
        <f t="shared" si="340"/>
        <v>89301000</v>
      </c>
      <c r="B14780" t="str">
        <f>"9253135727"</f>
        <v>9253135727</v>
      </c>
      <c r="C14780" s="1">
        <v>45212</v>
      </c>
      <c r="D14780" s="1">
        <v>45213</v>
      </c>
      <c r="E14780">
        <v>1</v>
      </c>
      <c r="F14780" t="str">
        <f>"14-M01-05"</f>
        <v>14-M01-05</v>
      </c>
      <c r="G14780">
        <v>0.56589999999999996</v>
      </c>
      <c r="H14780" t="s">
        <v>13</v>
      </c>
      <c r="I14780" t="s">
        <v>16</v>
      </c>
    </row>
    <row r="14781" spans="1:9" x14ac:dyDescent="0.25">
      <c r="A14781" t="str">
        <f t="shared" si="340"/>
        <v>89301000</v>
      </c>
      <c r="B14781" t="str">
        <f>"9253195743"</f>
        <v>9253195743</v>
      </c>
      <c r="C14781" s="1">
        <v>45198</v>
      </c>
      <c r="D14781" s="1">
        <v>45202</v>
      </c>
      <c r="E14781">
        <v>1</v>
      </c>
      <c r="F14781" t="str">
        <f>"06-K19-02"</f>
        <v>06-K19-02</v>
      </c>
      <c r="G14781">
        <v>1.2060999999999999</v>
      </c>
      <c r="H14781" t="s">
        <v>11</v>
      </c>
      <c r="I14781" t="s">
        <v>10</v>
      </c>
    </row>
    <row r="14782" spans="1:9" x14ac:dyDescent="0.25">
      <c r="A14782" t="str">
        <f t="shared" si="340"/>
        <v>89301000</v>
      </c>
      <c r="B14782" t="str">
        <f>"9253195743"</f>
        <v>9253195743</v>
      </c>
      <c r="C14782" s="1">
        <v>45047</v>
      </c>
      <c r="D14782" s="1">
        <v>45050</v>
      </c>
      <c r="E14782">
        <v>1</v>
      </c>
      <c r="F14782" t="str">
        <f>"14-M01-05"</f>
        <v>14-M01-05</v>
      </c>
      <c r="G14782">
        <v>0.56589999999999996</v>
      </c>
      <c r="H14782" t="s">
        <v>13</v>
      </c>
      <c r="I14782" t="s">
        <v>10</v>
      </c>
    </row>
    <row r="14783" spans="1:9" x14ac:dyDescent="0.25">
      <c r="A14783" t="str">
        <f t="shared" si="340"/>
        <v>89301000</v>
      </c>
      <c r="B14783" t="str">
        <f>"9253204598"</f>
        <v>9253204598</v>
      </c>
      <c r="C14783" s="1">
        <v>44963</v>
      </c>
      <c r="D14783" s="1">
        <v>44965</v>
      </c>
      <c r="E14783">
        <v>1</v>
      </c>
      <c r="F14783" t="str">
        <f>"20-K01-02"</f>
        <v>20-K01-02</v>
      </c>
      <c r="G14783">
        <v>0.96989999999999998</v>
      </c>
      <c r="H14783" t="s">
        <v>11</v>
      </c>
      <c r="I14783" t="s">
        <v>10</v>
      </c>
    </row>
    <row r="14784" spans="1:9" x14ac:dyDescent="0.25">
      <c r="A14784" t="str">
        <f t="shared" si="340"/>
        <v>89301000</v>
      </c>
      <c r="B14784" t="str">
        <f>"9253215103"</f>
        <v>9253215103</v>
      </c>
      <c r="C14784" s="1">
        <v>45033</v>
      </c>
      <c r="D14784" s="1">
        <v>45045</v>
      </c>
      <c r="E14784">
        <v>1</v>
      </c>
      <c r="F14784" t="str">
        <f>"04-K11-01"</f>
        <v>04-K11-01</v>
      </c>
      <c r="G14784">
        <v>1.744</v>
      </c>
      <c r="H14784" t="s">
        <v>11</v>
      </c>
      <c r="I14784" t="s">
        <v>10</v>
      </c>
    </row>
    <row r="14785" spans="1:9" x14ac:dyDescent="0.25">
      <c r="A14785" t="str">
        <f t="shared" si="340"/>
        <v>89301000</v>
      </c>
      <c r="B14785" t="str">
        <f>"9253274877"</f>
        <v>9253274877</v>
      </c>
      <c r="C14785" s="1">
        <v>45171</v>
      </c>
      <c r="D14785" s="1">
        <v>45173</v>
      </c>
      <c r="E14785">
        <v>1</v>
      </c>
      <c r="F14785" t="str">
        <f>"14-I08-03"</f>
        <v>14-I08-03</v>
      </c>
      <c r="G14785">
        <v>0.2437</v>
      </c>
      <c r="H14785" t="s">
        <v>11</v>
      </c>
      <c r="I14785" t="s">
        <v>10</v>
      </c>
    </row>
    <row r="14786" spans="1:9" x14ac:dyDescent="0.25">
      <c r="A14786" t="str">
        <f t="shared" si="340"/>
        <v>89301000</v>
      </c>
      <c r="B14786" t="str">
        <f>"9253284843"</f>
        <v>9253284843</v>
      </c>
      <c r="C14786" s="1">
        <v>45126</v>
      </c>
      <c r="D14786" s="1">
        <v>45130</v>
      </c>
      <c r="E14786">
        <v>1</v>
      </c>
      <c r="F14786" t="str">
        <f>"14-I01-05"</f>
        <v>14-I01-05</v>
      </c>
      <c r="G14786">
        <v>0.83</v>
      </c>
      <c r="H14786" t="s">
        <v>13</v>
      </c>
      <c r="I14786" t="s">
        <v>10</v>
      </c>
    </row>
    <row r="14787" spans="1:9" x14ac:dyDescent="0.25">
      <c r="A14787" t="str">
        <f t="shared" si="340"/>
        <v>89301000</v>
      </c>
      <c r="B14787" t="str">
        <f>"9254015727"</f>
        <v>9254015727</v>
      </c>
      <c r="C14787" s="1">
        <v>45061</v>
      </c>
      <c r="D14787" s="1">
        <v>45065</v>
      </c>
      <c r="E14787">
        <v>1</v>
      </c>
      <c r="F14787" t="str">
        <f>"14-I01-05"</f>
        <v>14-I01-05</v>
      </c>
      <c r="G14787">
        <v>0.83340000000000003</v>
      </c>
      <c r="H14787" t="s">
        <v>13</v>
      </c>
      <c r="I14787" t="s">
        <v>10</v>
      </c>
    </row>
    <row r="14788" spans="1:9" x14ac:dyDescent="0.25">
      <c r="A14788" t="str">
        <f t="shared" si="340"/>
        <v>89301000</v>
      </c>
      <c r="B14788" t="str">
        <f>"9254025704"</f>
        <v>9254025704</v>
      </c>
      <c r="C14788" s="1">
        <v>45192</v>
      </c>
      <c r="D14788" s="1">
        <v>45195</v>
      </c>
      <c r="E14788">
        <v>1</v>
      </c>
      <c r="F14788" t="str">
        <f>"14-M01-05"</f>
        <v>14-M01-05</v>
      </c>
      <c r="G14788">
        <v>0.56289999999999996</v>
      </c>
      <c r="H14788" t="s">
        <v>13</v>
      </c>
      <c r="I14788" t="s">
        <v>10</v>
      </c>
    </row>
    <row r="14789" spans="1:9" x14ac:dyDescent="0.25">
      <c r="A14789" t="str">
        <f t="shared" si="340"/>
        <v>89301000</v>
      </c>
      <c r="B14789" t="str">
        <f>"9254075721"</f>
        <v>9254075721</v>
      </c>
      <c r="C14789" s="1">
        <v>45026</v>
      </c>
      <c r="D14789" s="1">
        <v>45029</v>
      </c>
      <c r="E14789">
        <v>1</v>
      </c>
      <c r="F14789" t="str">
        <f>"14-M01-05"</f>
        <v>14-M01-05</v>
      </c>
      <c r="G14789">
        <v>0.56589999999999996</v>
      </c>
      <c r="H14789" t="s">
        <v>13</v>
      </c>
      <c r="I14789" t="s">
        <v>10</v>
      </c>
    </row>
    <row r="14790" spans="1:9" x14ac:dyDescent="0.25">
      <c r="A14790" t="str">
        <f t="shared" si="340"/>
        <v>89301000</v>
      </c>
      <c r="B14790" t="str">
        <f>"9254083773"</f>
        <v>9254083773</v>
      </c>
      <c r="C14790" s="1">
        <v>44943</v>
      </c>
      <c r="D14790" s="1">
        <v>44948</v>
      </c>
      <c r="E14790">
        <v>1</v>
      </c>
      <c r="F14790" t="str">
        <f>"14-M01-05"</f>
        <v>14-M01-05</v>
      </c>
      <c r="G14790">
        <v>0.56289999999999996</v>
      </c>
      <c r="H14790" t="s">
        <v>13</v>
      </c>
      <c r="I14790" t="s">
        <v>10</v>
      </c>
    </row>
    <row r="14791" spans="1:9" x14ac:dyDescent="0.25">
      <c r="A14791" t="str">
        <f t="shared" si="340"/>
        <v>89301000</v>
      </c>
      <c r="B14791" t="str">
        <f>"9254085786"</f>
        <v>9254085786</v>
      </c>
      <c r="C14791" s="1">
        <v>45202</v>
      </c>
      <c r="D14791" s="1">
        <v>45238</v>
      </c>
      <c r="E14791">
        <v>1</v>
      </c>
      <c r="F14791" t="str">
        <f>"19-K08-02"</f>
        <v>19-K08-02</v>
      </c>
      <c r="G14791">
        <v>4.4416000000000002</v>
      </c>
      <c r="H14791" t="s">
        <v>15</v>
      </c>
      <c r="I14791" t="s">
        <v>10</v>
      </c>
    </row>
    <row r="14792" spans="1:9" x14ac:dyDescent="0.25">
      <c r="A14792" t="str">
        <f t="shared" si="340"/>
        <v>89301000</v>
      </c>
      <c r="B14792" t="str">
        <f>"9254085786"</f>
        <v>9254085786</v>
      </c>
      <c r="C14792" s="1">
        <v>45116</v>
      </c>
      <c r="D14792" s="1">
        <v>45120</v>
      </c>
      <c r="E14792">
        <v>1</v>
      </c>
      <c r="F14792" t="str">
        <f>"19-K02-03"</f>
        <v>19-K02-03</v>
      </c>
      <c r="G14792">
        <v>0.71950000000000003</v>
      </c>
      <c r="H14792" t="s">
        <v>15</v>
      </c>
      <c r="I14792" t="s">
        <v>10</v>
      </c>
    </row>
    <row r="14793" spans="1:9" x14ac:dyDescent="0.25">
      <c r="A14793" t="str">
        <f t="shared" si="340"/>
        <v>89301000</v>
      </c>
      <c r="B14793" t="str">
        <f>"9254114848"</f>
        <v>9254114848</v>
      </c>
      <c r="C14793" s="1">
        <v>44960</v>
      </c>
      <c r="D14793" s="1">
        <v>44961</v>
      </c>
      <c r="E14793">
        <v>1</v>
      </c>
      <c r="F14793" t="str">
        <f>"05-M05-03"</f>
        <v>05-M05-03</v>
      </c>
      <c r="G14793">
        <v>2.0312999999999999</v>
      </c>
      <c r="H14793" t="s">
        <v>14</v>
      </c>
      <c r="I14793" t="s">
        <v>10</v>
      </c>
    </row>
    <row r="14794" spans="1:9" x14ac:dyDescent="0.25">
      <c r="A14794" t="str">
        <f t="shared" ref="A14794:A14857" si="341">"89301000"</f>
        <v>89301000</v>
      </c>
      <c r="B14794" t="str">
        <f>"9254136078"</f>
        <v>9254136078</v>
      </c>
      <c r="C14794" s="1">
        <v>45055</v>
      </c>
      <c r="D14794" s="1">
        <v>45059</v>
      </c>
      <c r="E14794">
        <v>1</v>
      </c>
      <c r="F14794" t="str">
        <f>"04-M01-07"</f>
        <v>04-M01-07</v>
      </c>
      <c r="G14794">
        <v>3.2717000000000001</v>
      </c>
      <c r="H14794" t="s">
        <v>11</v>
      </c>
      <c r="I14794" t="s">
        <v>10</v>
      </c>
    </row>
    <row r="14795" spans="1:9" x14ac:dyDescent="0.25">
      <c r="A14795" t="str">
        <f t="shared" si="341"/>
        <v>89301000</v>
      </c>
      <c r="B14795" t="str">
        <f>"9254146154"</f>
        <v>9254146154</v>
      </c>
      <c r="C14795" s="1">
        <v>44997</v>
      </c>
      <c r="D14795" s="1">
        <v>45001</v>
      </c>
      <c r="E14795">
        <v>1</v>
      </c>
      <c r="F14795" t="str">
        <f>"10-I13-02"</f>
        <v>10-I13-02</v>
      </c>
      <c r="G14795">
        <v>1.1124000000000001</v>
      </c>
      <c r="H14795" t="s">
        <v>9</v>
      </c>
      <c r="I14795" t="s">
        <v>10</v>
      </c>
    </row>
    <row r="14796" spans="1:9" x14ac:dyDescent="0.25">
      <c r="A14796" t="str">
        <f t="shared" si="341"/>
        <v>89301000</v>
      </c>
      <c r="B14796" t="str">
        <f>"9254176074"</f>
        <v>9254176074</v>
      </c>
      <c r="C14796" s="1">
        <v>45279</v>
      </c>
      <c r="D14796" s="1">
        <v>45281</v>
      </c>
      <c r="E14796">
        <v>1</v>
      </c>
      <c r="F14796" t="str">
        <f>"09-I10-02"</f>
        <v>09-I10-02</v>
      </c>
      <c r="G14796">
        <v>0.87580000000000002</v>
      </c>
      <c r="H14796" t="s">
        <v>12</v>
      </c>
      <c r="I14796" t="s">
        <v>10</v>
      </c>
    </row>
    <row r="14797" spans="1:9" x14ac:dyDescent="0.25">
      <c r="A14797" t="str">
        <f t="shared" si="341"/>
        <v>89301000</v>
      </c>
      <c r="B14797" t="str">
        <f>"9254215740"</f>
        <v>9254215740</v>
      </c>
      <c r="C14797" s="1">
        <v>45051</v>
      </c>
      <c r="D14797" s="1">
        <v>45056</v>
      </c>
      <c r="E14797">
        <v>1</v>
      </c>
      <c r="F14797" t="str">
        <f>"14-M01-05"</f>
        <v>14-M01-05</v>
      </c>
      <c r="G14797">
        <v>0.56289999999999996</v>
      </c>
      <c r="H14797" t="s">
        <v>13</v>
      </c>
      <c r="I14797" t="s">
        <v>10</v>
      </c>
    </row>
    <row r="14798" spans="1:9" x14ac:dyDescent="0.25">
      <c r="A14798" t="str">
        <f t="shared" si="341"/>
        <v>89301000</v>
      </c>
      <c r="B14798" t="str">
        <f>"9254265713"</f>
        <v>9254265713</v>
      </c>
      <c r="C14798" s="1">
        <v>45116</v>
      </c>
      <c r="D14798" s="1">
        <v>45119</v>
      </c>
      <c r="E14798">
        <v>1</v>
      </c>
      <c r="F14798" t="str">
        <f>"14-M01-02"</f>
        <v>14-M01-02</v>
      </c>
      <c r="G14798">
        <v>0.80049999999999999</v>
      </c>
      <c r="H14798" t="s">
        <v>13</v>
      </c>
      <c r="I14798" t="s">
        <v>10</v>
      </c>
    </row>
    <row r="14799" spans="1:9" x14ac:dyDescent="0.25">
      <c r="A14799" t="str">
        <f t="shared" si="341"/>
        <v>89301000</v>
      </c>
      <c r="B14799" t="str">
        <f>"9255055502"</f>
        <v>9255055502</v>
      </c>
      <c r="C14799" s="1">
        <v>45063</v>
      </c>
      <c r="D14799" s="1">
        <v>45105</v>
      </c>
      <c r="E14799">
        <v>1</v>
      </c>
      <c r="F14799" t="str">
        <f>"19-M01-01"</f>
        <v>19-M01-01</v>
      </c>
      <c r="G14799">
        <v>2.8563999999999998</v>
      </c>
      <c r="H14799" t="s">
        <v>15</v>
      </c>
      <c r="I14799" t="s">
        <v>10</v>
      </c>
    </row>
    <row r="14800" spans="1:9" x14ac:dyDescent="0.25">
      <c r="A14800" t="str">
        <f t="shared" si="341"/>
        <v>89301000</v>
      </c>
      <c r="B14800" t="str">
        <f>"9255055502"</f>
        <v>9255055502</v>
      </c>
      <c r="C14800" s="1">
        <v>44955</v>
      </c>
      <c r="D14800" s="1">
        <v>44991</v>
      </c>
      <c r="E14800">
        <v>4</v>
      </c>
      <c r="F14800" t="str">
        <f>"19-K08-01"</f>
        <v>19-K08-01</v>
      </c>
      <c r="G14800">
        <v>4.8014999999999999</v>
      </c>
      <c r="H14800" t="s">
        <v>15</v>
      </c>
      <c r="I14800" t="s">
        <v>10</v>
      </c>
    </row>
    <row r="14801" spans="1:9" x14ac:dyDescent="0.25">
      <c r="A14801" t="str">
        <f t="shared" si="341"/>
        <v>89301000</v>
      </c>
      <c r="B14801" t="str">
        <f>"9255055502"</f>
        <v>9255055502</v>
      </c>
      <c r="C14801" s="1">
        <v>44912</v>
      </c>
      <c r="D14801" s="1">
        <v>44944</v>
      </c>
      <c r="E14801">
        <v>1</v>
      </c>
      <c r="F14801" t="str">
        <f>"19-M01-01"</f>
        <v>19-M01-01</v>
      </c>
      <c r="G14801">
        <v>2.8563999999999998</v>
      </c>
      <c r="H14801" t="s">
        <v>15</v>
      </c>
      <c r="I14801" t="s">
        <v>10</v>
      </c>
    </row>
    <row r="14802" spans="1:9" x14ac:dyDescent="0.25">
      <c r="A14802" t="str">
        <f t="shared" si="341"/>
        <v>89301000</v>
      </c>
      <c r="B14802" t="str">
        <f>"9255134372"</f>
        <v>9255134372</v>
      </c>
      <c r="C14802" s="1">
        <v>45019</v>
      </c>
      <c r="D14802" s="1">
        <v>45022</v>
      </c>
      <c r="E14802">
        <v>1</v>
      </c>
      <c r="F14802" t="str">
        <f>"14-M01-05"</f>
        <v>14-M01-05</v>
      </c>
      <c r="G14802">
        <v>0.56289999999999996</v>
      </c>
      <c r="H14802" t="s">
        <v>13</v>
      </c>
      <c r="I14802" t="s">
        <v>10</v>
      </c>
    </row>
    <row r="14803" spans="1:9" x14ac:dyDescent="0.25">
      <c r="A14803" t="str">
        <f t="shared" si="341"/>
        <v>89301000</v>
      </c>
      <c r="B14803" t="str">
        <f>"9255134845"</f>
        <v>9255134845</v>
      </c>
      <c r="C14803" s="1">
        <v>45061</v>
      </c>
      <c r="D14803" s="1">
        <v>45064</v>
      </c>
      <c r="E14803">
        <v>1</v>
      </c>
      <c r="F14803" t="str">
        <f>"14-M01-05"</f>
        <v>14-M01-05</v>
      </c>
      <c r="G14803">
        <v>0.56589999999999996</v>
      </c>
      <c r="H14803" t="s">
        <v>13</v>
      </c>
      <c r="I14803" t="s">
        <v>10</v>
      </c>
    </row>
    <row r="14804" spans="1:9" x14ac:dyDescent="0.25">
      <c r="A14804" t="str">
        <f t="shared" si="341"/>
        <v>89301000</v>
      </c>
      <c r="B14804" t="str">
        <f>"9255136176"</f>
        <v>9255136176</v>
      </c>
      <c r="C14804" s="1">
        <v>45039</v>
      </c>
      <c r="D14804" s="1">
        <v>45041</v>
      </c>
      <c r="E14804">
        <v>1</v>
      </c>
      <c r="F14804" t="str">
        <f>"14-M01-05"</f>
        <v>14-M01-05</v>
      </c>
      <c r="G14804">
        <v>0.56289999999999996</v>
      </c>
      <c r="H14804" t="s">
        <v>13</v>
      </c>
      <c r="I14804" t="s">
        <v>10</v>
      </c>
    </row>
    <row r="14805" spans="1:9" x14ac:dyDescent="0.25">
      <c r="A14805" t="str">
        <f t="shared" si="341"/>
        <v>89301000</v>
      </c>
      <c r="B14805" t="str">
        <f>"9255146197"</f>
        <v>9255146197</v>
      </c>
      <c r="C14805" s="1">
        <v>45102</v>
      </c>
      <c r="D14805" s="1">
        <v>45106</v>
      </c>
      <c r="E14805">
        <v>1</v>
      </c>
      <c r="F14805" t="str">
        <f>"17-K09-02"</f>
        <v>17-K09-02</v>
      </c>
      <c r="G14805">
        <v>0.77080000000000004</v>
      </c>
      <c r="H14805" t="s">
        <v>11</v>
      </c>
      <c r="I14805" t="s">
        <v>10</v>
      </c>
    </row>
    <row r="14806" spans="1:9" x14ac:dyDescent="0.25">
      <c r="A14806" t="str">
        <f t="shared" si="341"/>
        <v>89301000</v>
      </c>
      <c r="B14806" t="str">
        <f>"9255194927"</f>
        <v>9255194927</v>
      </c>
      <c r="C14806" s="1">
        <v>45037</v>
      </c>
      <c r="D14806" s="1">
        <v>45039</v>
      </c>
      <c r="E14806">
        <v>1</v>
      </c>
      <c r="F14806" t="str">
        <f>"08-I17-02"</f>
        <v>08-I17-02</v>
      </c>
      <c r="G14806">
        <v>0.89680000000000004</v>
      </c>
      <c r="H14806" t="s">
        <v>11</v>
      </c>
      <c r="I14806" t="s">
        <v>10</v>
      </c>
    </row>
    <row r="14807" spans="1:9" x14ac:dyDescent="0.25">
      <c r="A14807" t="str">
        <f t="shared" si="341"/>
        <v>89301000</v>
      </c>
      <c r="B14807" t="str">
        <f>"9255196170"</f>
        <v>9255196170</v>
      </c>
      <c r="C14807" s="1">
        <v>45097</v>
      </c>
      <c r="D14807" s="1">
        <v>45098</v>
      </c>
      <c r="E14807">
        <v>1</v>
      </c>
      <c r="F14807" t="str">
        <f>"11-I14-02"</f>
        <v>11-I14-02</v>
      </c>
      <c r="G14807">
        <v>0.61839999999999995</v>
      </c>
      <c r="H14807" t="s">
        <v>9</v>
      </c>
      <c r="I14807" t="s">
        <v>10</v>
      </c>
    </row>
    <row r="14808" spans="1:9" x14ac:dyDescent="0.25">
      <c r="A14808" t="str">
        <f t="shared" si="341"/>
        <v>89301000</v>
      </c>
      <c r="B14808" t="str">
        <f>"9255255746"</f>
        <v>9255255746</v>
      </c>
      <c r="C14808" s="1">
        <v>45246</v>
      </c>
      <c r="D14808" s="1">
        <v>45249</v>
      </c>
      <c r="E14808">
        <v>1</v>
      </c>
      <c r="F14808" t="str">
        <f>"14-M01-02"</f>
        <v>14-M01-02</v>
      </c>
      <c r="G14808">
        <v>0.80049999999999999</v>
      </c>
      <c r="H14808" t="s">
        <v>13</v>
      </c>
      <c r="I14808" t="s">
        <v>10</v>
      </c>
    </row>
    <row r="14809" spans="1:9" x14ac:dyDescent="0.25">
      <c r="A14809" t="str">
        <f t="shared" si="341"/>
        <v>89301000</v>
      </c>
      <c r="B14809" t="str">
        <f>"9255256142"</f>
        <v>9255256142</v>
      </c>
      <c r="C14809" s="1">
        <v>45111</v>
      </c>
      <c r="D14809" s="1">
        <v>45121</v>
      </c>
      <c r="E14809">
        <v>1</v>
      </c>
      <c r="F14809" t="str">
        <f>"14-M01-05"</f>
        <v>14-M01-05</v>
      </c>
      <c r="G14809">
        <v>0.83609999999999995</v>
      </c>
      <c r="H14809" t="s">
        <v>13</v>
      </c>
      <c r="I14809" t="s">
        <v>10</v>
      </c>
    </row>
    <row r="14810" spans="1:9" x14ac:dyDescent="0.25">
      <c r="A14810" t="str">
        <f t="shared" si="341"/>
        <v>89301000</v>
      </c>
      <c r="B14810" t="str">
        <f>"9255274479"</f>
        <v>9255274479</v>
      </c>
      <c r="C14810" s="1">
        <v>45007</v>
      </c>
      <c r="D14810" s="1">
        <v>45011</v>
      </c>
      <c r="E14810">
        <v>1</v>
      </c>
      <c r="F14810" t="str">
        <f>"14-I01-05"</f>
        <v>14-I01-05</v>
      </c>
      <c r="G14810">
        <v>0.83340000000000003</v>
      </c>
      <c r="H14810" t="s">
        <v>13</v>
      </c>
      <c r="I14810" t="s">
        <v>10</v>
      </c>
    </row>
    <row r="14811" spans="1:9" x14ac:dyDescent="0.25">
      <c r="A14811" t="str">
        <f t="shared" si="341"/>
        <v>89301000</v>
      </c>
      <c r="B14811" t="str">
        <f>"9256035745"</f>
        <v>9256035745</v>
      </c>
      <c r="C14811" s="1">
        <v>45038</v>
      </c>
      <c r="D14811" s="1">
        <v>45042</v>
      </c>
      <c r="E14811">
        <v>1</v>
      </c>
      <c r="F14811" t="str">
        <f>"14-I01-02"</f>
        <v>14-I01-02</v>
      </c>
      <c r="G14811">
        <v>1.2935000000000001</v>
      </c>
      <c r="H14811" t="s">
        <v>13</v>
      </c>
      <c r="I14811" t="s">
        <v>10</v>
      </c>
    </row>
    <row r="14812" spans="1:9" x14ac:dyDescent="0.25">
      <c r="A14812" t="str">
        <f t="shared" si="341"/>
        <v>89301000</v>
      </c>
      <c r="B14812" t="str">
        <f>"9256045337"</f>
        <v>9256045337</v>
      </c>
      <c r="C14812" s="1">
        <v>44993</v>
      </c>
      <c r="D14812" s="1">
        <v>44997</v>
      </c>
      <c r="E14812">
        <v>1</v>
      </c>
      <c r="F14812" t="str">
        <f>"14-M01-05"</f>
        <v>14-M01-05</v>
      </c>
      <c r="G14812">
        <v>0.56289999999999996</v>
      </c>
      <c r="H14812" t="s">
        <v>13</v>
      </c>
      <c r="I14812" t="s">
        <v>10</v>
      </c>
    </row>
    <row r="14813" spans="1:9" x14ac:dyDescent="0.25">
      <c r="A14813" t="str">
        <f t="shared" si="341"/>
        <v>89301000</v>
      </c>
      <c r="B14813" t="str">
        <f>"9256045755"</f>
        <v>9256045755</v>
      </c>
      <c r="C14813" s="1">
        <v>45099</v>
      </c>
      <c r="D14813" s="1">
        <v>45102</v>
      </c>
      <c r="E14813">
        <v>1</v>
      </c>
      <c r="F14813" t="str">
        <f>"14-M01-05"</f>
        <v>14-M01-05</v>
      </c>
      <c r="G14813">
        <v>0.56589999999999996</v>
      </c>
      <c r="H14813" t="s">
        <v>13</v>
      </c>
      <c r="I14813" t="s">
        <v>10</v>
      </c>
    </row>
    <row r="14814" spans="1:9" x14ac:dyDescent="0.25">
      <c r="A14814" t="str">
        <f t="shared" si="341"/>
        <v>89301000</v>
      </c>
      <c r="B14814" t="str">
        <f>"9256085751"</f>
        <v>9256085751</v>
      </c>
      <c r="C14814" s="1">
        <v>45141</v>
      </c>
      <c r="D14814" s="1">
        <v>45144</v>
      </c>
      <c r="E14814">
        <v>1</v>
      </c>
      <c r="F14814" t="str">
        <f>"14-M01-02"</f>
        <v>14-M01-02</v>
      </c>
      <c r="G14814">
        <v>0.80049999999999999</v>
      </c>
      <c r="H14814" t="s">
        <v>13</v>
      </c>
      <c r="I14814" t="s">
        <v>10</v>
      </c>
    </row>
    <row r="14815" spans="1:9" x14ac:dyDescent="0.25">
      <c r="A14815" t="str">
        <f t="shared" si="341"/>
        <v>89301000</v>
      </c>
      <c r="B14815" t="str">
        <f>"9256155744"</f>
        <v>9256155744</v>
      </c>
      <c r="C14815" s="1">
        <v>44991</v>
      </c>
      <c r="D14815" s="1">
        <v>45002</v>
      </c>
      <c r="E14815">
        <v>1</v>
      </c>
      <c r="F14815" t="str">
        <f>"24-M06-02"</f>
        <v>24-M06-02</v>
      </c>
      <c r="G14815">
        <v>1.0699000000000001</v>
      </c>
      <c r="H14815" t="s">
        <v>11</v>
      </c>
      <c r="I14815" t="s">
        <v>10</v>
      </c>
    </row>
    <row r="14816" spans="1:9" x14ac:dyDescent="0.25">
      <c r="A14816" t="str">
        <f t="shared" si="341"/>
        <v>89301000</v>
      </c>
      <c r="B14816" t="str">
        <f>"9256155744"</f>
        <v>9256155744</v>
      </c>
      <c r="C14816" s="1">
        <v>44948</v>
      </c>
      <c r="D14816" s="1">
        <v>44951</v>
      </c>
      <c r="E14816">
        <v>1</v>
      </c>
      <c r="F14816" t="str">
        <f>"08-I14-02"</f>
        <v>08-I14-02</v>
      </c>
      <c r="G14816">
        <v>1.6909000000000001</v>
      </c>
      <c r="H14816" t="s">
        <v>12</v>
      </c>
      <c r="I14816" t="s">
        <v>10</v>
      </c>
    </row>
    <row r="14817" spans="1:9" x14ac:dyDescent="0.25">
      <c r="A14817" t="str">
        <f t="shared" si="341"/>
        <v>89301000</v>
      </c>
      <c r="B14817" t="str">
        <f>"9256175731"</f>
        <v>9256175731</v>
      </c>
      <c r="C14817" s="1">
        <v>45244</v>
      </c>
      <c r="D14817" s="1">
        <v>45246</v>
      </c>
      <c r="E14817">
        <v>1</v>
      </c>
      <c r="F14817" t="str">
        <f>"19-K01-02"</f>
        <v>19-K01-02</v>
      </c>
      <c r="G14817">
        <v>1.0766</v>
      </c>
      <c r="H14817" t="s">
        <v>15</v>
      </c>
      <c r="I14817" t="s">
        <v>10</v>
      </c>
    </row>
    <row r="14818" spans="1:9" x14ac:dyDescent="0.25">
      <c r="A14818" t="str">
        <f t="shared" si="341"/>
        <v>89301000</v>
      </c>
      <c r="B14818" t="str">
        <f>"9256175731"</f>
        <v>9256175731</v>
      </c>
      <c r="C14818" s="1">
        <v>45218</v>
      </c>
      <c r="D14818" s="1">
        <v>45228</v>
      </c>
      <c r="E14818">
        <v>1</v>
      </c>
      <c r="F14818" t="str">
        <f>"10-K13-02"</f>
        <v>10-K13-02</v>
      </c>
      <c r="G14818">
        <v>1.0589999999999999</v>
      </c>
      <c r="H14818" t="s">
        <v>11</v>
      </c>
      <c r="I14818" t="s">
        <v>10</v>
      </c>
    </row>
    <row r="14819" spans="1:9" x14ac:dyDescent="0.25">
      <c r="A14819" t="str">
        <f t="shared" si="341"/>
        <v>89301000</v>
      </c>
      <c r="B14819" t="str">
        <f>"9256176171"</f>
        <v>9256176171</v>
      </c>
      <c r="C14819" s="1">
        <v>44956</v>
      </c>
      <c r="D14819" s="1">
        <v>44959</v>
      </c>
      <c r="E14819">
        <v>1</v>
      </c>
      <c r="F14819" t="str">
        <f>"08-I03-08"</f>
        <v>08-I03-08</v>
      </c>
      <c r="G14819">
        <v>1.9455</v>
      </c>
      <c r="H14819" t="s">
        <v>9</v>
      </c>
      <c r="I14819" t="s">
        <v>10</v>
      </c>
    </row>
    <row r="14820" spans="1:9" x14ac:dyDescent="0.25">
      <c r="A14820" t="str">
        <f t="shared" si="341"/>
        <v>89301000</v>
      </c>
      <c r="B14820" t="str">
        <f>"9256293783"</f>
        <v>9256293783</v>
      </c>
      <c r="C14820" s="1">
        <v>44980</v>
      </c>
      <c r="D14820" s="1">
        <v>44983</v>
      </c>
      <c r="E14820">
        <v>1</v>
      </c>
      <c r="F14820" t="str">
        <f>"14-M01-05"</f>
        <v>14-M01-05</v>
      </c>
      <c r="G14820">
        <v>0.56289999999999996</v>
      </c>
      <c r="H14820" t="s">
        <v>13</v>
      </c>
      <c r="I14820" t="s">
        <v>10</v>
      </c>
    </row>
    <row r="14821" spans="1:9" x14ac:dyDescent="0.25">
      <c r="A14821" t="str">
        <f t="shared" si="341"/>
        <v>89301000</v>
      </c>
      <c r="B14821" t="str">
        <f>"9256294861"</f>
        <v>9256294861</v>
      </c>
      <c r="C14821" s="1">
        <v>44965</v>
      </c>
      <c r="D14821" s="1">
        <v>44967</v>
      </c>
      <c r="E14821">
        <v>1</v>
      </c>
      <c r="F14821" t="str">
        <f>"14-M01-05"</f>
        <v>14-M01-05</v>
      </c>
      <c r="G14821">
        <v>0.56589999999999996</v>
      </c>
      <c r="H14821" t="s">
        <v>13</v>
      </c>
      <c r="I14821" t="s">
        <v>10</v>
      </c>
    </row>
    <row r="14822" spans="1:9" x14ac:dyDescent="0.25">
      <c r="A14822" t="str">
        <f t="shared" si="341"/>
        <v>89301000</v>
      </c>
      <c r="B14822" t="str">
        <f>"9257025701"</f>
        <v>9257025701</v>
      </c>
      <c r="C14822" s="1">
        <v>45248</v>
      </c>
      <c r="D14822" s="1">
        <v>45254</v>
      </c>
      <c r="E14822">
        <v>1</v>
      </c>
      <c r="F14822" t="str">
        <f>"07-K02-01"</f>
        <v>07-K02-01</v>
      </c>
      <c r="G14822">
        <v>2.5807000000000002</v>
      </c>
      <c r="H14822" t="s">
        <v>11</v>
      </c>
      <c r="I14822" t="s">
        <v>10</v>
      </c>
    </row>
    <row r="14823" spans="1:9" x14ac:dyDescent="0.25">
      <c r="A14823" t="str">
        <f t="shared" si="341"/>
        <v>89301000</v>
      </c>
      <c r="B14823" t="str">
        <f>"9257058217"</f>
        <v>9257058217</v>
      </c>
      <c r="C14823" s="1">
        <v>45115</v>
      </c>
      <c r="D14823" s="1">
        <v>45117</v>
      </c>
      <c r="E14823">
        <v>1</v>
      </c>
      <c r="F14823" t="str">
        <f>"06-I18-05"</f>
        <v>06-I18-05</v>
      </c>
      <c r="G14823">
        <v>0.82420000000000004</v>
      </c>
      <c r="H14823" t="s">
        <v>9</v>
      </c>
      <c r="I14823" t="s">
        <v>10</v>
      </c>
    </row>
    <row r="14824" spans="1:9" x14ac:dyDescent="0.25">
      <c r="A14824" t="str">
        <f t="shared" si="341"/>
        <v>89301000</v>
      </c>
      <c r="B14824" t="str">
        <f>"9257145722"</f>
        <v>9257145722</v>
      </c>
      <c r="C14824" s="1">
        <v>45042</v>
      </c>
      <c r="D14824" s="1">
        <v>45045</v>
      </c>
      <c r="E14824">
        <v>1</v>
      </c>
      <c r="F14824" t="str">
        <f>"13-I17-00"</f>
        <v>13-I17-00</v>
      </c>
      <c r="G14824">
        <v>1.1943999999999999</v>
      </c>
      <c r="H14824" t="s">
        <v>9</v>
      </c>
      <c r="I14824" t="s">
        <v>10</v>
      </c>
    </row>
    <row r="14825" spans="1:9" x14ac:dyDescent="0.25">
      <c r="A14825" t="str">
        <f t="shared" si="341"/>
        <v>89301000</v>
      </c>
      <c r="B14825" t="str">
        <f>"9257146140"</f>
        <v>9257146140</v>
      </c>
      <c r="C14825" s="1">
        <v>45040</v>
      </c>
      <c r="D14825" s="1">
        <v>45042</v>
      </c>
      <c r="E14825">
        <v>1</v>
      </c>
      <c r="F14825" t="str">
        <f>"14-M01-05"</f>
        <v>14-M01-05</v>
      </c>
      <c r="G14825">
        <v>0.56589999999999996</v>
      </c>
      <c r="H14825" t="s">
        <v>13</v>
      </c>
      <c r="I14825" t="s">
        <v>10</v>
      </c>
    </row>
    <row r="14826" spans="1:9" x14ac:dyDescent="0.25">
      <c r="A14826" t="str">
        <f t="shared" si="341"/>
        <v>89301000</v>
      </c>
      <c r="B14826" t="str">
        <f>"9257155721"</f>
        <v>9257155721</v>
      </c>
      <c r="C14826" s="1">
        <v>44938</v>
      </c>
      <c r="D14826" s="1">
        <v>44941</v>
      </c>
      <c r="E14826">
        <v>1</v>
      </c>
      <c r="F14826" t="str">
        <f>"14-M01-05"</f>
        <v>14-M01-05</v>
      </c>
      <c r="G14826">
        <v>0.56289999999999996</v>
      </c>
      <c r="H14826" t="s">
        <v>13</v>
      </c>
      <c r="I14826" t="s">
        <v>10</v>
      </c>
    </row>
    <row r="14827" spans="1:9" x14ac:dyDescent="0.25">
      <c r="A14827" t="str">
        <f t="shared" si="341"/>
        <v>89301000</v>
      </c>
      <c r="B14827" t="str">
        <f>"9257174850"</f>
        <v>9257174850</v>
      </c>
      <c r="C14827" s="1">
        <v>44976</v>
      </c>
      <c r="D14827" s="1">
        <v>44979</v>
      </c>
      <c r="E14827">
        <v>1</v>
      </c>
      <c r="F14827" t="str">
        <f>"06-I14-02"</f>
        <v>06-I14-02</v>
      </c>
      <c r="G14827">
        <v>1.4552</v>
      </c>
      <c r="H14827" t="s">
        <v>11</v>
      </c>
      <c r="I14827" t="s">
        <v>10</v>
      </c>
    </row>
    <row r="14828" spans="1:9" x14ac:dyDescent="0.25">
      <c r="A14828" t="str">
        <f t="shared" si="341"/>
        <v>89301000</v>
      </c>
      <c r="B14828" t="str">
        <f>"9257174850"</f>
        <v>9257174850</v>
      </c>
      <c r="C14828" s="1">
        <v>45180</v>
      </c>
      <c r="D14828" s="1">
        <v>45182</v>
      </c>
      <c r="E14828">
        <v>1</v>
      </c>
      <c r="F14828" t="str">
        <f>"13-I14-03"</f>
        <v>13-I14-03</v>
      </c>
      <c r="G14828">
        <v>0.87760000000000005</v>
      </c>
      <c r="H14828" t="s">
        <v>9</v>
      </c>
      <c r="I14828" t="s">
        <v>10</v>
      </c>
    </row>
    <row r="14829" spans="1:9" x14ac:dyDescent="0.25">
      <c r="A14829" t="str">
        <f t="shared" si="341"/>
        <v>89301000</v>
      </c>
      <c r="B14829" t="str">
        <f>"9257174850"</f>
        <v>9257174850</v>
      </c>
      <c r="C14829" s="1">
        <v>45239</v>
      </c>
      <c r="D14829" s="1">
        <v>45243</v>
      </c>
      <c r="E14829">
        <v>1</v>
      </c>
      <c r="F14829" t="str">
        <f>"13-I12-00"</f>
        <v>13-I12-00</v>
      </c>
      <c r="G14829">
        <v>1.4605999999999999</v>
      </c>
      <c r="H14829" t="s">
        <v>9</v>
      </c>
      <c r="I14829" t="s">
        <v>10</v>
      </c>
    </row>
    <row r="14830" spans="1:9" x14ac:dyDescent="0.25">
      <c r="A14830" t="str">
        <f t="shared" si="341"/>
        <v>89301000</v>
      </c>
      <c r="B14830" t="str">
        <f>"9257194848"</f>
        <v>9257194848</v>
      </c>
      <c r="C14830" s="1">
        <v>45138</v>
      </c>
      <c r="D14830" s="1">
        <v>45140</v>
      </c>
      <c r="E14830">
        <v>1</v>
      </c>
      <c r="F14830" t="str">
        <f>"14-M01-05"</f>
        <v>14-M01-05</v>
      </c>
      <c r="G14830">
        <v>0.56289999999999996</v>
      </c>
      <c r="H14830" t="s">
        <v>13</v>
      </c>
      <c r="I14830" t="s">
        <v>10</v>
      </c>
    </row>
    <row r="14831" spans="1:9" x14ac:dyDescent="0.25">
      <c r="A14831" t="str">
        <f t="shared" si="341"/>
        <v>89301000</v>
      </c>
      <c r="B14831" t="str">
        <f>"9257233271"</f>
        <v>9257233271</v>
      </c>
      <c r="C14831" s="1">
        <v>44934</v>
      </c>
      <c r="D14831" s="1">
        <v>44942</v>
      </c>
      <c r="E14831">
        <v>1</v>
      </c>
      <c r="F14831" t="str">
        <f>"14-I01-01"</f>
        <v>14-I01-01</v>
      </c>
      <c r="G14831">
        <v>1.6020000000000001</v>
      </c>
      <c r="H14831" t="s">
        <v>13</v>
      </c>
      <c r="I14831" t="s">
        <v>10</v>
      </c>
    </row>
    <row r="14832" spans="1:9" x14ac:dyDescent="0.25">
      <c r="A14832" t="str">
        <f t="shared" si="341"/>
        <v>89301000</v>
      </c>
      <c r="B14832" t="str">
        <f>"9257233271"</f>
        <v>9257233271</v>
      </c>
      <c r="C14832" s="1">
        <v>44924</v>
      </c>
      <c r="D14832" s="1">
        <v>44928</v>
      </c>
      <c r="E14832">
        <v>6</v>
      </c>
      <c r="F14832" t="str">
        <f>"14-K03-01"</f>
        <v>14-K03-01</v>
      </c>
      <c r="G14832">
        <v>0.59119999999999995</v>
      </c>
      <c r="H14832" t="s">
        <v>11</v>
      </c>
      <c r="I14832" t="s">
        <v>10</v>
      </c>
    </row>
    <row r="14833" spans="1:9" x14ac:dyDescent="0.25">
      <c r="A14833" t="str">
        <f t="shared" si="341"/>
        <v>89301000</v>
      </c>
      <c r="B14833" t="str">
        <f>"9257234844"</f>
        <v>9257234844</v>
      </c>
      <c r="C14833" s="1">
        <v>45130</v>
      </c>
      <c r="D14833" s="1">
        <v>45134</v>
      </c>
      <c r="E14833">
        <v>1</v>
      </c>
      <c r="F14833" t="str">
        <f>"14-I01-05"</f>
        <v>14-I01-05</v>
      </c>
      <c r="G14833">
        <v>0.83</v>
      </c>
      <c r="H14833" t="s">
        <v>13</v>
      </c>
      <c r="I14833" t="s">
        <v>10</v>
      </c>
    </row>
    <row r="14834" spans="1:9" x14ac:dyDescent="0.25">
      <c r="A14834" t="str">
        <f t="shared" si="341"/>
        <v>89301000</v>
      </c>
      <c r="B14834" t="str">
        <f>"9257255711"</f>
        <v>9257255711</v>
      </c>
      <c r="C14834" s="1">
        <v>45030</v>
      </c>
      <c r="D14834" s="1">
        <v>45033</v>
      </c>
      <c r="E14834">
        <v>1</v>
      </c>
      <c r="F14834" t="str">
        <f>"14-M01-05"</f>
        <v>14-M01-05</v>
      </c>
      <c r="G14834">
        <v>0.56289999999999996</v>
      </c>
      <c r="H14834" t="s">
        <v>13</v>
      </c>
      <c r="I14834" t="s">
        <v>10</v>
      </c>
    </row>
    <row r="14835" spans="1:9" x14ac:dyDescent="0.25">
      <c r="A14835" t="str">
        <f t="shared" si="341"/>
        <v>89301000</v>
      </c>
      <c r="B14835" t="str">
        <f>"9257275709"</f>
        <v>9257275709</v>
      </c>
      <c r="C14835" s="1">
        <v>45050</v>
      </c>
      <c r="D14835" s="1">
        <v>45059</v>
      </c>
      <c r="E14835">
        <v>1</v>
      </c>
      <c r="F14835" t="str">
        <f>"14-M01-02"</f>
        <v>14-M01-02</v>
      </c>
      <c r="G14835">
        <v>0.98880000000000001</v>
      </c>
      <c r="H14835" t="s">
        <v>13</v>
      </c>
      <c r="I14835" t="s">
        <v>10</v>
      </c>
    </row>
    <row r="14836" spans="1:9" x14ac:dyDescent="0.25">
      <c r="A14836" t="str">
        <f t="shared" si="341"/>
        <v>89301000</v>
      </c>
      <c r="B14836" t="str">
        <f>"9257275709"</f>
        <v>9257275709</v>
      </c>
      <c r="C14836" s="1">
        <v>45195</v>
      </c>
      <c r="D14836" s="1">
        <v>45196</v>
      </c>
      <c r="E14836">
        <v>1</v>
      </c>
      <c r="F14836" t="str">
        <f>"09-I09-05"</f>
        <v>09-I09-05</v>
      </c>
      <c r="G14836">
        <v>0.46870000000000001</v>
      </c>
      <c r="H14836" t="s">
        <v>12</v>
      </c>
      <c r="I14836" t="s">
        <v>10</v>
      </c>
    </row>
    <row r="14837" spans="1:9" x14ac:dyDescent="0.25">
      <c r="A14837" t="str">
        <f t="shared" si="341"/>
        <v>89301000</v>
      </c>
      <c r="B14837" t="str">
        <f>"9257285741"</f>
        <v>9257285741</v>
      </c>
      <c r="C14837" s="1">
        <v>45005</v>
      </c>
      <c r="D14837" s="1">
        <v>45014</v>
      </c>
      <c r="E14837">
        <v>1</v>
      </c>
      <c r="F14837" t="str">
        <f>"24-M06-02"</f>
        <v>24-M06-02</v>
      </c>
      <c r="G14837">
        <v>1.0699000000000001</v>
      </c>
      <c r="H14837" t="s">
        <v>11</v>
      </c>
      <c r="I14837" t="s">
        <v>10</v>
      </c>
    </row>
    <row r="14838" spans="1:9" x14ac:dyDescent="0.25">
      <c r="A14838" t="str">
        <f t="shared" si="341"/>
        <v>89301000</v>
      </c>
      <c r="B14838" t="str">
        <f>"9257285741"</f>
        <v>9257285741</v>
      </c>
      <c r="C14838" s="1">
        <v>44991</v>
      </c>
      <c r="D14838" s="1">
        <v>45001</v>
      </c>
      <c r="E14838">
        <v>3</v>
      </c>
      <c r="F14838" t="str">
        <f>"24-M06-02"</f>
        <v>24-M06-02</v>
      </c>
      <c r="G14838">
        <v>1.0699000000000001</v>
      </c>
      <c r="H14838" t="s">
        <v>11</v>
      </c>
      <c r="I14838" t="s">
        <v>10</v>
      </c>
    </row>
    <row r="14839" spans="1:9" x14ac:dyDescent="0.25">
      <c r="A14839" t="str">
        <f t="shared" si="341"/>
        <v>89301000</v>
      </c>
      <c r="B14839" t="str">
        <f>"9257285741"</f>
        <v>9257285741</v>
      </c>
      <c r="C14839" s="1">
        <v>44958</v>
      </c>
      <c r="D14839" s="1">
        <v>44966</v>
      </c>
      <c r="E14839">
        <v>1</v>
      </c>
      <c r="F14839" t="str">
        <f>"25-K01-02"</f>
        <v>25-K01-02</v>
      </c>
      <c r="G14839">
        <v>2.2376999999999998</v>
      </c>
      <c r="H14839" t="s">
        <v>14</v>
      </c>
      <c r="I14839" t="s">
        <v>10</v>
      </c>
    </row>
    <row r="14840" spans="1:9" x14ac:dyDescent="0.25">
      <c r="A14840" t="str">
        <f t="shared" si="341"/>
        <v>89301000</v>
      </c>
      <c r="B14840" t="str">
        <f>"9257285741"</f>
        <v>9257285741</v>
      </c>
      <c r="C14840" s="1">
        <v>45001</v>
      </c>
      <c r="D14840" s="1">
        <v>45005</v>
      </c>
      <c r="E14840">
        <v>3</v>
      </c>
      <c r="F14840" t="str">
        <f>"18-K02-02"</f>
        <v>18-K02-02</v>
      </c>
      <c r="G14840">
        <v>1.2894000000000001</v>
      </c>
      <c r="H14840" t="s">
        <v>11</v>
      </c>
      <c r="I14840" t="s">
        <v>10</v>
      </c>
    </row>
    <row r="14841" spans="1:9" x14ac:dyDescent="0.25">
      <c r="A14841" t="str">
        <f t="shared" si="341"/>
        <v>89301000</v>
      </c>
      <c r="B14841" t="str">
        <f>"9257285741"</f>
        <v>9257285741</v>
      </c>
      <c r="C14841" s="1">
        <v>45096</v>
      </c>
      <c r="D14841" s="1">
        <v>45097</v>
      </c>
      <c r="E14841">
        <v>1</v>
      </c>
      <c r="F14841" t="str">
        <f>"08-I32-00"</f>
        <v>08-I32-00</v>
      </c>
      <c r="G14841">
        <v>0.4093</v>
      </c>
      <c r="H14841" t="s">
        <v>11</v>
      </c>
      <c r="I14841" t="s">
        <v>10</v>
      </c>
    </row>
    <row r="14842" spans="1:9" x14ac:dyDescent="0.25">
      <c r="A14842" t="str">
        <f t="shared" si="341"/>
        <v>89301000</v>
      </c>
      <c r="B14842" t="str">
        <f>"9257285774"</f>
        <v>9257285774</v>
      </c>
      <c r="C14842" s="1">
        <v>44992</v>
      </c>
      <c r="D14842" s="1">
        <v>44995</v>
      </c>
      <c r="E14842">
        <v>1</v>
      </c>
      <c r="F14842" t="str">
        <f>"08-K08-00"</f>
        <v>08-K08-00</v>
      </c>
      <c r="G14842">
        <v>0.5272</v>
      </c>
      <c r="H14842" t="s">
        <v>11</v>
      </c>
      <c r="I14842" t="s">
        <v>10</v>
      </c>
    </row>
    <row r="14843" spans="1:9" x14ac:dyDescent="0.25">
      <c r="A14843" t="str">
        <f t="shared" si="341"/>
        <v>89301000</v>
      </c>
      <c r="B14843" t="str">
        <f>"9257294849"</f>
        <v>9257294849</v>
      </c>
      <c r="C14843" s="1">
        <v>45129</v>
      </c>
      <c r="D14843" s="1">
        <v>45134</v>
      </c>
      <c r="E14843">
        <v>1</v>
      </c>
      <c r="F14843" t="str">
        <f>"14-I01-01"</f>
        <v>14-I01-01</v>
      </c>
      <c r="G14843">
        <v>1.6020000000000001</v>
      </c>
      <c r="H14843" t="s">
        <v>13</v>
      </c>
      <c r="I14843" t="s">
        <v>10</v>
      </c>
    </row>
    <row r="14844" spans="1:9" x14ac:dyDescent="0.25">
      <c r="A14844" t="str">
        <f t="shared" si="341"/>
        <v>89301000</v>
      </c>
      <c r="B14844" t="str">
        <f>"9258085705"</f>
        <v>9258085705</v>
      </c>
      <c r="C14844" s="1">
        <v>45064</v>
      </c>
      <c r="D14844" s="1">
        <v>45065</v>
      </c>
      <c r="E14844">
        <v>1</v>
      </c>
      <c r="F14844" t="str">
        <f>"23-K01-00"</f>
        <v>23-K01-00</v>
      </c>
      <c r="G14844">
        <v>0.1401</v>
      </c>
      <c r="H14844" t="s">
        <v>11</v>
      </c>
      <c r="I14844" t="s">
        <v>10</v>
      </c>
    </row>
    <row r="14845" spans="1:9" x14ac:dyDescent="0.25">
      <c r="A14845" t="str">
        <f t="shared" si="341"/>
        <v>89301000</v>
      </c>
      <c r="B14845" t="str">
        <f>"9258096144"</f>
        <v>9258096144</v>
      </c>
      <c r="C14845" s="1">
        <v>45211</v>
      </c>
      <c r="D14845" s="1">
        <v>45214</v>
      </c>
      <c r="E14845">
        <v>1</v>
      </c>
      <c r="F14845" t="str">
        <f>"14-M01-05"</f>
        <v>14-M01-05</v>
      </c>
      <c r="G14845">
        <v>0.56289999999999996</v>
      </c>
      <c r="H14845" t="s">
        <v>13</v>
      </c>
      <c r="I14845" t="s">
        <v>10</v>
      </c>
    </row>
    <row r="14846" spans="1:9" x14ac:dyDescent="0.25">
      <c r="A14846" t="str">
        <f t="shared" si="341"/>
        <v>89301000</v>
      </c>
      <c r="B14846" t="str">
        <f>"9258135711"</f>
        <v>9258135711</v>
      </c>
      <c r="C14846" s="1">
        <v>45185</v>
      </c>
      <c r="D14846" s="1">
        <v>45198</v>
      </c>
      <c r="E14846">
        <v>1</v>
      </c>
      <c r="F14846" t="str">
        <f>"01-K10-03"</f>
        <v>01-K10-03</v>
      </c>
      <c r="G14846">
        <v>1.0443</v>
      </c>
      <c r="H14846" t="s">
        <v>11</v>
      </c>
      <c r="I14846" t="s">
        <v>10</v>
      </c>
    </row>
    <row r="14847" spans="1:9" x14ac:dyDescent="0.25">
      <c r="A14847" t="str">
        <f t="shared" si="341"/>
        <v>89301000</v>
      </c>
      <c r="B14847" t="str">
        <f>"9258155929"</f>
        <v>9258155929</v>
      </c>
      <c r="C14847" s="1">
        <v>44964</v>
      </c>
      <c r="D14847" s="1">
        <v>44967</v>
      </c>
      <c r="E14847">
        <v>1</v>
      </c>
      <c r="F14847" t="str">
        <f>"09-K04-02"</f>
        <v>09-K04-02</v>
      </c>
      <c r="G14847">
        <v>0.64849999999999997</v>
      </c>
      <c r="H14847" t="s">
        <v>11</v>
      </c>
      <c r="I14847" t="s">
        <v>10</v>
      </c>
    </row>
    <row r="14848" spans="1:9" x14ac:dyDescent="0.25">
      <c r="A14848" t="str">
        <f t="shared" si="341"/>
        <v>89301000</v>
      </c>
      <c r="B14848" t="str">
        <f>"9258215736"</f>
        <v>9258215736</v>
      </c>
      <c r="C14848" s="1">
        <v>44976</v>
      </c>
      <c r="D14848" s="1">
        <v>45002</v>
      </c>
      <c r="E14848">
        <v>1</v>
      </c>
      <c r="F14848" t="str">
        <f>"13-C01-02"</f>
        <v>13-C01-02</v>
      </c>
      <c r="G14848">
        <v>1.0745</v>
      </c>
      <c r="H14848" t="s">
        <v>11</v>
      </c>
      <c r="I14848" t="s">
        <v>10</v>
      </c>
    </row>
    <row r="14849" spans="1:9" x14ac:dyDescent="0.25">
      <c r="A14849" t="str">
        <f t="shared" si="341"/>
        <v>89301000</v>
      </c>
      <c r="B14849" t="str">
        <f>"9258215736"</f>
        <v>9258215736</v>
      </c>
      <c r="C14849" s="1">
        <v>45028</v>
      </c>
      <c r="D14849" s="1">
        <v>45035</v>
      </c>
      <c r="E14849">
        <v>1</v>
      </c>
      <c r="F14849" t="str">
        <f>"23-K06-00"</f>
        <v>23-K06-00</v>
      </c>
      <c r="G14849">
        <v>0.55000000000000004</v>
      </c>
      <c r="H14849" t="s">
        <v>11</v>
      </c>
      <c r="I14849" t="s">
        <v>10</v>
      </c>
    </row>
    <row r="14850" spans="1:9" x14ac:dyDescent="0.25">
      <c r="A14850" t="str">
        <f t="shared" si="341"/>
        <v>89301000</v>
      </c>
      <c r="B14850" t="str">
        <f>"9258215736"</f>
        <v>9258215736</v>
      </c>
      <c r="C14850" s="1">
        <v>45061</v>
      </c>
      <c r="D14850" s="1">
        <v>45072</v>
      </c>
      <c r="E14850">
        <v>1</v>
      </c>
      <c r="F14850" t="str">
        <f>"13-K08-01"</f>
        <v>13-K08-01</v>
      </c>
      <c r="G14850">
        <v>1.2566999999999999</v>
      </c>
      <c r="H14850" t="s">
        <v>11</v>
      </c>
      <c r="I14850" t="s">
        <v>10</v>
      </c>
    </row>
    <row r="14851" spans="1:9" x14ac:dyDescent="0.25">
      <c r="A14851" t="str">
        <f t="shared" si="341"/>
        <v>89301000</v>
      </c>
      <c r="B14851" t="str">
        <f>"9258215736"</f>
        <v>9258215736</v>
      </c>
      <c r="C14851" s="1">
        <v>45081</v>
      </c>
      <c r="D14851" s="1">
        <v>45086</v>
      </c>
      <c r="E14851">
        <v>1</v>
      </c>
      <c r="F14851" t="str">
        <f>"13-K08-02"</f>
        <v>13-K08-02</v>
      </c>
      <c r="G14851">
        <v>0.41320000000000001</v>
      </c>
      <c r="H14851" t="s">
        <v>11</v>
      </c>
      <c r="I14851" t="s">
        <v>10</v>
      </c>
    </row>
    <row r="14852" spans="1:9" x14ac:dyDescent="0.25">
      <c r="A14852" t="str">
        <f t="shared" si="341"/>
        <v>89301000</v>
      </c>
      <c r="B14852" t="str">
        <f>"9258215736"</f>
        <v>9258215736</v>
      </c>
      <c r="C14852" s="1">
        <v>45100</v>
      </c>
      <c r="D14852" s="1">
        <v>45104</v>
      </c>
      <c r="E14852">
        <v>1</v>
      </c>
      <c r="F14852" t="str">
        <f>"13-K08-02"</f>
        <v>13-K08-02</v>
      </c>
      <c r="G14852">
        <v>0.41320000000000001</v>
      </c>
      <c r="H14852" t="s">
        <v>11</v>
      </c>
      <c r="I14852" t="s">
        <v>10</v>
      </c>
    </row>
    <row r="14853" spans="1:9" x14ac:dyDescent="0.25">
      <c r="A14853" t="str">
        <f t="shared" si="341"/>
        <v>89301000</v>
      </c>
      <c r="B14853" t="str">
        <f>"9258245700"</f>
        <v>9258245700</v>
      </c>
      <c r="C14853" s="1">
        <v>45107</v>
      </c>
      <c r="D14853" s="1">
        <v>45112</v>
      </c>
      <c r="E14853">
        <v>1</v>
      </c>
      <c r="F14853" t="str">
        <f>"14-M01-05"</f>
        <v>14-M01-05</v>
      </c>
      <c r="G14853">
        <v>0.56289999999999996</v>
      </c>
      <c r="H14853" t="s">
        <v>13</v>
      </c>
      <c r="I14853" t="s">
        <v>10</v>
      </c>
    </row>
    <row r="14854" spans="1:9" x14ac:dyDescent="0.25">
      <c r="A14854" t="str">
        <f t="shared" si="341"/>
        <v>89301000</v>
      </c>
      <c r="B14854" t="str">
        <f>"9258275708"</f>
        <v>9258275708</v>
      </c>
      <c r="C14854" s="1">
        <v>44931</v>
      </c>
      <c r="D14854" s="1">
        <v>44934</v>
      </c>
      <c r="E14854">
        <v>1</v>
      </c>
      <c r="F14854" t="str">
        <f>"14-M01-05"</f>
        <v>14-M01-05</v>
      </c>
      <c r="G14854">
        <v>0.56589999999999996</v>
      </c>
      <c r="H14854" t="s">
        <v>13</v>
      </c>
      <c r="I14854" t="s">
        <v>10</v>
      </c>
    </row>
    <row r="14855" spans="1:9" x14ac:dyDescent="0.25">
      <c r="A14855" t="str">
        <f t="shared" si="341"/>
        <v>89301000</v>
      </c>
      <c r="B14855" t="str">
        <f>"9258294859"</f>
        <v>9258294859</v>
      </c>
      <c r="C14855" s="1">
        <v>45124</v>
      </c>
      <c r="D14855" s="1">
        <v>45128</v>
      </c>
      <c r="E14855">
        <v>1</v>
      </c>
      <c r="F14855" t="str">
        <f>"14-K03-02"</f>
        <v>14-K03-02</v>
      </c>
      <c r="G14855">
        <v>0.30149999999999999</v>
      </c>
      <c r="H14855" t="s">
        <v>11</v>
      </c>
      <c r="I14855" t="s">
        <v>10</v>
      </c>
    </row>
    <row r="14856" spans="1:9" x14ac:dyDescent="0.25">
      <c r="A14856" t="str">
        <f t="shared" si="341"/>
        <v>89301000</v>
      </c>
      <c r="B14856" t="str">
        <f>"9259134841"</f>
        <v>9259134841</v>
      </c>
      <c r="C14856" s="1">
        <v>44929</v>
      </c>
      <c r="D14856" s="1">
        <v>44930</v>
      </c>
      <c r="E14856">
        <v>1</v>
      </c>
      <c r="F14856" t="str">
        <f>"14-K03-02"</f>
        <v>14-K03-02</v>
      </c>
      <c r="G14856">
        <v>0.30149999999999999</v>
      </c>
      <c r="H14856" t="s">
        <v>11</v>
      </c>
      <c r="I14856" t="s">
        <v>10</v>
      </c>
    </row>
    <row r="14857" spans="1:9" x14ac:dyDescent="0.25">
      <c r="A14857" t="str">
        <f t="shared" si="341"/>
        <v>89301000</v>
      </c>
      <c r="B14857" t="str">
        <f>"9259134841"</f>
        <v>9259134841</v>
      </c>
      <c r="C14857" s="1">
        <v>45122</v>
      </c>
      <c r="D14857" s="1">
        <v>45125</v>
      </c>
      <c r="E14857">
        <v>1</v>
      </c>
      <c r="F14857" t="str">
        <f>"14-M01-05"</f>
        <v>14-M01-05</v>
      </c>
      <c r="G14857">
        <v>0.56589999999999996</v>
      </c>
      <c r="H14857" t="s">
        <v>13</v>
      </c>
      <c r="I14857" t="s">
        <v>10</v>
      </c>
    </row>
    <row r="14858" spans="1:9" x14ac:dyDescent="0.25">
      <c r="A14858" t="str">
        <f t="shared" ref="A14858:A14921" si="342">"89301000"</f>
        <v>89301000</v>
      </c>
      <c r="B14858" t="str">
        <f>"9259215702"</f>
        <v>9259215702</v>
      </c>
      <c r="C14858" s="1">
        <v>45239</v>
      </c>
      <c r="D14858" s="1">
        <v>45244</v>
      </c>
      <c r="E14858">
        <v>1</v>
      </c>
      <c r="F14858" t="str">
        <f>"14-I01-05"</f>
        <v>14-I01-05</v>
      </c>
      <c r="G14858">
        <v>0.83340000000000003</v>
      </c>
      <c r="H14858" t="s">
        <v>13</v>
      </c>
      <c r="I14858" t="s">
        <v>10</v>
      </c>
    </row>
    <row r="14859" spans="1:9" x14ac:dyDescent="0.25">
      <c r="A14859" t="str">
        <f t="shared" si="342"/>
        <v>89301000</v>
      </c>
      <c r="B14859" t="str">
        <f>"9259261341"</f>
        <v>9259261341</v>
      </c>
      <c r="C14859" s="1">
        <v>45217</v>
      </c>
      <c r="D14859" s="1">
        <v>45219</v>
      </c>
      <c r="E14859">
        <v>1</v>
      </c>
      <c r="F14859" t="str">
        <f>"14-M01-05"</f>
        <v>14-M01-05</v>
      </c>
      <c r="G14859">
        <v>0.56289999999999996</v>
      </c>
      <c r="H14859" t="s">
        <v>13</v>
      </c>
      <c r="I14859" t="s">
        <v>10</v>
      </c>
    </row>
    <row r="14860" spans="1:9" x14ac:dyDescent="0.25">
      <c r="A14860" t="str">
        <f t="shared" si="342"/>
        <v>89301000</v>
      </c>
      <c r="B14860" t="str">
        <f>"9260025709"</f>
        <v>9260025709</v>
      </c>
      <c r="C14860" s="1">
        <v>45202</v>
      </c>
      <c r="D14860" s="1">
        <v>45206</v>
      </c>
      <c r="E14860">
        <v>1</v>
      </c>
      <c r="F14860" t="str">
        <f>"06-I22-02"</f>
        <v>06-I22-02</v>
      </c>
      <c r="G14860">
        <v>0.41810000000000003</v>
      </c>
      <c r="H14860" t="s">
        <v>12</v>
      </c>
      <c r="I14860" t="s">
        <v>10</v>
      </c>
    </row>
    <row r="14861" spans="1:9" x14ac:dyDescent="0.25">
      <c r="A14861" t="str">
        <f t="shared" si="342"/>
        <v>89301000</v>
      </c>
      <c r="B14861" t="str">
        <f>"9260045729"</f>
        <v>9260045729</v>
      </c>
      <c r="C14861" s="1">
        <v>45275</v>
      </c>
      <c r="D14861" s="1">
        <v>45279</v>
      </c>
      <c r="E14861">
        <v>1</v>
      </c>
      <c r="F14861" t="str">
        <f>"10-K03-04"</f>
        <v>10-K03-04</v>
      </c>
      <c r="G14861">
        <v>0.67349999999999999</v>
      </c>
      <c r="H14861" t="s">
        <v>11</v>
      </c>
      <c r="I14861" t="s">
        <v>10</v>
      </c>
    </row>
    <row r="14862" spans="1:9" x14ac:dyDescent="0.25">
      <c r="A14862" t="str">
        <f t="shared" si="342"/>
        <v>89301000</v>
      </c>
      <c r="B14862" t="str">
        <f>"9260056091"</f>
        <v>9260056091</v>
      </c>
      <c r="C14862" s="1">
        <v>45155</v>
      </c>
      <c r="D14862" s="1">
        <v>45158</v>
      </c>
      <c r="E14862">
        <v>1</v>
      </c>
      <c r="F14862" t="str">
        <f>"14-M01-05"</f>
        <v>14-M01-05</v>
      </c>
      <c r="G14862">
        <v>0.56589999999999996</v>
      </c>
      <c r="H14862" t="s">
        <v>13</v>
      </c>
      <c r="I14862" t="s">
        <v>10</v>
      </c>
    </row>
    <row r="14863" spans="1:9" x14ac:dyDescent="0.25">
      <c r="A14863" t="str">
        <f t="shared" si="342"/>
        <v>89301000</v>
      </c>
      <c r="B14863" t="str">
        <f>"9260085703"</f>
        <v>9260085703</v>
      </c>
      <c r="C14863" s="1">
        <v>45147</v>
      </c>
      <c r="D14863" s="1">
        <v>45149</v>
      </c>
      <c r="E14863">
        <v>1</v>
      </c>
      <c r="F14863" t="str">
        <f>"23-K04-02"</f>
        <v>23-K04-02</v>
      </c>
      <c r="G14863">
        <v>0.38150000000000001</v>
      </c>
      <c r="H14863" t="s">
        <v>11</v>
      </c>
      <c r="I14863" t="s">
        <v>10</v>
      </c>
    </row>
    <row r="14864" spans="1:9" x14ac:dyDescent="0.25">
      <c r="A14864" t="str">
        <f t="shared" si="342"/>
        <v>89301000</v>
      </c>
      <c r="B14864" t="str">
        <f>"9260115700"</f>
        <v>9260115700</v>
      </c>
      <c r="C14864" s="1">
        <v>45259</v>
      </c>
      <c r="D14864" s="1">
        <v>45261</v>
      </c>
      <c r="E14864">
        <v>1</v>
      </c>
      <c r="F14864" t="str">
        <f>"01-K03-08"</f>
        <v>01-K03-08</v>
      </c>
      <c r="G14864">
        <v>0.38290000000000002</v>
      </c>
      <c r="H14864" t="s">
        <v>11</v>
      </c>
      <c r="I14864" t="s">
        <v>10</v>
      </c>
    </row>
    <row r="14865" spans="1:9" x14ac:dyDescent="0.25">
      <c r="A14865" t="str">
        <f t="shared" si="342"/>
        <v>89301000</v>
      </c>
      <c r="B14865" t="str">
        <f>"9260165706"</f>
        <v>9260165706</v>
      </c>
      <c r="C14865" s="1">
        <v>45116</v>
      </c>
      <c r="D14865" s="1">
        <v>45121</v>
      </c>
      <c r="E14865">
        <v>1</v>
      </c>
      <c r="F14865" t="str">
        <f>"14-I01-05"</f>
        <v>14-I01-05</v>
      </c>
      <c r="G14865">
        <v>0.83340000000000003</v>
      </c>
      <c r="H14865" t="s">
        <v>13</v>
      </c>
      <c r="I14865" t="s">
        <v>10</v>
      </c>
    </row>
    <row r="14866" spans="1:9" x14ac:dyDescent="0.25">
      <c r="A14866" t="str">
        <f t="shared" si="342"/>
        <v>89301000</v>
      </c>
      <c r="B14866" t="str">
        <f>"9260216152"</f>
        <v>9260216152</v>
      </c>
      <c r="C14866" s="1">
        <v>45127</v>
      </c>
      <c r="D14866" s="1">
        <v>45134</v>
      </c>
      <c r="E14866">
        <v>1</v>
      </c>
      <c r="F14866" t="str">
        <f>"14-M01-05"</f>
        <v>14-M01-05</v>
      </c>
      <c r="G14866">
        <v>0.63039999999999996</v>
      </c>
      <c r="H14866" t="s">
        <v>13</v>
      </c>
      <c r="I14866" t="s">
        <v>10</v>
      </c>
    </row>
    <row r="14867" spans="1:9" x14ac:dyDescent="0.25">
      <c r="A14867" t="str">
        <f t="shared" si="342"/>
        <v>89301000</v>
      </c>
      <c r="B14867" t="str">
        <f>"9260276146"</f>
        <v>9260276146</v>
      </c>
      <c r="C14867" s="1">
        <v>45183</v>
      </c>
      <c r="D14867" s="1">
        <v>45189</v>
      </c>
      <c r="E14867">
        <v>1</v>
      </c>
      <c r="F14867" t="str">
        <f>"01-K10-03"</f>
        <v>01-K10-03</v>
      </c>
      <c r="G14867">
        <v>1.0443</v>
      </c>
      <c r="H14867" t="s">
        <v>11</v>
      </c>
      <c r="I14867" t="s">
        <v>10</v>
      </c>
    </row>
    <row r="14868" spans="1:9" x14ac:dyDescent="0.25">
      <c r="A14868" t="str">
        <f t="shared" si="342"/>
        <v>89301000</v>
      </c>
      <c r="B14868" t="str">
        <f>"9261065385"</f>
        <v>9261065385</v>
      </c>
      <c r="C14868" s="1">
        <v>45164</v>
      </c>
      <c r="D14868" s="1">
        <v>45167</v>
      </c>
      <c r="E14868">
        <v>1</v>
      </c>
      <c r="F14868" t="str">
        <f>"14-M01-05"</f>
        <v>14-M01-05</v>
      </c>
      <c r="G14868">
        <v>0.56289999999999996</v>
      </c>
      <c r="H14868" t="s">
        <v>13</v>
      </c>
      <c r="I14868" t="s">
        <v>10</v>
      </c>
    </row>
    <row r="14869" spans="1:9" x14ac:dyDescent="0.25">
      <c r="A14869" t="str">
        <f t="shared" si="342"/>
        <v>89301000</v>
      </c>
      <c r="B14869" t="str">
        <f>"9261065704"</f>
        <v>9261065704</v>
      </c>
      <c r="C14869" s="1">
        <v>45036</v>
      </c>
      <c r="D14869" s="1">
        <v>45040</v>
      </c>
      <c r="E14869">
        <v>1</v>
      </c>
      <c r="F14869" t="str">
        <f>"14-I01-02"</f>
        <v>14-I01-02</v>
      </c>
      <c r="G14869">
        <v>1.2935000000000001</v>
      </c>
      <c r="H14869" t="s">
        <v>13</v>
      </c>
      <c r="I14869" t="s">
        <v>10</v>
      </c>
    </row>
    <row r="14870" spans="1:9" x14ac:dyDescent="0.25">
      <c r="A14870" t="str">
        <f t="shared" si="342"/>
        <v>89301000</v>
      </c>
      <c r="B14870" t="str">
        <f>"9261113939"</f>
        <v>9261113939</v>
      </c>
      <c r="C14870" s="1">
        <v>45120</v>
      </c>
      <c r="D14870" s="1">
        <v>45120</v>
      </c>
      <c r="E14870">
        <v>6</v>
      </c>
      <c r="F14870" t="str">
        <f>"14-I08-03"</f>
        <v>14-I08-03</v>
      </c>
      <c r="G14870">
        <v>0.1207</v>
      </c>
      <c r="H14870" t="s">
        <v>11</v>
      </c>
      <c r="I14870" t="s">
        <v>10</v>
      </c>
    </row>
    <row r="14871" spans="1:9" x14ac:dyDescent="0.25">
      <c r="A14871" t="str">
        <f t="shared" si="342"/>
        <v>89301000</v>
      </c>
      <c r="B14871" t="str">
        <f>"9261115732"</f>
        <v>9261115732</v>
      </c>
      <c r="C14871" s="1">
        <v>44937</v>
      </c>
      <c r="D14871" s="1">
        <v>44939</v>
      </c>
      <c r="E14871">
        <v>1</v>
      </c>
      <c r="F14871" t="str">
        <f>"08-M03-05"</f>
        <v>08-M03-05</v>
      </c>
      <c r="G14871">
        <v>0.46910000000000002</v>
      </c>
      <c r="H14871" t="s">
        <v>11</v>
      </c>
      <c r="I14871" t="s">
        <v>10</v>
      </c>
    </row>
    <row r="14872" spans="1:9" x14ac:dyDescent="0.25">
      <c r="A14872" t="str">
        <f t="shared" si="342"/>
        <v>89301000</v>
      </c>
      <c r="B14872" t="str">
        <f>"9261115754"</f>
        <v>9261115754</v>
      </c>
      <c r="C14872" s="1">
        <v>45111</v>
      </c>
      <c r="D14872" s="1">
        <v>45111</v>
      </c>
      <c r="E14872">
        <v>6</v>
      </c>
      <c r="F14872" t="str">
        <f>"14-K03-02"</f>
        <v>14-K03-02</v>
      </c>
      <c r="G14872">
        <v>0.15079999999999999</v>
      </c>
      <c r="H14872" t="s">
        <v>11</v>
      </c>
      <c r="I14872" t="s">
        <v>10</v>
      </c>
    </row>
    <row r="14873" spans="1:9" x14ac:dyDescent="0.25">
      <c r="A14873" t="str">
        <f t="shared" si="342"/>
        <v>89301000</v>
      </c>
      <c r="B14873" t="str">
        <f>"9261115754"</f>
        <v>9261115754</v>
      </c>
      <c r="C14873" s="1">
        <v>45117</v>
      </c>
      <c r="D14873" s="1">
        <v>45119</v>
      </c>
      <c r="E14873">
        <v>1</v>
      </c>
      <c r="F14873" t="str">
        <f>"14-I01-05"</f>
        <v>14-I01-05</v>
      </c>
      <c r="G14873">
        <v>0.83340000000000003</v>
      </c>
      <c r="H14873" t="s">
        <v>13</v>
      </c>
      <c r="I14873" t="s">
        <v>10</v>
      </c>
    </row>
    <row r="14874" spans="1:9" x14ac:dyDescent="0.25">
      <c r="A14874" t="str">
        <f t="shared" si="342"/>
        <v>89301000</v>
      </c>
      <c r="B14874" t="str">
        <f>"9261125753"</f>
        <v>9261125753</v>
      </c>
      <c r="C14874" s="1">
        <v>45123</v>
      </c>
      <c r="D14874" s="1">
        <v>45126</v>
      </c>
      <c r="E14874">
        <v>1</v>
      </c>
      <c r="F14874" t="str">
        <f>"14-M01-05"</f>
        <v>14-M01-05</v>
      </c>
      <c r="G14874">
        <v>0.56289999999999996</v>
      </c>
      <c r="H14874" t="s">
        <v>13</v>
      </c>
      <c r="I14874" t="s">
        <v>10</v>
      </c>
    </row>
    <row r="14875" spans="1:9" x14ac:dyDescent="0.25">
      <c r="A14875" t="str">
        <f t="shared" si="342"/>
        <v>89301000</v>
      </c>
      <c r="B14875" t="str">
        <f>"9261205701"</f>
        <v>9261205701</v>
      </c>
      <c r="C14875" s="1">
        <v>44949</v>
      </c>
      <c r="D14875" s="1">
        <v>44951</v>
      </c>
      <c r="E14875">
        <v>1</v>
      </c>
      <c r="F14875" t="str">
        <f>"07-M02-04"</f>
        <v>07-M02-04</v>
      </c>
      <c r="G14875">
        <v>0.77339999999999998</v>
      </c>
      <c r="H14875" t="s">
        <v>12</v>
      </c>
      <c r="I14875" t="s">
        <v>10</v>
      </c>
    </row>
    <row r="14876" spans="1:9" x14ac:dyDescent="0.25">
      <c r="A14876" t="str">
        <f t="shared" si="342"/>
        <v>89301000</v>
      </c>
      <c r="B14876" t="str">
        <f>"9261245730"</f>
        <v>9261245730</v>
      </c>
      <c r="C14876" s="1">
        <v>45242</v>
      </c>
      <c r="D14876" s="1">
        <v>45245</v>
      </c>
      <c r="E14876">
        <v>1</v>
      </c>
      <c r="F14876" t="str">
        <f>"14-M01-05"</f>
        <v>14-M01-05</v>
      </c>
      <c r="G14876">
        <v>0.56289999999999996</v>
      </c>
      <c r="H14876" t="s">
        <v>13</v>
      </c>
      <c r="I14876" t="s">
        <v>10</v>
      </c>
    </row>
    <row r="14877" spans="1:9" x14ac:dyDescent="0.25">
      <c r="A14877" t="str">
        <f t="shared" si="342"/>
        <v>89301000</v>
      </c>
      <c r="B14877" t="str">
        <f>"9261254310"</f>
        <v>9261254310</v>
      </c>
      <c r="C14877" s="1">
        <v>45197</v>
      </c>
      <c r="D14877" s="1">
        <v>45199</v>
      </c>
      <c r="E14877">
        <v>1</v>
      </c>
      <c r="F14877" t="str">
        <f>"14-M01-05"</f>
        <v>14-M01-05</v>
      </c>
      <c r="G14877">
        <v>0.56289999999999996</v>
      </c>
      <c r="H14877" t="s">
        <v>13</v>
      </c>
      <c r="I14877" t="s">
        <v>10</v>
      </c>
    </row>
    <row r="14878" spans="1:9" x14ac:dyDescent="0.25">
      <c r="A14878" t="str">
        <f t="shared" si="342"/>
        <v>89301000</v>
      </c>
      <c r="B14878" t="str">
        <f>"9261255707"</f>
        <v>9261255707</v>
      </c>
      <c r="C14878" s="1">
        <v>45096</v>
      </c>
      <c r="D14878" s="1">
        <v>45097</v>
      </c>
      <c r="E14878">
        <v>1</v>
      </c>
      <c r="F14878" t="str">
        <f>"13-I19-00"</f>
        <v>13-I19-00</v>
      </c>
      <c r="G14878">
        <v>0.28249999999999997</v>
      </c>
      <c r="H14878" t="s">
        <v>11</v>
      </c>
      <c r="I14878" t="s">
        <v>10</v>
      </c>
    </row>
    <row r="14879" spans="1:9" x14ac:dyDescent="0.25">
      <c r="A14879" t="str">
        <f t="shared" si="342"/>
        <v>89301000</v>
      </c>
      <c r="B14879" t="str">
        <f>"9261660518"</f>
        <v>9261660518</v>
      </c>
      <c r="C14879" s="1">
        <v>45194</v>
      </c>
      <c r="D14879" s="1">
        <v>45196</v>
      </c>
      <c r="E14879">
        <v>1</v>
      </c>
      <c r="F14879" t="str">
        <f>"11-K14-03"</f>
        <v>11-K14-03</v>
      </c>
      <c r="G14879">
        <v>0.31240000000000001</v>
      </c>
      <c r="H14879" t="s">
        <v>11</v>
      </c>
      <c r="I14879" t="s">
        <v>10</v>
      </c>
    </row>
    <row r="14880" spans="1:9" x14ac:dyDescent="0.25">
      <c r="A14880" t="str">
        <f t="shared" si="342"/>
        <v>89301000</v>
      </c>
      <c r="B14880" t="str">
        <f>"9262055704"</f>
        <v>9262055704</v>
      </c>
      <c r="C14880" s="1">
        <v>45191</v>
      </c>
      <c r="D14880" s="1">
        <v>45195</v>
      </c>
      <c r="E14880">
        <v>1</v>
      </c>
      <c r="F14880" t="str">
        <f>"14-I01-05"</f>
        <v>14-I01-05</v>
      </c>
      <c r="G14880">
        <v>0.83340000000000003</v>
      </c>
      <c r="H14880" t="s">
        <v>13</v>
      </c>
      <c r="I14880" t="s">
        <v>10</v>
      </c>
    </row>
    <row r="14881" spans="1:9" x14ac:dyDescent="0.25">
      <c r="A14881" t="str">
        <f t="shared" si="342"/>
        <v>89301000</v>
      </c>
      <c r="B14881" t="str">
        <f>"9262065736"</f>
        <v>9262065736</v>
      </c>
      <c r="C14881" s="1">
        <v>45274</v>
      </c>
      <c r="D14881" s="1">
        <v>45278</v>
      </c>
      <c r="E14881">
        <v>1</v>
      </c>
      <c r="F14881" t="str">
        <f>"14-I01-05"</f>
        <v>14-I01-05</v>
      </c>
      <c r="G14881">
        <v>0.83340000000000003</v>
      </c>
      <c r="H14881" t="s">
        <v>13</v>
      </c>
      <c r="I14881" t="s">
        <v>10</v>
      </c>
    </row>
    <row r="14882" spans="1:9" x14ac:dyDescent="0.25">
      <c r="A14882" t="str">
        <f t="shared" si="342"/>
        <v>89301000</v>
      </c>
      <c r="B14882" t="str">
        <f>"9262284845"</f>
        <v>9262284845</v>
      </c>
      <c r="C14882" s="1">
        <v>44950</v>
      </c>
      <c r="D14882" s="1">
        <v>44950</v>
      </c>
      <c r="E14882">
        <v>1</v>
      </c>
      <c r="F14882" t="str">
        <f>"14-M01-05"</f>
        <v>14-M01-05</v>
      </c>
      <c r="G14882">
        <v>0.28149999999999997</v>
      </c>
      <c r="H14882" t="s">
        <v>13</v>
      </c>
      <c r="I14882" t="s">
        <v>10</v>
      </c>
    </row>
    <row r="14883" spans="1:9" x14ac:dyDescent="0.25">
      <c r="A14883" t="str">
        <f t="shared" si="342"/>
        <v>89301000</v>
      </c>
      <c r="B14883" t="str">
        <f>"9301095738"</f>
        <v>9301095738</v>
      </c>
      <c r="C14883" s="1">
        <v>45078</v>
      </c>
      <c r="D14883" s="1">
        <v>45085</v>
      </c>
      <c r="E14883">
        <v>1</v>
      </c>
      <c r="F14883" t="str">
        <f>"19-K03-03"</f>
        <v>19-K03-03</v>
      </c>
      <c r="G14883">
        <v>0.90410000000000001</v>
      </c>
      <c r="H14883" t="s">
        <v>15</v>
      </c>
      <c r="I14883" t="s">
        <v>10</v>
      </c>
    </row>
    <row r="14884" spans="1:9" x14ac:dyDescent="0.25">
      <c r="A14884" t="str">
        <f t="shared" si="342"/>
        <v>89301000</v>
      </c>
      <c r="B14884" t="str">
        <f>"9302046171"</f>
        <v>9302046171</v>
      </c>
      <c r="C14884" s="1">
        <v>44958</v>
      </c>
      <c r="D14884" s="1">
        <v>44969</v>
      </c>
      <c r="E14884">
        <v>1</v>
      </c>
      <c r="F14884" t="str">
        <f>"07-K01-02"</f>
        <v>07-K01-02</v>
      </c>
      <c r="G14884">
        <v>1.0002</v>
      </c>
      <c r="H14884" t="s">
        <v>11</v>
      </c>
      <c r="I14884" t="s">
        <v>10</v>
      </c>
    </row>
    <row r="14885" spans="1:9" x14ac:dyDescent="0.25">
      <c r="A14885" t="str">
        <f t="shared" si="342"/>
        <v>89301000</v>
      </c>
      <c r="B14885" t="str">
        <f>"9302196211"</f>
        <v>9302196211</v>
      </c>
      <c r="C14885" s="1">
        <v>44972</v>
      </c>
      <c r="D14885" s="1">
        <v>44983</v>
      </c>
      <c r="E14885">
        <v>1</v>
      </c>
      <c r="F14885" t="str">
        <f>"06-I09-02"</f>
        <v>06-I09-02</v>
      </c>
      <c r="G14885">
        <v>1.7472000000000001</v>
      </c>
      <c r="H14885" t="s">
        <v>12</v>
      </c>
      <c r="I14885" t="s">
        <v>10</v>
      </c>
    </row>
    <row r="14886" spans="1:9" x14ac:dyDescent="0.25">
      <c r="A14886" t="str">
        <f t="shared" si="342"/>
        <v>89301000</v>
      </c>
      <c r="B14886" t="str">
        <f>"9303085704"</f>
        <v>9303085704</v>
      </c>
      <c r="C14886" s="1">
        <v>44942</v>
      </c>
      <c r="D14886" s="1">
        <v>44944</v>
      </c>
      <c r="E14886">
        <v>1</v>
      </c>
      <c r="F14886" t="str">
        <f>"09-I09-05"</f>
        <v>09-I09-05</v>
      </c>
      <c r="G14886">
        <v>0.46870000000000001</v>
      </c>
      <c r="H14886" t="s">
        <v>12</v>
      </c>
      <c r="I14886" t="s">
        <v>10</v>
      </c>
    </row>
    <row r="14887" spans="1:9" x14ac:dyDescent="0.25">
      <c r="A14887" t="str">
        <f t="shared" si="342"/>
        <v>89301000</v>
      </c>
      <c r="B14887" t="str">
        <f>"9303234842"</f>
        <v>9303234842</v>
      </c>
      <c r="C14887" s="1">
        <v>44943</v>
      </c>
      <c r="D14887" s="1">
        <v>44947</v>
      </c>
      <c r="E14887">
        <v>1</v>
      </c>
      <c r="F14887" t="str">
        <f>"03-I17-00"</f>
        <v>03-I17-00</v>
      </c>
      <c r="G14887">
        <v>0.83489999999999998</v>
      </c>
      <c r="H14887" t="s">
        <v>9</v>
      </c>
      <c r="I14887" t="s">
        <v>10</v>
      </c>
    </row>
    <row r="14888" spans="1:9" x14ac:dyDescent="0.25">
      <c r="A14888" t="str">
        <f t="shared" si="342"/>
        <v>89301000</v>
      </c>
      <c r="B14888" t="str">
        <f>"9303235700"</f>
        <v>9303235700</v>
      </c>
      <c r="C14888" s="1">
        <v>44946</v>
      </c>
      <c r="D14888" s="1">
        <v>44947</v>
      </c>
      <c r="E14888">
        <v>1</v>
      </c>
      <c r="F14888" t="str">
        <f>"01-I11-01"</f>
        <v>01-I11-01</v>
      </c>
      <c r="G14888">
        <v>0.96399999999999997</v>
      </c>
      <c r="H14888" t="s">
        <v>12</v>
      </c>
      <c r="I14888" t="s">
        <v>10</v>
      </c>
    </row>
    <row r="14889" spans="1:9" x14ac:dyDescent="0.25">
      <c r="A14889" t="str">
        <f t="shared" si="342"/>
        <v>89301000</v>
      </c>
      <c r="B14889" t="str">
        <f>"9303295727"</f>
        <v>9303295727</v>
      </c>
      <c r="C14889" s="1">
        <v>45159</v>
      </c>
      <c r="D14889" s="1">
        <v>45162</v>
      </c>
      <c r="E14889">
        <v>1</v>
      </c>
      <c r="F14889" t="str">
        <f>"06-I17-04"</f>
        <v>06-I17-04</v>
      </c>
      <c r="G14889">
        <v>0.49769999999999998</v>
      </c>
      <c r="H14889" t="s">
        <v>12</v>
      </c>
      <c r="I14889" t="s">
        <v>10</v>
      </c>
    </row>
    <row r="14890" spans="1:9" x14ac:dyDescent="0.25">
      <c r="A14890" t="str">
        <f t="shared" si="342"/>
        <v>89301000</v>
      </c>
      <c r="B14890" t="str">
        <f>"9304135302"</f>
        <v>9304135302</v>
      </c>
      <c r="C14890" s="1">
        <v>45190</v>
      </c>
      <c r="D14890" s="1">
        <v>45192</v>
      </c>
      <c r="E14890">
        <v>1</v>
      </c>
      <c r="F14890" t="str">
        <f>"05-I30-01"</f>
        <v>05-I30-01</v>
      </c>
      <c r="G14890">
        <v>0.60309999999999997</v>
      </c>
      <c r="H14890" t="s">
        <v>12</v>
      </c>
      <c r="I14890" t="s">
        <v>10</v>
      </c>
    </row>
    <row r="14891" spans="1:9" x14ac:dyDescent="0.25">
      <c r="A14891" t="str">
        <f t="shared" si="342"/>
        <v>89301000</v>
      </c>
      <c r="B14891" t="str">
        <f>"9304135379"</f>
        <v>9304135379</v>
      </c>
      <c r="C14891" s="1">
        <v>45028</v>
      </c>
      <c r="D14891" s="1">
        <v>45030</v>
      </c>
      <c r="E14891">
        <v>1</v>
      </c>
      <c r="F14891" t="str">
        <f>"08-M03-05"</f>
        <v>08-M03-05</v>
      </c>
      <c r="G14891">
        <v>0.46910000000000002</v>
      </c>
      <c r="H14891" t="s">
        <v>11</v>
      </c>
      <c r="I14891" t="s">
        <v>10</v>
      </c>
    </row>
    <row r="14892" spans="1:9" x14ac:dyDescent="0.25">
      <c r="A14892" t="str">
        <f t="shared" si="342"/>
        <v>89301000</v>
      </c>
      <c r="B14892" t="str">
        <f>"9304245709"</f>
        <v>9304245709</v>
      </c>
      <c r="C14892" s="1">
        <v>45253</v>
      </c>
      <c r="D14892" s="1">
        <v>45256</v>
      </c>
      <c r="E14892">
        <v>1</v>
      </c>
      <c r="F14892" t="str">
        <f>"06-I22-02"</f>
        <v>06-I22-02</v>
      </c>
      <c r="G14892">
        <v>0.41810000000000003</v>
      </c>
      <c r="H14892" t="s">
        <v>12</v>
      </c>
      <c r="I14892" t="s">
        <v>10</v>
      </c>
    </row>
    <row r="14893" spans="1:9" x14ac:dyDescent="0.25">
      <c r="A14893" t="str">
        <f t="shared" si="342"/>
        <v>89301000</v>
      </c>
      <c r="B14893" t="str">
        <f>"9304570528"</f>
        <v>9304570528</v>
      </c>
      <c r="C14893" s="1">
        <v>45118</v>
      </c>
      <c r="D14893" s="1">
        <v>45121</v>
      </c>
      <c r="E14893">
        <v>1</v>
      </c>
      <c r="F14893" t="str">
        <f>"03-I24-00"</f>
        <v>03-I24-00</v>
      </c>
      <c r="G14893">
        <v>0.40899999999999997</v>
      </c>
      <c r="H14893" t="s">
        <v>11</v>
      </c>
      <c r="I14893" t="s">
        <v>10</v>
      </c>
    </row>
    <row r="14894" spans="1:9" x14ac:dyDescent="0.25">
      <c r="A14894" t="str">
        <f t="shared" si="342"/>
        <v>89301000</v>
      </c>
      <c r="B14894" t="str">
        <f>"9305135543"</f>
        <v>9305135543</v>
      </c>
      <c r="C14894" s="1">
        <v>45282</v>
      </c>
      <c r="D14894" s="1">
        <v>45287</v>
      </c>
      <c r="E14894">
        <v>1</v>
      </c>
      <c r="F14894" t="str">
        <f>"04-K02-04"</f>
        <v>04-K02-04</v>
      </c>
      <c r="G14894">
        <v>0.82099999999999995</v>
      </c>
      <c r="H14894" t="s">
        <v>11</v>
      </c>
      <c r="I14894" t="s">
        <v>10</v>
      </c>
    </row>
    <row r="14895" spans="1:9" x14ac:dyDescent="0.25">
      <c r="A14895" t="str">
        <f t="shared" si="342"/>
        <v>89301000</v>
      </c>
      <c r="B14895" t="str">
        <f>"9306094237"</f>
        <v>9306094237</v>
      </c>
      <c r="C14895" s="1">
        <v>45243</v>
      </c>
      <c r="D14895" s="1">
        <v>45266</v>
      </c>
      <c r="E14895">
        <v>3</v>
      </c>
      <c r="F14895" t="str">
        <f>"12-K07-00"</f>
        <v>12-K07-00</v>
      </c>
      <c r="G14895">
        <v>2.6534</v>
      </c>
      <c r="H14895" t="s">
        <v>11</v>
      </c>
      <c r="I14895" t="s">
        <v>10</v>
      </c>
    </row>
    <row r="14896" spans="1:9" x14ac:dyDescent="0.25">
      <c r="A14896" t="str">
        <f t="shared" si="342"/>
        <v>89301000</v>
      </c>
      <c r="B14896" t="str">
        <f>"9306094237"</f>
        <v>9306094237</v>
      </c>
      <c r="C14896" s="1">
        <v>45266</v>
      </c>
      <c r="D14896" s="1">
        <v>45282</v>
      </c>
      <c r="E14896">
        <v>1</v>
      </c>
      <c r="F14896" t="str">
        <f>"24-M07-01"</f>
        <v>24-M07-01</v>
      </c>
      <c r="G14896">
        <v>1.7825</v>
      </c>
      <c r="H14896" t="s">
        <v>11</v>
      </c>
      <c r="I14896" t="s">
        <v>10</v>
      </c>
    </row>
    <row r="14897" spans="1:9" x14ac:dyDescent="0.25">
      <c r="A14897" t="str">
        <f t="shared" si="342"/>
        <v>89301000</v>
      </c>
      <c r="B14897" t="str">
        <f>"9306096173"</f>
        <v>9306096173</v>
      </c>
      <c r="C14897" s="1">
        <v>45183</v>
      </c>
      <c r="D14897" s="1">
        <v>45186</v>
      </c>
      <c r="E14897">
        <v>1</v>
      </c>
      <c r="F14897" t="str">
        <f>"05-I30-01"</f>
        <v>05-I30-01</v>
      </c>
      <c r="G14897">
        <v>0.60309999999999997</v>
      </c>
      <c r="H14897" t="s">
        <v>12</v>
      </c>
      <c r="I14897" t="s">
        <v>10</v>
      </c>
    </row>
    <row r="14898" spans="1:9" x14ac:dyDescent="0.25">
      <c r="A14898" t="str">
        <f t="shared" si="342"/>
        <v>89301000</v>
      </c>
      <c r="B14898" t="str">
        <f>"9306305294"</f>
        <v>9306305294</v>
      </c>
      <c r="C14898" s="1">
        <v>44950</v>
      </c>
      <c r="D14898" s="1">
        <v>44956</v>
      </c>
      <c r="E14898">
        <v>1</v>
      </c>
      <c r="F14898" t="str">
        <f>"02-K11-02"</f>
        <v>02-K11-02</v>
      </c>
      <c r="G14898">
        <v>0.56559999999999999</v>
      </c>
      <c r="H14898" t="s">
        <v>11</v>
      </c>
      <c r="I14898" t="s">
        <v>10</v>
      </c>
    </row>
    <row r="14899" spans="1:9" x14ac:dyDescent="0.25">
      <c r="A14899" t="str">
        <f t="shared" si="342"/>
        <v>89301000</v>
      </c>
      <c r="B14899" t="str">
        <f>"9307016191"</f>
        <v>9307016191</v>
      </c>
      <c r="C14899" s="1">
        <v>45233</v>
      </c>
      <c r="D14899" s="1">
        <v>45240</v>
      </c>
      <c r="E14899">
        <v>1</v>
      </c>
      <c r="F14899" t="str">
        <f>"01-K01-02"</f>
        <v>01-K01-02</v>
      </c>
      <c r="G14899">
        <v>0.45</v>
      </c>
      <c r="H14899" t="s">
        <v>11</v>
      </c>
      <c r="I14899" t="s">
        <v>10</v>
      </c>
    </row>
    <row r="14900" spans="1:9" x14ac:dyDescent="0.25">
      <c r="A14900" t="str">
        <f t="shared" si="342"/>
        <v>89301000</v>
      </c>
      <c r="B14900" t="str">
        <f>"9307035639"</f>
        <v>9307035639</v>
      </c>
      <c r="C14900" s="1">
        <v>45089</v>
      </c>
      <c r="D14900" s="1">
        <v>45092</v>
      </c>
      <c r="E14900">
        <v>1</v>
      </c>
      <c r="F14900" t="str">
        <f>"08-M03-02"</f>
        <v>08-M03-02</v>
      </c>
      <c r="G14900">
        <v>0.91359999999999997</v>
      </c>
      <c r="H14900" t="s">
        <v>11</v>
      </c>
      <c r="I14900" t="s">
        <v>10</v>
      </c>
    </row>
    <row r="14901" spans="1:9" x14ac:dyDescent="0.25">
      <c r="A14901" t="str">
        <f t="shared" si="342"/>
        <v>89301000</v>
      </c>
      <c r="B14901" t="str">
        <f>"9307074854"</f>
        <v>9307074854</v>
      </c>
      <c r="C14901" s="1">
        <v>45224</v>
      </c>
      <c r="D14901" s="1">
        <v>45227</v>
      </c>
      <c r="E14901">
        <v>1</v>
      </c>
      <c r="F14901" t="str">
        <f>"03-I14-02"</f>
        <v>03-I14-02</v>
      </c>
      <c r="G14901">
        <v>1.0793999999999999</v>
      </c>
      <c r="H14901" t="s">
        <v>11</v>
      </c>
      <c r="I14901" t="s">
        <v>10</v>
      </c>
    </row>
    <row r="14902" spans="1:9" x14ac:dyDescent="0.25">
      <c r="A14902" t="str">
        <f t="shared" si="342"/>
        <v>89301000</v>
      </c>
      <c r="B14902" t="str">
        <f>"9307315699"</f>
        <v>9307315699</v>
      </c>
      <c r="C14902" s="1">
        <v>45009</v>
      </c>
      <c r="D14902" s="1">
        <v>45021</v>
      </c>
      <c r="E14902">
        <v>1</v>
      </c>
      <c r="F14902" t="str">
        <f>"05-K02-02"</f>
        <v>05-K02-02</v>
      </c>
      <c r="G14902">
        <v>0.85050000000000003</v>
      </c>
      <c r="H14902" t="s">
        <v>11</v>
      </c>
      <c r="I14902" t="s">
        <v>10</v>
      </c>
    </row>
    <row r="14903" spans="1:9" x14ac:dyDescent="0.25">
      <c r="A14903" t="str">
        <f t="shared" si="342"/>
        <v>89301000</v>
      </c>
      <c r="B14903" t="str">
        <f>"9308101253"</f>
        <v>9308101253</v>
      </c>
      <c r="C14903" s="1">
        <v>45050</v>
      </c>
      <c r="D14903" s="1">
        <v>45052</v>
      </c>
      <c r="E14903">
        <v>1</v>
      </c>
      <c r="F14903" t="str">
        <f>"08-M03-05"</f>
        <v>08-M03-05</v>
      </c>
      <c r="G14903">
        <v>0.46910000000000002</v>
      </c>
      <c r="H14903" t="s">
        <v>11</v>
      </c>
      <c r="I14903" t="s">
        <v>10</v>
      </c>
    </row>
    <row r="14904" spans="1:9" x14ac:dyDescent="0.25">
      <c r="A14904" t="str">
        <f t="shared" si="342"/>
        <v>89301000</v>
      </c>
      <c r="B14904" t="str">
        <f>"9309055745"</f>
        <v>9309055745</v>
      </c>
      <c r="C14904" s="1">
        <v>45244</v>
      </c>
      <c r="D14904" s="1">
        <v>45246</v>
      </c>
      <c r="E14904">
        <v>1</v>
      </c>
      <c r="F14904" t="str">
        <f>"04-K10-02"</f>
        <v>04-K10-02</v>
      </c>
      <c r="G14904">
        <v>0.40129999999999999</v>
      </c>
      <c r="H14904" t="s">
        <v>11</v>
      </c>
      <c r="I14904" t="s">
        <v>10</v>
      </c>
    </row>
    <row r="14905" spans="1:9" x14ac:dyDescent="0.25">
      <c r="A14905" t="str">
        <f t="shared" si="342"/>
        <v>89301000</v>
      </c>
      <c r="B14905" t="str">
        <f>"9309095719"</f>
        <v>9309095719</v>
      </c>
      <c r="C14905" s="1">
        <v>45183</v>
      </c>
      <c r="D14905" s="1">
        <v>45189</v>
      </c>
      <c r="E14905">
        <v>1</v>
      </c>
      <c r="F14905" t="str">
        <f>"06-K05-02"</f>
        <v>06-K05-02</v>
      </c>
      <c r="G14905">
        <v>0.40039999999999998</v>
      </c>
      <c r="H14905" t="s">
        <v>11</v>
      </c>
      <c r="I14905" t="s">
        <v>10</v>
      </c>
    </row>
    <row r="14906" spans="1:9" x14ac:dyDescent="0.25">
      <c r="A14906" t="str">
        <f t="shared" si="342"/>
        <v>89301000</v>
      </c>
      <c r="B14906" t="str">
        <f>"9309095719"</f>
        <v>9309095719</v>
      </c>
      <c r="C14906" s="1">
        <v>45237</v>
      </c>
      <c r="D14906" s="1">
        <v>45246</v>
      </c>
      <c r="E14906">
        <v>1</v>
      </c>
      <c r="F14906" t="str">
        <f>"04-K05-02"</f>
        <v>04-K05-02</v>
      </c>
      <c r="G14906">
        <v>1.4463999999999999</v>
      </c>
      <c r="H14906" t="s">
        <v>11</v>
      </c>
      <c r="I14906" t="s">
        <v>10</v>
      </c>
    </row>
    <row r="14907" spans="1:9" x14ac:dyDescent="0.25">
      <c r="A14907" t="str">
        <f t="shared" si="342"/>
        <v>89301000</v>
      </c>
      <c r="B14907" t="str">
        <f>"9309095719"</f>
        <v>9309095719</v>
      </c>
      <c r="C14907" s="1">
        <v>45268</v>
      </c>
      <c r="D14907" s="1">
        <v>45273</v>
      </c>
      <c r="E14907">
        <v>1</v>
      </c>
      <c r="F14907" t="str">
        <f>"06-K05-02"</f>
        <v>06-K05-02</v>
      </c>
      <c r="G14907">
        <v>0.40039999999999998</v>
      </c>
      <c r="H14907" t="s">
        <v>11</v>
      </c>
      <c r="I14907" t="s">
        <v>10</v>
      </c>
    </row>
    <row r="14908" spans="1:9" x14ac:dyDescent="0.25">
      <c r="A14908" t="str">
        <f t="shared" si="342"/>
        <v>89301000</v>
      </c>
      <c r="B14908" t="str">
        <f>"9309105707"</f>
        <v>9309105707</v>
      </c>
      <c r="C14908" s="1">
        <v>45021</v>
      </c>
      <c r="D14908" s="1">
        <v>45026</v>
      </c>
      <c r="E14908">
        <v>1</v>
      </c>
      <c r="F14908" t="str">
        <f>"16-I04-01"</f>
        <v>16-I04-01</v>
      </c>
      <c r="G14908">
        <v>0.93969999999999998</v>
      </c>
      <c r="H14908" t="s">
        <v>12</v>
      </c>
      <c r="I14908" t="s">
        <v>10</v>
      </c>
    </row>
    <row r="14909" spans="1:9" x14ac:dyDescent="0.25">
      <c r="A14909" t="str">
        <f t="shared" si="342"/>
        <v>89301000</v>
      </c>
      <c r="B14909" t="str">
        <f>"9309135022"</f>
        <v>9309135022</v>
      </c>
      <c r="C14909" s="1">
        <v>45215</v>
      </c>
      <c r="D14909" s="1">
        <v>45217</v>
      </c>
      <c r="E14909">
        <v>1</v>
      </c>
      <c r="F14909" t="str">
        <f>"03-I24-00"</f>
        <v>03-I24-00</v>
      </c>
      <c r="G14909">
        <v>0.40670000000000001</v>
      </c>
      <c r="H14909" t="s">
        <v>11</v>
      </c>
      <c r="I14909" t="s">
        <v>10</v>
      </c>
    </row>
    <row r="14910" spans="1:9" x14ac:dyDescent="0.25">
      <c r="A14910" t="str">
        <f t="shared" si="342"/>
        <v>89301000</v>
      </c>
      <c r="B14910" t="str">
        <f>"9309235749"</f>
        <v>9309235749</v>
      </c>
      <c r="C14910" s="1">
        <v>45027</v>
      </c>
      <c r="D14910" s="1">
        <v>45029</v>
      </c>
      <c r="E14910">
        <v>1</v>
      </c>
      <c r="F14910" t="str">
        <f>"08-I24-01"</f>
        <v>08-I24-01</v>
      </c>
      <c r="G14910">
        <v>1.1051</v>
      </c>
      <c r="H14910" t="s">
        <v>11</v>
      </c>
      <c r="I14910" t="s">
        <v>10</v>
      </c>
    </row>
    <row r="14911" spans="1:9" x14ac:dyDescent="0.25">
      <c r="A14911" t="str">
        <f t="shared" si="342"/>
        <v>89301000</v>
      </c>
      <c r="B14911" t="str">
        <f>"9309256165"</f>
        <v>9309256165</v>
      </c>
      <c r="C14911" s="1">
        <v>45084</v>
      </c>
      <c r="D14911" s="1">
        <v>45086</v>
      </c>
      <c r="E14911">
        <v>1</v>
      </c>
      <c r="F14911" t="str">
        <f>"02-I06-04"</f>
        <v>02-I06-04</v>
      </c>
      <c r="G14911">
        <v>0.79630000000000001</v>
      </c>
      <c r="H14911" t="s">
        <v>12</v>
      </c>
      <c r="I14911" t="s">
        <v>10</v>
      </c>
    </row>
    <row r="14912" spans="1:9" x14ac:dyDescent="0.25">
      <c r="A14912" t="str">
        <f t="shared" si="342"/>
        <v>89301000</v>
      </c>
      <c r="B14912" t="str">
        <f>"9309256165"</f>
        <v>9309256165</v>
      </c>
      <c r="C14912" s="1">
        <v>45238</v>
      </c>
      <c r="D14912" s="1">
        <v>45240</v>
      </c>
      <c r="E14912">
        <v>1</v>
      </c>
      <c r="F14912" t="str">
        <f>"02-I06-04"</f>
        <v>02-I06-04</v>
      </c>
      <c r="G14912">
        <v>0.79630000000000001</v>
      </c>
      <c r="H14912" t="s">
        <v>12</v>
      </c>
      <c r="I14912" t="s">
        <v>10</v>
      </c>
    </row>
    <row r="14913" spans="1:9" x14ac:dyDescent="0.25">
      <c r="A14913" t="str">
        <f t="shared" si="342"/>
        <v>89301000</v>
      </c>
      <c r="B14913" t="str">
        <f>"9309265713"</f>
        <v>9309265713</v>
      </c>
      <c r="C14913" s="1">
        <v>45281</v>
      </c>
      <c r="D14913" s="1">
        <v>45289</v>
      </c>
      <c r="E14913">
        <v>1</v>
      </c>
      <c r="F14913" t="str">
        <f>"20-K03-02"</f>
        <v>20-K03-02</v>
      </c>
      <c r="G14913">
        <v>1.2786</v>
      </c>
      <c r="H14913" t="s">
        <v>11</v>
      </c>
      <c r="I14913" t="s">
        <v>10</v>
      </c>
    </row>
    <row r="14914" spans="1:9" x14ac:dyDescent="0.25">
      <c r="A14914" t="str">
        <f t="shared" si="342"/>
        <v>89301000</v>
      </c>
      <c r="B14914" t="str">
        <f>"9309265713"</f>
        <v>9309265713</v>
      </c>
      <c r="C14914" s="1">
        <v>45075</v>
      </c>
      <c r="D14914" s="1">
        <v>45082</v>
      </c>
      <c r="E14914">
        <v>1</v>
      </c>
      <c r="F14914" t="str">
        <f>"04-K02-02"</f>
        <v>04-K02-02</v>
      </c>
      <c r="G14914">
        <v>2.8616999999999999</v>
      </c>
      <c r="H14914" t="s">
        <v>11</v>
      </c>
      <c r="I14914" t="s">
        <v>10</v>
      </c>
    </row>
    <row r="14915" spans="1:9" x14ac:dyDescent="0.25">
      <c r="A14915" t="str">
        <f t="shared" si="342"/>
        <v>89301000</v>
      </c>
      <c r="B14915" t="str">
        <f>"9310286139"</f>
        <v>9310286139</v>
      </c>
      <c r="C14915" s="1">
        <v>45210</v>
      </c>
      <c r="D14915" s="1">
        <v>45212</v>
      </c>
      <c r="E14915">
        <v>1</v>
      </c>
      <c r="F14915" t="str">
        <f>"01-D01-03"</f>
        <v>01-D01-03</v>
      </c>
      <c r="G14915">
        <v>0.16200000000000001</v>
      </c>
      <c r="H14915" t="s">
        <v>11</v>
      </c>
      <c r="I14915" t="s">
        <v>10</v>
      </c>
    </row>
    <row r="14916" spans="1:9" x14ac:dyDescent="0.25">
      <c r="A14916" t="str">
        <f t="shared" si="342"/>
        <v>89301000</v>
      </c>
      <c r="B14916" t="str">
        <f>"9310295401"</f>
        <v>9310295401</v>
      </c>
      <c r="C14916" s="1">
        <v>45273</v>
      </c>
      <c r="D14916" s="1">
        <v>45275</v>
      </c>
      <c r="E14916">
        <v>1</v>
      </c>
      <c r="F14916" t="str">
        <f>"08-I32-00"</f>
        <v>08-I32-00</v>
      </c>
      <c r="G14916">
        <v>0.4093</v>
      </c>
      <c r="H14916" t="s">
        <v>11</v>
      </c>
      <c r="I14916" t="s">
        <v>10</v>
      </c>
    </row>
    <row r="14917" spans="1:9" x14ac:dyDescent="0.25">
      <c r="A14917" t="str">
        <f t="shared" si="342"/>
        <v>89301000</v>
      </c>
      <c r="B14917" t="str">
        <f>"9311124845"</f>
        <v>9311124845</v>
      </c>
      <c r="C14917" s="1">
        <v>45278</v>
      </c>
      <c r="D14917" s="1">
        <v>45281</v>
      </c>
      <c r="E14917">
        <v>1</v>
      </c>
      <c r="F14917" t="str">
        <f>"08-M03-05"</f>
        <v>08-M03-05</v>
      </c>
      <c r="G14917">
        <v>0.46910000000000002</v>
      </c>
      <c r="H14917" t="s">
        <v>11</v>
      </c>
      <c r="I14917" t="s">
        <v>10</v>
      </c>
    </row>
    <row r="14918" spans="1:9" x14ac:dyDescent="0.25">
      <c r="A14918" t="str">
        <f t="shared" si="342"/>
        <v>89301000</v>
      </c>
      <c r="B14918" t="str">
        <f>"9312065708"</f>
        <v>9312065708</v>
      </c>
      <c r="C14918" s="1">
        <v>45148</v>
      </c>
      <c r="D14918" s="1">
        <v>45161</v>
      </c>
      <c r="E14918">
        <v>1</v>
      </c>
      <c r="F14918" t="str">
        <f>"19-K04-02"</f>
        <v>19-K04-02</v>
      </c>
      <c r="G14918">
        <v>1.3379000000000001</v>
      </c>
      <c r="H14918" t="s">
        <v>15</v>
      </c>
      <c r="I14918" t="s">
        <v>10</v>
      </c>
    </row>
    <row r="14919" spans="1:9" x14ac:dyDescent="0.25">
      <c r="A14919" t="str">
        <f t="shared" si="342"/>
        <v>89301000</v>
      </c>
      <c r="B14919" t="str">
        <f>"9312135723"</f>
        <v>9312135723</v>
      </c>
      <c r="C14919" s="1">
        <v>45188</v>
      </c>
      <c r="D14919" s="1">
        <v>45192</v>
      </c>
      <c r="E14919">
        <v>1</v>
      </c>
      <c r="F14919" t="str">
        <f>"12-K01-02"</f>
        <v>12-K01-02</v>
      </c>
      <c r="G14919">
        <v>0.56440000000000001</v>
      </c>
      <c r="H14919" t="s">
        <v>11</v>
      </c>
      <c r="I14919" t="s">
        <v>10</v>
      </c>
    </row>
    <row r="14920" spans="1:9" x14ac:dyDescent="0.25">
      <c r="A14920" t="str">
        <f t="shared" si="342"/>
        <v>89301000</v>
      </c>
      <c r="B14920" t="str">
        <f>"9312135723"</f>
        <v>9312135723</v>
      </c>
      <c r="C14920" s="1">
        <v>45223</v>
      </c>
      <c r="D14920" s="1">
        <v>45224</v>
      </c>
      <c r="E14920">
        <v>1</v>
      </c>
      <c r="F14920" t="str">
        <f>"11-M05-02"</f>
        <v>11-M05-02</v>
      </c>
      <c r="G14920">
        <v>0.6694</v>
      </c>
      <c r="H14920" t="s">
        <v>12</v>
      </c>
      <c r="I14920" t="s">
        <v>10</v>
      </c>
    </row>
    <row r="14921" spans="1:9" x14ac:dyDescent="0.25">
      <c r="A14921" t="str">
        <f t="shared" si="342"/>
        <v>89301000</v>
      </c>
      <c r="B14921" t="str">
        <f>"9351065702"</f>
        <v>9351065702</v>
      </c>
      <c r="C14921" s="1">
        <v>44994</v>
      </c>
      <c r="D14921" s="1">
        <v>44996</v>
      </c>
      <c r="E14921">
        <v>1</v>
      </c>
      <c r="F14921" t="str">
        <f>"14-M01-05"</f>
        <v>14-M01-05</v>
      </c>
      <c r="G14921">
        <v>0.56289999999999996</v>
      </c>
      <c r="H14921" t="s">
        <v>13</v>
      </c>
      <c r="I14921" t="s">
        <v>10</v>
      </c>
    </row>
    <row r="14922" spans="1:9" x14ac:dyDescent="0.25">
      <c r="A14922" t="str">
        <f t="shared" ref="A14922:A14985" si="343">"89301000"</f>
        <v>89301000</v>
      </c>
      <c r="B14922" t="str">
        <f>"9351110417"</f>
        <v>9351110417</v>
      </c>
      <c r="C14922" s="1">
        <v>45158</v>
      </c>
      <c r="D14922" s="1">
        <v>45162</v>
      </c>
      <c r="E14922">
        <v>1</v>
      </c>
      <c r="F14922" t="str">
        <f>"14-K03-02"</f>
        <v>14-K03-02</v>
      </c>
      <c r="G14922">
        <v>0.30230000000000001</v>
      </c>
      <c r="H14922" t="s">
        <v>11</v>
      </c>
      <c r="I14922" t="s">
        <v>10</v>
      </c>
    </row>
    <row r="14923" spans="1:9" x14ac:dyDescent="0.25">
      <c r="A14923" t="str">
        <f t="shared" si="343"/>
        <v>89301000</v>
      </c>
      <c r="B14923" t="str">
        <f>"9351110417"</f>
        <v>9351110417</v>
      </c>
      <c r="C14923" s="1">
        <v>45232</v>
      </c>
      <c r="D14923" s="1">
        <v>45237</v>
      </c>
      <c r="E14923">
        <v>1</v>
      </c>
      <c r="F14923" t="str">
        <f>"14-I01-02"</f>
        <v>14-I01-02</v>
      </c>
      <c r="G14923">
        <v>1.2988999999999999</v>
      </c>
      <c r="H14923" t="s">
        <v>13</v>
      </c>
      <c r="I14923" t="s">
        <v>10</v>
      </c>
    </row>
    <row r="14924" spans="1:9" x14ac:dyDescent="0.25">
      <c r="A14924" t="str">
        <f t="shared" si="343"/>
        <v>89301000</v>
      </c>
      <c r="B14924" t="str">
        <f>"9351255716"</f>
        <v>9351255716</v>
      </c>
      <c r="C14924" s="1">
        <v>45015</v>
      </c>
      <c r="D14924" s="1">
        <v>45017</v>
      </c>
      <c r="E14924">
        <v>1</v>
      </c>
      <c r="F14924" t="str">
        <f>"14-I04-00"</f>
        <v>14-I04-00</v>
      </c>
      <c r="G14924">
        <v>0.79159999999999997</v>
      </c>
      <c r="H14924" t="s">
        <v>9</v>
      </c>
      <c r="I14924" t="s">
        <v>10</v>
      </c>
    </row>
    <row r="14925" spans="1:9" x14ac:dyDescent="0.25">
      <c r="A14925" t="str">
        <f t="shared" si="343"/>
        <v>89301000</v>
      </c>
      <c r="B14925" t="str">
        <f>"9351314841"</f>
        <v>9351314841</v>
      </c>
      <c r="C14925" s="1">
        <v>45051</v>
      </c>
      <c r="D14925" s="1">
        <v>45053</v>
      </c>
      <c r="E14925">
        <v>1</v>
      </c>
      <c r="F14925" t="str">
        <f>"14-M01-05"</f>
        <v>14-M01-05</v>
      </c>
      <c r="G14925">
        <v>0.56289999999999996</v>
      </c>
      <c r="H14925" t="s">
        <v>13</v>
      </c>
      <c r="I14925" t="s">
        <v>10</v>
      </c>
    </row>
    <row r="14926" spans="1:9" x14ac:dyDescent="0.25">
      <c r="A14926" t="str">
        <f t="shared" si="343"/>
        <v>89301000</v>
      </c>
      <c r="B14926" t="str">
        <f>"9352014848"</f>
        <v>9352014848</v>
      </c>
      <c r="C14926" s="1">
        <v>45215</v>
      </c>
      <c r="D14926" s="1">
        <v>45219</v>
      </c>
      <c r="E14926">
        <v>1</v>
      </c>
      <c r="F14926" t="str">
        <f>"14-I01-05"</f>
        <v>14-I01-05</v>
      </c>
      <c r="G14926">
        <v>0.83340000000000003</v>
      </c>
      <c r="H14926" t="s">
        <v>13</v>
      </c>
      <c r="I14926" t="s">
        <v>10</v>
      </c>
    </row>
    <row r="14927" spans="1:9" x14ac:dyDescent="0.25">
      <c r="A14927" t="str">
        <f t="shared" si="343"/>
        <v>89301000</v>
      </c>
      <c r="B14927" t="str">
        <f>"9352016157"</f>
        <v>9352016157</v>
      </c>
      <c r="C14927" s="1">
        <v>44960</v>
      </c>
      <c r="D14927" s="1">
        <v>44963</v>
      </c>
      <c r="E14927">
        <v>1</v>
      </c>
      <c r="F14927" t="str">
        <f>"14-M01-05"</f>
        <v>14-M01-05</v>
      </c>
      <c r="G14927">
        <v>0.56289999999999996</v>
      </c>
      <c r="H14927" t="s">
        <v>13</v>
      </c>
      <c r="I14927" t="s">
        <v>10</v>
      </c>
    </row>
    <row r="14928" spans="1:9" x14ac:dyDescent="0.25">
      <c r="A14928" t="str">
        <f t="shared" si="343"/>
        <v>89301000</v>
      </c>
      <c r="B14928" t="str">
        <f>"9352025716"</f>
        <v>9352025716</v>
      </c>
      <c r="C14928" s="1">
        <v>45125</v>
      </c>
      <c r="D14928" s="1">
        <v>45126</v>
      </c>
      <c r="E14928">
        <v>1</v>
      </c>
      <c r="F14928" t="str">
        <f>"11-M05-01"</f>
        <v>11-M05-01</v>
      </c>
      <c r="G14928">
        <v>0.83750000000000002</v>
      </c>
      <c r="H14928" t="s">
        <v>12</v>
      </c>
      <c r="I14928" t="s">
        <v>10</v>
      </c>
    </row>
    <row r="14929" spans="1:9" x14ac:dyDescent="0.25">
      <c r="A14929" t="str">
        <f t="shared" si="343"/>
        <v>89301000</v>
      </c>
      <c r="B14929" t="str">
        <f>"9352055790"</f>
        <v>9352055790</v>
      </c>
      <c r="C14929" s="1">
        <v>44945</v>
      </c>
      <c r="D14929" s="1">
        <v>44948</v>
      </c>
      <c r="E14929">
        <v>1</v>
      </c>
      <c r="F14929" t="str">
        <f>"14-M01-05"</f>
        <v>14-M01-05</v>
      </c>
      <c r="G14929">
        <v>0.56289999999999996</v>
      </c>
      <c r="H14929" t="s">
        <v>13</v>
      </c>
      <c r="I14929" t="s">
        <v>10</v>
      </c>
    </row>
    <row r="14930" spans="1:9" x14ac:dyDescent="0.25">
      <c r="A14930" t="str">
        <f t="shared" si="343"/>
        <v>89301000</v>
      </c>
      <c r="B14930" t="str">
        <f>"9352085743"</f>
        <v>9352085743</v>
      </c>
      <c r="C14930" s="1">
        <v>45010</v>
      </c>
      <c r="D14930" s="1">
        <v>45011</v>
      </c>
      <c r="E14930">
        <v>1</v>
      </c>
      <c r="F14930" t="str">
        <f>"14-M01-02"</f>
        <v>14-M01-02</v>
      </c>
      <c r="G14930">
        <v>0.80049999999999999</v>
      </c>
      <c r="H14930" t="s">
        <v>13</v>
      </c>
      <c r="I14930" t="s">
        <v>10</v>
      </c>
    </row>
    <row r="14931" spans="1:9" x14ac:dyDescent="0.25">
      <c r="A14931" t="str">
        <f t="shared" si="343"/>
        <v>89301000</v>
      </c>
      <c r="B14931" t="str">
        <f>"9352135705"</f>
        <v>9352135705</v>
      </c>
      <c r="C14931" s="1">
        <v>45253</v>
      </c>
      <c r="D14931" s="1">
        <v>45254</v>
      </c>
      <c r="E14931">
        <v>1</v>
      </c>
      <c r="F14931" t="str">
        <f>"03-K06-01"</f>
        <v>03-K06-01</v>
      </c>
      <c r="G14931">
        <v>0.4713</v>
      </c>
      <c r="H14931" t="s">
        <v>11</v>
      </c>
      <c r="I14931" t="s">
        <v>10</v>
      </c>
    </row>
    <row r="14932" spans="1:9" x14ac:dyDescent="0.25">
      <c r="A14932" t="str">
        <f t="shared" si="343"/>
        <v>89301000</v>
      </c>
      <c r="B14932" t="str">
        <f>"9353025759"</f>
        <v>9353025759</v>
      </c>
      <c r="C14932" s="1">
        <v>45259</v>
      </c>
      <c r="D14932" s="1">
        <v>45264</v>
      </c>
      <c r="E14932">
        <v>1</v>
      </c>
      <c r="F14932" t="str">
        <f>"14-I01-05"</f>
        <v>14-I01-05</v>
      </c>
      <c r="G14932">
        <v>0.83340000000000003</v>
      </c>
      <c r="H14932" t="s">
        <v>13</v>
      </c>
      <c r="I14932" t="s">
        <v>10</v>
      </c>
    </row>
    <row r="14933" spans="1:9" x14ac:dyDescent="0.25">
      <c r="A14933" t="str">
        <f t="shared" si="343"/>
        <v>89301000</v>
      </c>
      <c r="B14933" t="str">
        <f>"9353054854"</f>
        <v>9353054854</v>
      </c>
      <c r="C14933" s="1">
        <v>45008</v>
      </c>
      <c r="D14933" s="1">
        <v>45012</v>
      </c>
      <c r="E14933">
        <v>1</v>
      </c>
      <c r="F14933" t="str">
        <f>"14-M01-05"</f>
        <v>14-M01-05</v>
      </c>
      <c r="G14933">
        <v>0.56589999999999996</v>
      </c>
      <c r="H14933" t="s">
        <v>13</v>
      </c>
      <c r="I14933" t="s">
        <v>10</v>
      </c>
    </row>
    <row r="14934" spans="1:9" x14ac:dyDescent="0.25">
      <c r="A14934" t="str">
        <f t="shared" si="343"/>
        <v>89301000</v>
      </c>
      <c r="B14934" t="str">
        <f>"9353105729"</f>
        <v>9353105729</v>
      </c>
      <c r="C14934" s="1">
        <v>45099</v>
      </c>
      <c r="D14934" s="1">
        <v>45110</v>
      </c>
      <c r="E14934">
        <v>1</v>
      </c>
      <c r="F14934" t="str">
        <f>"14-I01-05"</f>
        <v>14-I01-05</v>
      </c>
      <c r="G14934">
        <v>1.0824</v>
      </c>
      <c r="H14934" t="s">
        <v>13</v>
      </c>
      <c r="I14934" t="s">
        <v>10</v>
      </c>
    </row>
    <row r="14935" spans="1:9" x14ac:dyDescent="0.25">
      <c r="A14935" t="str">
        <f t="shared" si="343"/>
        <v>89301000</v>
      </c>
      <c r="B14935" t="str">
        <f>"9353106180"</f>
        <v>9353106180</v>
      </c>
      <c r="C14935" s="1">
        <v>45215</v>
      </c>
      <c r="D14935" s="1">
        <v>45216</v>
      </c>
      <c r="E14935">
        <v>1</v>
      </c>
      <c r="F14935" t="str">
        <f>"03-K12-01"</f>
        <v>03-K12-01</v>
      </c>
      <c r="G14935">
        <v>0.37</v>
      </c>
      <c r="H14935" t="s">
        <v>11</v>
      </c>
      <c r="I14935" t="s">
        <v>10</v>
      </c>
    </row>
    <row r="14936" spans="1:9" x14ac:dyDescent="0.25">
      <c r="A14936" t="str">
        <f t="shared" si="343"/>
        <v>89301000</v>
      </c>
      <c r="B14936" t="str">
        <f>"9353155317"</f>
        <v>9353155317</v>
      </c>
      <c r="C14936" s="1">
        <v>45076</v>
      </c>
      <c r="D14936" s="1">
        <v>45078</v>
      </c>
      <c r="E14936">
        <v>1</v>
      </c>
      <c r="F14936" t="str">
        <f>"08-I18-02"</f>
        <v>08-I18-02</v>
      </c>
      <c r="G14936">
        <v>0.62509999999999999</v>
      </c>
      <c r="H14936" t="s">
        <v>12</v>
      </c>
      <c r="I14936" t="s">
        <v>10</v>
      </c>
    </row>
    <row r="14937" spans="1:9" x14ac:dyDescent="0.25">
      <c r="A14937" t="str">
        <f t="shared" si="343"/>
        <v>89301000</v>
      </c>
      <c r="B14937" t="str">
        <f>"9353175711"</f>
        <v>9353175711</v>
      </c>
      <c r="C14937" s="1">
        <v>45287</v>
      </c>
      <c r="D14937" s="1">
        <v>45290</v>
      </c>
      <c r="E14937">
        <v>1</v>
      </c>
      <c r="F14937" t="str">
        <f>"06-I18-05"</f>
        <v>06-I18-05</v>
      </c>
      <c r="G14937">
        <v>0.82420000000000004</v>
      </c>
      <c r="H14937" t="s">
        <v>9</v>
      </c>
      <c r="I14937" t="s">
        <v>10</v>
      </c>
    </row>
    <row r="14938" spans="1:9" x14ac:dyDescent="0.25">
      <c r="A14938" t="str">
        <f t="shared" si="343"/>
        <v>89301000</v>
      </c>
      <c r="B14938" t="str">
        <f>"9353225090"</f>
        <v>9353225090</v>
      </c>
      <c r="C14938" s="1">
        <v>45124</v>
      </c>
      <c r="D14938" s="1">
        <v>45132</v>
      </c>
      <c r="E14938">
        <v>1</v>
      </c>
      <c r="F14938" t="str">
        <f>"09-I13-01"</f>
        <v>09-I13-01</v>
      </c>
      <c r="G14938">
        <v>2.6722999999999999</v>
      </c>
      <c r="H14938" t="s">
        <v>11</v>
      </c>
      <c r="I14938" t="s">
        <v>10</v>
      </c>
    </row>
    <row r="14939" spans="1:9" x14ac:dyDescent="0.25">
      <c r="A14939" t="str">
        <f t="shared" si="343"/>
        <v>89301000</v>
      </c>
      <c r="B14939" t="str">
        <f>"9353255758"</f>
        <v>9353255758</v>
      </c>
      <c r="C14939" s="1">
        <v>45205</v>
      </c>
      <c r="D14939" s="1">
        <v>45208</v>
      </c>
      <c r="E14939">
        <v>1</v>
      </c>
      <c r="F14939" t="str">
        <f>"14-I01-05"</f>
        <v>14-I01-05</v>
      </c>
      <c r="G14939">
        <v>0.83340000000000003</v>
      </c>
      <c r="H14939" t="s">
        <v>13</v>
      </c>
      <c r="I14939" t="s">
        <v>10</v>
      </c>
    </row>
    <row r="14940" spans="1:9" x14ac:dyDescent="0.25">
      <c r="A14940" t="str">
        <f t="shared" si="343"/>
        <v>89301000</v>
      </c>
      <c r="B14940" t="str">
        <f>"9353274480"</f>
        <v>9353274480</v>
      </c>
      <c r="C14940" s="1">
        <v>45125</v>
      </c>
      <c r="D14940" s="1">
        <v>45129</v>
      </c>
      <c r="E14940">
        <v>1</v>
      </c>
      <c r="F14940" t="str">
        <f>"14-I01-05"</f>
        <v>14-I01-05</v>
      </c>
      <c r="G14940">
        <v>0.83340000000000003</v>
      </c>
      <c r="H14940" t="s">
        <v>13</v>
      </c>
      <c r="I14940" t="s">
        <v>10</v>
      </c>
    </row>
    <row r="14941" spans="1:9" x14ac:dyDescent="0.25">
      <c r="A14941" t="str">
        <f t="shared" si="343"/>
        <v>89301000</v>
      </c>
      <c r="B14941" t="str">
        <f>"9353285678"</f>
        <v>9353285678</v>
      </c>
      <c r="C14941" s="1">
        <v>45070</v>
      </c>
      <c r="D14941" s="1">
        <v>45072</v>
      </c>
      <c r="E14941">
        <v>1</v>
      </c>
      <c r="F14941" t="str">
        <f>"23-K04-02"</f>
        <v>23-K04-02</v>
      </c>
      <c r="G14941">
        <v>0.38150000000000001</v>
      </c>
      <c r="H14941" t="s">
        <v>11</v>
      </c>
      <c r="I14941" t="s">
        <v>10</v>
      </c>
    </row>
    <row r="14942" spans="1:9" x14ac:dyDescent="0.25">
      <c r="A14942" t="str">
        <f t="shared" si="343"/>
        <v>89301000</v>
      </c>
      <c r="B14942" t="str">
        <f>"9353304048"</f>
        <v>9353304048</v>
      </c>
      <c r="C14942" s="1">
        <v>45244</v>
      </c>
      <c r="D14942" s="1">
        <v>45248</v>
      </c>
      <c r="E14942">
        <v>1</v>
      </c>
      <c r="F14942" t="str">
        <f>"14-M01-05"</f>
        <v>14-M01-05</v>
      </c>
      <c r="G14942">
        <v>0.56589999999999996</v>
      </c>
      <c r="H14942" t="s">
        <v>13</v>
      </c>
      <c r="I14942" t="s">
        <v>10</v>
      </c>
    </row>
    <row r="14943" spans="1:9" x14ac:dyDescent="0.25">
      <c r="A14943" t="str">
        <f t="shared" si="343"/>
        <v>89301000</v>
      </c>
      <c r="B14943" t="str">
        <f>"9353315730"</f>
        <v>9353315730</v>
      </c>
      <c r="C14943" s="1">
        <v>45007</v>
      </c>
      <c r="D14943" s="1">
        <v>45011</v>
      </c>
      <c r="E14943">
        <v>1</v>
      </c>
      <c r="F14943" t="str">
        <f>"01-K14-00"</f>
        <v>01-K14-00</v>
      </c>
      <c r="G14943">
        <v>1.3366</v>
      </c>
      <c r="H14943" t="s">
        <v>11</v>
      </c>
      <c r="I14943" t="s">
        <v>10</v>
      </c>
    </row>
    <row r="14944" spans="1:9" x14ac:dyDescent="0.25">
      <c r="A14944" t="str">
        <f t="shared" si="343"/>
        <v>89301000</v>
      </c>
      <c r="B14944" t="str">
        <f>"9354025307"</f>
        <v>9354025307</v>
      </c>
      <c r="C14944" s="1">
        <v>45233</v>
      </c>
      <c r="D14944" s="1">
        <v>45238</v>
      </c>
      <c r="E14944">
        <v>1</v>
      </c>
      <c r="F14944" t="str">
        <f>"14-M01-05"</f>
        <v>14-M01-05</v>
      </c>
      <c r="G14944">
        <v>0.56289999999999996</v>
      </c>
      <c r="H14944" t="s">
        <v>13</v>
      </c>
      <c r="I14944" t="s">
        <v>10</v>
      </c>
    </row>
    <row r="14945" spans="1:9" x14ac:dyDescent="0.25">
      <c r="A14945" t="str">
        <f t="shared" si="343"/>
        <v>89301000</v>
      </c>
      <c r="B14945" t="str">
        <f>"9354025703"</f>
        <v>9354025703</v>
      </c>
      <c r="C14945" s="1">
        <v>44969</v>
      </c>
      <c r="D14945" s="1">
        <v>44973</v>
      </c>
      <c r="E14945">
        <v>1</v>
      </c>
      <c r="F14945" t="str">
        <f>"13-I08-02"</f>
        <v>13-I08-02</v>
      </c>
      <c r="G14945">
        <v>1.5999000000000001</v>
      </c>
      <c r="H14945" t="s">
        <v>14</v>
      </c>
      <c r="I14945" t="s">
        <v>10</v>
      </c>
    </row>
    <row r="14946" spans="1:9" x14ac:dyDescent="0.25">
      <c r="A14946" t="str">
        <f t="shared" si="343"/>
        <v>89301000</v>
      </c>
      <c r="B14946" t="str">
        <f>"9354114847"</f>
        <v>9354114847</v>
      </c>
      <c r="C14946" s="1">
        <v>45199</v>
      </c>
      <c r="D14946" s="1">
        <v>45199</v>
      </c>
      <c r="E14946">
        <v>6</v>
      </c>
      <c r="F14946" t="str">
        <f>"14-M01-05"</f>
        <v>14-M01-05</v>
      </c>
      <c r="G14946">
        <v>0.28149999999999997</v>
      </c>
      <c r="H14946" t="s">
        <v>13</v>
      </c>
      <c r="I14946" t="s">
        <v>10</v>
      </c>
    </row>
    <row r="14947" spans="1:9" x14ac:dyDescent="0.25">
      <c r="A14947" t="str">
        <f t="shared" si="343"/>
        <v>89301000</v>
      </c>
      <c r="B14947" t="str">
        <f>"9354114869"</f>
        <v>9354114869</v>
      </c>
      <c r="C14947" s="1">
        <v>45247</v>
      </c>
      <c r="D14947" s="1">
        <v>45250</v>
      </c>
      <c r="E14947">
        <v>1</v>
      </c>
      <c r="F14947" t="str">
        <f>"14-M01-05"</f>
        <v>14-M01-05</v>
      </c>
      <c r="G14947">
        <v>0.56289999999999996</v>
      </c>
      <c r="H14947" t="s">
        <v>13</v>
      </c>
      <c r="I14947" t="s">
        <v>10</v>
      </c>
    </row>
    <row r="14948" spans="1:9" x14ac:dyDescent="0.25">
      <c r="A14948" t="str">
        <f t="shared" si="343"/>
        <v>89301000</v>
      </c>
      <c r="B14948" t="str">
        <f>"9354155701"</f>
        <v>9354155701</v>
      </c>
      <c r="C14948" s="1">
        <v>45193</v>
      </c>
      <c r="D14948" s="1">
        <v>45195</v>
      </c>
      <c r="E14948">
        <v>1</v>
      </c>
      <c r="F14948" t="str">
        <f>"14-M01-05"</f>
        <v>14-M01-05</v>
      </c>
      <c r="G14948">
        <v>0.56289999999999996</v>
      </c>
      <c r="H14948" t="s">
        <v>13</v>
      </c>
      <c r="I14948" t="s">
        <v>10</v>
      </c>
    </row>
    <row r="14949" spans="1:9" x14ac:dyDescent="0.25">
      <c r="A14949" t="str">
        <f t="shared" si="343"/>
        <v>89301000</v>
      </c>
      <c r="B14949" t="str">
        <f>"9354225727"</f>
        <v>9354225727</v>
      </c>
      <c r="C14949" s="1">
        <v>45038</v>
      </c>
      <c r="D14949" s="1">
        <v>45040</v>
      </c>
      <c r="E14949">
        <v>1</v>
      </c>
      <c r="F14949" t="str">
        <f>"03-K06-01"</f>
        <v>03-K06-01</v>
      </c>
      <c r="G14949">
        <v>0.4713</v>
      </c>
      <c r="H14949" t="s">
        <v>11</v>
      </c>
      <c r="I14949" t="s">
        <v>10</v>
      </c>
    </row>
    <row r="14950" spans="1:9" x14ac:dyDescent="0.25">
      <c r="A14950" t="str">
        <f t="shared" si="343"/>
        <v>89301000</v>
      </c>
      <c r="B14950" t="str">
        <f>"9354234857"</f>
        <v>9354234857</v>
      </c>
      <c r="C14950" s="1">
        <v>45159</v>
      </c>
      <c r="D14950" s="1">
        <v>45161</v>
      </c>
      <c r="E14950">
        <v>1</v>
      </c>
      <c r="F14950" t="str">
        <f>"14-M01-05"</f>
        <v>14-M01-05</v>
      </c>
      <c r="G14950">
        <v>0.56289999999999996</v>
      </c>
      <c r="H14950" t="s">
        <v>13</v>
      </c>
      <c r="I14950" t="s">
        <v>10</v>
      </c>
    </row>
    <row r="14951" spans="1:9" x14ac:dyDescent="0.25">
      <c r="A14951" t="str">
        <f t="shared" si="343"/>
        <v>89301000</v>
      </c>
      <c r="B14951" t="str">
        <f>"9354285754"</f>
        <v>9354285754</v>
      </c>
      <c r="C14951" s="1">
        <v>45150</v>
      </c>
      <c r="D14951" s="1">
        <v>45154</v>
      </c>
      <c r="E14951">
        <v>1</v>
      </c>
      <c r="F14951" t="str">
        <f>"14-M01-05"</f>
        <v>14-M01-05</v>
      </c>
      <c r="G14951">
        <v>0.56589999999999996</v>
      </c>
      <c r="H14951" t="s">
        <v>13</v>
      </c>
      <c r="I14951" t="s">
        <v>10</v>
      </c>
    </row>
    <row r="14952" spans="1:9" x14ac:dyDescent="0.25">
      <c r="A14952" t="str">
        <f t="shared" si="343"/>
        <v>89301000</v>
      </c>
      <c r="B14952" t="str">
        <f>"9354294851"</f>
        <v>9354294851</v>
      </c>
      <c r="C14952" s="1">
        <v>45057</v>
      </c>
      <c r="D14952" s="1">
        <v>45063</v>
      </c>
      <c r="E14952">
        <v>1</v>
      </c>
      <c r="F14952" t="str">
        <f>"14-M01-05"</f>
        <v>14-M01-05</v>
      </c>
      <c r="G14952">
        <v>0.56289999999999996</v>
      </c>
      <c r="H14952" t="s">
        <v>13</v>
      </c>
      <c r="I14952" t="s">
        <v>10</v>
      </c>
    </row>
    <row r="14953" spans="1:9" x14ac:dyDescent="0.25">
      <c r="A14953" t="str">
        <f t="shared" si="343"/>
        <v>89301000</v>
      </c>
      <c r="B14953" t="str">
        <f>"9355014856"</f>
        <v>9355014856</v>
      </c>
      <c r="C14953" s="1">
        <v>45202</v>
      </c>
      <c r="D14953" s="1">
        <v>45205</v>
      </c>
      <c r="E14953">
        <v>1</v>
      </c>
      <c r="F14953" t="str">
        <f>"08-I26-02"</f>
        <v>08-I26-02</v>
      </c>
      <c r="G14953">
        <v>0.83779999999999999</v>
      </c>
      <c r="H14953" t="s">
        <v>11</v>
      </c>
      <c r="I14953" t="s">
        <v>10</v>
      </c>
    </row>
    <row r="14954" spans="1:9" x14ac:dyDescent="0.25">
      <c r="A14954" t="str">
        <f t="shared" si="343"/>
        <v>89301000</v>
      </c>
      <c r="B14954" t="str">
        <f>"9355045722"</f>
        <v>9355045722</v>
      </c>
      <c r="C14954" s="1">
        <v>45180</v>
      </c>
      <c r="D14954" s="1">
        <v>45184</v>
      </c>
      <c r="E14954">
        <v>1</v>
      </c>
      <c r="F14954" t="str">
        <f>"13-I14-03"</f>
        <v>13-I14-03</v>
      </c>
      <c r="G14954">
        <v>0.87760000000000005</v>
      </c>
      <c r="H14954" t="s">
        <v>9</v>
      </c>
      <c r="I14954" t="s">
        <v>10</v>
      </c>
    </row>
    <row r="14955" spans="1:9" x14ac:dyDescent="0.25">
      <c r="A14955" t="str">
        <f t="shared" si="343"/>
        <v>89301000</v>
      </c>
      <c r="B14955" t="str">
        <f>"9355156074"</f>
        <v>9355156074</v>
      </c>
      <c r="C14955" s="1">
        <v>44942</v>
      </c>
      <c r="D14955" s="1">
        <v>44943</v>
      </c>
      <c r="E14955">
        <v>1</v>
      </c>
      <c r="F14955" t="str">
        <f>"14-I08-03"</f>
        <v>14-I08-03</v>
      </c>
      <c r="G14955">
        <v>0.2414</v>
      </c>
      <c r="H14955" t="s">
        <v>11</v>
      </c>
      <c r="I14955" t="s">
        <v>10</v>
      </c>
    </row>
    <row r="14956" spans="1:9" x14ac:dyDescent="0.25">
      <c r="A14956" t="str">
        <f t="shared" si="343"/>
        <v>89301000</v>
      </c>
      <c r="B14956" t="str">
        <f>"9355175731"</f>
        <v>9355175731</v>
      </c>
      <c r="C14956" s="1">
        <v>44984</v>
      </c>
      <c r="D14956" s="1">
        <v>44988</v>
      </c>
      <c r="E14956">
        <v>1</v>
      </c>
      <c r="F14956" t="str">
        <f>"14-I01-05"</f>
        <v>14-I01-05</v>
      </c>
      <c r="G14956">
        <v>0.83</v>
      </c>
      <c r="H14956" t="s">
        <v>13</v>
      </c>
      <c r="I14956" t="s">
        <v>10</v>
      </c>
    </row>
    <row r="14957" spans="1:9" x14ac:dyDescent="0.25">
      <c r="A14957" t="str">
        <f t="shared" si="343"/>
        <v>89301000</v>
      </c>
      <c r="B14957" t="str">
        <f>"9355216002"</f>
        <v>9355216002</v>
      </c>
      <c r="C14957" s="1">
        <v>45257</v>
      </c>
      <c r="D14957" s="1">
        <v>45262</v>
      </c>
      <c r="E14957">
        <v>1</v>
      </c>
      <c r="F14957" t="str">
        <f>"14-M01-05"</f>
        <v>14-M01-05</v>
      </c>
      <c r="G14957">
        <v>0.56589999999999996</v>
      </c>
      <c r="H14957" t="s">
        <v>13</v>
      </c>
      <c r="I14957" t="s">
        <v>10</v>
      </c>
    </row>
    <row r="14958" spans="1:9" x14ac:dyDescent="0.25">
      <c r="A14958" t="str">
        <f t="shared" si="343"/>
        <v>89301000</v>
      </c>
      <c r="B14958" t="str">
        <f>"9355226155"</f>
        <v>9355226155</v>
      </c>
      <c r="C14958" s="1">
        <v>44974</v>
      </c>
      <c r="D14958" s="1">
        <v>44977</v>
      </c>
      <c r="E14958">
        <v>1</v>
      </c>
      <c r="F14958" t="str">
        <f>"07-I10-06"</f>
        <v>07-I10-06</v>
      </c>
      <c r="G14958">
        <v>0.98419999999999996</v>
      </c>
      <c r="H14958" t="s">
        <v>12</v>
      </c>
      <c r="I14958" t="s">
        <v>10</v>
      </c>
    </row>
    <row r="14959" spans="1:9" x14ac:dyDescent="0.25">
      <c r="A14959" t="str">
        <f t="shared" si="343"/>
        <v>89301000</v>
      </c>
      <c r="B14959" t="str">
        <f>"9356044852"</f>
        <v>9356044852</v>
      </c>
      <c r="C14959" s="1">
        <v>44976</v>
      </c>
      <c r="D14959" s="1">
        <v>44979</v>
      </c>
      <c r="E14959">
        <v>1</v>
      </c>
      <c r="F14959" t="str">
        <f>"14-M01-05"</f>
        <v>14-M01-05</v>
      </c>
      <c r="G14959">
        <v>0.56289999999999996</v>
      </c>
      <c r="H14959" t="s">
        <v>13</v>
      </c>
      <c r="I14959" t="s">
        <v>10</v>
      </c>
    </row>
    <row r="14960" spans="1:9" x14ac:dyDescent="0.25">
      <c r="A14960" t="str">
        <f t="shared" si="343"/>
        <v>89301000</v>
      </c>
      <c r="B14960" t="str">
        <f>"9356214846"</f>
        <v>9356214846</v>
      </c>
      <c r="C14960" s="1">
        <v>44986</v>
      </c>
      <c r="D14960" s="1">
        <v>44988</v>
      </c>
      <c r="E14960">
        <v>1</v>
      </c>
      <c r="F14960" t="str">
        <f>"01-K07-03"</f>
        <v>01-K07-03</v>
      </c>
      <c r="G14960">
        <v>0.48680000000000001</v>
      </c>
      <c r="H14960" t="s">
        <v>11</v>
      </c>
      <c r="I14960" t="s">
        <v>10</v>
      </c>
    </row>
    <row r="14961" spans="1:9" x14ac:dyDescent="0.25">
      <c r="A14961" t="str">
        <f t="shared" si="343"/>
        <v>89301000</v>
      </c>
      <c r="B14961" t="str">
        <f>"9356214868"</f>
        <v>9356214868</v>
      </c>
      <c r="C14961" s="1">
        <v>45238</v>
      </c>
      <c r="D14961" s="1">
        <v>45239</v>
      </c>
      <c r="E14961">
        <v>1</v>
      </c>
      <c r="F14961" t="str">
        <f>"13-I19-00"</f>
        <v>13-I19-00</v>
      </c>
      <c r="G14961">
        <v>0.28249999999999997</v>
      </c>
      <c r="H14961" t="s">
        <v>11</v>
      </c>
      <c r="I14961" t="s">
        <v>10</v>
      </c>
    </row>
    <row r="14962" spans="1:9" x14ac:dyDescent="0.25">
      <c r="A14962" t="str">
        <f t="shared" si="343"/>
        <v>89301000</v>
      </c>
      <c r="B14962" t="str">
        <f>"9356244854"</f>
        <v>9356244854</v>
      </c>
      <c r="C14962" s="1">
        <v>44951</v>
      </c>
      <c r="D14962" s="1">
        <v>44954</v>
      </c>
      <c r="E14962">
        <v>1</v>
      </c>
      <c r="F14962" t="str">
        <f>"08-I32-00"</f>
        <v>08-I32-00</v>
      </c>
      <c r="G14962">
        <v>0.4093</v>
      </c>
      <c r="H14962" t="s">
        <v>11</v>
      </c>
      <c r="I14962" t="s">
        <v>10</v>
      </c>
    </row>
    <row r="14963" spans="1:9" x14ac:dyDescent="0.25">
      <c r="A14963" t="str">
        <f t="shared" si="343"/>
        <v>89301000</v>
      </c>
      <c r="B14963" t="str">
        <f>"9356261464"</f>
        <v>9356261464</v>
      </c>
      <c r="C14963" s="1">
        <v>45028</v>
      </c>
      <c r="D14963" s="1">
        <v>45032</v>
      </c>
      <c r="E14963">
        <v>1</v>
      </c>
      <c r="F14963" t="str">
        <f>"14-M01-05"</f>
        <v>14-M01-05</v>
      </c>
      <c r="G14963">
        <v>0.56589999999999996</v>
      </c>
      <c r="H14963" t="s">
        <v>13</v>
      </c>
      <c r="I14963" t="s">
        <v>10</v>
      </c>
    </row>
    <row r="14964" spans="1:9" x14ac:dyDescent="0.25">
      <c r="A14964" t="str">
        <f t="shared" si="343"/>
        <v>89301000</v>
      </c>
      <c r="B14964" t="str">
        <f>"9356294849"</f>
        <v>9356294849</v>
      </c>
      <c r="C14964" s="1">
        <v>45002</v>
      </c>
      <c r="D14964" s="1">
        <v>45003</v>
      </c>
      <c r="E14964">
        <v>1</v>
      </c>
      <c r="F14964" t="str">
        <f>"21-K06-02"</f>
        <v>21-K06-02</v>
      </c>
      <c r="G14964">
        <v>0.55720000000000003</v>
      </c>
      <c r="H14964" t="s">
        <v>11</v>
      </c>
      <c r="I14964" t="s">
        <v>10</v>
      </c>
    </row>
    <row r="14965" spans="1:9" x14ac:dyDescent="0.25">
      <c r="A14965" t="str">
        <f t="shared" si="343"/>
        <v>89301000</v>
      </c>
      <c r="B14965" t="str">
        <f>"9356295707"</f>
        <v>9356295707</v>
      </c>
      <c r="C14965" s="1">
        <v>45140</v>
      </c>
      <c r="D14965" s="1">
        <v>45154</v>
      </c>
      <c r="E14965">
        <v>1</v>
      </c>
      <c r="F14965" t="str">
        <f>"06-I05-01"</f>
        <v>06-I05-01</v>
      </c>
      <c r="G14965">
        <v>3.8811</v>
      </c>
      <c r="H14965" t="s">
        <v>12</v>
      </c>
      <c r="I14965" t="s">
        <v>10</v>
      </c>
    </row>
    <row r="14966" spans="1:9" x14ac:dyDescent="0.25">
      <c r="A14966" t="str">
        <f t="shared" si="343"/>
        <v>89301000</v>
      </c>
      <c r="B14966" t="str">
        <f>"9357023786"</f>
        <v>9357023786</v>
      </c>
      <c r="C14966" s="1">
        <v>45134</v>
      </c>
      <c r="D14966" s="1">
        <v>45135</v>
      </c>
      <c r="E14966">
        <v>1</v>
      </c>
      <c r="F14966" t="str">
        <f>"14-M01-05"</f>
        <v>14-M01-05</v>
      </c>
      <c r="G14966">
        <v>0.56289999999999996</v>
      </c>
      <c r="H14966" t="s">
        <v>13</v>
      </c>
      <c r="I14966" t="s">
        <v>10</v>
      </c>
    </row>
    <row r="14967" spans="1:9" x14ac:dyDescent="0.25">
      <c r="A14967" t="str">
        <f t="shared" si="343"/>
        <v>89301000</v>
      </c>
      <c r="B14967" t="str">
        <f>"9357044862"</f>
        <v>9357044862</v>
      </c>
      <c r="C14967" s="1">
        <v>45030</v>
      </c>
      <c r="D14967" s="1">
        <v>45034</v>
      </c>
      <c r="E14967">
        <v>1</v>
      </c>
      <c r="F14967" t="str">
        <f>"14-M01-05"</f>
        <v>14-M01-05</v>
      </c>
      <c r="G14967">
        <v>0.56289999999999996</v>
      </c>
      <c r="H14967" t="s">
        <v>13</v>
      </c>
      <c r="I14967" t="s">
        <v>10</v>
      </c>
    </row>
    <row r="14968" spans="1:9" x14ac:dyDescent="0.25">
      <c r="A14968" t="str">
        <f t="shared" si="343"/>
        <v>89301000</v>
      </c>
      <c r="B14968" t="str">
        <f>"9357134842"</f>
        <v>9357134842</v>
      </c>
      <c r="C14968" s="1">
        <v>44945</v>
      </c>
      <c r="D14968" s="1">
        <v>44946</v>
      </c>
      <c r="E14968">
        <v>1</v>
      </c>
      <c r="F14968" t="str">
        <f>"14-I08-03"</f>
        <v>14-I08-03</v>
      </c>
      <c r="G14968">
        <v>0.2414</v>
      </c>
      <c r="H14968" t="s">
        <v>11</v>
      </c>
      <c r="I14968" t="s">
        <v>10</v>
      </c>
    </row>
    <row r="14969" spans="1:9" x14ac:dyDescent="0.25">
      <c r="A14969" t="str">
        <f t="shared" si="343"/>
        <v>89301000</v>
      </c>
      <c r="B14969" t="str">
        <f>"9357145732"</f>
        <v>9357145732</v>
      </c>
      <c r="C14969" s="1">
        <v>45102</v>
      </c>
      <c r="D14969" s="1">
        <v>45104</v>
      </c>
      <c r="E14969">
        <v>1</v>
      </c>
      <c r="F14969" t="str">
        <f>"14-M01-02"</f>
        <v>14-M01-02</v>
      </c>
      <c r="G14969">
        <v>0.80049999999999999</v>
      </c>
      <c r="H14969" t="s">
        <v>13</v>
      </c>
      <c r="I14969" t="s">
        <v>10</v>
      </c>
    </row>
    <row r="14970" spans="1:9" x14ac:dyDescent="0.25">
      <c r="A14970" t="str">
        <f t="shared" si="343"/>
        <v>89301000</v>
      </c>
      <c r="B14970" t="str">
        <f>"9357165719"</f>
        <v>9357165719</v>
      </c>
      <c r="C14970" s="1">
        <v>45100</v>
      </c>
      <c r="D14970" s="1">
        <v>45104</v>
      </c>
      <c r="E14970">
        <v>1</v>
      </c>
      <c r="F14970" t="str">
        <f>"14-M01-05"</f>
        <v>14-M01-05</v>
      </c>
      <c r="G14970">
        <v>0.56289999999999996</v>
      </c>
      <c r="H14970" t="s">
        <v>13</v>
      </c>
      <c r="I14970" t="s">
        <v>10</v>
      </c>
    </row>
    <row r="14971" spans="1:9" x14ac:dyDescent="0.25">
      <c r="A14971" t="str">
        <f t="shared" si="343"/>
        <v>89301000</v>
      </c>
      <c r="B14971" t="str">
        <f>"9357175718"</f>
        <v>9357175718</v>
      </c>
      <c r="C14971" s="1">
        <v>44971</v>
      </c>
      <c r="D14971" s="1">
        <v>44974</v>
      </c>
      <c r="E14971">
        <v>1</v>
      </c>
      <c r="F14971" t="str">
        <f>"14-I03-00"</f>
        <v>14-I03-00</v>
      </c>
      <c r="G14971">
        <v>4.2157999999999998</v>
      </c>
      <c r="H14971" t="s">
        <v>12</v>
      </c>
      <c r="I14971" t="s">
        <v>10</v>
      </c>
    </row>
    <row r="14972" spans="1:9" x14ac:dyDescent="0.25">
      <c r="A14972" t="str">
        <f t="shared" si="343"/>
        <v>89301000</v>
      </c>
      <c r="B14972" t="str">
        <f>"9357205737"</f>
        <v>9357205737</v>
      </c>
      <c r="C14972" s="1">
        <v>45068</v>
      </c>
      <c r="D14972" s="1">
        <v>45070</v>
      </c>
      <c r="E14972">
        <v>1</v>
      </c>
      <c r="F14972" t="str">
        <f>"03-K02-03"</f>
        <v>03-K02-03</v>
      </c>
      <c r="G14972">
        <v>0.34050000000000002</v>
      </c>
      <c r="H14972" t="s">
        <v>11</v>
      </c>
      <c r="I14972" t="s">
        <v>10</v>
      </c>
    </row>
    <row r="14973" spans="1:9" x14ac:dyDescent="0.25">
      <c r="A14973" t="str">
        <f t="shared" si="343"/>
        <v>89301000</v>
      </c>
      <c r="B14973" t="str">
        <f>"9357224459"</f>
        <v>9357224459</v>
      </c>
      <c r="C14973" s="1">
        <v>45028</v>
      </c>
      <c r="D14973" s="1">
        <v>45032</v>
      </c>
      <c r="E14973">
        <v>1</v>
      </c>
      <c r="F14973" t="str">
        <f>"13-I17-00"</f>
        <v>13-I17-00</v>
      </c>
      <c r="G14973">
        <v>1.2055</v>
      </c>
      <c r="H14973" t="s">
        <v>9</v>
      </c>
      <c r="I14973" t="s">
        <v>10</v>
      </c>
    </row>
    <row r="14974" spans="1:9" x14ac:dyDescent="0.25">
      <c r="A14974" t="str">
        <f t="shared" si="343"/>
        <v>89301000</v>
      </c>
      <c r="B14974" t="str">
        <f>"9357235701"</f>
        <v>9357235701</v>
      </c>
      <c r="C14974" s="1">
        <v>45254</v>
      </c>
      <c r="D14974" s="1">
        <v>45259</v>
      </c>
      <c r="E14974">
        <v>1</v>
      </c>
      <c r="F14974" t="str">
        <f>"14-I01-02"</f>
        <v>14-I01-02</v>
      </c>
      <c r="G14974">
        <v>1.2988999999999999</v>
      </c>
      <c r="H14974" t="s">
        <v>13</v>
      </c>
      <c r="I14974" t="s">
        <v>10</v>
      </c>
    </row>
    <row r="14975" spans="1:9" x14ac:dyDescent="0.25">
      <c r="A14975" t="str">
        <f t="shared" si="343"/>
        <v>89301000</v>
      </c>
      <c r="B14975" t="str">
        <f>"9357304869"</f>
        <v>9357304869</v>
      </c>
      <c r="C14975" s="1">
        <v>45008</v>
      </c>
      <c r="D14975" s="1">
        <v>45012</v>
      </c>
      <c r="E14975">
        <v>1</v>
      </c>
      <c r="F14975" t="str">
        <f>"07-I10-06"</f>
        <v>07-I10-06</v>
      </c>
      <c r="G14975">
        <v>0.98419999999999996</v>
      </c>
      <c r="H14975" t="s">
        <v>12</v>
      </c>
      <c r="I14975" t="s">
        <v>10</v>
      </c>
    </row>
    <row r="14976" spans="1:9" x14ac:dyDescent="0.25">
      <c r="A14976" t="str">
        <f t="shared" si="343"/>
        <v>89301000</v>
      </c>
      <c r="B14976" t="str">
        <f>"9358054871"</f>
        <v>9358054871</v>
      </c>
      <c r="C14976" s="1">
        <v>45152</v>
      </c>
      <c r="D14976" s="1">
        <v>45156</v>
      </c>
      <c r="E14976">
        <v>1</v>
      </c>
      <c r="F14976" t="str">
        <f>"14-M01-05"</f>
        <v>14-M01-05</v>
      </c>
      <c r="G14976">
        <v>0.56289999999999996</v>
      </c>
      <c r="H14976" t="s">
        <v>13</v>
      </c>
      <c r="I14976" t="s">
        <v>10</v>
      </c>
    </row>
    <row r="14977" spans="1:9" x14ac:dyDescent="0.25">
      <c r="A14977" t="str">
        <f t="shared" si="343"/>
        <v>89301000</v>
      </c>
      <c r="B14977" t="str">
        <f>"9358115151"</f>
        <v>9358115151</v>
      </c>
      <c r="C14977" s="1">
        <v>45159</v>
      </c>
      <c r="D14977" s="1">
        <v>45161</v>
      </c>
      <c r="E14977">
        <v>1</v>
      </c>
      <c r="F14977" t="str">
        <f>"11-M05-01"</f>
        <v>11-M05-01</v>
      </c>
      <c r="G14977">
        <v>0.83750000000000002</v>
      </c>
      <c r="H14977" t="s">
        <v>12</v>
      </c>
      <c r="I14977" t="s">
        <v>10</v>
      </c>
    </row>
    <row r="14978" spans="1:9" x14ac:dyDescent="0.25">
      <c r="A14978" t="str">
        <f t="shared" si="343"/>
        <v>89301000</v>
      </c>
      <c r="B14978" t="str">
        <f>"9358115151"</f>
        <v>9358115151</v>
      </c>
      <c r="C14978" s="1">
        <v>45008</v>
      </c>
      <c r="D14978" s="1">
        <v>45009</v>
      </c>
      <c r="E14978">
        <v>1</v>
      </c>
      <c r="F14978" t="str">
        <f>"11-M05-01"</f>
        <v>11-M05-01</v>
      </c>
      <c r="G14978">
        <v>0.83750000000000002</v>
      </c>
      <c r="H14978" t="s">
        <v>12</v>
      </c>
      <c r="I14978" t="s">
        <v>10</v>
      </c>
    </row>
    <row r="14979" spans="1:9" x14ac:dyDescent="0.25">
      <c r="A14979" t="str">
        <f t="shared" si="343"/>
        <v>89301000</v>
      </c>
      <c r="B14979" t="str">
        <f>"9358204856"</f>
        <v>9358204856</v>
      </c>
      <c r="C14979" s="1">
        <v>45288</v>
      </c>
      <c r="D14979" s="1">
        <v>45290</v>
      </c>
      <c r="E14979">
        <v>1</v>
      </c>
      <c r="F14979" t="str">
        <f>"07-C01-02"</f>
        <v>07-C01-02</v>
      </c>
      <c r="G14979">
        <v>0.3483</v>
      </c>
      <c r="H14979" t="s">
        <v>11</v>
      </c>
      <c r="I14979" t="s">
        <v>10</v>
      </c>
    </row>
    <row r="14980" spans="1:9" x14ac:dyDescent="0.25">
      <c r="A14980" t="str">
        <f t="shared" si="343"/>
        <v>89301000</v>
      </c>
      <c r="B14980" t="str">
        <f>"9358204856"</f>
        <v>9358204856</v>
      </c>
      <c r="C14980" s="1">
        <v>45238</v>
      </c>
      <c r="D14980" s="1">
        <v>45240</v>
      </c>
      <c r="E14980">
        <v>1</v>
      </c>
      <c r="F14980" t="str">
        <f>"07-K06-02"</f>
        <v>07-K06-02</v>
      </c>
      <c r="G14980">
        <v>0.47520000000000001</v>
      </c>
      <c r="H14980" t="s">
        <v>11</v>
      </c>
      <c r="I14980" t="s">
        <v>10</v>
      </c>
    </row>
    <row r="14981" spans="1:9" x14ac:dyDescent="0.25">
      <c r="A14981" t="str">
        <f t="shared" si="343"/>
        <v>89301000</v>
      </c>
      <c r="B14981" t="str">
        <f>"9358204856"</f>
        <v>9358204856</v>
      </c>
      <c r="C14981" s="1">
        <v>45261</v>
      </c>
      <c r="D14981" s="1">
        <v>45264</v>
      </c>
      <c r="E14981">
        <v>1</v>
      </c>
      <c r="F14981" t="str">
        <f>"07-C01-02"</f>
        <v>07-C01-02</v>
      </c>
      <c r="G14981">
        <v>0.3483</v>
      </c>
      <c r="H14981" t="s">
        <v>11</v>
      </c>
      <c r="I14981" t="s">
        <v>10</v>
      </c>
    </row>
    <row r="14982" spans="1:9" x14ac:dyDescent="0.25">
      <c r="A14982" t="str">
        <f t="shared" si="343"/>
        <v>89301000</v>
      </c>
      <c r="B14982" t="str">
        <f>"9358205373"</f>
        <v>9358205373</v>
      </c>
      <c r="C14982" s="1">
        <v>45049</v>
      </c>
      <c r="D14982" s="1">
        <v>45072</v>
      </c>
      <c r="E14982">
        <v>1</v>
      </c>
      <c r="F14982" t="str">
        <f>"24-M08-01"</f>
        <v>24-M08-01</v>
      </c>
      <c r="G14982">
        <v>2.0236999999999998</v>
      </c>
      <c r="H14982" t="s">
        <v>11</v>
      </c>
      <c r="I14982" t="s">
        <v>10</v>
      </c>
    </row>
    <row r="14983" spans="1:9" x14ac:dyDescent="0.25">
      <c r="A14983" t="str">
        <f t="shared" si="343"/>
        <v>89301000</v>
      </c>
      <c r="B14983" t="str">
        <f>"9358205373"</f>
        <v>9358205373</v>
      </c>
      <c r="C14983" s="1">
        <v>45044</v>
      </c>
      <c r="D14983" s="1">
        <v>45049</v>
      </c>
      <c r="E14983">
        <v>3</v>
      </c>
      <c r="F14983" t="str">
        <f>"01-I06-04"</f>
        <v>01-I06-04</v>
      </c>
      <c r="G14983">
        <v>3.6478999999999999</v>
      </c>
      <c r="H14983" t="s">
        <v>12</v>
      </c>
      <c r="I14983" t="s">
        <v>10</v>
      </c>
    </row>
    <row r="14984" spans="1:9" x14ac:dyDescent="0.25">
      <c r="A14984" t="str">
        <f t="shared" si="343"/>
        <v>89301000</v>
      </c>
      <c r="B14984" t="str">
        <f>"9358205373"</f>
        <v>9358205373</v>
      </c>
      <c r="C14984" s="1">
        <v>45147</v>
      </c>
      <c r="D14984" s="1">
        <v>45152</v>
      </c>
      <c r="E14984">
        <v>1</v>
      </c>
      <c r="F14984" t="str">
        <f>"01-I06-02"</f>
        <v>01-I06-02</v>
      </c>
      <c r="G14984">
        <v>5.1349</v>
      </c>
      <c r="H14984" t="s">
        <v>12</v>
      </c>
      <c r="I14984" t="s">
        <v>10</v>
      </c>
    </row>
    <row r="14985" spans="1:9" x14ac:dyDescent="0.25">
      <c r="A14985" t="str">
        <f t="shared" si="343"/>
        <v>89301000</v>
      </c>
      <c r="B14985" t="str">
        <f>"9358296101"</f>
        <v>9358296101</v>
      </c>
      <c r="C14985" s="1">
        <v>45133</v>
      </c>
      <c r="D14985" s="1">
        <v>45138</v>
      </c>
      <c r="E14985">
        <v>1</v>
      </c>
      <c r="F14985" t="str">
        <f>"14-I01-02"</f>
        <v>14-I01-02</v>
      </c>
      <c r="G14985">
        <v>1.3431999999999999</v>
      </c>
      <c r="H14985" t="s">
        <v>13</v>
      </c>
      <c r="I14985" t="s">
        <v>10</v>
      </c>
    </row>
    <row r="14986" spans="1:9" x14ac:dyDescent="0.25">
      <c r="A14986" t="str">
        <f t="shared" ref="A14986:A15048" si="344">"89301000"</f>
        <v>89301000</v>
      </c>
      <c r="B14986" t="str">
        <f>"9359035730"</f>
        <v>9359035730</v>
      </c>
      <c r="C14986" s="1">
        <v>45064</v>
      </c>
      <c r="D14986" s="1">
        <v>45067</v>
      </c>
      <c r="E14986">
        <v>1</v>
      </c>
      <c r="F14986" t="str">
        <f>"07-I10-05"</f>
        <v>07-I10-05</v>
      </c>
      <c r="G14986">
        <v>1.3592</v>
      </c>
      <c r="H14986" t="s">
        <v>12</v>
      </c>
      <c r="I14986" t="s">
        <v>10</v>
      </c>
    </row>
    <row r="14987" spans="1:9" x14ac:dyDescent="0.25">
      <c r="A14987" t="str">
        <f t="shared" si="344"/>
        <v>89301000</v>
      </c>
      <c r="B14987" t="str">
        <f>"9359064077"</f>
        <v>9359064077</v>
      </c>
      <c r="C14987" s="1">
        <v>45062</v>
      </c>
      <c r="D14987" s="1">
        <v>45068</v>
      </c>
      <c r="E14987">
        <v>1</v>
      </c>
      <c r="F14987" t="str">
        <f>"14-I01-01"</f>
        <v>14-I01-01</v>
      </c>
      <c r="G14987">
        <v>1.6020000000000001</v>
      </c>
      <c r="H14987" t="s">
        <v>13</v>
      </c>
      <c r="I14987" t="s">
        <v>10</v>
      </c>
    </row>
    <row r="14988" spans="1:9" x14ac:dyDescent="0.25">
      <c r="A14988" t="str">
        <f t="shared" si="344"/>
        <v>89301000</v>
      </c>
      <c r="B14988" t="str">
        <f>"9359075396"</f>
        <v>9359075396</v>
      </c>
      <c r="C14988" s="1">
        <v>44956</v>
      </c>
      <c r="D14988" s="1">
        <v>44960</v>
      </c>
      <c r="E14988">
        <v>1</v>
      </c>
      <c r="F14988" t="str">
        <f>"13-I14-03"</f>
        <v>13-I14-03</v>
      </c>
      <c r="G14988">
        <v>0.87760000000000005</v>
      </c>
      <c r="H14988" t="s">
        <v>9</v>
      </c>
      <c r="I14988" t="s">
        <v>10</v>
      </c>
    </row>
    <row r="14989" spans="1:9" x14ac:dyDescent="0.25">
      <c r="A14989" t="str">
        <f t="shared" si="344"/>
        <v>89301000</v>
      </c>
      <c r="B14989" t="str">
        <f>"9359166146"</f>
        <v>9359166146</v>
      </c>
      <c r="C14989" s="1">
        <v>44986</v>
      </c>
      <c r="D14989" s="1">
        <v>44990</v>
      </c>
      <c r="E14989">
        <v>1</v>
      </c>
      <c r="F14989" t="str">
        <f>"01-K07-02"</f>
        <v>01-K07-02</v>
      </c>
      <c r="G14989">
        <v>0.6341</v>
      </c>
      <c r="H14989" t="s">
        <v>11</v>
      </c>
      <c r="I14989" t="s">
        <v>10</v>
      </c>
    </row>
    <row r="14990" spans="1:9" x14ac:dyDescent="0.25">
      <c r="A14990" t="str">
        <f t="shared" si="344"/>
        <v>89301000</v>
      </c>
      <c r="B14990" t="str">
        <f>"9359184395"</f>
        <v>9359184395</v>
      </c>
      <c r="C14990" s="1">
        <v>44929</v>
      </c>
      <c r="D14990" s="1">
        <v>44932</v>
      </c>
      <c r="E14990">
        <v>1</v>
      </c>
      <c r="F14990" t="str">
        <f>"03-I11-01"</f>
        <v>03-I11-01</v>
      </c>
      <c r="G14990">
        <v>2.2944</v>
      </c>
      <c r="H14990" t="s">
        <v>12</v>
      </c>
      <c r="I14990" t="s">
        <v>10</v>
      </c>
    </row>
    <row r="14991" spans="1:9" x14ac:dyDescent="0.25">
      <c r="A14991" t="str">
        <f t="shared" si="344"/>
        <v>89301000</v>
      </c>
      <c r="B14991" t="str">
        <f>"9359245720"</f>
        <v>9359245720</v>
      </c>
      <c r="C14991" s="1">
        <v>45153</v>
      </c>
      <c r="D14991" s="1">
        <v>45157</v>
      </c>
      <c r="E14991">
        <v>1</v>
      </c>
      <c r="F14991" t="str">
        <f>"06-I12-03"</f>
        <v>06-I12-03</v>
      </c>
      <c r="G14991">
        <v>1.9540999999999999</v>
      </c>
      <c r="H14991" t="s">
        <v>11</v>
      </c>
      <c r="I14991" t="s">
        <v>10</v>
      </c>
    </row>
    <row r="14992" spans="1:9" x14ac:dyDescent="0.25">
      <c r="A14992" t="str">
        <f t="shared" si="344"/>
        <v>89301000</v>
      </c>
      <c r="B14992" t="str">
        <f>"9359245720"</f>
        <v>9359245720</v>
      </c>
      <c r="C14992" s="1">
        <v>45039</v>
      </c>
      <c r="D14992" s="1">
        <v>45043</v>
      </c>
      <c r="E14992">
        <v>1</v>
      </c>
      <c r="F14992" t="str">
        <f>"06-I13-02"</f>
        <v>06-I13-02</v>
      </c>
      <c r="G14992">
        <v>2.1128999999999998</v>
      </c>
      <c r="H14992" t="s">
        <v>11</v>
      </c>
      <c r="I14992" t="s">
        <v>10</v>
      </c>
    </row>
    <row r="14993" spans="1:9" x14ac:dyDescent="0.25">
      <c r="A14993" t="str">
        <f t="shared" si="344"/>
        <v>89301000</v>
      </c>
      <c r="B14993" t="str">
        <f>"9359255741"</f>
        <v>9359255741</v>
      </c>
      <c r="C14993" s="1">
        <v>44926</v>
      </c>
      <c r="D14993" s="1">
        <v>44929</v>
      </c>
      <c r="E14993">
        <v>1</v>
      </c>
      <c r="F14993" t="str">
        <f>"14-M01-05"</f>
        <v>14-M01-05</v>
      </c>
      <c r="G14993">
        <v>0.56589999999999996</v>
      </c>
      <c r="H14993" t="s">
        <v>13</v>
      </c>
      <c r="I14993" t="s">
        <v>10</v>
      </c>
    </row>
    <row r="14994" spans="1:9" x14ac:dyDescent="0.25">
      <c r="A14994" t="str">
        <f t="shared" si="344"/>
        <v>89301000</v>
      </c>
      <c r="B14994" t="str">
        <f>"9359286156"</f>
        <v>9359286156</v>
      </c>
      <c r="C14994" s="1">
        <v>45084</v>
      </c>
      <c r="D14994" s="1">
        <v>45086</v>
      </c>
      <c r="E14994">
        <v>1</v>
      </c>
      <c r="F14994" t="str">
        <f>"14-M01-05"</f>
        <v>14-M01-05</v>
      </c>
      <c r="G14994">
        <v>0.56289999999999996</v>
      </c>
      <c r="H14994" t="s">
        <v>13</v>
      </c>
      <c r="I14994" t="s">
        <v>10</v>
      </c>
    </row>
    <row r="14995" spans="1:9" x14ac:dyDescent="0.25">
      <c r="A14995" t="str">
        <f t="shared" si="344"/>
        <v>89301000</v>
      </c>
      <c r="B14995" t="str">
        <f>"9360085735"</f>
        <v>9360085735</v>
      </c>
      <c r="C14995" s="1">
        <v>45251</v>
      </c>
      <c r="D14995" s="1">
        <v>45255</v>
      </c>
      <c r="E14995">
        <v>1</v>
      </c>
      <c r="F14995" t="str">
        <f>"14-M01-05"</f>
        <v>14-M01-05</v>
      </c>
      <c r="G14995">
        <v>0.56289999999999996</v>
      </c>
      <c r="H14995" t="s">
        <v>13</v>
      </c>
      <c r="I14995" t="s">
        <v>10</v>
      </c>
    </row>
    <row r="14996" spans="1:9" x14ac:dyDescent="0.25">
      <c r="A14996" t="str">
        <f t="shared" si="344"/>
        <v>89301000</v>
      </c>
      <c r="B14996" t="str">
        <f>"9360115699"</f>
        <v>9360115699</v>
      </c>
      <c r="C14996" s="1">
        <v>44959</v>
      </c>
      <c r="D14996" s="1">
        <v>44963</v>
      </c>
      <c r="E14996">
        <v>1</v>
      </c>
      <c r="F14996" t="str">
        <f>"14-I01-05"</f>
        <v>14-I01-05</v>
      </c>
      <c r="G14996">
        <v>0.83340000000000003</v>
      </c>
      <c r="H14996" t="s">
        <v>13</v>
      </c>
      <c r="I14996" t="s">
        <v>10</v>
      </c>
    </row>
    <row r="14997" spans="1:9" x14ac:dyDescent="0.25">
      <c r="A14997" t="str">
        <f t="shared" si="344"/>
        <v>89301000</v>
      </c>
      <c r="B14997" t="str">
        <f>"9360146081"</f>
        <v>9360146081</v>
      </c>
      <c r="C14997" s="1">
        <v>45132</v>
      </c>
      <c r="D14997" s="1">
        <v>45137</v>
      </c>
      <c r="E14997">
        <v>1</v>
      </c>
      <c r="F14997" t="str">
        <f>"14-I01-02"</f>
        <v>14-I01-02</v>
      </c>
      <c r="G14997">
        <v>1.2988999999999999</v>
      </c>
      <c r="H14997" t="s">
        <v>13</v>
      </c>
      <c r="I14997" t="s">
        <v>10</v>
      </c>
    </row>
    <row r="14998" spans="1:9" x14ac:dyDescent="0.25">
      <c r="A14998" t="str">
        <f t="shared" si="344"/>
        <v>89301000</v>
      </c>
      <c r="B14998" t="str">
        <f>"9360194844"</f>
        <v>9360194844</v>
      </c>
      <c r="C14998" s="1">
        <v>45237</v>
      </c>
      <c r="D14998" s="1">
        <v>45240</v>
      </c>
      <c r="E14998">
        <v>1</v>
      </c>
      <c r="F14998" t="str">
        <f>"14-M01-05"</f>
        <v>14-M01-05</v>
      </c>
      <c r="G14998">
        <v>0.56289999999999996</v>
      </c>
      <c r="H14998" t="s">
        <v>13</v>
      </c>
      <c r="I14998" t="s">
        <v>10</v>
      </c>
    </row>
    <row r="14999" spans="1:9" x14ac:dyDescent="0.25">
      <c r="A14999" t="str">
        <f t="shared" si="344"/>
        <v>89301000</v>
      </c>
      <c r="B14999" t="str">
        <f>"9360196142"</f>
        <v>9360196142</v>
      </c>
      <c r="C14999" s="1">
        <v>45139</v>
      </c>
      <c r="D14999" s="1">
        <v>45152</v>
      </c>
      <c r="E14999">
        <v>1</v>
      </c>
      <c r="F14999" t="str">
        <f>"25-K01-02"</f>
        <v>25-K01-02</v>
      </c>
      <c r="G14999">
        <v>2.3247</v>
      </c>
      <c r="H14999" t="s">
        <v>14</v>
      </c>
      <c r="I14999" t="s">
        <v>10</v>
      </c>
    </row>
    <row r="15000" spans="1:9" x14ac:dyDescent="0.25">
      <c r="A15000" t="str">
        <f t="shared" si="344"/>
        <v>89301000</v>
      </c>
      <c r="B15000" t="str">
        <f>"9360235709"</f>
        <v>9360235709</v>
      </c>
      <c r="C15000" s="1">
        <v>45106</v>
      </c>
      <c r="D15000" s="1">
        <v>45110</v>
      </c>
      <c r="E15000">
        <v>1</v>
      </c>
      <c r="F15000" t="str">
        <f>"14-M01-02"</f>
        <v>14-M01-02</v>
      </c>
      <c r="G15000">
        <v>0.80049999999999999</v>
      </c>
      <c r="H15000" t="s">
        <v>13</v>
      </c>
      <c r="I15000" t="s">
        <v>10</v>
      </c>
    </row>
    <row r="15001" spans="1:9" x14ac:dyDescent="0.25">
      <c r="A15001" t="str">
        <f t="shared" si="344"/>
        <v>89301000</v>
      </c>
      <c r="B15001" t="str">
        <f>"9360235731"</f>
        <v>9360235731</v>
      </c>
      <c r="C15001" s="1">
        <v>45088</v>
      </c>
      <c r="D15001" s="1">
        <v>45091</v>
      </c>
      <c r="E15001">
        <v>1</v>
      </c>
      <c r="F15001" t="str">
        <f>"14-M01-05"</f>
        <v>14-M01-05</v>
      </c>
      <c r="G15001">
        <v>0.56289999999999996</v>
      </c>
      <c r="H15001" t="s">
        <v>13</v>
      </c>
      <c r="I15001" t="s">
        <v>10</v>
      </c>
    </row>
    <row r="15002" spans="1:9" x14ac:dyDescent="0.25">
      <c r="A15002" t="str">
        <f t="shared" si="344"/>
        <v>89301000</v>
      </c>
      <c r="B15002" t="str">
        <f>"9360246159"</f>
        <v>9360246159</v>
      </c>
      <c r="C15002" s="1">
        <v>45183</v>
      </c>
      <c r="D15002" s="1">
        <v>45187</v>
      </c>
      <c r="E15002">
        <v>1</v>
      </c>
      <c r="F15002" t="str">
        <f>"14-M01-05"</f>
        <v>14-M01-05</v>
      </c>
      <c r="G15002">
        <v>0.56289999999999996</v>
      </c>
      <c r="H15002" t="s">
        <v>13</v>
      </c>
      <c r="I15002" t="s">
        <v>10</v>
      </c>
    </row>
    <row r="15003" spans="1:9" x14ac:dyDescent="0.25">
      <c r="A15003" t="str">
        <f t="shared" si="344"/>
        <v>89301000</v>
      </c>
      <c r="B15003" t="str">
        <f>"9360255718"</f>
        <v>9360255718</v>
      </c>
      <c r="C15003" s="1">
        <v>45282</v>
      </c>
      <c r="D15003" s="1">
        <v>45283</v>
      </c>
      <c r="E15003">
        <v>1</v>
      </c>
      <c r="F15003" t="str">
        <f>"14-I08-03"</f>
        <v>14-I08-03</v>
      </c>
      <c r="G15003">
        <v>0.2437</v>
      </c>
      <c r="H15003" t="s">
        <v>11</v>
      </c>
      <c r="I15003" t="s">
        <v>10</v>
      </c>
    </row>
    <row r="15004" spans="1:9" x14ac:dyDescent="0.25">
      <c r="A15004" t="str">
        <f t="shared" si="344"/>
        <v>89301000</v>
      </c>
      <c r="B15004" t="str">
        <f>"9360264474"</f>
        <v>9360264474</v>
      </c>
      <c r="C15004" s="1">
        <v>44952</v>
      </c>
      <c r="D15004" s="1">
        <v>44961</v>
      </c>
      <c r="E15004">
        <v>1</v>
      </c>
      <c r="F15004" t="str">
        <f>"14-I01-05"</f>
        <v>14-I01-05</v>
      </c>
      <c r="G15004">
        <v>0.83</v>
      </c>
      <c r="H15004" t="s">
        <v>13</v>
      </c>
      <c r="I15004" t="s">
        <v>10</v>
      </c>
    </row>
    <row r="15005" spans="1:9" x14ac:dyDescent="0.25">
      <c r="A15005" t="str">
        <f t="shared" si="344"/>
        <v>89301000</v>
      </c>
      <c r="B15005" t="str">
        <f>"9360286078"</f>
        <v>9360286078</v>
      </c>
      <c r="C15005" s="1">
        <v>44928</v>
      </c>
      <c r="D15005" s="1">
        <v>44935</v>
      </c>
      <c r="E15005">
        <v>1</v>
      </c>
      <c r="F15005" t="str">
        <f>"14-M01-05"</f>
        <v>14-M01-05</v>
      </c>
      <c r="G15005">
        <v>0.63039999999999996</v>
      </c>
      <c r="H15005" t="s">
        <v>13</v>
      </c>
      <c r="I15005" t="s">
        <v>10</v>
      </c>
    </row>
    <row r="15006" spans="1:9" x14ac:dyDescent="0.25">
      <c r="A15006" t="str">
        <f t="shared" si="344"/>
        <v>89301000</v>
      </c>
      <c r="B15006" t="str">
        <f>"9361134849"</f>
        <v>9361134849</v>
      </c>
      <c r="C15006" s="1">
        <v>45163</v>
      </c>
      <c r="D15006" s="1">
        <v>45169</v>
      </c>
      <c r="E15006">
        <v>1</v>
      </c>
      <c r="F15006" t="str">
        <f>"10-I13-02"</f>
        <v>10-I13-02</v>
      </c>
      <c r="G15006">
        <v>1.1124000000000001</v>
      </c>
      <c r="H15006" t="s">
        <v>9</v>
      </c>
      <c r="I15006" t="s">
        <v>10</v>
      </c>
    </row>
    <row r="15007" spans="1:9" x14ac:dyDescent="0.25">
      <c r="A15007" t="str">
        <f t="shared" si="344"/>
        <v>89301000</v>
      </c>
      <c r="B15007" t="str">
        <f>"9361134849"</f>
        <v>9361134849</v>
      </c>
      <c r="C15007" s="1">
        <v>45191</v>
      </c>
      <c r="D15007" s="1">
        <v>45193</v>
      </c>
      <c r="E15007">
        <v>1</v>
      </c>
      <c r="F15007" t="str">
        <f>"02-K11-02"</f>
        <v>02-K11-02</v>
      </c>
      <c r="G15007">
        <v>0.56559999999999999</v>
      </c>
      <c r="H15007" t="s">
        <v>11</v>
      </c>
      <c r="I15007" t="s">
        <v>10</v>
      </c>
    </row>
    <row r="15008" spans="1:9" x14ac:dyDescent="0.25">
      <c r="A15008" t="str">
        <f t="shared" si="344"/>
        <v>89301000</v>
      </c>
      <c r="B15008" t="str">
        <f>"9361134849"</f>
        <v>9361134849</v>
      </c>
      <c r="C15008" s="1">
        <v>45274</v>
      </c>
      <c r="D15008" s="1">
        <v>45275</v>
      </c>
      <c r="E15008">
        <v>1</v>
      </c>
      <c r="F15008" t="str">
        <f>"02-K11-02"</f>
        <v>02-K11-02</v>
      </c>
      <c r="G15008">
        <v>0.56559999999999999</v>
      </c>
      <c r="H15008" t="s">
        <v>11</v>
      </c>
      <c r="I15008" t="s">
        <v>10</v>
      </c>
    </row>
    <row r="15009" spans="1:9" x14ac:dyDescent="0.25">
      <c r="A15009" t="str">
        <f t="shared" si="344"/>
        <v>89301000</v>
      </c>
      <c r="B15009" t="str">
        <f>"9361134849"</f>
        <v>9361134849</v>
      </c>
      <c r="C15009" s="1">
        <v>45219</v>
      </c>
      <c r="D15009" s="1">
        <v>45221</v>
      </c>
      <c r="E15009">
        <v>1</v>
      </c>
      <c r="F15009" t="str">
        <f>"02-K11-02"</f>
        <v>02-K11-02</v>
      </c>
      <c r="G15009">
        <v>0.56559999999999999</v>
      </c>
      <c r="H15009" t="s">
        <v>11</v>
      </c>
      <c r="I15009" t="s">
        <v>10</v>
      </c>
    </row>
    <row r="15010" spans="1:9" x14ac:dyDescent="0.25">
      <c r="A15010" t="str">
        <f t="shared" si="344"/>
        <v>89301000</v>
      </c>
      <c r="B15010" t="str">
        <f>"9361183788"</f>
        <v>9361183788</v>
      </c>
      <c r="C15010" s="1">
        <v>44942</v>
      </c>
      <c r="D15010" s="1">
        <v>44945</v>
      </c>
      <c r="E15010">
        <v>1</v>
      </c>
      <c r="F15010" t="str">
        <f>"14-K02-00"</f>
        <v>14-K02-00</v>
      </c>
      <c r="G15010">
        <v>0.19850000000000001</v>
      </c>
      <c r="H15010" t="s">
        <v>11</v>
      </c>
      <c r="I15010" t="s">
        <v>10</v>
      </c>
    </row>
    <row r="15011" spans="1:9" x14ac:dyDescent="0.25">
      <c r="A15011" t="str">
        <f t="shared" si="344"/>
        <v>89301000</v>
      </c>
      <c r="B15011" t="str">
        <f>"9361183788"</f>
        <v>9361183788</v>
      </c>
      <c r="C15011" s="1">
        <v>44948</v>
      </c>
      <c r="D15011" s="1">
        <v>44950</v>
      </c>
      <c r="E15011">
        <v>1</v>
      </c>
      <c r="F15011" t="str">
        <f>"14-I08-03"</f>
        <v>14-I08-03</v>
      </c>
      <c r="G15011">
        <v>0.2437</v>
      </c>
      <c r="H15011" t="s">
        <v>11</v>
      </c>
      <c r="I15011" t="s">
        <v>10</v>
      </c>
    </row>
    <row r="15012" spans="1:9" x14ac:dyDescent="0.25">
      <c r="A15012" t="str">
        <f t="shared" si="344"/>
        <v>89301000</v>
      </c>
      <c r="B15012" t="str">
        <f>"9361196141"</f>
        <v>9361196141</v>
      </c>
      <c r="C15012" s="1">
        <v>45017</v>
      </c>
      <c r="D15012" s="1">
        <v>45019</v>
      </c>
      <c r="E15012">
        <v>1</v>
      </c>
      <c r="F15012" t="str">
        <f>"14-I01-05"</f>
        <v>14-I01-05</v>
      </c>
      <c r="G15012">
        <v>0.83340000000000003</v>
      </c>
      <c r="H15012" t="s">
        <v>13</v>
      </c>
      <c r="I15012" t="s">
        <v>10</v>
      </c>
    </row>
    <row r="15013" spans="1:9" x14ac:dyDescent="0.25">
      <c r="A15013" t="str">
        <f t="shared" si="344"/>
        <v>89301000</v>
      </c>
      <c r="B15013" t="str">
        <f>"9361246147"</f>
        <v>9361246147</v>
      </c>
      <c r="C15013" s="1">
        <v>45164</v>
      </c>
      <c r="D15013" s="1">
        <v>45169</v>
      </c>
      <c r="E15013">
        <v>1</v>
      </c>
      <c r="F15013" t="str">
        <f>"14-M01-05"</f>
        <v>14-M01-05</v>
      </c>
      <c r="G15013">
        <v>0.56289999999999996</v>
      </c>
      <c r="H15013" t="s">
        <v>13</v>
      </c>
      <c r="I15013" t="s">
        <v>10</v>
      </c>
    </row>
    <row r="15014" spans="1:9" x14ac:dyDescent="0.25">
      <c r="A15014" t="str">
        <f t="shared" si="344"/>
        <v>89301000</v>
      </c>
      <c r="B15014" t="str">
        <f>"9362025750"</f>
        <v>9362025750</v>
      </c>
      <c r="C15014" s="1">
        <v>44938</v>
      </c>
      <c r="D15014" s="1">
        <v>44942</v>
      </c>
      <c r="E15014">
        <v>1</v>
      </c>
      <c r="F15014" t="str">
        <f>"14-M01-05"</f>
        <v>14-M01-05</v>
      </c>
      <c r="G15014">
        <v>0.56289999999999996</v>
      </c>
      <c r="H15014" t="s">
        <v>13</v>
      </c>
      <c r="I15014" t="s">
        <v>10</v>
      </c>
    </row>
    <row r="15015" spans="1:9" x14ac:dyDescent="0.25">
      <c r="A15015" t="str">
        <f t="shared" si="344"/>
        <v>89301000</v>
      </c>
      <c r="B15015" t="str">
        <f>"9362034594"</f>
        <v>9362034594</v>
      </c>
      <c r="C15015" s="1">
        <v>44950</v>
      </c>
      <c r="D15015" s="1">
        <v>44951</v>
      </c>
      <c r="E15015">
        <v>1</v>
      </c>
      <c r="F15015" t="str">
        <f>"11-M05-02"</f>
        <v>11-M05-02</v>
      </c>
      <c r="G15015">
        <v>0.6694</v>
      </c>
      <c r="H15015" t="s">
        <v>12</v>
      </c>
      <c r="I15015" t="s">
        <v>10</v>
      </c>
    </row>
    <row r="15016" spans="1:9" x14ac:dyDescent="0.25">
      <c r="A15016" t="str">
        <f t="shared" si="344"/>
        <v>89301000</v>
      </c>
      <c r="B15016" t="str">
        <f>"9362095732"</f>
        <v>9362095732</v>
      </c>
      <c r="C15016" s="1">
        <v>45239</v>
      </c>
      <c r="D15016" s="1">
        <v>45246</v>
      </c>
      <c r="E15016">
        <v>1</v>
      </c>
      <c r="F15016" t="str">
        <f>"01-K18-04"</f>
        <v>01-K18-04</v>
      </c>
      <c r="G15016">
        <v>0.54610000000000003</v>
      </c>
      <c r="H15016" t="s">
        <v>11</v>
      </c>
      <c r="I15016" t="s">
        <v>10</v>
      </c>
    </row>
    <row r="15017" spans="1:9" x14ac:dyDescent="0.25">
      <c r="A15017" t="str">
        <f t="shared" si="344"/>
        <v>89301000</v>
      </c>
      <c r="B15017" t="str">
        <f>"9362095732"</f>
        <v>9362095732</v>
      </c>
      <c r="C15017" s="1">
        <v>45056</v>
      </c>
      <c r="D15017" s="1">
        <v>45060</v>
      </c>
      <c r="E15017">
        <v>1</v>
      </c>
      <c r="F15017" t="str">
        <f>"14-I01-05"</f>
        <v>14-I01-05</v>
      </c>
      <c r="G15017">
        <v>0.83</v>
      </c>
      <c r="H15017" t="s">
        <v>13</v>
      </c>
      <c r="I15017" t="s">
        <v>10</v>
      </c>
    </row>
    <row r="15018" spans="1:9" x14ac:dyDescent="0.25">
      <c r="A15018" t="str">
        <f t="shared" si="344"/>
        <v>89301000</v>
      </c>
      <c r="B15018" t="str">
        <f>"9401035699"</f>
        <v>9401035699</v>
      </c>
      <c r="C15018" s="1">
        <v>44959</v>
      </c>
      <c r="D15018" s="1">
        <v>44960</v>
      </c>
      <c r="E15018">
        <v>1</v>
      </c>
      <c r="F15018" t="str">
        <f>"06-I17-04"</f>
        <v>06-I17-04</v>
      </c>
      <c r="G15018">
        <v>0.49869999999999998</v>
      </c>
      <c r="H15018" t="s">
        <v>12</v>
      </c>
      <c r="I15018" t="s">
        <v>10</v>
      </c>
    </row>
    <row r="15019" spans="1:9" x14ac:dyDescent="0.25">
      <c r="A15019" t="str">
        <f t="shared" si="344"/>
        <v>89301000</v>
      </c>
      <c r="B15019" t="str">
        <f>"9402095714"</f>
        <v>9402095714</v>
      </c>
      <c r="C15019" s="1">
        <v>45033</v>
      </c>
      <c r="D15019" s="1">
        <v>45035</v>
      </c>
      <c r="E15019">
        <v>1</v>
      </c>
      <c r="F15019" t="str">
        <f>"12-I08-03"</f>
        <v>12-I08-03</v>
      </c>
      <c r="G15019">
        <v>0.71730000000000005</v>
      </c>
      <c r="H15019" t="s">
        <v>11</v>
      </c>
      <c r="I15019" t="s">
        <v>10</v>
      </c>
    </row>
    <row r="15020" spans="1:9" x14ac:dyDescent="0.25">
      <c r="A15020" t="str">
        <f t="shared" si="344"/>
        <v>89301000</v>
      </c>
      <c r="B15020" t="str">
        <f>"9402275707"</f>
        <v>9402275707</v>
      </c>
      <c r="C15020" s="1">
        <v>44978</v>
      </c>
      <c r="D15020" s="1">
        <v>44981</v>
      </c>
      <c r="E15020">
        <v>1</v>
      </c>
      <c r="F15020" t="str">
        <f>"08-M03-03"</f>
        <v>08-M03-03</v>
      </c>
      <c r="G15020">
        <v>0.70960000000000001</v>
      </c>
      <c r="H15020" t="s">
        <v>11</v>
      </c>
      <c r="I15020" t="s">
        <v>10</v>
      </c>
    </row>
    <row r="15021" spans="1:9" x14ac:dyDescent="0.25">
      <c r="A15021" t="str">
        <f t="shared" si="344"/>
        <v>89301000</v>
      </c>
      <c r="B15021" t="str">
        <f>"9403025335"</f>
        <v>9403025335</v>
      </c>
      <c r="C15021" s="1">
        <v>44953</v>
      </c>
      <c r="D15021" s="1">
        <v>44956</v>
      </c>
      <c r="E15021">
        <v>1</v>
      </c>
      <c r="F15021" t="str">
        <f>"03-K06-01"</f>
        <v>03-K06-01</v>
      </c>
      <c r="G15021">
        <v>0.4713</v>
      </c>
      <c r="H15021" t="s">
        <v>11</v>
      </c>
      <c r="I15021" t="s">
        <v>10</v>
      </c>
    </row>
    <row r="15022" spans="1:9" x14ac:dyDescent="0.25">
      <c r="A15022" t="str">
        <f t="shared" si="344"/>
        <v>89301000</v>
      </c>
      <c r="B15022" t="str">
        <f>"9403025720"</f>
        <v>9403025720</v>
      </c>
      <c r="C15022" s="1">
        <v>45030</v>
      </c>
      <c r="D15022" s="1">
        <v>45036</v>
      </c>
      <c r="E15022">
        <v>1</v>
      </c>
      <c r="F15022" t="str">
        <f>"08-I12-02"</f>
        <v>08-I12-02</v>
      </c>
      <c r="G15022">
        <v>2.1450999999999998</v>
      </c>
      <c r="H15022" t="s">
        <v>11</v>
      </c>
      <c r="I15022" t="s">
        <v>10</v>
      </c>
    </row>
    <row r="15023" spans="1:9" x14ac:dyDescent="0.25">
      <c r="A15023" t="str">
        <f t="shared" si="344"/>
        <v>89301000</v>
      </c>
      <c r="B15023" t="str">
        <f>"9403125699"</f>
        <v>9403125699</v>
      </c>
      <c r="C15023" s="1">
        <v>45225</v>
      </c>
      <c r="D15023" s="1">
        <v>45227</v>
      </c>
      <c r="E15023">
        <v>1</v>
      </c>
      <c r="F15023" t="str">
        <f>"08-I32-00"</f>
        <v>08-I32-00</v>
      </c>
      <c r="G15023">
        <v>0.40870000000000001</v>
      </c>
      <c r="H15023" t="s">
        <v>11</v>
      </c>
      <c r="I15023" t="s">
        <v>10</v>
      </c>
    </row>
    <row r="15024" spans="1:9" x14ac:dyDescent="0.25">
      <c r="A15024" t="str">
        <f t="shared" si="344"/>
        <v>89301000</v>
      </c>
      <c r="B15024" t="str">
        <f>"9403295704"</f>
        <v>9403295704</v>
      </c>
      <c r="C15024" s="1">
        <v>44981</v>
      </c>
      <c r="D15024" s="1">
        <v>44982</v>
      </c>
      <c r="E15024">
        <v>1</v>
      </c>
      <c r="F15024" t="str">
        <f>"08-I19-03"</f>
        <v>08-I19-03</v>
      </c>
      <c r="G15024">
        <v>0.57210000000000005</v>
      </c>
      <c r="H15024" t="s">
        <v>12</v>
      </c>
      <c r="I15024" t="s">
        <v>10</v>
      </c>
    </row>
    <row r="15025" spans="1:9" x14ac:dyDescent="0.25">
      <c r="A15025" t="str">
        <f t="shared" si="344"/>
        <v>89301000</v>
      </c>
      <c r="B15025" t="str">
        <f>"9404245708"</f>
        <v>9404245708</v>
      </c>
      <c r="C15025" s="1">
        <v>45127</v>
      </c>
      <c r="D15025" s="1">
        <v>45129</v>
      </c>
      <c r="E15025">
        <v>1</v>
      </c>
      <c r="F15025" t="str">
        <f>"08-M03-04"</f>
        <v>08-M03-04</v>
      </c>
      <c r="G15025">
        <v>0.87760000000000005</v>
      </c>
      <c r="H15025" t="s">
        <v>11</v>
      </c>
      <c r="I15025" t="s">
        <v>10</v>
      </c>
    </row>
    <row r="15026" spans="1:9" x14ac:dyDescent="0.25">
      <c r="A15026" t="str">
        <f t="shared" si="344"/>
        <v>89301000</v>
      </c>
      <c r="B15026" t="str">
        <f>"9405014476"</f>
        <v>9405014476</v>
      </c>
      <c r="C15026" s="1">
        <v>45236</v>
      </c>
      <c r="D15026" s="1">
        <v>45246</v>
      </c>
      <c r="E15026">
        <v>1</v>
      </c>
      <c r="F15026" t="str">
        <f>"06-K06-02"</f>
        <v>06-K06-02</v>
      </c>
      <c r="G15026">
        <v>0.65269999999999995</v>
      </c>
      <c r="H15026" t="s">
        <v>11</v>
      </c>
      <c r="I15026" t="s">
        <v>10</v>
      </c>
    </row>
    <row r="15027" spans="1:9" x14ac:dyDescent="0.25">
      <c r="A15027" t="str">
        <f t="shared" si="344"/>
        <v>89301000</v>
      </c>
      <c r="B15027" t="str">
        <f>"9405165715"</f>
        <v>9405165715</v>
      </c>
      <c r="C15027" s="1">
        <v>45008</v>
      </c>
      <c r="D15027" s="1">
        <v>45009</v>
      </c>
      <c r="E15027">
        <v>1</v>
      </c>
      <c r="F15027" t="str">
        <f>"01-K03-08"</f>
        <v>01-K03-08</v>
      </c>
      <c r="G15027">
        <v>0.38290000000000002</v>
      </c>
      <c r="H15027" t="s">
        <v>11</v>
      </c>
      <c r="I15027" t="s">
        <v>10</v>
      </c>
    </row>
    <row r="15028" spans="1:9" x14ac:dyDescent="0.25">
      <c r="A15028" t="str">
        <f t="shared" si="344"/>
        <v>89301000</v>
      </c>
      <c r="B15028" t="str">
        <f>"9405165715"</f>
        <v>9405165715</v>
      </c>
      <c r="C15028" s="1">
        <v>45028</v>
      </c>
      <c r="D15028" s="1">
        <v>45037</v>
      </c>
      <c r="E15028">
        <v>1</v>
      </c>
      <c r="F15028" t="str">
        <f>"20-K03-03"</f>
        <v>20-K03-03</v>
      </c>
      <c r="G15028">
        <v>0.94020000000000004</v>
      </c>
      <c r="H15028" t="s">
        <v>11</v>
      </c>
      <c r="I15028" t="s">
        <v>10</v>
      </c>
    </row>
    <row r="15029" spans="1:9" x14ac:dyDescent="0.25">
      <c r="A15029" t="str">
        <f t="shared" si="344"/>
        <v>89301000</v>
      </c>
      <c r="B15029" t="str">
        <f>"9405205700"</f>
        <v>9405205700</v>
      </c>
      <c r="C15029" s="1">
        <v>44951</v>
      </c>
      <c r="D15029" s="1">
        <v>44954</v>
      </c>
      <c r="E15029">
        <v>1</v>
      </c>
      <c r="F15029" t="str">
        <f>"08-M03-05"</f>
        <v>08-M03-05</v>
      </c>
      <c r="G15029">
        <v>0.46910000000000002</v>
      </c>
      <c r="H15029" t="s">
        <v>11</v>
      </c>
      <c r="I15029" t="s">
        <v>10</v>
      </c>
    </row>
    <row r="15030" spans="1:9" x14ac:dyDescent="0.25">
      <c r="A15030" t="str">
        <f t="shared" si="344"/>
        <v>89301000</v>
      </c>
      <c r="B15030" t="str">
        <f>"9405235730"</f>
        <v>9405235730</v>
      </c>
      <c r="C15030" s="1">
        <v>45152</v>
      </c>
      <c r="D15030" s="1">
        <v>45158</v>
      </c>
      <c r="E15030">
        <v>1</v>
      </c>
      <c r="F15030" t="str">
        <f>"06-I06-02"</f>
        <v>06-I06-02</v>
      </c>
      <c r="G15030">
        <v>3.6505999999999998</v>
      </c>
      <c r="H15030" t="s">
        <v>12</v>
      </c>
      <c r="I15030" t="s">
        <v>10</v>
      </c>
    </row>
    <row r="15031" spans="1:9" x14ac:dyDescent="0.25">
      <c r="A15031" t="str">
        <f t="shared" si="344"/>
        <v>89301000</v>
      </c>
      <c r="B15031" t="str">
        <f>"9405246158"</f>
        <v>9405246158</v>
      </c>
      <c r="C15031" s="1">
        <v>45155</v>
      </c>
      <c r="D15031" s="1">
        <v>45156</v>
      </c>
      <c r="E15031">
        <v>1</v>
      </c>
      <c r="F15031" t="str">
        <f>"03-K12-01"</f>
        <v>03-K12-01</v>
      </c>
      <c r="G15031">
        <v>0.37</v>
      </c>
      <c r="H15031" t="s">
        <v>11</v>
      </c>
      <c r="I15031" t="s">
        <v>10</v>
      </c>
    </row>
    <row r="15032" spans="1:9" x14ac:dyDescent="0.25">
      <c r="A15032" t="str">
        <f t="shared" si="344"/>
        <v>89301000</v>
      </c>
      <c r="B15032" t="str">
        <f>"9406125707"</f>
        <v>9406125707</v>
      </c>
      <c r="C15032" s="1">
        <v>45267</v>
      </c>
      <c r="D15032" s="1">
        <v>45269</v>
      </c>
      <c r="E15032">
        <v>1</v>
      </c>
      <c r="F15032" t="str">
        <f>"08-M03-05"</f>
        <v>08-M03-05</v>
      </c>
      <c r="G15032">
        <v>0.46910000000000002</v>
      </c>
      <c r="H15032" t="s">
        <v>11</v>
      </c>
      <c r="I15032" t="s">
        <v>10</v>
      </c>
    </row>
    <row r="15033" spans="1:9" x14ac:dyDescent="0.25">
      <c r="A15033" t="str">
        <f t="shared" si="344"/>
        <v>89301000</v>
      </c>
      <c r="B15033" t="str">
        <f>"9407055702"</f>
        <v>9407055702</v>
      </c>
      <c r="C15033" s="1">
        <v>44983</v>
      </c>
      <c r="D15033" s="1">
        <v>44986</v>
      </c>
      <c r="E15033">
        <v>1</v>
      </c>
      <c r="F15033" t="str">
        <f>"08-M03-04"</f>
        <v>08-M03-04</v>
      </c>
      <c r="G15033">
        <v>0.87760000000000005</v>
      </c>
      <c r="H15033" t="s">
        <v>11</v>
      </c>
      <c r="I15033" t="s">
        <v>10</v>
      </c>
    </row>
    <row r="15034" spans="1:9" x14ac:dyDescent="0.25">
      <c r="A15034" t="str">
        <f t="shared" si="344"/>
        <v>89301000</v>
      </c>
      <c r="B15034" t="str">
        <f>"9407255737"</f>
        <v>9407255737</v>
      </c>
      <c r="C15034" s="1">
        <v>45069</v>
      </c>
      <c r="D15034" s="1">
        <v>45070</v>
      </c>
      <c r="E15034">
        <v>1</v>
      </c>
      <c r="F15034" t="str">
        <f>"01-K03-08"</f>
        <v>01-K03-08</v>
      </c>
      <c r="G15034">
        <v>0.38290000000000002</v>
      </c>
      <c r="H15034" t="s">
        <v>11</v>
      </c>
      <c r="I15034" t="s">
        <v>10</v>
      </c>
    </row>
    <row r="15035" spans="1:9" x14ac:dyDescent="0.25">
      <c r="A15035" t="str">
        <f t="shared" si="344"/>
        <v>89301000</v>
      </c>
      <c r="B15035" t="str">
        <f>"9407275911"</f>
        <v>9407275911</v>
      </c>
      <c r="C15035" s="1">
        <v>44939</v>
      </c>
      <c r="D15035" s="1">
        <v>44940</v>
      </c>
      <c r="E15035">
        <v>1</v>
      </c>
      <c r="F15035" t="str">
        <f>"12-I14-00"</f>
        <v>12-I14-00</v>
      </c>
      <c r="G15035">
        <v>0.42920000000000003</v>
      </c>
      <c r="H15035" t="s">
        <v>11</v>
      </c>
      <c r="I15035" t="s">
        <v>10</v>
      </c>
    </row>
    <row r="15036" spans="1:9" x14ac:dyDescent="0.25">
      <c r="A15036" t="str">
        <f t="shared" si="344"/>
        <v>89301000</v>
      </c>
      <c r="B15036" t="str">
        <f>"9407304852"</f>
        <v>9407304852</v>
      </c>
      <c r="C15036" s="1">
        <v>45159</v>
      </c>
      <c r="D15036" s="1">
        <v>45196</v>
      </c>
      <c r="E15036">
        <v>1</v>
      </c>
      <c r="F15036" t="str">
        <f>"19-K08-02"</f>
        <v>19-K08-02</v>
      </c>
      <c r="G15036">
        <v>4.4416000000000002</v>
      </c>
      <c r="H15036" t="s">
        <v>15</v>
      </c>
      <c r="I15036" t="s">
        <v>10</v>
      </c>
    </row>
    <row r="15037" spans="1:9" x14ac:dyDescent="0.25">
      <c r="A15037" t="str">
        <f t="shared" si="344"/>
        <v>89301000</v>
      </c>
      <c r="B15037" t="str">
        <f>"9407304852"</f>
        <v>9407304852</v>
      </c>
      <c r="C15037" s="1">
        <v>45020</v>
      </c>
      <c r="D15037" s="1">
        <v>45041</v>
      </c>
      <c r="E15037">
        <v>1</v>
      </c>
      <c r="F15037" t="str">
        <f>"19-K05-02"</f>
        <v>19-K05-02</v>
      </c>
      <c r="G15037">
        <v>1.7688999999999999</v>
      </c>
      <c r="H15037" t="s">
        <v>15</v>
      </c>
      <c r="I15037" t="s">
        <v>10</v>
      </c>
    </row>
    <row r="15038" spans="1:9" x14ac:dyDescent="0.25">
      <c r="A15038" t="str">
        <f t="shared" si="344"/>
        <v>89301000</v>
      </c>
      <c r="B15038" t="str">
        <f>"9408045713"</f>
        <v>9408045713</v>
      </c>
      <c r="C15038" s="1">
        <v>45029</v>
      </c>
      <c r="D15038" s="1">
        <v>45030</v>
      </c>
      <c r="E15038">
        <v>1</v>
      </c>
      <c r="F15038" t="str">
        <f>"06-I17-04"</f>
        <v>06-I17-04</v>
      </c>
      <c r="G15038">
        <v>0.49869999999999998</v>
      </c>
      <c r="H15038" t="s">
        <v>12</v>
      </c>
      <c r="I15038" t="s">
        <v>10</v>
      </c>
    </row>
    <row r="15039" spans="1:9" x14ac:dyDescent="0.25">
      <c r="A15039" t="str">
        <f t="shared" si="344"/>
        <v>89301000</v>
      </c>
      <c r="B15039" t="str">
        <f>"9408126145"</f>
        <v>9408126145</v>
      </c>
      <c r="C15039" s="1">
        <v>45049</v>
      </c>
      <c r="D15039" s="1">
        <v>45051</v>
      </c>
      <c r="E15039">
        <v>1</v>
      </c>
      <c r="F15039" t="str">
        <f>"08-I16-04"</f>
        <v>08-I16-04</v>
      </c>
      <c r="G15039">
        <v>0.83040000000000003</v>
      </c>
      <c r="H15039" t="s">
        <v>12</v>
      </c>
      <c r="I15039" t="s">
        <v>10</v>
      </c>
    </row>
    <row r="15040" spans="1:9" x14ac:dyDescent="0.25">
      <c r="A15040" t="str">
        <f t="shared" si="344"/>
        <v>89301000</v>
      </c>
      <c r="B15040" t="str">
        <f>"9409125715"</f>
        <v>9409125715</v>
      </c>
      <c r="C15040" s="1">
        <v>45215</v>
      </c>
      <c r="D15040" s="1">
        <v>45216</v>
      </c>
      <c r="E15040">
        <v>1</v>
      </c>
      <c r="F15040" t="str">
        <f>"12-I14-00"</f>
        <v>12-I14-00</v>
      </c>
      <c r="G15040">
        <v>0.42920000000000003</v>
      </c>
      <c r="H15040" t="s">
        <v>11</v>
      </c>
      <c r="I15040" t="s">
        <v>10</v>
      </c>
    </row>
    <row r="15041" spans="1:9" x14ac:dyDescent="0.25">
      <c r="A15041" t="str">
        <f t="shared" si="344"/>
        <v>89301000</v>
      </c>
      <c r="B15041" t="str">
        <f>"9410054885"</f>
        <v>9410054885</v>
      </c>
      <c r="C15041" s="1">
        <v>45262</v>
      </c>
      <c r="D15041" s="1">
        <v>45264</v>
      </c>
      <c r="E15041">
        <v>1</v>
      </c>
      <c r="F15041" t="str">
        <f>"08-I15-03"</f>
        <v>08-I15-03</v>
      </c>
      <c r="G15041">
        <v>0.94059999999999999</v>
      </c>
      <c r="H15041" t="s">
        <v>12</v>
      </c>
      <c r="I15041" t="s">
        <v>10</v>
      </c>
    </row>
    <row r="15042" spans="1:9" x14ac:dyDescent="0.25">
      <c r="A15042" t="str">
        <f t="shared" si="344"/>
        <v>89301000</v>
      </c>
      <c r="B15042" t="str">
        <f>"9410146207"</f>
        <v>9410146207</v>
      </c>
      <c r="C15042" s="1">
        <v>45201</v>
      </c>
      <c r="D15042" s="1">
        <v>45202</v>
      </c>
      <c r="E15042">
        <v>1</v>
      </c>
      <c r="F15042" t="str">
        <f>"21-K05-03"</f>
        <v>21-K05-03</v>
      </c>
      <c r="G15042">
        <v>0.45729999999999998</v>
      </c>
      <c r="H15042" t="s">
        <v>11</v>
      </c>
      <c r="I15042" t="s">
        <v>10</v>
      </c>
    </row>
    <row r="15043" spans="1:9" x14ac:dyDescent="0.25">
      <c r="A15043" t="str">
        <f t="shared" si="344"/>
        <v>89301000</v>
      </c>
      <c r="B15043" t="str">
        <f>"9411234855"</f>
        <v>9411234855</v>
      </c>
      <c r="C15043" s="1">
        <v>45133</v>
      </c>
      <c r="D15043" s="1">
        <v>45134</v>
      </c>
      <c r="E15043">
        <v>1</v>
      </c>
      <c r="F15043" t="str">
        <f>"16-K01-02"</f>
        <v>16-K01-02</v>
      </c>
      <c r="G15043">
        <v>0.48060000000000003</v>
      </c>
      <c r="H15043" t="s">
        <v>11</v>
      </c>
      <c r="I15043" t="s">
        <v>10</v>
      </c>
    </row>
    <row r="15044" spans="1:9" x14ac:dyDescent="0.25">
      <c r="A15044" t="str">
        <f t="shared" si="344"/>
        <v>89301000</v>
      </c>
      <c r="B15044" t="str">
        <f>"9412204857"</f>
        <v>9412204857</v>
      </c>
      <c r="C15044" s="1">
        <v>45071</v>
      </c>
      <c r="D15044" s="1">
        <v>45072</v>
      </c>
      <c r="E15044">
        <v>1</v>
      </c>
      <c r="F15044" t="str">
        <f>"01-K01-02"</f>
        <v>01-K01-02</v>
      </c>
      <c r="G15044">
        <v>0.442</v>
      </c>
      <c r="H15044" t="s">
        <v>11</v>
      </c>
      <c r="I15044" t="s">
        <v>10</v>
      </c>
    </row>
    <row r="15045" spans="1:9" x14ac:dyDescent="0.25">
      <c r="A15045" t="str">
        <f t="shared" si="344"/>
        <v>89301000</v>
      </c>
      <c r="B15045" t="str">
        <f>"9412204857"</f>
        <v>9412204857</v>
      </c>
      <c r="C15045" s="1">
        <v>45057</v>
      </c>
      <c r="D15045" s="1">
        <v>45058</v>
      </c>
      <c r="E15045">
        <v>1</v>
      </c>
      <c r="F15045" t="str">
        <f>"01-K01-02"</f>
        <v>01-K01-02</v>
      </c>
      <c r="G15045">
        <v>0.442</v>
      </c>
      <c r="H15045" t="s">
        <v>11</v>
      </c>
      <c r="I15045" t="s">
        <v>10</v>
      </c>
    </row>
    <row r="15046" spans="1:9" x14ac:dyDescent="0.25">
      <c r="A15046" t="str">
        <f t="shared" si="344"/>
        <v>89301000</v>
      </c>
      <c r="B15046" t="str">
        <f>"9412275719"</f>
        <v>9412275719</v>
      </c>
      <c r="C15046" s="1">
        <v>45029</v>
      </c>
      <c r="D15046" s="1">
        <v>45030</v>
      </c>
      <c r="E15046">
        <v>1</v>
      </c>
      <c r="F15046" t="str">
        <f>"08-I16-04"</f>
        <v>08-I16-04</v>
      </c>
      <c r="G15046">
        <v>0.83040000000000003</v>
      </c>
      <c r="H15046" t="s">
        <v>12</v>
      </c>
      <c r="I15046" t="s">
        <v>10</v>
      </c>
    </row>
    <row r="15047" spans="1:9" x14ac:dyDescent="0.25">
      <c r="A15047" t="str">
        <f t="shared" si="344"/>
        <v>89301000</v>
      </c>
      <c r="B15047" t="str">
        <f>"9451036155"</f>
        <v>9451036155</v>
      </c>
      <c r="C15047" s="1">
        <v>45060</v>
      </c>
      <c r="D15047" s="1">
        <v>45065</v>
      </c>
      <c r="E15047">
        <v>1</v>
      </c>
      <c r="F15047" t="str">
        <f>"11-K01-04"</f>
        <v>11-K01-04</v>
      </c>
      <c r="G15047">
        <v>0.57130000000000003</v>
      </c>
      <c r="H15047" t="s">
        <v>11</v>
      </c>
      <c r="I15047" t="s">
        <v>10</v>
      </c>
    </row>
    <row r="15048" spans="1:9" x14ac:dyDescent="0.25">
      <c r="A15048" t="str">
        <f t="shared" si="344"/>
        <v>89301000</v>
      </c>
      <c r="B15048" t="str">
        <f>"9451095742"</f>
        <v>9451095742</v>
      </c>
      <c r="C15048" s="1">
        <v>44949</v>
      </c>
      <c r="D15048" s="1">
        <v>44950</v>
      </c>
      <c r="E15048">
        <v>1</v>
      </c>
      <c r="F15048" t="str">
        <f>"03-K11-00"</f>
        <v>03-K11-00</v>
      </c>
      <c r="G15048">
        <v>0.44259999999999999</v>
      </c>
      <c r="H15048" t="s">
        <v>11</v>
      </c>
      <c r="I15048" t="s">
        <v>10</v>
      </c>
    </row>
    <row r="15049" spans="1:9" x14ac:dyDescent="0.25">
      <c r="A15049" t="str">
        <f t="shared" ref="A15049:A15112" si="345">"89301000"</f>
        <v>89301000</v>
      </c>
      <c r="B15049" t="str">
        <f>"9451154867"</f>
        <v>9451154867</v>
      </c>
      <c r="C15049" s="1">
        <v>45213</v>
      </c>
      <c r="D15049" s="1">
        <v>45219</v>
      </c>
      <c r="E15049">
        <v>1</v>
      </c>
      <c r="F15049" t="str">
        <f>"14-M01-02"</f>
        <v>14-M01-02</v>
      </c>
      <c r="G15049">
        <v>0.80049999999999999</v>
      </c>
      <c r="H15049" t="s">
        <v>13</v>
      </c>
      <c r="I15049" t="s">
        <v>10</v>
      </c>
    </row>
    <row r="15050" spans="1:9" x14ac:dyDescent="0.25">
      <c r="A15050" t="str">
        <f t="shared" si="345"/>
        <v>89301000</v>
      </c>
      <c r="B15050" t="str">
        <f>"9451215334"</f>
        <v>9451215334</v>
      </c>
      <c r="C15050" s="1">
        <v>45089</v>
      </c>
      <c r="D15050" s="1">
        <v>45093</v>
      </c>
      <c r="E15050">
        <v>1</v>
      </c>
      <c r="F15050" t="str">
        <f>"13-I16-00"</f>
        <v>13-I16-00</v>
      </c>
      <c r="G15050">
        <v>1.1695</v>
      </c>
      <c r="H15050" t="s">
        <v>12</v>
      </c>
      <c r="I15050" t="s">
        <v>10</v>
      </c>
    </row>
    <row r="15051" spans="1:9" x14ac:dyDescent="0.25">
      <c r="A15051" t="str">
        <f t="shared" si="345"/>
        <v>89301000</v>
      </c>
      <c r="B15051" t="str">
        <f>"9451216236"</f>
        <v>9451216236</v>
      </c>
      <c r="C15051" s="1">
        <v>45067</v>
      </c>
      <c r="D15051" s="1">
        <v>45071</v>
      </c>
      <c r="E15051">
        <v>1</v>
      </c>
      <c r="F15051" t="str">
        <f>"06-K10-03"</f>
        <v>06-K10-03</v>
      </c>
      <c r="G15051">
        <v>0.43759999999999999</v>
      </c>
      <c r="H15051" t="s">
        <v>11</v>
      </c>
      <c r="I15051" t="s">
        <v>10</v>
      </c>
    </row>
    <row r="15052" spans="1:9" x14ac:dyDescent="0.25">
      <c r="A15052" t="str">
        <f t="shared" si="345"/>
        <v>89301000</v>
      </c>
      <c r="B15052" t="str">
        <f>"9451234848"</f>
        <v>9451234848</v>
      </c>
      <c r="C15052" s="1">
        <v>45135</v>
      </c>
      <c r="D15052" s="1">
        <v>45139</v>
      </c>
      <c r="E15052">
        <v>1</v>
      </c>
      <c r="F15052" t="str">
        <f>"14-I01-05"</f>
        <v>14-I01-05</v>
      </c>
      <c r="G15052">
        <v>0.83340000000000003</v>
      </c>
      <c r="H15052" t="s">
        <v>13</v>
      </c>
      <c r="I15052" t="s">
        <v>10</v>
      </c>
    </row>
    <row r="15053" spans="1:9" x14ac:dyDescent="0.25">
      <c r="A15053" t="str">
        <f t="shared" si="345"/>
        <v>89301000</v>
      </c>
      <c r="B15053" t="str">
        <f>"9451245727"</f>
        <v>9451245727</v>
      </c>
      <c r="C15053" s="1">
        <v>45007</v>
      </c>
      <c r="D15053" s="1">
        <v>45009</v>
      </c>
      <c r="E15053">
        <v>1</v>
      </c>
      <c r="F15053" t="str">
        <f>"01-K07-03"</f>
        <v>01-K07-03</v>
      </c>
      <c r="G15053">
        <v>0.48680000000000001</v>
      </c>
      <c r="H15053" t="s">
        <v>11</v>
      </c>
      <c r="I15053" t="s">
        <v>10</v>
      </c>
    </row>
    <row r="15054" spans="1:9" x14ac:dyDescent="0.25">
      <c r="A15054" t="str">
        <f t="shared" si="345"/>
        <v>89301000</v>
      </c>
      <c r="B15054" t="str">
        <f>"9451255319"</f>
        <v>9451255319</v>
      </c>
      <c r="C15054" s="1">
        <v>45204</v>
      </c>
      <c r="D15054" s="1">
        <v>45209</v>
      </c>
      <c r="E15054">
        <v>1</v>
      </c>
      <c r="F15054" t="str">
        <f>"14-I01-02"</f>
        <v>14-I01-02</v>
      </c>
      <c r="G15054">
        <v>1.3425</v>
      </c>
      <c r="H15054" t="s">
        <v>13</v>
      </c>
      <c r="I15054" t="s">
        <v>10</v>
      </c>
    </row>
    <row r="15055" spans="1:9" x14ac:dyDescent="0.25">
      <c r="A15055" t="str">
        <f t="shared" si="345"/>
        <v>89301000</v>
      </c>
      <c r="B15055" t="str">
        <f>"9451255319"</f>
        <v>9451255319</v>
      </c>
      <c r="C15055" s="1">
        <v>45190</v>
      </c>
      <c r="D15055" s="1">
        <v>45191</v>
      </c>
      <c r="E15055">
        <v>6</v>
      </c>
      <c r="F15055" t="str">
        <f>"14-K03-02"</f>
        <v>14-K03-02</v>
      </c>
      <c r="G15055">
        <v>0.30149999999999999</v>
      </c>
      <c r="H15055" t="s">
        <v>11</v>
      </c>
      <c r="I15055" t="s">
        <v>10</v>
      </c>
    </row>
    <row r="15056" spans="1:9" x14ac:dyDescent="0.25">
      <c r="A15056" t="str">
        <f t="shared" si="345"/>
        <v>89301000</v>
      </c>
      <c r="B15056" t="str">
        <f>"9451750517"</f>
        <v>9451750517</v>
      </c>
      <c r="C15056" s="1">
        <v>44936</v>
      </c>
      <c r="D15056" s="1">
        <v>44941</v>
      </c>
      <c r="E15056">
        <v>1</v>
      </c>
      <c r="F15056" t="str">
        <f>"14-I01-02"</f>
        <v>14-I01-02</v>
      </c>
      <c r="G15056">
        <v>1.2988999999999999</v>
      </c>
      <c r="H15056" t="s">
        <v>13</v>
      </c>
      <c r="I15056" t="s">
        <v>10</v>
      </c>
    </row>
    <row r="15057" spans="1:9" x14ac:dyDescent="0.25">
      <c r="A15057" t="str">
        <f t="shared" si="345"/>
        <v>89301000</v>
      </c>
      <c r="B15057" t="str">
        <f>"9452025781"</f>
        <v>9452025781</v>
      </c>
      <c r="C15057" s="1">
        <v>45083</v>
      </c>
      <c r="D15057" s="1">
        <v>45084</v>
      </c>
      <c r="E15057">
        <v>6</v>
      </c>
      <c r="F15057" t="str">
        <f>"13-K15-02"</f>
        <v>13-K15-02</v>
      </c>
      <c r="G15057">
        <v>0.24529999999999999</v>
      </c>
      <c r="H15057" t="s">
        <v>11</v>
      </c>
      <c r="I15057" t="s">
        <v>10</v>
      </c>
    </row>
    <row r="15058" spans="1:9" x14ac:dyDescent="0.25">
      <c r="A15058" t="str">
        <f t="shared" si="345"/>
        <v>89301000</v>
      </c>
      <c r="B15058" t="str">
        <f>"9452025781"</f>
        <v>9452025781</v>
      </c>
      <c r="C15058" s="1">
        <v>45075</v>
      </c>
      <c r="D15058" s="1">
        <v>45078</v>
      </c>
      <c r="E15058">
        <v>1</v>
      </c>
      <c r="F15058" t="str">
        <f>"13-I17-00"</f>
        <v>13-I17-00</v>
      </c>
      <c r="G15058">
        <v>0.80579999999999996</v>
      </c>
      <c r="H15058" t="s">
        <v>9</v>
      </c>
      <c r="I15058" t="s">
        <v>10</v>
      </c>
    </row>
    <row r="15059" spans="1:9" x14ac:dyDescent="0.25">
      <c r="A15059" t="str">
        <f t="shared" si="345"/>
        <v>89301000</v>
      </c>
      <c r="B15059" t="str">
        <f>"9452044855"</f>
        <v>9452044855</v>
      </c>
      <c r="C15059" s="1">
        <v>45240</v>
      </c>
      <c r="D15059" s="1">
        <v>45243</v>
      </c>
      <c r="E15059">
        <v>1</v>
      </c>
      <c r="F15059" t="str">
        <f>"14-M01-05"</f>
        <v>14-M01-05</v>
      </c>
      <c r="G15059">
        <v>0.56289999999999996</v>
      </c>
      <c r="H15059" t="s">
        <v>13</v>
      </c>
      <c r="I15059" t="s">
        <v>10</v>
      </c>
    </row>
    <row r="15060" spans="1:9" x14ac:dyDescent="0.25">
      <c r="A15060" t="str">
        <f t="shared" si="345"/>
        <v>89301000</v>
      </c>
      <c r="B15060" t="str">
        <f>"9452134846"</f>
        <v>9452134846</v>
      </c>
      <c r="C15060" s="1">
        <v>45166</v>
      </c>
      <c r="D15060" s="1">
        <v>45170</v>
      </c>
      <c r="E15060">
        <v>1</v>
      </c>
      <c r="F15060" t="str">
        <f>"04-K14-03"</f>
        <v>04-K14-03</v>
      </c>
      <c r="G15060">
        <v>0.76</v>
      </c>
      <c r="H15060" t="s">
        <v>11</v>
      </c>
      <c r="I15060" t="s">
        <v>10</v>
      </c>
    </row>
    <row r="15061" spans="1:9" x14ac:dyDescent="0.25">
      <c r="A15061" t="str">
        <f t="shared" si="345"/>
        <v>89301000</v>
      </c>
      <c r="B15061" t="str">
        <f>"9452145824"</f>
        <v>9452145824</v>
      </c>
      <c r="C15061" s="1">
        <v>45095</v>
      </c>
      <c r="D15061" s="1">
        <v>45097</v>
      </c>
      <c r="E15061">
        <v>1</v>
      </c>
      <c r="F15061" t="str">
        <f>"08-I16-04"</f>
        <v>08-I16-04</v>
      </c>
      <c r="G15061">
        <v>0.83040000000000003</v>
      </c>
      <c r="H15061" t="s">
        <v>12</v>
      </c>
      <c r="I15061" t="s">
        <v>10</v>
      </c>
    </row>
    <row r="15062" spans="1:9" x14ac:dyDescent="0.25">
      <c r="A15062" t="str">
        <f t="shared" si="345"/>
        <v>89301000</v>
      </c>
      <c r="B15062" t="str">
        <f>"9452265702"</f>
        <v>9452265702</v>
      </c>
      <c r="C15062" s="1">
        <v>45189</v>
      </c>
      <c r="D15062" s="1">
        <v>45192</v>
      </c>
      <c r="E15062">
        <v>1</v>
      </c>
      <c r="F15062" t="str">
        <f>"14-M01-05"</f>
        <v>14-M01-05</v>
      </c>
      <c r="G15062">
        <v>0.56289999999999996</v>
      </c>
      <c r="H15062" t="s">
        <v>13</v>
      </c>
      <c r="I15062" t="s">
        <v>10</v>
      </c>
    </row>
    <row r="15063" spans="1:9" x14ac:dyDescent="0.25">
      <c r="A15063" t="str">
        <f t="shared" si="345"/>
        <v>89301000</v>
      </c>
      <c r="B15063" t="str">
        <f>"9453023954"</f>
        <v>9453023954</v>
      </c>
      <c r="C15063" s="1">
        <v>44994</v>
      </c>
      <c r="D15063" s="1">
        <v>44998</v>
      </c>
      <c r="E15063">
        <v>1</v>
      </c>
      <c r="F15063" t="str">
        <f>"14-M01-05"</f>
        <v>14-M01-05</v>
      </c>
      <c r="G15063">
        <v>0.56289999999999996</v>
      </c>
      <c r="H15063" t="s">
        <v>13</v>
      </c>
      <c r="I15063" t="s">
        <v>10</v>
      </c>
    </row>
    <row r="15064" spans="1:9" x14ac:dyDescent="0.25">
      <c r="A15064" t="str">
        <f t="shared" si="345"/>
        <v>89301000</v>
      </c>
      <c r="B15064" t="str">
        <f>"9453045701"</f>
        <v>9453045701</v>
      </c>
      <c r="C15064" s="1">
        <v>45197</v>
      </c>
      <c r="D15064" s="1">
        <v>45201</v>
      </c>
      <c r="E15064">
        <v>1</v>
      </c>
      <c r="F15064" t="str">
        <f>"04-K02-04"</f>
        <v>04-K02-04</v>
      </c>
      <c r="G15064">
        <v>0.82099999999999995</v>
      </c>
      <c r="H15064" t="s">
        <v>11</v>
      </c>
      <c r="I15064" t="s">
        <v>10</v>
      </c>
    </row>
    <row r="15065" spans="1:9" x14ac:dyDescent="0.25">
      <c r="A15065" t="str">
        <f t="shared" si="345"/>
        <v>89301000</v>
      </c>
      <c r="B15065" t="str">
        <f>"9453045899"</f>
        <v>9453045899</v>
      </c>
      <c r="C15065" s="1">
        <v>45024</v>
      </c>
      <c r="D15065" s="1">
        <v>45028</v>
      </c>
      <c r="E15065">
        <v>1</v>
      </c>
      <c r="F15065" t="str">
        <f>"14-M01-05"</f>
        <v>14-M01-05</v>
      </c>
      <c r="G15065">
        <v>0.56289999999999996</v>
      </c>
      <c r="H15065" t="s">
        <v>13</v>
      </c>
      <c r="I15065" t="s">
        <v>10</v>
      </c>
    </row>
    <row r="15066" spans="1:9" x14ac:dyDescent="0.25">
      <c r="A15066" t="str">
        <f t="shared" si="345"/>
        <v>89301000</v>
      </c>
      <c r="B15066" t="str">
        <f>"9453046075"</f>
        <v>9453046075</v>
      </c>
      <c r="C15066" s="1">
        <v>45086</v>
      </c>
      <c r="D15066" s="1">
        <v>45090</v>
      </c>
      <c r="E15066">
        <v>1</v>
      </c>
      <c r="F15066" t="str">
        <f>"14-M01-05"</f>
        <v>14-M01-05</v>
      </c>
      <c r="G15066">
        <v>0.56589999999999996</v>
      </c>
      <c r="H15066" t="s">
        <v>13</v>
      </c>
      <c r="I15066" t="s">
        <v>10</v>
      </c>
    </row>
    <row r="15067" spans="1:9" x14ac:dyDescent="0.25">
      <c r="A15067" t="str">
        <f t="shared" si="345"/>
        <v>89301000</v>
      </c>
      <c r="B15067" t="str">
        <f>"9453134845"</f>
        <v>9453134845</v>
      </c>
      <c r="C15067" s="1">
        <v>45153</v>
      </c>
      <c r="D15067" s="1">
        <v>45156</v>
      </c>
      <c r="E15067">
        <v>1</v>
      </c>
      <c r="F15067" t="str">
        <f>"14-I01-05"</f>
        <v>14-I01-05</v>
      </c>
      <c r="G15067">
        <v>0.83340000000000003</v>
      </c>
      <c r="H15067" t="s">
        <v>13</v>
      </c>
      <c r="I15067" t="s">
        <v>10</v>
      </c>
    </row>
    <row r="15068" spans="1:9" x14ac:dyDescent="0.25">
      <c r="A15068" t="str">
        <f t="shared" si="345"/>
        <v>89301000</v>
      </c>
      <c r="B15068" t="str">
        <f>"9453146175"</f>
        <v>9453146175</v>
      </c>
      <c r="C15068" s="1">
        <v>44953</v>
      </c>
      <c r="D15068" s="1">
        <v>44955</v>
      </c>
      <c r="E15068">
        <v>1</v>
      </c>
      <c r="F15068" t="str">
        <f>"13-I14-03"</f>
        <v>13-I14-03</v>
      </c>
      <c r="G15068">
        <v>0.87760000000000005</v>
      </c>
      <c r="H15068" t="s">
        <v>9</v>
      </c>
      <c r="I15068" t="s">
        <v>10</v>
      </c>
    </row>
    <row r="15069" spans="1:9" x14ac:dyDescent="0.25">
      <c r="A15069" t="str">
        <f t="shared" si="345"/>
        <v>89301000</v>
      </c>
      <c r="B15069" t="str">
        <f>"9453265723"</f>
        <v>9453265723</v>
      </c>
      <c r="C15069" s="1">
        <v>45159</v>
      </c>
      <c r="D15069" s="1">
        <v>45164</v>
      </c>
      <c r="E15069">
        <v>1</v>
      </c>
      <c r="F15069" t="str">
        <f>"14-I01-05"</f>
        <v>14-I01-05</v>
      </c>
      <c r="G15069">
        <v>0.83340000000000003</v>
      </c>
      <c r="H15069" t="s">
        <v>13</v>
      </c>
      <c r="I15069" t="s">
        <v>10</v>
      </c>
    </row>
    <row r="15070" spans="1:9" x14ac:dyDescent="0.25">
      <c r="A15070" t="str">
        <f t="shared" si="345"/>
        <v>89301000</v>
      </c>
      <c r="B15070" t="str">
        <f>"9453266196"</f>
        <v>9453266196</v>
      </c>
      <c r="C15070" s="1">
        <v>45131</v>
      </c>
      <c r="D15070" s="1">
        <v>45135</v>
      </c>
      <c r="E15070">
        <v>1</v>
      </c>
      <c r="F15070" t="str">
        <f>"14-M01-05"</f>
        <v>14-M01-05</v>
      </c>
      <c r="G15070">
        <v>0.56289999999999996</v>
      </c>
      <c r="H15070" t="s">
        <v>13</v>
      </c>
      <c r="I15070" t="s">
        <v>10</v>
      </c>
    </row>
    <row r="15071" spans="1:9" x14ac:dyDescent="0.25">
      <c r="A15071" t="str">
        <f t="shared" si="345"/>
        <v>89301000</v>
      </c>
      <c r="B15071" t="str">
        <f>"9454054995"</f>
        <v>9454054995</v>
      </c>
      <c r="C15071" s="1">
        <v>45222</v>
      </c>
      <c r="D15071" s="1">
        <v>45226</v>
      </c>
      <c r="E15071">
        <v>1</v>
      </c>
      <c r="F15071" t="str">
        <f>"08-K01-03"</f>
        <v>08-K01-03</v>
      </c>
      <c r="G15071">
        <v>0.59189999999999998</v>
      </c>
      <c r="H15071" t="s">
        <v>11</v>
      </c>
      <c r="I15071" t="s">
        <v>10</v>
      </c>
    </row>
    <row r="15072" spans="1:9" x14ac:dyDescent="0.25">
      <c r="A15072" t="str">
        <f t="shared" si="345"/>
        <v>89301000</v>
      </c>
      <c r="B15072" t="str">
        <f>"9454075323"</f>
        <v>9454075323</v>
      </c>
      <c r="C15072" s="1">
        <v>45123</v>
      </c>
      <c r="D15072" s="1">
        <v>45128</v>
      </c>
      <c r="E15072">
        <v>1</v>
      </c>
      <c r="F15072" t="str">
        <f>"14-M01-05"</f>
        <v>14-M01-05</v>
      </c>
      <c r="G15072">
        <v>0.56589999999999996</v>
      </c>
      <c r="H15072" t="s">
        <v>13</v>
      </c>
      <c r="I15072" t="s">
        <v>10</v>
      </c>
    </row>
    <row r="15073" spans="1:9" x14ac:dyDescent="0.25">
      <c r="A15073" t="str">
        <f t="shared" si="345"/>
        <v>89301000</v>
      </c>
      <c r="B15073" t="str">
        <f>"9454145734"</f>
        <v>9454145734</v>
      </c>
      <c r="C15073" s="1">
        <v>45183</v>
      </c>
      <c r="D15073" s="1">
        <v>45188</v>
      </c>
      <c r="E15073">
        <v>1</v>
      </c>
      <c r="F15073" t="str">
        <f>"14-I01-05"</f>
        <v>14-I01-05</v>
      </c>
      <c r="G15073">
        <v>0.83340000000000003</v>
      </c>
      <c r="H15073" t="s">
        <v>13</v>
      </c>
      <c r="I15073" t="s">
        <v>10</v>
      </c>
    </row>
    <row r="15074" spans="1:9" x14ac:dyDescent="0.25">
      <c r="A15074" t="str">
        <f t="shared" si="345"/>
        <v>89301000</v>
      </c>
      <c r="B15074" t="str">
        <f>"9454204463"</f>
        <v>9454204463</v>
      </c>
      <c r="C15074" s="1">
        <v>45130</v>
      </c>
      <c r="D15074" s="1">
        <v>45135</v>
      </c>
      <c r="E15074">
        <v>1</v>
      </c>
      <c r="F15074" t="str">
        <f>"14-M01-05"</f>
        <v>14-M01-05</v>
      </c>
      <c r="G15074">
        <v>0.56589999999999996</v>
      </c>
      <c r="H15074" t="s">
        <v>13</v>
      </c>
      <c r="I15074" t="s">
        <v>10</v>
      </c>
    </row>
    <row r="15075" spans="1:9" x14ac:dyDescent="0.25">
      <c r="A15075" t="str">
        <f t="shared" si="345"/>
        <v>89301000</v>
      </c>
      <c r="B15075" t="str">
        <f>"9454206157"</f>
        <v>9454206157</v>
      </c>
      <c r="C15075" s="1">
        <v>45200</v>
      </c>
      <c r="D15075" s="1">
        <v>45203</v>
      </c>
      <c r="E15075">
        <v>1</v>
      </c>
      <c r="F15075" t="str">
        <f>"14-M01-02"</f>
        <v>14-M01-02</v>
      </c>
      <c r="G15075">
        <v>0.80049999999999999</v>
      </c>
      <c r="H15075" t="s">
        <v>13</v>
      </c>
      <c r="I15075" t="s">
        <v>10</v>
      </c>
    </row>
    <row r="15076" spans="1:9" x14ac:dyDescent="0.25">
      <c r="A15076" t="str">
        <f t="shared" si="345"/>
        <v>89301000</v>
      </c>
      <c r="B15076" t="str">
        <f>"9455036096"</f>
        <v>9455036096</v>
      </c>
      <c r="C15076" s="1">
        <v>44928</v>
      </c>
      <c r="D15076" s="1">
        <v>44931</v>
      </c>
      <c r="E15076">
        <v>1</v>
      </c>
      <c r="F15076" t="str">
        <f>"14-I01-05"</f>
        <v>14-I01-05</v>
      </c>
      <c r="G15076">
        <v>0.83340000000000003</v>
      </c>
      <c r="H15076" t="s">
        <v>13</v>
      </c>
      <c r="I15076" t="s">
        <v>10</v>
      </c>
    </row>
    <row r="15077" spans="1:9" x14ac:dyDescent="0.25">
      <c r="A15077" t="str">
        <f t="shared" si="345"/>
        <v>89301000</v>
      </c>
      <c r="B15077" t="str">
        <f>"9455075707"</f>
        <v>9455075707</v>
      </c>
      <c r="C15077" s="1">
        <v>45117</v>
      </c>
      <c r="D15077" s="1">
        <v>45124</v>
      </c>
      <c r="E15077">
        <v>1</v>
      </c>
      <c r="F15077" t="str">
        <f>"07-K11-03"</f>
        <v>07-K11-03</v>
      </c>
      <c r="G15077">
        <v>0.44330000000000003</v>
      </c>
      <c r="H15077" t="s">
        <v>11</v>
      </c>
      <c r="I15077" t="s">
        <v>10</v>
      </c>
    </row>
    <row r="15078" spans="1:9" x14ac:dyDescent="0.25">
      <c r="A15078" t="str">
        <f t="shared" si="345"/>
        <v>89301000</v>
      </c>
      <c r="B15078" t="str">
        <f>"9455145711"</f>
        <v>9455145711</v>
      </c>
      <c r="C15078" s="1">
        <v>45020</v>
      </c>
      <c r="D15078" s="1">
        <v>45022</v>
      </c>
      <c r="E15078">
        <v>1</v>
      </c>
      <c r="F15078" t="str">
        <f>"14-M01-05"</f>
        <v>14-M01-05</v>
      </c>
      <c r="G15078">
        <v>0.56289999999999996</v>
      </c>
      <c r="H15078" t="s">
        <v>13</v>
      </c>
      <c r="I15078" t="s">
        <v>10</v>
      </c>
    </row>
    <row r="15079" spans="1:9" x14ac:dyDescent="0.25">
      <c r="A15079" t="str">
        <f t="shared" si="345"/>
        <v>89301000</v>
      </c>
      <c r="B15079" t="str">
        <f>"9455173783"</f>
        <v>9455173783</v>
      </c>
      <c r="C15079" s="1">
        <v>45225</v>
      </c>
      <c r="D15079" s="1">
        <v>45228</v>
      </c>
      <c r="E15079">
        <v>1</v>
      </c>
      <c r="F15079" t="str">
        <f>"14-M01-05"</f>
        <v>14-M01-05</v>
      </c>
      <c r="G15079">
        <v>0.56289999999999996</v>
      </c>
      <c r="H15079" t="s">
        <v>13</v>
      </c>
      <c r="I15079" t="s">
        <v>10</v>
      </c>
    </row>
    <row r="15080" spans="1:9" x14ac:dyDescent="0.25">
      <c r="A15080" t="str">
        <f t="shared" si="345"/>
        <v>89301000</v>
      </c>
      <c r="B15080" t="str">
        <f>"9455225703"</f>
        <v>9455225703</v>
      </c>
      <c r="C15080" s="1">
        <v>44938</v>
      </c>
      <c r="D15080" s="1">
        <v>44943</v>
      </c>
      <c r="E15080">
        <v>1</v>
      </c>
      <c r="F15080" t="str">
        <f>"14-M01-02"</f>
        <v>14-M01-02</v>
      </c>
      <c r="G15080">
        <v>0.78449999999999998</v>
      </c>
      <c r="H15080" t="s">
        <v>13</v>
      </c>
      <c r="I15080" t="s">
        <v>10</v>
      </c>
    </row>
    <row r="15081" spans="1:9" x14ac:dyDescent="0.25">
      <c r="A15081" t="str">
        <f t="shared" si="345"/>
        <v>89301000</v>
      </c>
      <c r="B15081" t="str">
        <f>"9455255766"</f>
        <v>9455255766</v>
      </c>
      <c r="C15081" s="1">
        <v>45079</v>
      </c>
      <c r="D15081" s="1">
        <v>45091</v>
      </c>
      <c r="E15081">
        <v>1</v>
      </c>
      <c r="F15081" t="str">
        <f>"14-I01-01"</f>
        <v>14-I01-01</v>
      </c>
      <c r="G15081">
        <v>1.6020000000000001</v>
      </c>
      <c r="H15081" t="s">
        <v>13</v>
      </c>
      <c r="I15081" t="s">
        <v>10</v>
      </c>
    </row>
    <row r="15082" spans="1:9" x14ac:dyDescent="0.25">
      <c r="A15082" t="str">
        <f t="shared" si="345"/>
        <v>89301000</v>
      </c>
      <c r="B15082" t="str">
        <f>"9456045984"</f>
        <v>9456045984</v>
      </c>
      <c r="C15082" s="1">
        <v>44956</v>
      </c>
      <c r="D15082" s="1">
        <v>44960</v>
      </c>
      <c r="E15082">
        <v>1</v>
      </c>
      <c r="F15082" t="str">
        <f>"14-I01-05"</f>
        <v>14-I01-05</v>
      </c>
      <c r="G15082">
        <v>0.83340000000000003</v>
      </c>
      <c r="H15082" t="s">
        <v>13</v>
      </c>
      <c r="I15082" t="s">
        <v>10</v>
      </c>
    </row>
    <row r="15083" spans="1:9" x14ac:dyDescent="0.25">
      <c r="A15083" t="str">
        <f t="shared" si="345"/>
        <v>89301000</v>
      </c>
      <c r="B15083" t="str">
        <f>"9456085760"</f>
        <v>9456085760</v>
      </c>
      <c r="C15083" s="1">
        <v>45249</v>
      </c>
      <c r="D15083" s="1">
        <v>45252</v>
      </c>
      <c r="E15083">
        <v>1</v>
      </c>
      <c r="F15083" t="str">
        <f>"14-M01-05"</f>
        <v>14-M01-05</v>
      </c>
      <c r="G15083">
        <v>0.56289999999999996</v>
      </c>
      <c r="H15083" t="s">
        <v>13</v>
      </c>
      <c r="I15083" t="s">
        <v>10</v>
      </c>
    </row>
    <row r="15084" spans="1:9" x14ac:dyDescent="0.25">
      <c r="A15084" t="str">
        <f t="shared" si="345"/>
        <v>89301000</v>
      </c>
      <c r="B15084" t="str">
        <f>"9456115724"</f>
        <v>9456115724</v>
      </c>
      <c r="C15084" s="1">
        <v>45166</v>
      </c>
      <c r="D15084" s="1">
        <v>45169</v>
      </c>
      <c r="E15084">
        <v>1</v>
      </c>
      <c r="F15084" t="str">
        <f>"14-M01-05"</f>
        <v>14-M01-05</v>
      </c>
      <c r="G15084">
        <v>0.56289999999999996</v>
      </c>
      <c r="H15084" t="s">
        <v>13</v>
      </c>
      <c r="I15084" t="s">
        <v>10</v>
      </c>
    </row>
    <row r="15085" spans="1:9" x14ac:dyDescent="0.25">
      <c r="A15085" t="str">
        <f t="shared" si="345"/>
        <v>89301000</v>
      </c>
      <c r="B15085" t="str">
        <f>"9456195408"</f>
        <v>9456195408</v>
      </c>
      <c r="C15085" s="1">
        <v>45020</v>
      </c>
      <c r="D15085" s="1">
        <v>45023</v>
      </c>
      <c r="E15085">
        <v>1</v>
      </c>
      <c r="F15085" t="str">
        <f>"14-M01-05"</f>
        <v>14-M01-05</v>
      </c>
      <c r="G15085">
        <v>0.56289999999999996</v>
      </c>
      <c r="H15085" t="s">
        <v>13</v>
      </c>
      <c r="I15085" t="s">
        <v>10</v>
      </c>
    </row>
    <row r="15086" spans="1:9" x14ac:dyDescent="0.25">
      <c r="A15086" t="str">
        <f t="shared" si="345"/>
        <v>89301000</v>
      </c>
      <c r="B15086" t="str">
        <f>"9457034873"</f>
        <v>9457034873</v>
      </c>
      <c r="C15086" s="1">
        <v>45062</v>
      </c>
      <c r="D15086" s="1">
        <v>45065</v>
      </c>
      <c r="E15086">
        <v>1</v>
      </c>
      <c r="F15086" t="str">
        <f>"13-I18-03"</f>
        <v>13-I18-03</v>
      </c>
      <c r="G15086">
        <v>0.62870000000000004</v>
      </c>
      <c r="H15086" t="s">
        <v>11</v>
      </c>
      <c r="I15086" t="s">
        <v>10</v>
      </c>
    </row>
    <row r="15087" spans="1:9" x14ac:dyDescent="0.25">
      <c r="A15087" t="str">
        <f t="shared" si="345"/>
        <v>89301000</v>
      </c>
      <c r="B15087" t="str">
        <f>"9457053947"</f>
        <v>9457053947</v>
      </c>
      <c r="C15087" s="1">
        <v>44993</v>
      </c>
      <c r="D15087" s="1">
        <v>44995</v>
      </c>
      <c r="E15087">
        <v>1</v>
      </c>
      <c r="F15087" t="str">
        <f>"14-M01-05"</f>
        <v>14-M01-05</v>
      </c>
      <c r="G15087">
        <v>0.56589999999999996</v>
      </c>
      <c r="H15087" t="s">
        <v>13</v>
      </c>
      <c r="I15087" t="s">
        <v>10</v>
      </c>
    </row>
    <row r="15088" spans="1:9" x14ac:dyDescent="0.25">
      <c r="A15088" t="str">
        <f t="shared" si="345"/>
        <v>89301000</v>
      </c>
      <c r="B15088" t="str">
        <f>"9457065706"</f>
        <v>9457065706</v>
      </c>
      <c r="C15088" s="1">
        <v>45037</v>
      </c>
      <c r="D15088" s="1">
        <v>45041</v>
      </c>
      <c r="E15088">
        <v>1</v>
      </c>
      <c r="F15088" t="str">
        <f>"14-M01-05"</f>
        <v>14-M01-05</v>
      </c>
      <c r="G15088">
        <v>0.56289999999999996</v>
      </c>
      <c r="H15088" t="s">
        <v>13</v>
      </c>
      <c r="I15088" t="s">
        <v>10</v>
      </c>
    </row>
    <row r="15089" spans="1:9" x14ac:dyDescent="0.25">
      <c r="A15089" t="str">
        <f t="shared" si="345"/>
        <v>89301000</v>
      </c>
      <c r="B15089" t="str">
        <f>"9457074033"</f>
        <v>9457074033</v>
      </c>
      <c r="C15089" s="1">
        <v>45068</v>
      </c>
      <c r="D15089" s="1">
        <v>45073</v>
      </c>
      <c r="E15089">
        <v>1</v>
      </c>
      <c r="F15089" t="str">
        <f>"14-M01-05"</f>
        <v>14-M01-05</v>
      </c>
      <c r="G15089">
        <v>0.56589999999999996</v>
      </c>
      <c r="H15089" t="s">
        <v>13</v>
      </c>
      <c r="I15089" t="s">
        <v>16</v>
      </c>
    </row>
    <row r="15090" spans="1:9" x14ac:dyDescent="0.25">
      <c r="A15090" t="str">
        <f t="shared" si="345"/>
        <v>89301000</v>
      </c>
      <c r="B15090" t="str">
        <f>"9457206165"</f>
        <v>9457206165</v>
      </c>
      <c r="C15090" s="1">
        <v>45106</v>
      </c>
      <c r="D15090" s="1">
        <v>45109</v>
      </c>
      <c r="E15090">
        <v>1</v>
      </c>
      <c r="F15090" t="str">
        <f>"14-M01-05"</f>
        <v>14-M01-05</v>
      </c>
      <c r="G15090">
        <v>0.56289999999999996</v>
      </c>
      <c r="H15090" t="s">
        <v>13</v>
      </c>
      <c r="I15090" t="s">
        <v>10</v>
      </c>
    </row>
    <row r="15091" spans="1:9" x14ac:dyDescent="0.25">
      <c r="A15091" t="str">
        <f t="shared" si="345"/>
        <v>89301000</v>
      </c>
      <c r="B15091" t="str">
        <f>"9457265708"</f>
        <v>9457265708</v>
      </c>
      <c r="C15091" s="1">
        <v>44938</v>
      </c>
      <c r="D15091" s="1">
        <v>44940</v>
      </c>
      <c r="E15091">
        <v>1</v>
      </c>
      <c r="F15091" t="str">
        <f>"14-M01-05"</f>
        <v>14-M01-05</v>
      </c>
      <c r="G15091">
        <v>0.56289999999999996</v>
      </c>
      <c r="H15091" t="s">
        <v>13</v>
      </c>
      <c r="I15091" t="s">
        <v>10</v>
      </c>
    </row>
    <row r="15092" spans="1:9" x14ac:dyDescent="0.25">
      <c r="A15092" t="str">
        <f t="shared" si="345"/>
        <v>89301000</v>
      </c>
      <c r="B15092" t="str">
        <f>"9457266159"</f>
        <v>9457266159</v>
      </c>
      <c r="C15092" s="1">
        <v>44970</v>
      </c>
      <c r="D15092" s="1">
        <v>44977</v>
      </c>
      <c r="E15092">
        <v>1</v>
      </c>
      <c r="F15092" t="str">
        <f>"19-K03-03"</f>
        <v>19-K03-03</v>
      </c>
      <c r="G15092">
        <v>0.90410000000000001</v>
      </c>
      <c r="H15092" t="s">
        <v>15</v>
      </c>
      <c r="I15092" t="s">
        <v>10</v>
      </c>
    </row>
    <row r="15093" spans="1:9" x14ac:dyDescent="0.25">
      <c r="A15093" t="str">
        <f t="shared" si="345"/>
        <v>89301000</v>
      </c>
      <c r="B15093" t="str">
        <f>"9457305704"</f>
        <v>9457305704</v>
      </c>
      <c r="C15093" s="1">
        <v>45036</v>
      </c>
      <c r="D15093" s="1">
        <v>45044</v>
      </c>
      <c r="E15093">
        <v>1</v>
      </c>
      <c r="F15093" t="str">
        <f>"14-I01-01"</f>
        <v>14-I01-01</v>
      </c>
      <c r="G15093">
        <v>1.6020000000000001</v>
      </c>
      <c r="H15093" t="s">
        <v>13</v>
      </c>
      <c r="I15093" t="s">
        <v>10</v>
      </c>
    </row>
    <row r="15094" spans="1:9" x14ac:dyDescent="0.25">
      <c r="A15094" t="str">
        <f t="shared" si="345"/>
        <v>89301000</v>
      </c>
      <c r="B15094" t="str">
        <f>"9457305715"</f>
        <v>9457305715</v>
      </c>
      <c r="C15094" s="1">
        <v>45096</v>
      </c>
      <c r="D15094" s="1">
        <v>45101</v>
      </c>
      <c r="E15094">
        <v>1</v>
      </c>
      <c r="F15094" t="str">
        <f>"14-M01-05"</f>
        <v>14-M01-05</v>
      </c>
      <c r="G15094">
        <v>0.56289999999999996</v>
      </c>
      <c r="H15094" t="s">
        <v>13</v>
      </c>
      <c r="I15094" t="s">
        <v>10</v>
      </c>
    </row>
    <row r="15095" spans="1:9" x14ac:dyDescent="0.25">
      <c r="A15095" t="str">
        <f t="shared" si="345"/>
        <v>89301000</v>
      </c>
      <c r="B15095" t="str">
        <f>"9457314856"</f>
        <v>9457314856</v>
      </c>
      <c r="C15095" s="1">
        <v>44931</v>
      </c>
      <c r="D15095" s="1">
        <v>44933</v>
      </c>
      <c r="E15095">
        <v>1</v>
      </c>
      <c r="F15095" t="str">
        <f>"09-I09-05"</f>
        <v>09-I09-05</v>
      </c>
      <c r="G15095">
        <v>0.46870000000000001</v>
      </c>
      <c r="H15095" t="s">
        <v>12</v>
      </c>
      <c r="I15095" t="s">
        <v>10</v>
      </c>
    </row>
    <row r="15096" spans="1:9" x14ac:dyDescent="0.25">
      <c r="A15096" t="str">
        <f t="shared" si="345"/>
        <v>89301000</v>
      </c>
      <c r="B15096" t="str">
        <f>"9458035730"</f>
        <v>9458035730</v>
      </c>
      <c r="C15096" s="1">
        <v>45184</v>
      </c>
      <c r="D15096" s="1">
        <v>45188</v>
      </c>
      <c r="E15096">
        <v>1</v>
      </c>
      <c r="F15096" t="str">
        <f>"14-I01-05"</f>
        <v>14-I01-05</v>
      </c>
      <c r="G15096">
        <v>0.83340000000000003</v>
      </c>
      <c r="H15096" t="s">
        <v>13</v>
      </c>
      <c r="I15096" t="s">
        <v>10</v>
      </c>
    </row>
    <row r="15097" spans="1:9" x14ac:dyDescent="0.25">
      <c r="A15097" t="str">
        <f t="shared" si="345"/>
        <v>89301000</v>
      </c>
      <c r="B15097" t="str">
        <f>"9458065705"</f>
        <v>9458065705</v>
      </c>
      <c r="C15097" s="1">
        <v>45245</v>
      </c>
      <c r="D15097" s="1">
        <v>45249</v>
      </c>
      <c r="E15097">
        <v>1</v>
      </c>
      <c r="F15097" t="str">
        <f>"14-I01-05"</f>
        <v>14-I01-05</v>
      </c>
      <c r="G15097">
        <v>0.83340000000000003</v>
      </c>
      <c r="H15097" t="s">
        <v>13</v>
      </c>
      <c r="I15097" t="s">
        <v>10</v>
      </c>
    </row>
    <row r="15098" spans="1:9" x14ac:dyDescent="0.25">
      <c r="A15098" t="str">
        <f t="shared" si="345"/>
        <v>89301000</v>
      </c>
      <c r="B15098" t="str">
        <f>"9458096153"</f>
        <v>9458096153</v>
      </c>
      <c r="C15098" s="1">
        <v>44936</v>
      </c>
      <c r="D15098" s="1">
        <v>44939</v>
      </c>
      <c r="E15098">
        <v>1</v>
      </c>
      <c r="F15098" t="str">
        <f>"14-M01-05"</f>
        <v>14-M01-05</v>
      </c>
      <c r="G15098">
        <v>0.56289999999999996</v>
      </c>
      <c r="H15098" t="s">
        <v>13</v>
      </c>
      <c r="I15098" t="s">
        <v>10</v>
      </c>
    </row>
    <row r="15099" spans="1:9" x14ac:dyDescent="0.25">
      <c r="A15099" t="str">
        <f t="shared" si="345"/>
        <v>89301000</v>
      </c>
      <c r="B15099" t="str">
        <f>"9458145730"</f>
        <v>9458145730</v>
      </c>
      <c r="C15099" s="1">
        <v>44979</v>
      </c>
      <c r="D15099" s="1">
        <v>44982</v>
      </c>
      <c r="E15099">
        <v>1</v>
      </c>
      <c r="F15099" t="str">
        <f>"14-I01-05"</f>
        <v>14-I01-05</v>
      </c>
      <c r="G15099">
        <v>0.83340000000000003</v>
      </c>
      <c r="H15099" t="s">
        <v>13</v>
      </c>
      <c r="I15099" t="s">
        <v>10</v>
      </c>
    </row>
    <row r="15100" spans="1:9" x14ac:dyDescent="0.25">
      <c r="A15100" t="str">
        <f t="shared" si="345"/>
        <v>89301000</v>
      </c>
      <c r="B15100" t="str">
        <f>"9458205702"</f>
        <v>9458205702</v>
      </c>
      <c r="C15100" s="1">
        <v>44950</v>
      </c>
      <c r="D15100" s="1">
        <v>44952</v>
      </c>
      <c r="E15100">
        <v>1</v>
      </c>
      <c r="F15100" t="str">
        <f>"14-M01-05"</f>
        <v>14-M01-05</v>
      </c>
      <c r="G15100">
        <v>0.56589999999999996</v>
      </c>
      <c r="H15100" t="s">
        <v>13</v>
      </c>
      <c r="I15100" t="s">
        <v>10</v>
      </c>
    </row>
    <row r="15101" spans="1:9" x14ac:dyDescent="0.25">
      <c r="A15101" t="str">
        <f t="shared" si="345"/>
        <v>89301000</v>
      </c>
      <c r="B15101" t="str">
        <f>"9458225744"</f>
        <v>9458225744</v>
      </c>
      <c r="C15101" s="1">
        <v>45144</v>
      </c>
      <c r="D15101" s="1">
        <v>45147</v>
      </c>
      <c r="E15101">
        <v>1</v>
      </c>
      <c r="F15101" t="str">
        <f>"08-I03-06"</f>
        <v>08-I03-06</v>
      </c>
      <c r="G15101">
        <v>2.8193999999999999</v>
      </c>
      <c r="H15101" t="s">
        <v>9</v>
      </c>
      <c r="I15101" t="s">
        <v>10</v>
      </c>
    </row>
    <row r="15102" spans="1:9" x14ac:dyDescent="0.25">
      <c r="A15102" t="str">
        <f t="shared" si="345"/>
        <v>89301000</v>
      </c>
      <c r="B15102" t="str">
        <f>"9458235743"</f>
        <v>9458235743</v>
      </c>
      <c r="C15102" s="1">
        <v>44927</v>
      </c>
      <c r="D15102" s="1">
        <v>44931</v>
      </c>
      <c r="E15102">
        <v>1</v>
      </c>
      <c r="F15102" t="str">
        <f>"14-M01-05"</f>
        <v>14-M01-05</v>
      </c>
      <c r="G15102">
        <v>0.56589999999999996</v>
      </c>
      <c r="H15102" t="s">
        <v>13</v>
      </c>
      <c r="I15102" t="s">
        <v>10</v>
      </c>
    </row>
    <row r="15103" spans="1:9" x14ac:dyDescent="0.25">
      <c r="A15103" t="str">
        <f t="shared" si="345"/>
        <v>89301000</v>
      </c>
      <c r="B15103" t="str">
        <f>"9458235754"</f>
        <v>9458235754</v>
      </c>
      <c r="C15103" s="1">
        <v>45019</v>
      </c>
      <c r="D15103" s="1">
        <v>45023</v>
      </c>
      <c r="E15103">
        <v>1</v>
      </c>
      <c r="F15103" t="str">
        <f>"14-M01-05"</f>
        <v>14-M01-05</v>
      </c>
      <c r="G15103">
        <v>0.56289999999999996</v>
      </c>
      <c r="H15103" t="s">
        <v>13</v>
      </c>
      <c r="I15103" t="s">
        <v>10</v>
      </c>
    </row>
    <row r="15104" spans="1:9" x14ac:dyDescent="0.25">
      <c r="A15104" t="str">
        <f t="shared" si="345"/>
        <v>89301000</v>
      </c>
      <c r="B15104" t="str">
        <f>"9459044859"</f>
        <v>9459044859</v>
      </c>
      <c r="C15104" s="1">
        <v>45197</v>
      </c>
      <c r="D15104" s="1">
        <v>45204</v>
      </c>
      <c r="E15104">
        <v>1</v>
      </c>
      <c r="F15104" t="str">
        <f>"14-I01-02"</f>
        <v>14-I01-02</v>
      </c>
      <c r="G15104">
        <v>1.2988999999999999</v>
      </c>
      <c r="H15104" t="s">
        <v>13</v>
      </c>
      <c r="I15104" t="s">
        <v>10</v>
      </c>
    </row>
    <row r="15105" spans="1:9" x14ac:dyDescent="0.25">
      <c r="A15105" t="str">
        <f t="shared" si="345"/>
        <v>89301000</v>
      </c>
      <c r="B15105" t="str">
        <f>"9459074317"</f>
        <v>9459074317</v>
      </c>
      <c r="C15105" s="1">
        <v>45172</v>
      </c>
      <c r="D15105" s="1">
        <v>45175</v>
      </c>
      <c r="E15105">
        <v>1</v>
      </c>
      <c r="F15105" t="str">
        <f>"14-I01-01"</f>
        <v>14-I01-01</v>
      </c>
      <c r="G15105">
        <v>1.6020000000000001</v>
      </c>
      <c r="H15105" t="s">
        <v>13</v>
      </c>
      <c r="I15105" t="s">
        <v>10</v>
      </c>
    </row>
    <row r="15106" spans="1:9" x14ac:dyDescent="0.25">
      <c r="A15106" t="str">
        <f t="shared" si="345"/>
        <v>89301000</v>
      </c>
      <c r="B15106" t="str">
        <f>"9459185725"</f>
        <v>9459185725</v>
      </c>
      <c r="C15106" s="1">
        <v>45032</v>
      </c>
      <c r="D15106" s="1">
        <v>45033</v>
      </c>
      <c r="E15106">
        <v>1</v>
      </c>
      <c r="F15106" t="str">
        <f>"03-K03-02"</f>
        <v>03-K03-02</v>
      </c>
      <c r="G15106">
        <v>0.51949999999999996</v>
      </c>
      <c r="H15106" t="s">
        <v>11</v>
      </c>
      <c r="I15106" t="s">
        <v>10</v>
      </c>
    </row>
    <row r="15107" spans="1:9" x14ac:dyDescent="0.25">
      <c r="A15107" t="str">
        <f t="shared" si="345"/>
        <v>89301000</v>
      </c>
      <c r="B15107" t="str">
        <f>"9459185725"</f>
        <v>9459185725</v>
      </c>
      <c r="C15107" s="1">
        <v>45133</v>
      </c>
      <c r="D15107" s="1">
        <v>45142</v>
      </c>
      <c r="E15107">
        <v>1</v>
      </c>
      <c r="F15107" t="str">
        <f>"14-M01-05"</f>
        <v>14-M01-05</v>
      </c>
      <c r="G15107">
        <v>0.70099999999999996</v>
      </c>
      <c r="H15107" t="s">
        <v>13</v>
      </c>
      <c r="I15107" t="s">
        <v>10</v>
      </c>
    </row>
    <row r="15108" spans="1:9" x14ac:dyDescent="0.25">
      <c r="A15108" t="str">
        <f t="shared" si="345"/>
        <v>89301000</v>
      </c>
      <c r="B15108" t="str">
        <f>"9459215293"</f>
        <v>9459215293</v>
      </c>
      <c r="C15108" s="1">
        <v>45193</v>
      </c>
      <c r="D15108" s="1">
        <v>45198</v>
      </c>
      <c r="E15108">
        <v>1</v>
      </c>
      <c r="F15108" t="str">
        <f>"14-I01-05"</f>
        <v>14-I01-05</v>
      </c>
      <c r="G15108">
        <v>0.83</v>
      </c>
      <c r="H15108" t="s">
        <v>13</v>
      </c>
      <c r="I15108" t="s">
        <v>10</v>
      </c>
    </row>
    <row r="15109" spans="1:9" x14ac:dyDescent="0.25">
      <c r="A15109" t="str">
        <f t="shared" si="345"/>
        <v>89301000</v>
      </c>
      <c r="B15109" t="str">
        <f>"9459265706"</f>
        <v>9459265706</v>
      </c>
      <c r="C15109" s="1">
        <v>45147</v>
      </c>
      <c r="D15109" s="1">
        <v>45196</v>
      </c>
      <c r="E15109">
        <v>1</v>
      </c>
      <c r="F15109" t="str">
        <f>"19-K08-02"</f>
        <v>19-K08-02</v>
      </c>
      <c r="G15109">
        <v>4.4416000000000002</v>
      </c>
      <c r="H15109" t="s">
        <v>15</v>
      </c>
      <c r="I15109" t="s">
        <v>10</v>
      </c>
    </row>
    <row r="15110" spans="1:9" x14ac:dyDescent="0.25">
      <c r="A15110" t="str">
        <f t="shared" si="345"/>
        <v>89301000</v>
      </c>
      <c r="B15110" t="str">
        <f>"9460045309"</f>
        <v>9460045309</v>
      </c>
      <c r="C15110" s="1">
        <v>45280</v>
      </c>
      <c r="D15110" s="1">
        <v>45280</v>
      </c>
      <c r="E15110">
        <v>6</v>
      </c>
      <c r="F15110" t="str">
        <f>"14-I08-03"</f>
        <v>14-I08-03</v>
      </c>
      <c r="G15110">
        <v>0.123</v>
      </c>
      <c r="H15110" t="s">
        <v>11</v>
      </c>
      <c r="I15110" t="s">
        <v>10</v>
      </c>
    </row>
    <row r="15111" spans="1:9" x14ac:dyDescent="0.25">
      <c r="A15111" t="str">
        <f t="shared" si="345"/>
        <v>89301000</v>
      </c>
      <c r="B15111" t="str">
        <f>"9460045309"</f>
        <v>9460045309</v>
      </c>
      <c r="C15111" s="1">
        <v>45213</v>
      </c>
      <c r="D15111" s="1">
        <v>45217</v>
      </c>
      <c r="E15111">
        <v>1</v>
      </c>
      <c r="F15111" t="str">
        <f>"14-M01-05"</f>
        <v>14-M01-05</v>
      </c>
      <c r="G15111">
        <v>0.56589999999999996</v>
      </c>
      <c r="H15111" t="s">
        <v>13</v>
      </c>
      <c r="I15111" t="s">
        <v>10</v>
      </c>
    </row>
    <row r="15112" spans="1:9" x14ac:dyDescent="0.25">
      <c r="A15112" t="str">
        <f t="shared" si="345"/>
        <v>89301000</v>
      </c>
      <c r="B15112" t="str">
        <f>"9460054846"</f>
        <v>9460054846</v>
      </c>
      <c r="C15112" s="1">
        <v>45273</v>
      </c>
      <c r="D15112" s="1">
        <v>45278</v>
      </c>
      <c r="E15112">
        <v>1</v>
      </c>
      <c r="F15112" t="str">
        <f>"14-I01-05"</f>
        <v>14-I01-05</v>
      </c>
      <c r="G15112">
        <v>0.83340000000000003</v>
      </c>
      <c r="H15112" t="s">
        <v>13</v>
      </c>
      <c r="I15112" t="s">
        <v>10</v>
      </c>
    </row>
    <row r="15113" spans="1:9" x14ac:dyDescent="0.25">
      <c r="A15113" t="str">
        <f t="shared" ref="A15113:A15174" si="346">"89301000"</f>
        <v>89301000</v>
      </c>
      <c r="B15113" t="str">
        <f>"9460066253"</f>
        <v>9460066253</v>
      </c>
      <c r="C15113" s="1">
        <v>45062</v>
      </c>
      <c r="D15113" s="1">
        <v>45067</v>
      </c>
      <c r="E15113">
        <v>1</v>
      </c>
      <c r="F15113" t="str">
        <f>"06-K02-02"</f>
        <v>06-K02-02</v>
      </c>
      <c r="G15113">
        <v>0.85289999999999999</v>
      </c>
      <c r="H15113" t="s">
        <v>11</v>
      </c>
      <c r="I15113" t="s">
        <v>10</v>
      </c>
    </row>
    <row r="15114" spans="1:9" x14ac:dyDescent="0.25">
      <c r="A15114" t="str">
        <f t="shared" si="346"/>
        <v>89301000</v>
      </c>
      <c r="B15114" t="str">
        <f>"9460105699"</f>
        <v>9460105699</v>
      </c>
      <c r="C15114" s="1">
        <v>45029</v>
      </c>
      <c r="D15114" s="1">
        <v>45030</v>
      </c>
      <c r="E15114">
        <v>1</v>
      </c>
      <c r="F15114" t="str">
        <f>"13-I19-00"</f>
        <v>13-I19-00</v>
      </c>
      <c r="G15114">
        <v>0.28249999999999997</v>
      </c>
      <c r="H15114" t="s">
        <v>11</v>
      </c>
      <c r="I15114" t="s">
        <v>10</v>
      </c>
    </row>
    <row r="15115" spans="1:9" x14ac:dyDescent="0.25">
      <c r="A15115" t="str">
        <f t="shared" si="346"/>
        <v>89301000</v>
      </c>
      <c r="B15115" t="str">
        <f>"9460125708"</f>
        <v>9460125708</v>
      </c>
      <c r="C15115" s="1">
        <v>45192</v>
      </c>
      <c r="D15115" s="1">
        <v>45199</v>
      </c>
      <c r="E15115">
        <v>1</v>
      </c>
      <c r="F15115" t="str">
        <f>"14-M01-05"</f>
        <v>14-M01-05</v>
      </c>
      <c r="G15115">
        <v>0.63039999999999996</v>
      </c>
      <c r="H15115" t="s">
        <v>13</v>
      </c>
      <c r="I15115" t="s">
        <v>10</v>
      </c>
    </row>
    <row r="15116" spans="1:9" x14ac:dyDescent="0.25">
      <c r="A15116" t="str">
        <f t="shared" si="346"/>
        <v>89301000</v>
      </c>
      <c r="B15116" t="str">
        <f>"9460164285"</f>
        <v>9460164285</v>
      </c>
      <c r="C15116" s="1">
        <v>44946</v>
      </c>
      <c r="D15116" s="1">
        <v>44951</v>
      </c>
      <c r="E15116">
        <v>1</v>
      </c>
      <c r="F15116" t="str">
        <f>"14-I01-02"</f>
        <v>14-I01-02</v>
      </c>
      <c r="G15116">
        <v>1.2988999999999999</v>
      </c>
      <c r="H15116" t="s">
        <v>13</v>
      </c>
      <c r="I15116" t="s">
        <v>10</v>
      </c>
    </row>
    <row r="15117" spans="1:9" x14ac:dyDescent="0.25">
      <c r="A15117" t="str">
        <f t="shared" si="346"/>
        <v>89301000</v>
      </c>
      <c r="B15117" t="str">
        <f>"9460186186"</f>
        <v>9460186186</v>
      </c>
      <c r="C15117" s="1">
        <v>45132</v>
      </c>
      <c r="D15117" s="1">
        <v>45133</v>
      </c>
      <c r="E15117">
        <v>5</v>
      </c>
      <c r="F15117" t="str">
        <f>"14-K03-02"</f>
        <v>14-K03-02</v>
      </c>
      <c r="G15117">
        <v>0.30230000000000001</v>
      </c>
      <c r="H15117" t="s">
        <v>11</v>
      </c>
      <c r="I15117" t="s">
        <v>10</v>
      </c>
    </row>
    <row r="15118" spans="1:9" x14ac:dyDescent="0.25">
      <c r="A15118" t="str">
        <f t="shared" si="346"/>
        <v>89301000</v>
      </c>
      <c r="B15118" t="str">
        <f>"9460195294"</f>
        <v>9460195294</v>
      </c>
      <c r="C15118" s="1">
        <v>45153</v>
      </c>
      <c r="D15118" s="1">
        <v>45155</v>
      </c>
      <c r="E15118">
        <v>1</v>
      </c>
      <c r="F15118" t="str">
        <f>"13-K06-00"</f>
        <v>13-K06-00</v>
      </c>
      <c r="G15118">
        <v>0.39610000000000001</v>
      </c>
      <c r="H15118" t="s">
        <v>11</v>
      </c>
      <c r="I15118" t="s">
        <v>10</v>
      </c>
    </row>
    <row r="15119" spans="1:9" x14ac:dyDescent="0.25">
      <c r="A15119" t="str">
        <f t="shared" si="346"/>
        <v>89301000</v>
      </c>
      <c r="B15119" t="str">
        <f>"9460255299"</f>
        <v>9460255299</v>
      </c>
      <c r="C15119" s="1">
        <v>44978</v>
      </c>
      <c r="D15119" s="1">
        <v>44982</v>
      </c>
      <c r="E15119">
        <v>1</v>
      </c>
      <c r="F15119" t="str">
        <f>"14-M01-05"</f>
        <v>14-M01-05</v>
      </c>
      <c r="G15119">
        <v>0.56289999999999996</v>
      </c>
      <c r="H15119" t="s">
        <v>13</v>
      </c>
      <c r="I15119" t="s">
        <v>10</v>
      </c>
    </row>
    <row r="15120" spans="1:9" x14ac:dyDescent="0.25">
      <c r="A15120" t="str">
        <f t="shared" si="346"/>
        <v>89301000</v>
      </c>
      <c r="B15120" t="str">
        <f>"9461145727"</f>
        <v>9461145727</v>
      </c>
      <c r="C15120" s="1">
        <v>45259</v>
      </c>
      <c r="D15120" s="1">
        <v>45264</v>
      </c>
      <c r="E15120">
        <v>1</v>
      </c>
      <c r="F15120" t="str">
        <f>"14-I01-01"</f>
        <v>14-I01-01</v>
      </c>
      <c r="G15120">
        <v>1.5657000000000001</v>
      </c>
      <c r="H15120" t="s">
        <v>13</v>
      </c>
      <c r="I15120" t="s">
        <v>10</v>
      </c>
    </row>
    <row r="15121" spans="1:9" x14ac:dyDescent="0.25">
      <c r="A15121" t="str">
        <f t="shared" si="346"/>
        <v>89301000</v>
      </c>
      <c r="B15121" t="str">
        <f>"9461164845"</f>
        <v>9461164845</v>
      </c>
      <c r="C15121" s="1">
        <v>45069</v>
      </c>
      <c r="D15121" s="1">
        <v>45072</v>
      </c>
      <c r="E15121">
        <v>1</v>
      </c>
      <c r="F15121" t="str">
        <f>"14-M01-05"</f>
        <v>14-M01-05</v>
      </c>
      <c r="G15121">
        <v>0.56589999999999996</v>
      </c>
      <c r="H15121" t="s">
        <v>13</v>
      </c>
      <c r="I15121" t="s">
        <v>10</v>
      </c>
    </row>
    <row r="15122" spans="1:9" x14ac:dyDescent="0.25">
      <c r="A15122" t="str">
        <f t="shared" si="346"/>
        <v>89301000</v>
      </c>
      <c r="B15122" t="str">
        <f>"9461195711"</f>
        <v>9461195711</v>
      </c>
      <c r="C15122" s="1">
        <v>45250</v>
      </c>
      <c r="D15122" s="1">
        <v>45250</v>
      </c>
      <c r="E15122">
        <v>6</v>
      </c>
      <c r="F15122" t="str">
        <f>"14-M01-05"</f>
        <v>14-M01-05</v>
      </c>
      <c r="G15122">
        <v>0.28149999999999997</v>
      </c>
      <c r="H15122" t="s">
        <v>13</v>
      </c>
      <c r="I15122" t="s">
        <v>10</v>
      </c>
    </row>
    <row r="15123" spans="1:9" x14ac:dyDescent="0.25">
      <c r="A15123" t="str">
        <f t="shared" si="346"/>
        <v>89301000</v>
      </c>
      <c r="B15123" t="str">
        <f>"9461560526"</f>
        <v>9461560526</v>
      </c>
      <c r="C15123" s="1">
        <v>45068</v>
      </c>
      <c r="D15123" s="1">
        <v>45070</v>
      </c>
      <c r="E15123">
        <v>1</v>
      </c>
      <c r="F15123" t="str">
        <f>"06-I17-04"</f>
        <v>06-I17-04</v>
      </c>
      <c r="G15123">
        <v>0.49869999999999998</v>
      </c>
      <c r="H15123" t="s">
        <v>12</v>
      </c>
      <c r="I15123" t="s">
        <v>10</v>
      </c>
    </row>
    <row r="15124" spans="1:9" x14ac:dyDescent="0.25">
      <c r="A15124" t="str">
        <f t="shared" si="346"/>
        <v>89301000</v>
      </c>
      <c r="B15124" t="str">
        <f>"9462045703"</f>
        <v>9462045703</v>
      </c>
      <c r="C15124" s="1">
        <v>45132</v>
      </c>
      <c r="D15124" s="1">
        <v>45135</v>
      </c>
      <c r="E15124">
        <v>1</v>
      </c>
      <c r="F15124" t="str">
        <f>"13-I14-03"</f>
        <v>13-I14-03</v>
      </c>
      <c r="G15124">
        <v>0.87760000000000005</v>
      </c>
      <c r="H15124" t="s">
        <v>9</v>
      </c>
      <c r="I15124" t="s">
        <v>10</v>
      </c>
    </row>
    <row r="15125" spans="1:9" x14ac:dyDescent="0.25">
      <c r="A15125" t="str">
        <f t="shared" si="346"/>
        <v>89301000</v>
      </c>
      <c r="B15125" t="str">
        <f>"9462055515"</f>
        <v>9462055515</v>
      </c>
      <c r="C15125" s="1">
        <v>45231</v>
      </c>
      <c r="D15125" s="1">
        <v>45237</v>
      </c>
      <c r="E15125">
        <v>1</v>
      </c>
      <c r="F15125" t="str">
        <f>"14-I01-05"</f>
        <v>14-I01-05</v>
      </c>
      <c r="G15125">
        <v>0.83</v>
      </c>
      <c r="H15125" t="s">
        <v>13</v>
      </c>
      <c r="I15125" t="s">
        <v>10</v>
      </c>
    </row>
    <row r="15126" spans="1:9" x14ac:dyDescent="0.25">
      <c r="A15126" t="str">
        <f t="shared" si="346"/>
        <v>89301000</v>
      </c>
      <c r="B15126" t="str">
        <f>"9462126146"</f>
        <v>9462126146</v>
      </c>
      <c r="C15126" s="1">
        <v>45243</v>
      </c>
      <c r="D15126" s="1">
        <v>45246</v>
      </c>
      <c r="E15126">
        <v>1</v>
      </c>
      <c r="F15126" t="str">
        <f>"14-M01-05"</f>
        <v>14-M01-05</v>
      </c>
      <c r="G15126">
        <v>0.56289999999999996</v>
      </c>
      <c r="H15126" t="s">
        <v>13</v>
      </c>
      <c r="I15126" t="s">
        <v>10</v>
      </c>
    </row>
    <row r="15127" spans="1:9" x14ac:dyDescent="0.25">
      <c r="A15127" t="str">
        <f t="shared" si="346"/>
        <v>89301000</v>
      </c>
      <c r="B15127" t="str">
        <f>"9462154845"</f>
        <v>9462154845</v>
      </c>
      <c r="C15127" s="1">
        <v>45169</v>
      </c>
      <c r="D15127" s="1">
        <v>45171</v>
      </c>
      <c r="E15127">
        <v>1</v>
      </c>
      <c r="F15127" t="str">
        <f>"07-I10-06"</f>
        <v>07-I10-06</v>
      </c>
      <c r="G15127">
        <v>0.98419999999999996</v>
      </c>
      <c r="H15127" t="s">
        <v>12</v>
      </c>
      <c r="I15127" t="s">
        <v>10</v>
      </c>
    </row>
    <row r="15128" spans="1:9" x14ac:dyDescent="0.25">
      <c r="A15128" t="str">
        <f t="shared" si="346"/>
        <v>89301000</v>
      </c>
      <c r="B15128" t="str">
        <f>"9462165713"</f>
        <v>9462165713</v>
      </c>
      <c r="C15128" s="1">
        <v>44992</v>
      </c>
      <c r="D15128" s="1">
        <v>44993</v>
      </c>
      <c r="E15128">
        <v>1</v>
      </c>
      <c r="F15128" t="str">
        <f>"13-I19-00"</f>
        <v>13-I19-00</v>
      </c>
      <c r="G15128">
        <v>0.28249999999999997</v>
      </c>
      <c r="H15128" t="s">
        <v>11</v>
      </c>
      <c r="I15128" t="s">
        <v>10</v>
      </c>
    </row>
    <row r="15129" spans="1:9" x14ac:dyDescent="0.25">
      <c r="A15129" t="str">
        <f t="shared" si="346"/>
        <v>89301000</v>
      </c>
      <c r="B15129" t="str">
        <f>"9462165713"</f>
        <v>9462165713</v>
      </c>
      <c r="C15129" s="1">
        <v>45264</v>
      </c>
      <c r="D15129" s="1">
        <v>45268</v>
      </c>
      <c r="E15129">
        <v>1</v>
      </c>
      <c r="F15129" t="str">
        <f>"06-I14-02"</f>
        <v>06-I14-02</v>
      </c>
      <c r="G15129">
        <v>1.4552</v>
      </c>
      <c r="H15129" t="s">
        <v>11</v>
      </c>
      <c r="I15129" t="s">
        <v>10</v>
      </c>
    </row>
    <row r="15130" spans="1:9" x14ac:dyDescent="0.25">
      <c r="A15130" t="str">
        <f t="shared" si="346"/>
        <v>89301000</v>
      </c>
      <c r="B15130" t="str">
        <f>"9462192146"</f>
        <v>9462192146</v>
      </c>
      <c r="C15130" s="1">
        <v>45116</v>
      </c>
      <c r="D15130" s="1">
        <v>45120</v>
      </c>
      <c r="E15130">
        <v>1</v>
      </c>
      <c r="F15130" t="str">
        <f>"10-I13-02"</f>
        <v>10-I13-02</v>
      </c>
      <c r="G15130">
        <v>1.1124000000000001</v>
      </c>
      <c r="H15130" t="s">
        <v>9</v>
      </c>
      <c r="I15130" t="s">
        <v>10</v>
      </c>
    </row>
    <row r="15131" spans="1:9" x14ac:dyDescent="0.25">
      <c r="A15131" t="str">
        <f t="shared" si="346"/>
        <v>89301000</v>
      </c>
      <c r="B15131" t="str">
        <f>"9462195721"</f>
        <v>9462195721</v>
      </c>
      <c r="C15131" s="1">
        <v>45196</v>
      </c>
      <c r="D15131" s="1">
        <v>45198</v>
      </c>
      <c r="E15131">
        <v>1</v>
      </c>
      <c r="F15131" t="str">
        <f>"07-I10-06"</f>
        <v>07-I10-06</v>
      </c>
      <c r="G15131">
        <v>0.98419999999999996</v>
      </c>
      <c r="H15131" t="s">
        <v>12</v>
      </c>
      <c r="I15131" t="s">
        <v>10</v>
      </c>
    </row>
    <row r="15132" spans="1:9" x14ac:dyDescent="0.25">
      <c r="A15132" t="str">
        <f t="shared" si="346"/>
        <v>89301000</v>
      </c>
      <c r="B15132" t="str">
        <f>"9462195721"</f>
        <v>9462195721</v>
      </c>
      <c r="C15132" s="1">
        <v>44942</v>
      </c>
      <c r="D15132" s="1">
        <v>44946</v>
      </c>
      <c r="E15132">
        <v>1</v>
      </c>
      <c r="F15132" t="str">
        <f>"14-M01-05"</f>
        <v>14-M01-05</v>
      </c>
      <c r="G15132">
        <v>0.56289999999999996</v>
      </c>
      <c r="H15132" t="s">
        <v>13</v>
      </c>
      <c r="I15132" t="s">
        <v>10</v>
      </c>
    </row>
    <row r="15133" spans="1:9" x14ac:dyDescent="0.25">
      <c r="A15133" t="str">
        <f t="shared" si="346"/>
        <v>89301000</v>
      </c>
      <c r="B15133" t="str">
        <f>"9462195721"</f>
        <v>9462195721</v>
      </c>
      <c r="C15133" s="1">
        <v>45117</v>
      </c>
      <c r="D15133" s="1">
        <v>45124</v>
      </c>
      <c r="E15133">
        <v>1</v>
      </c>
      <c r="F15133" t="str">
        <f>"07-K02-03"</f>
        <v>07-K02-03</v>
      </c>
      <c r="G15133">
        <v>0.78139999999999998</v>
      </c>
      <c r="H15133" t="s">
        <v>11</v>
      </c>
      <c r="I15133" t="s">
        <v>10</v>
      </c>
    </row>
    <row r="15134" spans="1:9" x14ac:dyDescent="0.25">
      <c r="A15134" t="str">
        <f t="shared" si="346"/>
        <v>89301000</v>
      </c>
      <c r="B15134" t="str">
        <f>"9462275966"</f>
        <v>9462275966</v>
      </c>
      <c r="C15134" s="1">
        <v>45163</v>
      </c>
      <c r="D15134" s="1">
        <v>45168</v>
      </c>
      <c r="E15134">
        <v>1</v>
      </c>
      <c r="F15134" t="str">
        <f>"14-I01-02"</f>
        <v>14-I01-02</v>
      </c>
      <c r="G15134">
        <v>1.2988999999999999</v>
      </c>
      <c r="H15134" t="s">
        <v>13</v>
      </c>
      <c r="I15134" t="s">
        <v>10</v>
      </c>
    </row>
    <row r="15135" spans="1:9" x14ac:dyDescent="0.25">
      <c r="A15135" t="str">
        <f t="shared" si="346"/>
        <v>89301000</v>
      </c>
      <c r="B15135" t="str">
        <f>"9462281356"</f>
        <v>9462281356</v>
      </c>
      <c r="C15135" s="1">
        <v>44946</v>
      </c>
      <c r="D15135" s="1">
        <v>44950</v>
      </c>
      <c r="E15135">
        <v>1</v>
      </c>
      <c r="F15135" t="str">
        <f>"14-I01-05"</f>
        <v>14-I01-05</v>
      </c>
      <c r="G15135">
        <v>0.83340000000000003</v>
      </c>
      <c r="H15135" t="s">
        <v>13</v>
      </c>
      <c r="I15135" t="s">
        <v>10</v>
      </c>
    </row>
    <row r="15136" spans="1:9" x14ac:dyDescent="0.25">
      <c r="A15136" t="str">
        <f t="shared" si="346"/>
        <v>89301000</v>
      </c>
      <c r="B15136" t="str">
        <f>"9501035709"</f>
        <v>9501035709</v>
      </c>
      <c r="C15136" s="1">
        <v>45104</v>
      </c>
      <c r="D15136" s="1">
        <v>45106</v>
      </c>
      <c r="E15136">
        <v>1</v>
      </c>
      <c r="F15136" t="str">
        <f>"05-I30-01"</f>
        <v>05-I30-01</v>
      </c>
      <c r="G15136">
        <v>0.60350000000000004</v>
      </c>
      <c r="H15136" t="s">
        <v>12</v>
      </c>
      <c r="I15136" t="s">
        <v>10</v>
      </c>
    </row>
    <row r="15137" spans="1:9" x14ac:dyDescent="0.25">
      <c r="A15137" t="str">
        <f t="shared" si="346"/>
        <v>89301000</v>
      </c>
      <c r="B15137" t="str">
        <f>"9501055751"</f>
        <v>9501055751</v>
      </c>
      <c r="C15137" s="1">
        <v>45012</v>
      </c>
      <c r="D15137" s="1">
        <v>45014</v>
      </c>
      <c r="E15137">
        <v>1</v>
      </c>
      <c r="F15137" t="str">
        <f>"08-I17-02"</f>
        <v>08-I17-02</v>
      </c>
      <c r="G15137">
        <v>0.89680000000000004</v>
      </c>
      <c r="H15137" t="s">
        <v>11</v>
      </c>
      <c r="I15137" t="s">
        <v>10</v>
      </c>
    </row>
    <row r="15138" spans="1:9" x14ac:dyDescent="0.25">
      <c r="A15138" t="str">
        <f t="shared" si="346"/>
        <v>89301000</v>
      </c>
      <c r="B15138" t="str">
        <f>"9501125722"</f>
        <v>9501125722</v>
      </c>
      <c r="C15138" s="1">
        <v>45259</v>
      </c>
      <c r="D15138" s="1">
        <v>45267</v>
      </c>
      <c r="E15138">
        <v>1</v>
      </c>
      <c r="F15138" t="str">
        <f>"20-K03-03"</f>
        <v>20-K03-03</v>
      </c>
      <c r="G15138">
        <v>0.94020000000000004</v>
      </c>
      <c r="H15138" t="s">
        <v>11</v>
      </c>
      <c r="I15138" t="s">
        <v>10</v>
      </c>
    </row>
    <row r="15139" spans="1:9" x14ac:dyDescent="0.25">
      <c r="A15139" t="str">
        <f t="shared" si="346"/>
        <v>89301000</v>
      </c>
      <c r="B15139" t="str">
        <f>"9502064858"</f>
        <v>9502064858</v>
      </c>
      <c r="C15139" s="1">
        <v>45175</v>
      </c>
      <c r="D15139" s="1">
        <v>45178</v>
      </c>
      <c r="E15139">
        <v>1</v>
      </c>
      <c r="F15139" t="str">
        <f>"16-I04-01"</f>
        <v>16-I04-01</v>
      </c>
      <c r="G15139">
        <v>0.93289999999999995</v>
      </c>
      <c r="H15139" t="s">
        <v>12</v>
      </c>
      <c r="I15139" t="s">
        <v>10</v>
      </c>
    </row>
    <row r="15140" spans="1:9" x14ac:dyDescent="0.25">
      <c r="A15140" t="str">
        <f t="shared" si="346"/>
        <v>89301000</v>
      </c>
      <c r="B15140" t="str">
        <f>"9504045760"</f>
        <v>9504045760</v>
      </c>
      <c r="C15140" s="1">
        <v>45116</v>
      </c>
      <c r="D15140" s="1">
        <v>45120</v>
      </c>
      <c r="E15140">
        <v>5</v>
      </c>
      <c r="F15140" t="str">
        <f>"25-I02-02"</f>
        <v>25-I02-02</v>
      </c>
      <c r="G15140">
        <v>5.7187999999999999</v>
      </c>
      <c r="H15140" t="s">
        <v>14</v>
      </c>
      <c r="I15140" t="s">
        <v>10</v>
      </c>
    </row>
    <row r="15141" spans="1:9" x14ac:dyDescent="0.25">
      <c r="A15141" t="str">
        <f t="shared" si="346"/>
        <v>89301000</v>
      </c>
      <c r="B15141" t="str">
        <f>"9504085712"</f>
        <v>9504085712</v>
      </c>
      <c r="C15141" s="1">
        <v>45283</v>
      </c>
      <c r="D15141" s="1">
        <v>45284</v>
      </c>
      <c r="E15141">
        <v>1</v>
      </c>
      <c r="F15141" t="str">
        <f>"06-K03-03"</f>
        <v>06-K03-03</v>
      </c>
      <c r="G15141">
        <v>0.42649999999999999</v>
      </c>
      <c r="H15141" t="s">
        <v>11</v>
      </c>
      <c r="I15141" t="s">
        <v>10</v>
      </c>
    </row>
    <row r="15142" spans="1:9" x14ac:dyDescent="0.25">
      <c r="A15142" t="str">
        <f t="shared" si="346"/>
        <v>89301000</v>
      </c>
      <c r="B15142" t="str">
        <f>"9504305701"</f>
        <v>9504305701</v>
      </c>
      <c r="C15142" s="1">
        <v>45203</v>
      </c>
      <c r="D15142" s="1">
        <v>45205</v>
      </c>
      <c r="E15142">
        <v>1</v>
      </c>
      <c r="F15142" t="str">
        <f>"08-I18-02"</f>
        <v>08-I18-02</v>
      </c>
      <c r="G15142">
        <v>0.62509999999999999</v>
      </c>
      <c r="H15142" t="s">
        <v>12</v>
      </c>
      <c r="I15142" t="s">
        <v>10</v>
      </c>
    </row>
    <row r="15143" spans="1:9" x14ac:dyDescent="0.25">
      <c r="A15143" t="str">
        <f t="shared" si="346"/>
        <v>89301000</v>
      </c>
      <c r="B15143" t="str">
        <f>"9506245705"</f>
        <v>9506245705</v>
      </c>
      <c r="C15143" s="1">
        <v>45150</v>
      </c>
      <c r="D15143" s="1">
        <v>45154</v>
      </c>
      <c r="E15143">
        <v>4</v>
      </c>
      <c r="F15143" t="str">
        <f>"19-K02-01"</f>
        <v>19-K02-01</v>
      </c>
      <c r="G15143">
        <v>1.0766</v>
      </c>
      <c r="H15143" t="s">
        <v>15</v>
      </c>
      <c r="I15143" t="s">
        <v>10</v>
      </c>
    </row>
    <row r="15144" spans="1:9" x14ac:dyDescent="0.25">
      <c r="A15144" t="str">
        <f t="shared" si="346"/>
        <v>89301000</v>
      </c>
      <c r="B15144" t="str">
        <f>"9507024846"</f>
        <v>9507024846</v>
      </c>
      <c r="C15144" s="1">
        <v>45147</v>
      </c>
      <c r="D15144" s="1">
        <v>45156</v>
      </c>
      <c r="E15144">
        <v>1</v>
      </c>
      <c r="F15144" t="str">
        <f>"18-M01-03"</f>
        <v>18-M01-03</v>
      </c>
      <c r="G15144">
        <v>2.4329999999999998</v>
      </c>
      <c r="H15144" t="s">
        <v>11</v>
      </c>
      <c r="I15144" t="s">
        <v>10</v>
      </c>
    </row>
    <row r="15145" spans="1:9" x14ac:dyDescent="0.25">
      <c r="A15145" t="str">
        <f t="shared" si="346"/>
        <v>89301000</v>
      </c>
      <c r="B15145" t="str">
        <f>"9507024846"</f>
        <v>9507024846</v>
      </c>
      <c r="C15145" s="1">
        <v>45273</v>
      </c>
      <c r="D15145" s="1">
        <v>45275</v>
      </c>
      <c r="E15145">
        <v>1</v>
      </c>
      <c r="F15145" t="str">
        <f>"11-M02-07"</f>
        <v>11-M02-07</v>
      </c>
      <c r="G15145">
        <v>0.64419999999999999</v>
      </c>
      <c r="H15145" t="s">
        <v>11</v>
      </c>
      <c r="I15145" t="s">
        <v>10</v>
      </c>
    </row>
    <row r="15146" spans="1:9" x14ac:dyDescent="0.25">
      <c r="A15146" t="str">
        <f t="shared" si="346"/>
        <v>89301000</v>
      </c>
      <c r="B15146" t="str">
        <f>"9507024846"</f>
        <v>9507024846</v>
      </c>
      <c r="C15146" s="1">
        <v>45252</v>
      </c>
      <c r="D15146" s="1">
        <v>45260</v>
      </c>
      <c r="E15146">
        <v>1</v>
      </c>
      <c r="F15146" t="str">
        <f>"18-M01-03"</f>
        <v>18-M01-03</v>
      </c>
      <c r="G15146">
        <v>2.4329999999999998</v>
      </c>
      <c r="H15146" t="s">
        <v>11</v>
      </c>
      <c r="I15146" t="s">
        <v>10</v>
      </c>
    </row>
    <row r="15147" spans="1:9" x14ac:dyDescent="0.25">
      <c r="A15147" t="str">
        <f t="shared" si="346"/>
        <v>89301000</v>
      </c>
      <c r="B15147" t="str">
        <f>"9507026078"</f>
        <v>9507026078</v>
      </c>
      <c r="C15147" s="1">
        <v>45099</v>
      </c>
      <c r="D15147" s="1">
        <v>45103</v>
      </c>
      <c r="E15147">
        <v>1</v>
      </c>
      <c r="F15147" t="str">
        <f>"04-K12-00"</f>
        <v>04-K12-00</v>
      </c>
      <c r="G15147">
        <v>0.48199999999999998</v>
      </c>
      <c r="H15147" t="s">
        <v>11</v>
      </c>
      <c r="I15147" t="s">
        <v>10</v>
      </c>
    </row>
    <row r="15148" spans="1:9" x14ac:dyDescent="0.25">
      <c r="A15148" t="str">
        <f t="shared" si="346"/>
        <v>89301000</v>
      </c>
      <c r="B15148" t="str">
        <f>"9507035505"</f>
        <v>9507035505</v>
      </c>
      <c r="C15148" s="1">
        <v>44998</v>
      </c>
      <c r="D15148" s="1">
        <v>45002</v>
      </c>
      <c r="E15148">
        <v>1</v>
      </c>
      <c r="F15148" t="str">
        <f>"09-K04-02"</f>
        <v>09-K04-02</v>
      </c>
      <c r="G15148">
        <v>0.64849999999999997</v>
      </c>
      <c r="H15148" t="s">
        <v>11</v>
      </c>
      <c r="I15148" t="s">
        <v>10</v>
      </c>
    </row>
    <row r="15149" spans="1:9" x14ac:dyDescent="0.25">
      <c r="A15149" t="str">
        <f t="shared" si="346"/>
        <v>89301000</v>
      </c>
      <c r="B15149" t="str">
        <f>"9507164854"</f>
        <v>9507164854</v>
      </c>
      <c r="C15149" s="1">
        <v>45153</v>
      </c>
      <c r="D15149" s="1">
        <v>45161</v>
      </c>
      <c r="E15149">
        <v>1</v>
      </c>
      <c r="F15149" t="str">
        <f>"01-I06-05"</f>
        <v>01-I06-05</v>
      </c>
      <c r="G15149">
        <v>2.6970999999999998</v>
      </c>
      <c r="H15149" t="s">
        <v>12</v>
      </c>
      <c r="I15149" t="s">
        <v>10</v>
      </c>
    </row>
    <row r="15150" spans="1:9" x14ac:dyDescent="0.25">
      <c r="A15150" t="str">
        <f t="shared" si="346"/>
        <v>89301000</v>
      </c>
      <c r="B15150" t="str">
        <f>"9507164854"</f>
        <v>9507164854</v>
      </c>
      <c r="C15150" s="1">
        <v>45064</v>
      </c>
      <c r="D15150" s="1">
        <v>45065</v>
      </c>
      <c r="E15150">
        <v>1</v>
      </c>
      <c r="F15150" t="str">
        <f>"02-K11-02"</f>
        <v>02-K11-02</v>
      </c>
      <c r="G15150">
        <v>0.56559999999999999</v>
      </c>
      <c r="H15150" t="s">
        <v>11</v>
      </c>
      <c r="I15150" t="s">
        <v>10</v>
      </c>
    </row>
    <row r="15151" spans="1:9" x14ac:dyDescent="0.25">
      <c r="A15151" t="str">
        <f t="shared" si="346"/>
        <v>89301000</v>
      </c>
      <c r="B15151" t="str">
        <f>"9508015704"</f>
        <v>9508015704</v>
      </c>
      <c r="C15151" s="1">
        <v>44957</v>
      </c>
      <c r="D15151" s="1">
        <v>44960</v>
      </c>
      <c r="E15151">
        <v>1</v>
      </c>
      <c r="F15151" t="str">
        <f>"08-M03-05"</f>
        <v>08-M03-05</v>
      </c>
      <c r="G15151">
        <v>0.46810000000000002</v>
      </c>
      <c r="H15151" t="s">
        <v>11</v>
      </c>
      <c r="I15151" t="s">
        <v>10</v>
      </c>
    </row>
    <row r="15152" spans="1:9" x14ac:dyDescent="0.25">
      <c r="A15152" t="str">
        <f t="shared" si="346"/>
        <v>89301000</v>
      </c>
      <c r="B15152" t="str">
        <f>"9509225726"</f>
        <v>9509225726</v>
      </c>
      <c r="C15152" s="1">
        <v>45253</v>
      </c>
      <c r="D15152" s="1">
        <v>45258</v>
      </c>
      <c r="E15152">
        <v>1</v>
      </c>
      <c r="F15152" t="str">
        <f>"06-K02-04"</f>
        <v>06-K02-04</v>
      </c>
      <c r="G15152">
        <v>0.37659999999999999</v>
      </c>
      <c r="H15152" t="s">
        <v>11</v>
      </c>
      <c r="I15152" t="s">
        <v>10</v>
      </c>
    </row>
    <row r="15153" spans="1:9" x14ac:dyDescent="0.25">
      <c r="A15153" t="str">
        <f t="shared" si="346"/>
        <v>89301000</v>
      </c>
      <c r="B15153" t="str">
        <f>"9510175752"</f>
        <v>9510175752</v>
      </c>
      <c r="C15153" s="1">
        <v>45229</v>
      </c>
      <c r="D15153" s="1">
        <v>45232</v>
      </c>
      <c r="E15153">
        <v>1</v>
      </c>
      <c r="F15153" t="str">
        <f>"09-K02-00"</f>
        <v>09-K02-00</v>
      </c>
      <c r="G15153">
        <v>0.99539999999999995</v>
      </c>
      <c r="H15153" t="s">
        <v>11</v>
      </c>
      <c r="I15153" t="s">
        <v>10</v>
      </c>
    </row>
    <row r="15154" spans="1:9" x14ac:dyDescent="0.25">
      <c r="A15154" t="str">
        <f t="shared" si="346"/>
        <v>89301000</v>
      </c>
      <c r="B15154" t="str">
        <f>"9511053200"</f>
        <v>9511053200</v>
      </c>
      <c r="C15154" s="1">
        <v>45278</v>
      </c>
      <c r="D15154" s="1">
        <v>45280</v>
      </c>
      <c r="E15154">
        <v>1</v>
      </c>
      <c r="F15154" t="str">
        <f>"08-M03-05"</f>
        <v>08-M03-05</v>
      </c>
      <c r="G15154">
        <v>0.46810000000000002</v>
      </c>
      <c r="H15154" t="s">
        <v>11</v>
      </c>
      <c r="I15154" t="s">
        <v>10</v>
      </c>
    </row>
    <row r="15155" spans="1:9" x14ac:dyDescent="0.25">
      <c r="A15155" t="str">
        <f t="shared" si="346"/>
        <v>89301000</v>
      </c>
      <c r="B15155" t="str">
        <f>"9511094648"</f>
        <v>9511094648</v>
      </c>
      <c r="C15155" s="1">
        <v>44997</v>
      </c>
      <c r="D15155" s="1">
        <v>45000</v>
      </c>
      <c r="E15155">
        <v>5</v>
      </c>
      <c r="F15155" t="str">
        <f>"08-I04-01"</f>
        <v>08-I04-01</v>
      </c>
      <c r="G15155">
        <v>2.7970000000000002</v>
      </c>
      <c r="H15155" t="s">
        <v>14</v>
      </c>
      <c r="I15155" t="s">
        <v>10</v>
      </c>
    </row>
    <row r="15156" spans="1:9" x14ac:dyDescent="0.25">
      <c r="A15156" t="str">
        <f t="shared" si="346"/>
        <v>89301000</v>
      </c>
      <c r="B15156" t="str">
        <f>"9511155731"</f>
        <v>9511155731</v>
      </c>
      <c r="C15156" s="1">
        <v>45266</v>
      </c>
      <c r="D15156" s="1">
        <v>45269</v>
      </c>
      <c r="E15156">
        <v>1</v>
      </c>
      <c r="F15156" t="str">
        <f>"10-K05-01"</f>
        <v>10-K05-01</v>
      </c>
      <c r="G15156">
        <v>1.0861000000000001</v>
      </c>
      <c r="H15156" t="s">
        <v>11</v>
      </c>
      <c r="I15156" t="s">
        <v>10</v>
      </c>
    </row>
    <row r="15157" spans="1:9" x14ac:dyDescent="0.25">
      <c r="A15157" t="str">
        <f t="shared" si="346"/>
        <v>89301000</v>
      </c>
      <c r="B15157" t="str">
        <f>"9511175740"</f>
        <v>9511175740</v>
      </c>
      <c r="C15157" s="1">
        <v>44977</v>
      </c>
      <c r="D15157" s="1">
        <v>44981</v>
      </c>
      <c r="E15157">
        <v>1</v>
      </c>
      <c r="F15157" t="str">
        <f>"09-K14-02"</f>
        <v>09-K14-02</v>
      </c>
      <c r="G15157">
        <v>0.5</v>
      </c>
      <c r="H15157" t="s">
        <v>11</v>
      </c>
      <c r="I15157" t="s">
        <v>10</v>
      </c>
    </row>
    <row r="15158" spans="1:9" x14ac:dyDescent="0.25">
      <c r="A15158" t="str">
        <f t="shared" si="346"/>
        <v>89301000</v>
      </c>
      <c r="B15158" t="str">
        <f>"9551116146"</f>
        <v>9551116146</v>
      </c>
      <c r="C15158" s="1">
        <v>44923</v>
      </c>
      <c r="D15158" s="1">
        <v>44929</v>
      </c>
      <c r="E15158">
        <v>1</v>
      </c>
      <c r="F15158" t="str">
        <f>"14-I01-02"</f>
        <v>14-I01-02</v>
      </c>
      <c r="G15158">
        <v>1.2988999999999999</v>
      </c>
      <c r="H15158" t="s">
        <v>13</v>
      </c>
      <c r="I15158" t="s">
        <v>10</v>
      </c>
    </row>
    <row r="15159" spans="1:9" x14ac:dyDescent="0.25">
      <c r="A15159" t="str">
        <f t="shared" si="346"/>
        <v>89301000</v>
      </c>
      <c r="B15159" t="str">
        <f>"9551186172"</f>
        <v>9551186172</v>
      </c>
      <c r="C15159" s="1">
        <v>45061</v>
      </c>
      <c r="D15159" s="1">
        <v>45064</v>
      </c>
      <c r="E15159">
        <v>1</v>
      </c>
      <c r="F15159" t="str">
        <f>"03-I21-00"</f>
        <v>03-I21-00</v>
      </c>
      <c r="G15159">
        <v>0.42759999999999998</v>
      </c>
      <c r="H15159" t="s">
        <v>11</v>
      </c>
      <c r="I15159" t="s">
        <v>10</v>
      </c>
    </row>
    <row r="15160" spans="1:9" x14ac:dyDescent="0.25">
      <c r="A15160" t="str">
        <f t="shared" si="346"/>
        <v>89301000</v>
      </c>
      <c r="B15160" t="str">
        <f>"9551215718"</f>
        <v>9551215718</v>
      </c>
      <c r="C15160" s="1">
        <v>45223</v>
      </c>
      <c r="D15160" s="1">
        <v>45228</v>
      </c>
      <c r="E15160">
        <v>1</v>
      </c>
      <c r="F15160" t="str">
        <f>"14-I01-05"</f>
        <v>14-I01-05</v>
      </c>
      <c r="G15160">
        <v>0.83340000000000003</v>
      </c>
      <c r="H15160" t="s">
        <v>13</v>
      </c>
      <c r="I15160" t="s">
        <v>10</v>
      </c>
    </row>
    <row r="15161" spans="1:9" x14ac:dyDescent="0.25">
      <c r="A15161" t="str">
        <f t="shared" si="346"/>
        <v>89301000</v>
      </c>
      <c r="B15161" t="str">
        <f>"9551245715"</f>
        <v>9551245715</v>
      </c>
      <c r="C15161" s="1">
        <v>45090</v>
      </c>
      <c r="D15161" s="1">
        <v>45098</v>
      </c>
      <c r="E15161">
        <v>1</v>
      </c>
      <c r="F15161" t="str">
        <f>"19-K03-03"</f>
        <v>19-K03-03</v>
      </c>
      <c r="G15161">
        <v>0.90410000000000001</v>
      </c>
      <c r="H15161" t="s">
        <v>15</v>
      </c>
      <c r="I15161" t="s">
        <v>10</v>
      </c>
    </row>
    <row r="15162" spans="1:9" x14ac:dyDescent="0.25">
      <c r="A15162" t="str">
        <f t="shared" si="346"/>
        <v>89301000</v>
      </c>
      <c r="B15162" t="str">
        <f>"9552015715"</f>
        <v>9552015715</v>
      </c>
      <c r="C15162" s="1">
        <v>45174</v>
      </c>
      <c r="D15162" s="1">
        <v>45177</v>
      </c>
      <c r="E15162">
        <v>1</v>
      </c>
      <c r="F15162" t="str">
        <f>"14-M01-05"</f>
        <v>14-M01-05</v>
      </c>
      <c r="G15162">
        <v>0.56589999999999996</v>
      </c>
      <c r="H15162" t="s">
        <v>13</v>
      </c>
      <c r="I15162" t="s">
        <v>10</v>
      </c>
    </row>
    <row r="15163" spans="1:9" x14ac:dyDescent="0.25">
      <c r="A15163" t="str">
        <f t="shared" si="346"/>
        <v>89301000</v>
      </c>
      <c r="B15163" t="str">
        <f>"9552085730"</f>
        <v>9552085730</v>
      </c>
      <c r="C15163" s="1">
        <v>45049</v>
      </c>
      <c r="D15163" s="1">
        <v>45051</v>
      </c>
      <c r="E15163">
        <v>1</v>
      </c>
      <c r="F15163" t="str">
        <f>"01-K07-03"</f>
        <v>01-K07-03</v>
      </c>
      <c r="G15163">
        <v>0.48680000000000001</v>
      </c>
      <c r="H15163" t="s">
        <v>11</v>
      </c>
      <c r="I15163" t="s">
        <v>10</v>
      </c>
    </row>
    <row r="15164" spans="1:9" x14ac:dyDescent="0.25">
      <c r="A15164" t="str">
        <f t="shared" si="346"/>
        <v>89301000</v>
      </c>
      <c r="B15164" t="str">
        <f>"9552085741"</f>
        <v>9552085741</v>
      </c>
      <c r="C15164" s="1">
        <v>45280</v>
      </c>
      <c r="D15164" s="1">
        <v>45282</v>
      </c>
      <c r="E15164">
        <v>1</v>
      </c>
      <c r="F15164" t="str">
        <f>"14-I01-05"</f>
        <v>14-I01-05</v>
      </c>
      <c r="G15164">
        <v>0.83340000000000003</v>
      </c>
      <c r="H15164" t="s">
        <v>13</v>
      </c>
      <c r="I15164" t="s">
        <v>10</v>
      </c>
    </row>
    <row r="15165" spans="1:9" x14ac:dyDescent="0.25">
      <c r="A15165" t="str">
        <f t="shared" si="346"/>
        <v>89301000</v>
      </c>
      <c r="B15165" t="str">
        <f>"9552135747"</f>
        <v>9552135747</v>
      </c>
      <c r="C15165" s="1">
        <v>45006</v>
      </c>
      <c r="D15165" s="1">
        <v>45013</v>
      </c>
      <c r="E15165">
        <v>1</v>
      </c>
      <c r="F15165" t="str">
        <f>"11-K01-04"</f>
        <v>11-K01-04</v>
      </c>
      <c r="G15165">
        <v>0.57130000000000003</v>
      </c>
      <c r="H15165" t="s">
        <v>11</v>
      </c>
      <c r="I15165" t="s">
        <v>10</v>
      </c>
    </row>
    <row r="15166" spans="1:9" x14ac:dyDescent="0.25">
      <c r="A15166" t="str">
        <f t="shared" si="346"/>
        <v>89301000</v>
      </c>
      <c r="B15166" t="str">
        <f>"9552154458"</f>
        <v>9552154458</v>
      </c>
      <c r="C15166" s="1">
        <v>45206</v>
      </c>
      <c r="D15166" s="1">
        <v>45210</v>
      </c>
      <c r="E15166">
        <v>1</v>
      </c>
      <c r="F15166" t="str">
        <f>"14-M01-05"</f>
        <v>14-M01-05</v>
      </c>
      <c r="G15166">
        <v>0.56289999999999996</v>
      </c>
      <c r="H15166" t="s">
        <v>13</v>
      </c>
      <c r="I15166" t="s">
        <v>10</v>
      </c>
    </row>
    <row r="15167" spans="1:9" x14ac:dyDescent="0.25">
      <c r="A15167" t="str">
        <f t="shared" si="346"/>
        <v>89301000</v>
      </c>
      <c r="B15167" t="str">
        <f>"9552185720"</f>
        <v>9552185720</v>
      </c>
      <c r="C15167" s="1">
        <v>45217</v>
      </c>
      <c r="D15167" s="1">
        <v>45221</v>
      </c>
      <c r="E15167">
        <v>1</v>
      </c>
      <c r="F15167" t="str">
        <f>"14-M01-05"</f>
        <v>14-M01-05</v>
      </c>
      <c r="G15167">
        <v>0.56289999999999996</v>
      </c>
      <c r="H15167" t="s">
        <v>13</v>
      </c>
      <c r="I15167" t="s">
        <v>10</v>
      </c>
    </row>
    <row r="15168" spans="1:9" x14ac:dyDescent="0.25">
      <c r="A15168" t="str">
        <f t="shared" si="346"/>
        <v>89301000</v>
      </c>
      <c r="B15168" t="str">
        <f>"9553015307"</f>
        <v>9553015307</v>
      </c>
      <c r="C15168" s="1">
        <v>45154</v>
      </c>
      <c r="D15168" s="1">
        <v>45156</v>
      </c>
      <c r="E15168">
        <v>1</v>
      </c>
      <c r="F15168" t="str">
        <f>"08-I17-02"</f>
        <v>08-I17-02</v>
      </c>
      <c r="G15168">
        <v>0.89680000000000004</v>
      </c>
      <c r="H15168" t="s">
        <v>11</v>
      </c>
      <c r="I15168" t="s">
        <v>10</v>
      </c>
    </row>
    <row r="15169" spans="1:9" x14ac:dyDescent="0.25">
      <c r="A15169" t="str">
        <f t="shared" si="346"/>
        <v>89301000</v>
      </c>
      <c r="B15169" t="str">
        <f>"9553026153"</f>
        <v>9553026153</v>
      </c>
      <c r="C15169" s="1">
        <v>45202</v>
      </c>
      <c r="D15169" s="1">
        <v>45205</v>
      </c>
      <c r="E15169">
        <v>1</v>
      </c>
      <c r="F15169" t="str">
        <f>"14-M01-05"</f>
        <v>14-M01-05</v>
      </c>
      <c r="G15169">
        <v>0.56289999999999996</v>
      </c>
      <c r="H15169" t="s">
        <v>13</v>
      </c>
      <c r="I15169" t="s">
        <v>10</v>
      </c>
    </row>
    <row r="15170" spans="1:9" x14ac:dyDescent="0.25">
      <c r="A15170" t="str">
        <f t="shared" si="346"/>
        <v>89301000</v>
      </c>
      <c r="B15170" t="str">
        <f>"9553105727"</f>
        <v>9553105727</v>
      </c>
      <c r="C15170" s="1">
        <v>45145</v>
      </c>
      <c r="D15170" s="1">
        <v>45150</v>
      </c>
      <c r="E15170">
        <v>1</v>
      </c>
      <c r="F15170" t="str">
        <f>"14-I01-02"</f>
        <v>14-I01-02</v>
      </c>
      <c r="G15170">
        <v>1.2988999999999999</v>
      </c>
      <c r="H15170" t="s">
        <v>13</v>
      </c>
      <c r="I15170" t="s">
        <v>10</v>
      </c>
    </row>
    <row r="15171" spans="1:9" x14ac:dyDescent="0.25">
      <c r="A15171" t="str">
        <f t="shared" si="346"/>
        <v>89301000</v>
      </c>
      <c r="B15171" t="str">
        <f>"9553135416"</f>
        <v>9553135416</v>
      </c>
      <c r="C15171" s="1">
        <v>45165</v>
      </c>
      <c r="D15171" s="1">
        <v>45168</v>
      </c>
      <c r="E15171">
        <v>1</v>
      </c>
      <c r="F15171" t="str">
        <f>"14-M01-05"</f>
        <v>14-M01-05</v>
      </c>
      <c r="G15171">
        <v>0.56289999999999996</v>
      </c>
      <c r="H15171" t="s">
        <v>13</v>
      </c>
      <c r="I15171" t="s">
        <v>10</v>
      </c>
    </row>
    <row r="15172" spans="1:9" x14ac:dyDescent="0.25">
      <c r="A15172" t="str">
        <f t="shared" si="346"/>
        <v>89301000</v>
      </c>
      <c r="B15172" t="str">
        <f>"9553285720"</f>
        <v>9553285720</v>
      </c>
      <c r="C15172" s="1">
        <v>45244</v>
      </c>
      <c r="D15172" s="1">
        <v>45246</v>
      </c>
      <c r="E15172">
        <v>1</v>
      </c>
      <c r="F15172" t="str">
        <f>"08-M03-05"</f>
        <v>08-M03-05</v>
      </c>
      <c r="G15172">
        <v>0.46910000000000002</v>
      </c>
      <c r="H15172" t="s">
        <v>11</v>
      </c>
      <c r="I15172" t="s">
        <v>10</v>
      </c>
    </row>
    <row r="15173" spans="1:9" x14ac:dyDescent="0.25">
      <c r="A15173" t="str">
        <f t="shared" si="346"/>
        <v>89301000</v>
      </c>
      <c r="B15173" t="str">
        <f>"9553294872"</f>
        <v>9553294872</v>
      </c>
      <c r="C15173" s="1">
        <v>45141</v>
      </c>
      <c r="D15173" s="1">
        <v>45145</v>
      </c>
      <c r="E15173">
        <v>1</v>
      </c>
      <c r="F15173" t="str">
        <f>"14-I01-02"</f>
        <v>14-I01-02</v>
      </c>
      <c r="G15173">
        <v>1.2935000000000001</v>
      </c>
      <c r="H15173" t="s">
        <v>13</v>
      </c>
      <c r="I15173" t="s">
        <v>10</v>
      </c>
    </row>
    <row r="15174" spans="1:9" x14ac:dyDescent="0.25">
      <c r="A15174" t="str">
        <f t="shared" si="346"/>
        <v>89301000</v>
      </c>
      <c r="B15174" t="str">
        <f>"9553296159"</f>
        <v>9553296159</v>
      </c>
      <c r="C15174" s="1">
        <v>45091</v>
      </c>
      <c r="D15174" s="1">
        <v>45095</v>
      </c>
      <c r="E15174">
        <v>1</v>
      </c>
      <c r="F15174" t="str">
        <f>"14-I01-05"</f>
        <v>14-I01-05</v>
      </c>
      <c r="G15174">
        <v>0.83340000000000003</v>
      </c>
      <c r="H15174" t="s">
        <v>13</v>
      </c>
      <c r="I15174" t="s">
        <v>10</v>
      </c>
    </row>
    <row r="15175" spans="1:9" x14ac:dyDescent="0.25">
      <c r="A15175" t="str">
        <f t="shared" ref="A15175:A15237" si="347">"89301000"</f>
        <v>89301000</v>
      </c>
      <c r="B15175" t="str">
        <f>"9553296159"</f>
        <v>9553296159</v>
      </c>
      <c r="C15175" s="1">
        <v>45242</v>
      </c>
      <c r="D15175" s="1">
        <v>45246</v>
      </c>
      <c r="E15175">
        <v>1</v>
      </c>
      <c r="F15175" t="str">
        <f>"10-I13-01"</f>
        <v>10-I13-01</v>
      </c>
      <c r="G15175">
        <v>1.778</v>
      </c>
      <c r="H15175" t="s">
        <v>9</v>
      </c>
      <c r="I15175" t="s">
        <v>10</v>
      </c>
    </row>
    <row r="15176" spans="1:9" x14ac:dyDescent="0.25">
      <c r="A15176" t="str">
        <f t="shared" si="347"/>
        <v>89301000</v>
      </c>
      <c r="B15176" t="str">
        <f>"9554016164"</f>
        <v>9554016164</v>
      </c>
      <c r="C15176" s="1">
        <v>45189</v>
      </c>
      <c r="D15176" s="1">
        <v>45195</v>
      </c>
      <c r="E15176">
        <v>1</v>
      </c>
      <c r="F15176" t="str">
        <f>"14-I01-02"</f>
        <v>14-I01-02</v>
      </c>
      <c r="G15176">
        <v>1.4048</v>
      </c>
      <c r="H15176" t="s">
        <v>13</v>
      </c>
      <c r="I15176" t="s">
        <v>10</v>
      </c>
    </row>
    <row r="15177" spans="1:9" x14ac:dyDescent="0.25">
      <c r="A15177" t="str">
        <f t="shared" si="347"/>
        <v>89301000</v>
      </c>
      <c r="B15177" t="str">
        <f>"9554016164"</f>
        <v>9554016164</v>
      </c>
      <c r="C15177" s="1">
        <v>45174</v>
      </c>
      <c r="D15177" s="1">
        <v>45180</v>
      </c>
      <c r="E15177">
        <v>1</v>
      </c>
      <c r="F15177" t="str">
        <f>"14-K03-01"</f>
        <v>14-K03-01</v>
      </c>
      <c r="G15177">
        <v>0.54159999999999997</v>
      </c>
      <c r="H15177" t="s">
        <v>11</v>
      </c>
      <c r="I15177" t="s">
        <v>10</v>
      </c>
    </row>
    <row r="15178" spans="1:9" x14ac:dyDescent="0.25">
      <c r="A15178" t="str">
        <f t="shared" si="347"/>
        <v>89301000</v>
      </c>
      <c r="B15178" t="str">
        <f>"9554064113"</f>
        <v>9554064113</v>
      </c>
      <c r="C15178" s="1">
        <v>45086</v>
      </c>
      <c r="D15178" s="1">
        <v>45089</v>
      </c>
      <c r="E15178">
        <v>1</v>
      </c>
      <c r="F15178" t="str">
        <f>"14-M01-05"</f>
        <v>14-M01-05</v>
      </c>
      <c r="G15178">
        <v>0.56289999999999996</v>
      </c>
      <c r="H15178" t="s">
        <v>13</v>
      </c>
      <c r="I15178" t="s">
        <v>10</v>
      </c>
    </row>
    <row r="15179" spans="1:9" x14ac:dyDescent="0.25">
      <c r="A15179" t="str">
        <f t="shared" si="347"/>
        <v>89301000</v>
      </c>
      <c r="B15179" t="str">
        <f>"9554075014"</f>
        <v>9554075014</v>
      </c>
      <c r="C15179" s="1">
        <v>44990</v>
      </c>
      <c r="D15179" s="1">
        <v>44993</v>
      </c>
      <c r="E15179">
        <v>1</v>
      </c>
      <c r="F15179" t="str">
        <f>"14-M01-05"</f>
        <v>14-M01-05</v>
      </c>
      <c r="G15179">
        <v>0.56289999999999996</v>
      </c>
      <c r="H15179" t="s">
        <v>13</v>
      </c>
      <c r="I15179" t="s">
        <v>10</v>
      </c>
    </row>
    <row r="15180" spans="1:9" x14ac:dyDescent="0.25">
      <c r="A15180" t="str">
        <f t="shared" si="347"/>
        <v>89301000</v>
      </c>
      <c r="B15180" t="str">
        <f>"9554164862"</f>
        <v>9554164862</v>
      </c>
      <c r="C15180" s="1">
        <v>45103</v>
      </c>
      <c r="D15180" s="1">
        <v>45105</v>
      </c>
      <c r="E15180">
        <v>1</v>
      </c>
      <c r="F15180" t="str">
        <f>"09-I09-05"</f>
        <v>09-I09-05</v>
      </c>
      <c r="G15180">
        <v>0.46870000000000001</v>
      </c>
      <c r="H15180" t="s">
        <v>12</v>
      </c>
      <c r="I15180" t="s">
        <v>10</v>
      </c>
    </row>
    <row r="15181" spans="1:9" x14ac:dyDescent="0.25">
      <c r="A15181" t="str">
        <f t="shared" si="347"/>
        <v>89301000</v>
      </c>
      <c r="B15181" t="str">
        <f>"9554285158"</f>
        <v>9554285158</v>
      </c>
      <c r="C15181" s="1">
        <v>45121</v>
      </c>
      <c r="D15181" s="1">
        <v>45124</v>
      </c>
      <c r="E15181">
        <v>1</v>
      </c>
      <c r="F15181" t="str">
        <f>"14-M01-05"</f>
        <v>14-M01-05</v>
      </c>
      <c r="G15181">
        <v>0.56589999999999996</v>
      </c>
      <c r="H15181" t="s">
        <v>13</v>
      </c>
      <c r="I15181" t="s">
        <v>10</v>
      </c>
    </row>
    <row r="15182" spans="1:9" x14ac:dyDescent="0.25">
      <c r="A15182" t="str">
        <f t="shared" si="347"/>
        <v>89301000</v>
      </c>
      <c r="B15182" t="str">
        <f>"9554285730"</f>
        <v>9554285730</v>
      </c>
      <c r="C15182" s="1">
        <v>45145</v>
      </c>
      <c r="D15182" s="1">
        <v>45148</v>
      </c>
      <c r="E15182">
        <v>1</v>
      </c>
      <c r="F15182" t="str">
        <f>"14-M01-05"</f>
        <v>14-M01-05</v>
      </c>
      <c r="G15182">
        <v>0.56289999999999996</v>
      </c>
      <c r="H15182" t="s">
        <v>13</v>
      </c>
      <c r="I15182" t="s">
        <v>10</v>
      </c>
    </row>
    <row r="15183" spans="1:9" x14ac:dyDescent="0.25">
      <c r="A15183" t="str">
        <f t="shared" si="347"/>
        <v>89301000</v>
      </c>
      <c r="B15183" t="str">
        <f>"9555035710"</f>
        <v>9555035710</v>
      </c>
      <c r="C15183" s="1">
        <v>44949</v>
      </c>
      <c r="D15183" s="1">
        <v>44953</v>
      </c>
      <c r="E15183">
        <v>1</v>
      </c>
      <c r="F15183" t="str">
        <f>"09-K04-02"</f>
        <v>09-K04-02</v>
      </c>
      <c r="G15183">
        <v>0.64849999999999997</v>
      </c>
      <c r="H15183" t="s">
        <v>11</v>
      </c>
      <c r="I15183" t="s">
        <v>10</v>
      </c>
    </row>
    <row r="15184" spans="1:9" x14ac:dyDescent="0.25">
      <c r="A15184" t="str">
        <f t="shared" si="347"/>
        <v>89301000</v>
      </c>
      <c r="B15184" t="str">
        <f>"9555066103"</f>
        <v>9555066103</v>
      </c>
      <c r="C15184" s="1">
        <v>45100</v>
      </c>
      <c r="D15184" s="1">
        <v>45104</v>
      </c>
      <c r="E15184">
        <v>1</v>
      </c>
      <c r="F15184" t="str">
        <f>"14-M01-05"</f>
        <v>14-M01-05</v>
      </c>
      <c r="G15184">
        <v>0.56589999999999996</v>
      </c>
      <c r="H15184" t="s">
        <v>13</v>
      </c>
      <c r="I15184" t="s">
        <v>10</v>
      </c>
    </row>
    <row r="15185" spans="1:9" x14ac:dyDescent="0.25">
      <c r="A15185" t="str">
        <f t="shared" si="347"/>
        <v>89301000</v>
      </c>
      <c r="B15185" t="str">
        <f>"9555066169"</f>
        <v>9555066169</v>
      </c>
      <c r="C15185" s="1">
        <v>44953</v>
      </c>
      <c r="D15185" s="1">
        <v>44954</v>
      </c>
      <c r="E15185">
        <v>1</v>
      </c>
      <c r="F15185" t="str">
        <f>"02-I06-03"</f>
        <v>02-I06-03</v>
      </c>
      <c r="G15185">
        <v>0.99260000000000004</v>
      </c>
      <c r="H15185" t="s">
        <v>12</v>
      </c>
      <c r="I15185" t="s">
        <v>10</v>
      </c>
    </row>
    <row r="15186" spans="1:9" x14ac:dyDescent="0.25">
      <c r="A15186" t="str">
        <f t="shared" si="347"/>
        <v>89301000</v>
      </c>
      <c r="B15186" t="str">
        <f>"9555075926"</f>
        <v>9555075926</v>
      </c>
      <c r="C15186" s="1">
        <v>44941</v>
      </c>
      <c r="D15186" s="1">
        <v>44945</v>
      </c>
      <c r="E15186">
        <v>1</v>
      </c>
      <c r="F15186" t="str">
        <f>"14-M01-05"</f>
        <v>14-M01-05</v>
      </c>
      <c r="G15186">
        <v>0.56289999999999996</v>
      </c>
      <c r="H15186" t="s">
        <v>13</v>
      </c>
      <c r="I15186" t="s">
        <v>10</v>
      </c>
    </row>
    <row r="15187" spans="1:9" x14ac:dyDescent="0.25">
      <c r="A15187" t="str">
        <f t="shared" si="347"/>
        <v>89301000</v>
      </c>
      <c r="B15187" t="str">
        <f>"9555095759"</f>
        <v>9555095759</v>
      </c>
      <c r="C15187" s="1">
        <v>45115</v>
      </c>
      <c r="D15187" s="1">
        <v>45118</v>
      </c>
      <c r="E15187">
        <v>1</v>
      </c>
      <c r="F15187" t="str">
        <f>"14-M01-05"</f>
        <v>14-M01-05</v>
      </c>
      <c r="G15187">
        <v>0.56289999999999996</v>
      </c>
      <c r="H15187" t="s">
        <v>13</v>
      </c>
      <c r="I15187" t="s">
        <v>10</v>
      </c>
    </row>
    <row r="15188" spans="1:9" x14ac:dyDescent="0.25">
      <c r="A15188" t="str">
        <f t="shared" si="347"/>
        <v>89301000</v>
      </c>
      <c r="B15188" t="str">
        <f>"9555155742"</f>
        <v>9555155742</v>
      </c>
      <c r="C15188" s="1">
        <v>45084</v>
      </c>
      <c r="D15188" s="1">
        <v>45086</v>
      </c>
      <c r="E15188">
        <v>1</v>
      </c>
      <c r="F15188" t="str">
        <f>"14-I01-05"</f>
        <v>14-I01-05</v>
      </c>
      <c r="G15188">
        <v>0.83340000000000003</v>
      </c>
      <c r="H15188" t="s">
        <v>13</v>
      </c>
      <c r="I15188" t="s">
        <v>10</v>
      </c>
    </row>
    <row r="15189" spans="1:9" x14ac:dyDescent="0.25">
      <c r="A15189" t="str">
        <f t="shared" si="347"/>
        <v>89301000</v>
      </c>
      <c r="B15189" t="str">
        <f>"9555175718"</f>
        <v>9555175718</v>
      </c>
      <c r="C15189" s="1">
        <v>45126</v>
      </c>
      <c r="D15189" s="1">
        <v>45132</v>
      </c>
      <c r="E15189">
        <v>1</v>
      </c>
      <c r="F15189" t="str">
        <f>"03-I16-02"</f>
        <v>03-I16-02</v>
      </c>
      <c r="G15189">
        <v>0.92979999999999996</v>
      </c>
      <c r="H15189" t="s">
        <v>9</v>
      </c>
      <c r="I15189" t="s">
        <v>10</v>
      </c>
    </row>
    <row r="15190" spans="1:9" x14ac:dyDescent="0.25">
      <c r="A15190" t="str">
        <f t="shared" si="347"/>
        <v>89301000</v>
      </c>
      <c r="B15190" t="str">
        <f>"9555245755"</f>
        <v>9555245755</v>
      </c>
      <c r="C15190" s="1">
        <v>45057</v>
      </c>
      <c r="D15190" s="1">
        <v>45059</v>
      </c>
      <c r="E15190">
        <v>1</v>
      </c>
      <c r="F15190" t="str">
        <f>"14-M01-05"</f>
        <v>14-M01-05</v>
      </c>
      <c r="G15190">
        <v>0.56289999999999996</v>
      </c>
      <c r="H15190" t="s">
        <v>13</v>
      </c>
      <c r="I15190" t="s">
        <v>10</v>
      </c>
    </row>
    <row r="15191" spans="1:9" x14ac:dyDescent="0.25">
      <c r="A15191" t="str">
        <f t="shared" si="347"/>
        <v>89301000</v>
      </c>
      <c r="B15191" t="str">
        <f>"9555266160"</f>
        <v>9555266160</v>
      </c>
      <c r="C15191" s="1">
        <v>45142</v>
      </c>
      <c r="D15191" s="1">
        <v>45161</v>
      </c>
      <c r="E15191">
        <v>1</v>
      </c>
      <c r="F15191" t="str">
        <f>"14-M01-01"</f>
        <v>14-M01-01</v>
      </c>
      <c r="G15191">
        <v>1.4441999999999999</v>
      </c>
      <c r="H15191" t="s">
        <v>13</v>
      </c>
      <c r="I15191" t="s">
        <v>10</v>
      </c>
    </row>
    <row r="15192" spans="1:9" x14ac:dyDescent="0.25">
      <c r="A15192" t="str">
        <f t="shared" si="347"/>
        <v>89301000</v>
      </c>
      <c r="B15192" t="str">
        <f>"9556045719"</f>
        <v>9556045719</v>
      </c>
      <c r="C15192" s="1">
        <v>44974</v>
      </c>
      <c r="D15192" s="1">
        <v>44977</v>
      </c>
      <c r="E15192">
        <v>1</v>
      </c>
      <c r="F15192" t="str">
        <f>"14-I01-02"</f>
        <v>14-I01-02</v>
      </c>
      <c r="G15192">
        <v>1.2988999999999999</v>
      </c>
      <c r="H15192" t="s">
        <v>13</v>
      </c>
      <c r="I15192" t="s">
        <v>10</v>
      </c>
    </row>
    <row r="15193" spans="1:9" x14ac:dyDescent="0.25">
      <c r="A15193" t="str">
        <f t="shared" si="347"/>
        <v>89301000</v>
      </c>
      <c r="B15193" t="str">
        <f>"9556175915"</f>
        <v>9556175915</v>
      </c>
      <c r="C15193" s="1">
        <v>44998</v>
      </c>
      <c r="D15193" s="1">
        <v>45009</v>
      </c>
      <c r="E15193">
        <v>1</v>
      </c>
      <c r="F15193" t="str">
        <f>"24-M06-02"</f>
        <v>24-M06-02</v>
      </c>
      <c r="G15193">
        <v>1.0699000000000001</v>
      </c>
      <c r="H15193" t="s">
        <v>11</v>
      </c>
      <c r="I15193" t="s">
        <v>10</v>
      </c>
    </row>
    <row r="15194" spans="1:9" x14ac:dyDescent="0.25">
      <c r="A15194" t="str">
        <f t="shared" si="347"/>
        <v>89301000</v>
      </c>
      <c r="B15194" t="str">
        <f>"9556175915"</f>
        <v>9556175915</v>
      </c>
      <c r="C15194" s="1">
        <v>44966</v>
      </c>
      <c r="D15194" s="1">
        <v>44967</v>
      </c>
      <c r="E15194">
        <v>1</v>
      </c>
      <c r="F15194" t="str">
        <f>"08-I14-02"</f>
        <v>08-I14-02</v>
      </c>
      <c r="G15194">
        <v>1.2390000000000001</v>
      </c>
      <c r="H15194" t="s">
        <v>12</v>
      </c>
      <c r="I15194" t="s">
        <v>10</v>
      </c>
    </row>
    <row r="15195" spans="1:9" x14ac:dyDescent="0.25">
      <c r="A15195" t="str">
        <f t="shared" si="347"/>
        <v>89301000</v>
      </c>
      <c r="B15195" t="str">
        <f>"9556175915"</f>
        <v>9556175915</v>
      </c>
      <c r="C15195" s="1">
        <v>45048</v>
      </c>
      <c r="D15195" s="1">
        <v>45051</v>
      </c>
      <c r="E15195">
        <v>1</v>
      </c>
      <c r="F15195" t="str">
        <f>"24-M04-00"</f>
        <v>24-M04-00</v>
      </c>
      <c r="G15195">
        <v>0.34399999999999997</v>
      </c>
      <c r="H15195" t="s">
        <v>11</v>
      </c>
      <c r="I15195" t="s">
        <v>10</v>
      </c>
    </row>
    <row r="15196" spans="1:9" x14ac:dyDescent="0.25">
      <c r="A15196" t="str">
        <f t="shared" si="347"/>
        <v>89301000</v>
      </c>
      <c r="B15196" t="str">
        <f>"9556286234"</f>
        <v>9556286234</v>
      </c>
      <c r="C15196" s="1">
        <v>45073</v>
      </c>
      <c r="D15196" s="1">
        <v>45077</v>
      </c>
      <c r="E15196">
        <v>1</v>
      </c>
      <c r="F15196" t="str">
        <f>"14-M01-05"</f>
        <v>14-M01-05</v>
      </c>
      <c r="G15196">
        <v>0.56589999999999996</v>
      </c>
      <c r="H15196" t="s">
        <v>13</v>
      </c>
      <c r="I15196" t="s">
        <v>10</v>
      </c>
    </row>
    <row r="15197" spans="1:9" x14ac:dyDescent="0.25">
      <c r="A15197" t="str">
        <f t="shared" si="347"/>
        <v>89301000</v>
      </c>
      <c r="B15197" t="str">
        <f>"9556305726"</f>
        <v>9556305726</v>
      </c>
      <c r="C15197" s="1">
        <v>44994</v>
      </c>
      <c r="D15197" s="1">
        <v>45005</v>
      </c>
      <c r="E15197">
        <v>4</v>
      </c>
      <c r="F15197" t="str">
        <f>"08-I15-01"</f>
        <v>08-I15-01</v>
      </c>
      <c r="G15197">
        <v>2.4645000000000001</v>
      </c>
      <c r="H15197" t="s">
        <v>12</v>
      </c>
      <c r="I15197" t="s">
        <v>10</v>
      </c>
    </row>
    <row r="15198" spans="1:9" x14ac:dyDescent="0.25">
      <c r="A15198" t="str">
        <f t="shared" si="347"/>
        <v>89301000</v>
      </c>
      <c r="B15198" t="str">
        <f>"9556305726"</f>
        <v>9556305726</v>
      </c>
      <c r="C15198" s="1">
        <v>44949</v>
      </c>
      <c r="D15198" s="1">
        <v>44950</v>
      </c>
      <c r="E15198">
        <v>1</v>
      </c>
      <c r="F15198" t="str">
        <f>"13-I19-00"</f>
        <v>13-I19-00</v>
      </c>
      <c r="G15198">
        <v>0.28249999999999997</v>
      </c>
      <c r="H15198" t="s">
        <v>11</v>
      </c>
      <c r="I15198" t="s">
        <v>10</v>
      </c>
    </row>
    <row r="15199" spans="1:9" x14ac:dyDescent="0.25">
      <c r="A15199" t="str">
        <f t="shared" si="347"/>
        <v>89301000</v>
      </c>
      <c r="B15199" t="str">
        <f>"9556305726"</f>
        <v>9556305726</v>
      </c>
      <c r="C15199" s="1">
        <v>45055</v>
      </c>
      <c r="D15199" s="1">
        <v>45065</v>
      </c>
      <c r="E15199">
        <v>1</v>
      </c>
      <c r="F15199" t="str">
        <f>"24-M06-02"</f>
        <v>24-M06-02</v>
      </c>
      <c r="G15199">
        <v>1.0699000000000001</v>
      </c>
      <c r="H15199" t="s">
        <v>11</v>
      </c>
      <c r="I15199" t="s">
        <v>10</v>
      </c>
    </row>
    <row r="15200" spans="1:9" x14ac:dyDescent="0.25">
      <c r="A15200" t="str">
        <f t="shared" si="347"/>
        <v>89301000</v>
      </c>
      <c r="B15200" t="str">
        <f>"9557125710"</f>
        <v>9557125710</v>
      </c>
      <c r="C15200" s="1">
        <v>45281</v>
      </c>
      <c r="D15200" s="1">
        <v>45283</v>
      </c>
      <c r="E15200">
        <v>1</v>
      </c>
      <c r="F15200" t="str">
        <f>"14-M01-05"</f>
        <v>14-M01-05</v>
      </c>
      <c r="G15200">
        <v>0.56289999999999996</v>
      </c>
      <c r="H15200" t="s">
        <v>13</v>
      </c>
      <c r="I15200" t="s">
        <v>10</v>
      </c>
    </row>
    <row r="15201" spans="1:9" x14ac:dyDescent="0.25">
      <c r="A15201" t="str">
        <f t="shared" si="347"/>
        <v>89301000</v>
      </c>
      <c r="B15201" t="str">
        <f>"9557165739"</f>
        <v>9557165739</v>
      </c>
      <c r="C15201" s="1">
        <v>45255</v>
      </c>
      <c r="D15201" s="1">
        <v>45256</v>
      </c>
      <c r="E15201">
        <v>1</v>
      </c>
      <c r="F15201" t="str">
        <f>"19-K02-03"</f>
        <v>19-K02-03</v>
      </c>
      <c r="G15201">
        <v>0.47970000000000002</v>
      </c>
      <c r="H15201" t="s">
        <v>15</v>
      </c>
      <c r="I15201" t="s">
        <v>10</v>
      </c>
    </row>
    <row r="15202" spans="1:9" x14ac:dyDescent="0.25">
      <c r="A15202" t="str">
        <f t="shared" si="347"/>
        <v>89301000</v>
      </c>
      <c r="B15202" t="str">
        <f>"9557194856"</f>
        <v>9557194856</v>
      </c>
      <c r="C15202" s="1">
        <v>45001</v>
      </c>
      <c r="D15202" s="1">
        <v>45002</v>
      </c>
      <c r="E15202">
        <v>1</v>
      </c>
      <c r="F15202" t="str">
        <f>"08-I17-02"</f>
        <v>08-I17-02</v>
      </c>
      <c r="G15202">
        <v>0.89680000000000004</v>
      </c>
      <c r="H15202" t="s">
        <v>11</v>
      </c>
      <c r="I15202" t="s">
        <v>10</v>
      </c>
    </row>
    <row r="15203" spans="1:9" x14ac:dyDescent="0.25">
      <c r="A15203" t="str">
        <f t="shared" si="347"/>
        <v>89301000</v>
      </c>
      <c r="B15203" t="str">
        <f>"9557205757"</f>
        <v>9557205757</v>
      </c>
      <c r="C15203" s="1">
        <v>45258</v>
      </c>
      <c r="D15203" s="1">
        <v>45260</v>
      </c>
      <c r="E15203">
        <v>1</v>
      </c>
      <c r="F15203" t="str">
        <f>"06-I17-04"</f>
        <v>06-I17-04</v>
      </c>
      <c r="G15203">
        <v>0.49869999999999998</v>
      </c>
      <c r="H15203" t="s">
        <v>12</v>
      </c>
      <c r="I15203" t="s">
        <v>10</v>
      </c>
    </row>
    <row r="15204" spans="1:9" x14ac:dyDescent="0.25">
      <c r="A15204" t="str">
        <f t="shared" si="347"/>
        <v>89301000</v>
      </c>
      <c r="B15204" t="str">
        <f>"9557245709"</f>
        <v>9557245709</v>
      </c>
      <c r="C15204" s="1">
        <v>45016</v>
      </c>
      <c r="D15204" s="1">
        <v>45028</v>
      </c>
      <c r="E15204">
        <v>1</v>
      </c>
      <c r="F15204" t="str">
        <f>"04-K11-01"</f>
        <v>04-K11-01</v>
      </c>
      <c r="G15204">
        <v>1.744</v>
      </c>
      <c r="H15204" t="s">
        <v>11</v>
      </c>
      <c r="I15204" t="s">
        <v>10</v>
      </c>
    </row>
    <row r="15205" spans="1:9" x14ac:dyDescent="0.25">
      <c r="A15205" t="str">
        <f t="shared" si="347"/>
        <v>89301000</v>
      </c>
      <c r="B15205" t="str">
        <f>"9557305010"</f>
        <v>9557305010</v>
      </c>
      <c r="C15205" s="1">
        <v>45236</v>
      </c>
      <c r="D15205" s="1">
        <v>45239</v>
      </c>
      <c r="E15205">
        <v>1</v>
      </c>
      <c r="F15205" t="str">
        <f>"14-M01-05"</f>
        <v>14-M01-05</v>
      </c>
      <c r="G15205">
        <v>0.56589999999999996</v>
      </c>
      <c r="H15205" t="s">
        <v>13</v>
      </c>
      <c r="I15205" t="s">
        <v>10</v>
      </c>
    </row>
    <row r="15206" spans="1:9" x14ac:dyDescent="0.25">
      <c r="A15206" t="str">
        <f t="shared" si="347"/>
        <v>89301000</v>
      </c>
      <c r="B15206" t="str">
        <f>"9558095723"</f>
        <v>9558095723</v>
      </c>
      <c r="C15206" s="1">
        <v>45100</v>
      </c>
      <c r="D15206" s="1">
        <v>45107</v>
      </c>
      <c r="E15206">
        <v>1</v>
      </c>
      <c r="F15206" t="str">
        <f>"14-M01-05"</f>
        <v>14-M01-05</v>
      </c>
      <c r="G15206">
        <v>0.63039999999999996</v>
      </c>
      <c r="H15206" t="s">
        <v>13</v>
      </c>
      <c r="I15206" t="s">
        <v>10</v>
      </c>
    </row>
    <row r="15207" spans="1:9" x14ac:dyDescent="0.25">
      <c r="A15207" t="str">
        <f t="shared" si="347"/>
        <v>89301000</v>
      </c>
      <c r="B15207" t="str">
        <f>"9558176078"</f>
        <v>9558176078</v>
      </c>
      <c r="C15207" s="1">
        <v>45220</v>
      </c>
      <c r="D15207" s="1">
        <v>45223</v>
      </c>
      <c r="E15207">
        <v>1</v>
      </c>
      <c r="F15207" t="str">
        <f>"14-M01-05"</f>
        <v>14-M01-05</v>
      </c>
      <c r="G15207">
        <v>0.56589999999999996</v>
      </c>
      <c r="H15207" t="s">
        <v>13</v>
      </c>
      <c r="I15207" t="s">
        <v>10</v>
      </c>
    </row>
    <row r="15208" spans="1:9" x14ac:dyDescent="0.25">
      <c r="A15208" t="str">
        <f t="shared" si="347"/>
        <v>89301000</v>
      </c>
      <c r="B15208" t="str">
        <f>"9558216151"</f>
        <v>9558216151</v>
      </c>
      <c r="C15208" s="1">
        <v>45019</v>
      </c>
      <c r="D15208" s="1">
        <v>45023</v>
      </c>
      <c r="E15208">
        <v>1</v>
      </c>
      <c r="F15208" t="str">
        <f>"14-I01-05"</f>
        <v>14-I01-05</v>
      </c>
      <c r="G15208">
        <v>0.83340000000000003</v>
      </c>
      <c r="H15208" t="s">
        <v>13</v>
      </c>
      <c r="I15208" t="s">
        <v>10</v>
      </c>
    </row>
    <row r="15209" spans="1:9" x14ac:dyDescent="0.25">
      <c r="A15209" t="str">
        <f t="shared" si="347"/>
        <v>89301000</v>
      </c>
      <c r="B15209" t="str">
        <f>"9558245950"</f>
        <v>9558245950</v>
      </c>
      <c r="C15209" s="1">
        <v>45096</v>
      </c>
      <c r="D15209" s="1">
        <v>45134</v>
      </c>
      <c r="E15209">
        <v>1</v>
      </c>
      <c r="F15209" t="str">
        <f>"19-K08-02"</f>
        <v>19-K08-02</v>
      </c>
      <c r="G15209">
        <v>4.4416000000000002</v>
      </c>
      <c r="H15209" t="s">
        <v>15</v>
      </c>
      <c r="I15209" t="s">
        <v>10</v>
      </c>
    </row>
    <row r="15210" spans="1:9" x14ac:dyDescent="0.25">
      <c r="A15210" t="str">
        <f t="shared" si="347"/>
        <v>89301000</v>
      </c>
      <c r="B15210" t="str">
        <f>"9558285704"</f>
        <v>9558285704</v>
      </c>
      <c r="C15210" s="1">
        <v>44984</v>
      </c>
      <c r="D15210" s="1">
        <v>44989</v>
      </c>
      <c r="E15210">
        <v>1</v>
      </c>
      <c r="F15210" t="str">
        <f>"14-M01-05"</f>
        <v>14-M01-05</v>
      </c>
      <c r="G15210">
        <v>0.56289999999999996</v>
      </c>
      <c r="H15210" t="s">
        <v>13</v>
      </c>
      <c r="I15210" t="s">
        <v>10</v>
      </c>
    </row>
    <row r="15211" spans="1:9" x14ac:dyDescent="0.25">
      <c r="A15211" t="str">
        <f t="shared" si="347"/>
        <v>89301000</v>
      </c>
      <c r="B15211" t="str">
        <f>"9559065714"</f>
        <v>9559065714</v>
      </c>
      <c r="C15211" s="1">
        <v>45088</v>
      </c>
      <c r="D15211" s="1">
        <v>45093</v>
      </c>
      <c r="E15211">
        <v>1</v>
      </c>
      <c r="F15211" t="str">
        <f>"14-M01-05"</f>
        <v>14-M01-05</v>
      </c>
      <c r="G15211">
        <v>0.56589999999999996</v>
      </c>
      <c r="H15211" t="s">
        <v>13</v>
      </c>
      <c r="I15211" t="s">
        <v>10</v>
      </c>
    </row>
    <row r="15212" spans="1:9" x14ac:dyDescent="0.25">
      <c r="A15212" t="str">
        <f t="shared" si="347"/>
        <v>89301000</v>
      </c>
      <c r="B15212" t="str">
        <f>"9559094853"</f>
        <v>9559094853</v>
      </c>
      <c r="C15212" s="1">
        <v>45075</v>
      </c>
      <c r="D15212" s="1">
        <v>45076</v>
      </c>
      <c r="E15212">
        <v>1</v>
      </c>
      <c r="F15212" t="str">
        <f>"13-K12-00"</f>
        <v>13-K12-00</v>
      </c>
      <c r="G15212">
        <v>0.25750000000000001</v>
      </c>
      <c r="H15212" t="s">
        <v>11</v>
      </c>
      <c r="I15212" t="s">
        <v>10</v>
      </c>
    </row>
    <row r="15213" spans="1:9" x14ac:dyDescent="0.25">
      <c r="A15213" t="str">
        <f t="shared" si="347"/>
        <v>89301000</v>
      </c>
      <c r="B15213" t="str">
        <f>"9559156145"</f>
        <v>9559156145</v>
      </c>
      <c r="C15213" s="1">
        <v>45252</v>
      </c>
      <c r="D15213" s="1">
        <v>45256</v>
      </c>
      <c r="E15213">
        <v>1</v>
      </c>
      <c r="F15213" t="str">
        <f>"14-I02-02"</f>
        <v>14-I02-02</v>
      </c>
      <c r="G15213">
        <v>1.2317</v>
      </c>
      <c r="H15213" t="s">
        <v>9</v>
      </c>
      <c r="I15213" t="s">
        <v>10</v>
      </c>
    </row>
    <row r="15214" spans="1:9" x14ac:dyDescent="0.25">
      <c r="A15214" t="str">
        <f t="shared" si="347"/>
        <v>89301000</v>
      </c>
      <c r="B15214" t="str">
        <f>"9559176143"</f>
        <v>9559176143</v>
      </c>
      <c r="C15214" s="1">
        <v>45082</v>
      </c>
      <c r="D15214" s="1">
        <v>45083</v>
      </c>
      <c r="E15214">
        <v>1</v>
      </c>
      <c r="F15214" t="str">
        <f>"05-K19-01"</f>
        <v>05-K19-01</v>
      </c>
      <c r="G15214">
        <v>0.71709999999999996</v>
      </c>
      <c r="H15214" t="s">
        <v>11</v>
      </c>
      <c r="I15214" t="s">
        <v>10</v>
      </c>
    </row>
    <row r="15215" spans="1:9" x14ac:dyDescent="0.25">
      <c r="A15215" t="str">
        <f t="shared" si="347"/>
        <v>89301000</v>
      </c>
      <c r="B15215" t="str">
        <f>"9559225753"</f>
        <v>9559225753</v>
      </c>
      <c r="C15215" s="1">
        <v>45019</v>
      </c>
      <c r="D15215" s="1">
        <v>45021</v>
      </c>
      <c r="E15215">
        <v>1</v>
      </c>
      <c r="F15215" t="str">
        <f>"13-I16-00"</f>
        <v>13-I16-00</v>
      </c>
      <c r="G15215">
        <v>1.1695</v>
      </c>
      <c r="H15215" t="s">
        <v>12</v>
      </c>
      <c r="I15215" t="s">
        <v>10</v>
      </c>
    </row>
    <row r="15216" spans="1:9" x14ac:dyDescent="0.25">
      <c r="A15216" t="str">
        <f t="shared" si="347"/>
        <v>89301000</v>
      </c>
      <c r="B15216" t="str">
        <f>"9559225753"</f>
        <v>9559225753</v>
      </c>
      <c r="C15216" s="1">
        <v>44952</v>
      </c>
      <c r="D15216" s="1">
        <v>44954</v>
      </c>
      <c r="E15216">
        <v>1</v>
      </c>
      <c r="F15216" t="str">
        <f>"13-I19-00"</f>
        <v>13-I19-00</v>
      </c>
      <c r="G15216">
        <v>0.28270000000000001</v>
      </c>
      <c r="H15216" t="s">
        <v>11</v>
      </c>
      <c r="I15216" t="s">
        <v>10</v>
      </c>
    </row>
    <row r="15217" spans="1:9" x14ac:dyDescent="0.25">
      <c r="A15217" t="str">
        <f t="shared" si="347"/>
        <v>89301000</v>
      </c>
      <c r="B15217" t="str">
        <f>"9559295713"</f>
        <v>9559295713</v>
      </c>
      <c r="C15217" s="1">
        <v>45106</v>
      </c>
      <c r="D15217" s="1">
        <v>45109</v>
      </c>
      <c r="E15217">
        <v>1</v>
      </c>
      <c r="F15217" t="str">
        <f>"14-I01-05"</f>
        <v>14-I01-05</v>
      </c>
      <c r="G15217">
        <v>0.83340000000000003</v>
      </c>
      <c r="H15217" t="s">
        <v>13</v>
      </c>
      <c r="I15217" t="s">
        <v>10</v>
      </c>
    </row>
    <row r="15218" spans="1:9" x14ac:dyDescent="0.25">
      <c r="A15218" t="str">
        <f t="shared" si="347"/>
        <v>89301000</v>
      </c>
      <c r="B15218" t="str">
        <f>"9559295735"</f>
        <v>9559295735</v>
      </c>
      <c r="C15218" s="1">
        <v>45036</v>
      </c>
      <c r="D15218" s="1">
        <v>45037</v>
      </c>
      <c r="E15218">
        <v>1</v>
      </c>
      <c r="F15218" t="str">
        <f>"03-K13-02"</f>
        <v>03-K13-02</v>
      </c>
      <c r="G15218">
        <v>0.24440000000000001</v>
      </c>
      <c r="H15218" t="s">
        <v>11</v>
      </c>
      <c r="I15218" t="s">
        <v>10</v>
      </c>
    </row>
    <row r="15219" spans="1:9" x14ac:dyDescent="0.25">
      <c r="A15219" t="str">
        <f t="shared" si="347"/>
        <v>89301000</v>
      </c>
      <c r="B15219" t="str">
        <f>"9559296098"</f>
        <v>9559296098</v>
      </c>
      <c r="C15219" s="1">
        <v>45036</v>
      </c>
      <c r="D15219" s="1">
        <v>45039</v>
      </c>
      <c r="E15219">
        <v>1</v>
      </c>
      <c r="F15219" t="str">
        <f>"14-I01-05"</f>
        <v>14-I01-05</v>
      </c>
      <c r="G15219">
        <v>0.83</v>
      </c>
      <c r="H15219" t="s">
        <v>13</v>
      </c>
      <c r="I15219" t="s">
        <v>10</v>
      </c>
    </row>
    <row r="15220" spans="1:9" x14ac:dyDescent="0.25">
      <c r="A15220" t="str">
        <f t="shared" si="347"/>
        <v>89301000</v>
      </c>
      <c r="B15220" t="str">
        <f>"9560124431"</f>
        <v>9560124431</v>
      </c>
      <c r="C15220" s="1">
        <v>45244</v>
      </c>
      <c r="D15220" s="1">
        <v>45247</v>
      </c>
      <c r="E15220">
        <v>1</v>
      </c>
      <c r="F15220" t="str">
        <f>"07-I10-06"</f>
        <v>07-I10-06</v>
      </c>
      <c r="G15220">
        <v>0.98419999999999996</v>
      </c>
      <c r="H15220" t="s">
        <v>12</v>
      </c>
      <c r="I15220" t="s">
        <v>10</v>
      </c>
    </row>
    <row r="15221" spans="1:9" x14ac:dyDescent="0.25">
      <c r="A15221" t="str">
        <f t="shared" si="347"/>
        <v>89301000</v>
      </c>
      <c r="B15221" t="str">
        <f>"9560135706"</f>
        <v>9560135706</v>
      </c>
      <c r="C15221" s="1">
        <v>45057</v>
      </c>
      <c r="D15221" s="1">
        <v>45063</v>
      </c>
      <c r="E15221">
        <v>1</v>
      </c>
      <c r="F15221" t="str">
        <f>"06-K21-03"</f>
        <v>06-K21-03</v>
      </c>
      <c r="G15221">
        <v>0.38469999999999999</v>
      </c>
      <c r="H15221" t="s">
        <v>11</v>
      </c>
      <c r="I15221" t="s">
        <v>10</v>
      </c>
    </row>
    <row r="15222" spans="1:9" x14ac:dyDescent="0.25">
      <c r="A15222" t="str">
        <f t="shared" si="347"/>
        <v>89301000</v>
      </c>
      <c r="B15222" t="str">
        <f>"9560196162"</f>
        <v>9560196162</v>
      </c>
      <c r="C15222" s="1">
        <v>45058</v>
      </c>
      <c r="D15222" s="1">
        <v>45065</v>
      </c>
      <c r="E15222">
        <v>1</v>
      </c>
      <c r="F15222" t="str">
        <f>"02-K02-01"</f>
        <v>02-K02-01</v>
      </c>
      <c r="G15222">
        <v>0.91020000000000001</v>
      </c>
      <c r="H15222" t="s">
        <v>11</v>
      </c>
      <c r="I15222" t="s">
        <v>10</v>
      </c>
    </row>
    <row r="15223" spans="1:9" x14ac:dyDescent="0.25">
      <c r="A15223" t="str">
        <f t="shared" si="347"/>
        <v>89301000</v>
      </c>
      <c r="B15223" t="str">
        <f>"9560213212"</f>
        <v>9560213212</v>
      </c>
      <c r="C15223" s="1">
        <v>45106</v>
      </c>
      <c r="D15223" s="1">
        <v>45110</v>
      </c>
      <c r="E15223">
        <v>1</v>
      </c>
      <c r="F15223" t="str">
        <f t="shared" ref="F15223:F15229" si="348">"14-M01-05"</f>
        <v>14-M01-05</v>
      </c>
      <c r="G15223">
        <v>0.56589999999999996</v>
      </c>
      <c r="H15223" t="s">
        <v>13</v>
      </c>
      <c r="I15223" t="s">
        <v>10</v>
      </c>
    </row>
    <row r="15224" spans="1:9" x14ac:dyDescent="0.25">
      <c r="A15224" t="str">
        <f t="shared" si="347"/>
        <v>89301000</v>
      </c>
      <c r="B15224" t="str">
        <f>"9561025716"</f>
        <v>9561025716</v>
      </c>
      <c r="C15224" s="1">
        <v>45076</v>
      </c>
      <c r="D15224" s="1">
        <v>45079</v>
      </c>
      <c r="E15224">
        <v>1</v>
      </c>
      <c r="F15224" t="str">
        <f t="shared" si="348"/>
        <v>14-M01-05</v>
      </c>
      <c r="G15224">
        <v>0.56289999999999996</v>
      </c>
      <c r="H15224" t="s">
        <v>13</v>
      </c>
      <c r="I15224" t="s">
        <v>10</v>
      </c>
    </row>
    <row r="15225" spans="1:9" x14ac:dyDescent="0.25">
      <c r="A15225" t="str">
        <f t="shared" si="347"/>
        <v>89301000</v>
      </c>
      <c r="B15225" t="str">
        <f>"9561025914"</f>
        <v>9561025914</v>
      </c>
      <c r="C15225" s="1">
        <v>45178</v>
      </c>
      <c r="D15225" s="1">
        <v>45181</v>
      </c>
      <c r="E15225">
        <v>1</v>
      </c>
      <c r="F15225" t="str">
        <f t="shared" si="348"/>
        <v>14-M01-05</v>
      </c>
      <c r="G15225">
        <v>0.56289999999999996</v>
      </c>
      <c r="H15225" t="s">
        <v>13</v>
      </c>
      <c r="I15225" t="s">
        <v>10</v>
      </c>
    </row>
    <row r="15226" spans="1:9" x14ac:dyDescent="0.25">
      <c r="A15226" t="str">
        <f t="shared" si="347"/>
        <v>89301000</v>
      </c>
      <c r="B15226" t="str">
        <f>"9561034868"</f>
        <v>9561034868</v>
      </c>
      <c r="C15226" s="1">
        <v>45276</v>
      </c>
      <c r="D15226" s="1">
        <v>45280</v>
      </c>
      <c r="E15226">
        <v>1</v>
      </c>
      <c r="F15226" t="str">
        <f t="shared" si="348"/>
        <v>14-M01-05</v>
      </c>
      <c r="G15226">
        <v>0.56289999999999996</v>
      </c>
      <c r="H15226" t="s">
        <v>13</v>
      </c>
      <c r="I15226" t="s">
        <v>10</v>
      </c>
    </row>
    <row r="15227" spans="1:9" x14ac:dyDescent="0.25">
      <c r="A15227" t="str">
        <f t="shared" si="347"/>
        <v>89301000</v>
      </c>
      <c r="B15227" t="str">
        <f>"9561085842"</f>
        <v>9561085842</v>
      </c>
      <c r="C15227" s="1">
        <v>44956</v>
      </c>
      <c r="D15227" s="1">
        <v>44958</v>
      </c>
      <c r="E15227">
        <v>1</v>
      </c>
      <c r="F15227" t="str">
        <f t="shared" si="348"/>
        <v>14-M01-05</v>
      </c>
      <c r="G15227">
        <v>0.56289999999999996</v>
      </c>
      <c r="H15227" t="s">
        <v>13</v>
      </c>
      <c r="I15227" t="s">
        <v>10</v>
      </c>
    </row>
    <row r="15228" spans="1:9" x14ac:dyDescent="0.25">
      <c r="A15228" t="str">
        <f t="shared" si="347"/>
        <v>89301000</v>
      </c>
      <c r="B15228" t="str">
        <f>"9561205709"</f>
        <v>9561205709</v>
      </c>
      <c r="C15228" s="1">
        <v>45185</v>
      </c>
      <c r="D15228" s="1">
        <v>45190</v>
      </c>
      <c r="E15228">
        <v>1</v>
      </c>
      <c r="F15228" t="str">
        <f t="shared" si="348"/>
        <v>14-M01-05</v>
      </c>
      <c r="G15228">
        <v>0.56289999999999996</v>
      </c>
      <c r="H15228" t="s">
        <v>13</v>
      </c>
      <c r="I15228" t="s">
        <v>10</v>
      </c>
    </row>
    <row r="15229" spans="1:9" x14ac:dyDescent="0.25">
      <c r="A15229" t="str">
        <f t="shared" si="347"/>
        <v>89301000</v>
      </c>
      <c r="B15229" t="str">
        <f>"9561216159"</f>
        <v>9561216159</v>
      </c>
      <c r="C15229" s="1">
        <v>45243</v>
      </c>
      <c r="D15229" s="1">
        <v>45246</v>
      </c>
      <c r="E15229">
        <v>1</v>
      </c>
      <c r="F15229" t="str">
        <f t="shared" si="348"/>
        <v>14-M01-05</v>
      </c>
      <c r="G15229">
        <v>0.56289999999999996</v>
      </c>
      <c r="H15229" t="s">
        <v>13</v>
      </c>
      <c r="I15229" t="s">
        <v>10</v>
      </c>
    </row>
    <row r="15230" spans="1:9" x14ac:dyDescent="0.25">
      <c r="A15230" t="str">
        <f t="shared" si="347"/>
        <v>89301000</v>
      </c>
      <c r="B15230" t="str">
        <f>"9561285723"</f>
        <v>9561285723</v>
      </c>
      <c r="C15230" s="1">
        <v>45152</v>
      </c>
      <c r="D15230" s="1">
        <v>45154</v>
      </c>
      <c r="E15230">
        <v>1</v>
      </c>
      <c r="F15230" t="str">
        <f>"14-K03-02"</f>
        <v>14-K03-02</v>
      </c>
      <c r="G15230">
        <v>0.30149999999999999</v>
      </c>
      <c r="H15230" t="s">
        <v>11</v>
      </c>
      <c r="I15230" t="s">
        <v>10</v>
      </c>
    </row>
    <row r="15231" spans="1:9" x14ac:dyDescent="0.25">
      <c r="A15231" t="str">
        <f t="shared" si="347"/>
        <v>89301000</v>
      </c>
      <c r="B15231" t="str">
        <f>"9562064853"</f>
        <v>9562064853</v>
      </c>
      <c r="C15231" s="1">
        <v>45075</v>
      </c>
      <c r="D15231" s="1">
        <v>45075</v>
      </c>
      <c r="E15231">
        <v>6</v>
      </c>
      <c r="F15231" t="str">
        <f>"14-I08-03"</f>
        <v>14-I08-03</v>
      </c>
      <c r="G15231">
        <v>0.1207</v>
      </c>
      <c r="H15231" t="s">
        <v>11</v>
      </c>
      <c r="I15231" t="s">
        <v>10</v>
      </c>
    </row>
    <row r="15232" spans="1:9" x14ac:dyDescent="0.25">
      <c r="A15232" t="str">
        <f t="shared" si="347"/>
        <v>89301000</v>
      </c>
      <c r="B15232" t="str">
        <f>"9562064853"</f>
        <v>9562064853</v>
      </c>
      <c r="C15232" s="1">
        <v>44992</v>
      </c>
      <c r="D15232" s="1">
        <v>44995</v>
      </c>
      <c r="E15232">
        <v>1</v>
      </c>
      <c r="F15232" t="str">
        <f>"14-M01-05"</f>
        <v>14-M01-05</v>
      </c>
      <c r="G15232">
        <v>0.56589999999999996</v>
      </c>
      <c r="H15232" t="s">
        <v>13</v>
      </c>
      <c r="I15232" t="s">
        <v>10</v>
      </c>
    </row>
    <row r="15233" spans="1:9" x14ac:dyDescent="0.25">
      <c r="A15233" t="str">
        <f t="shared" si="347"/>
        <v>89301000</v>
      </c>
      <c r="B15233" t="str">
        <f>"9562075710"</f>
        <v>9562075710</v>
      </c>
      <c r="C15233" s="1">
        <v>44925</v>
      </c>
      <c r="D15233" s="1">
        <v>44929</v>
      </c>
      <c r="E15233">
        <v>1</v>
      </c>
      <c r="F15233" t="str">
        <f>"14-K03-01"</f>
        <v>14-K03-01</v>
      </c>
      <c r="G15233">
        <v>0.54159999999999997</v>
      </c>
      <c r="H15233" t="s">
        <v>11</v>
      </c>
      <c r="I15233" t="s">
        <v>10</v>
      </c>
    </row>
    <row r="15234" spans="1:9" x14ac:dyDescent="0.25">
      <c r="A15234" t="str">
        <f t="shared" si="347"/>
        <v>89301000</v>
      </c>
      <c r="B15234" t="str">
        <f>"9562075710"</f>
        <v>9562075710</v>
      </c>
      <c r="C15234" s="1">
        <v>44958</v>
      </c>
      <c r="D15234" s="1">
        <v>44961</v>
      </c>
      <c r="E15234">
        <v>1</v>
      </c>
      <c r="F15234" t="str">
        <f>"14-M01-05"</f>
        <v>14-M01-05</v>
      </c>
      <c r="G15234">
        <v>0.56289999999999996</v>
      </c>
      <c r="H15234" t="s">
        <v>13</v>
      </c>
      <c r="I15234" t="s">
        <v>10</v>
      </c>
    </row>
    <row r="15235" spans="1:9" x14ac:dyDescent="0.25">
      <c r="A15235" t="str">
        <f t="shared" si="347"/>
        <v>89301000</v>
      </c>
      <c r="B15235" t="str">
        <f>"9562105729"</f>
        <v>9562105729</v>
      </c>
      <c r="C15235" s="1">
        <v>45028</v>
      </c>
      <c r="D15235" s="1">
        <v>45031</v>
      </c>
      <c r="E15235">
        <v>1</v>
      </c>
      <c r="F15235" t="str">
        <f>"14-M01-05"</f>
        <v>14-M01-05</v>
      </c>
      <c r="G15235">
        <v>0.56589999999999996</v>
      </c>
      <c r="H15235" t="s">
        <v>13</v>
      </c>
      <c r="I15235" t="s">
        <v>10</v>
      </c>
    </row>
    <row r="15236" spans="1:9" x14ac:dyDescent="0.25">
      <c r="A15236" t="str">
        <f t="shared" si="347"/>
        <v>89301000</v>
      </c>
      <c r="B15236" t="str">
        <f>"9601265718"</f>
        <v>9601265718</v>
      </c>
      <c r="C15236" s="1">
        <v>44952</v>
      </c>
      <c r="D15236" s="1">
        <v>44953</v>
      </c>
      <c r="E15236">
        <v>1</v>
      </c>
      <c r="F15236" t="str">
        <f>"10-K15-02"</f>
        <v>10-K15-02</v>
      </c>
      <c r="G15236">
        <v>0.66379999999999995</v>
      </c>
      <c r="H15236" t="s">
        <v>11</v>
      </c>
      <c r="I15236" t="s">
        <v>10</v>
      </c>
    </row>
    <row r="15237" spans="1:9" x14ac:dyDescent="0.25">
      <c r="A15237" t="str">
        <f t="shared" si="347"/>
        <v>89301000</v>
      </c>
      <c r="B15237" t="str">
        <f>"9601275717"</f>
        <v>9601275717</v>
      </c>
      <c r="C15237" s="1">
        <v>45251</v>
      </c>
      <c r="D15237" s="1">
        <v>45268</v>
      </c>
      <c r="E15237">
        <v>1</v>
      </c>
      <c r="F15237" t="str">
        <f>"20-K04-01"</f>
        <v>20-K04-01</v>
      </c>
      <c r="G15237">
        <v>1.5724</v>
      </c>
      <c r="H15237" t="s">
        <v>11</v>
      </c>
      <c r="I15237" t="s">
        <v>10</v>
      </c>
    </row>
    <row r="15238" spans="1:9" x14ac:dyDescent="0.25">
      <c r="A15238" t="str">
        <f t="shared" ref="A15238:A15301" si="349">"89301000"</f>
        <v>89301000</v>
      </c>
      <c r="B15238" t="str">
        <f>"9601285375"</f>
        <v>9601285375</v>
      </c>
      <c r="C15238" s="1">
        <v>44946</v>
      </c>
      <c r="D15238" s="1">
        <v>44947</v>
      </c>
      <c r="E15238">
        <v>1</v>
      </c>
      <c r="F15238" t="str">
        <f>"09-I09-04"</f>
        <v>09-I09-04</v>
      </c>
      <c r="G15238">
        <v>0.82010000000000005</v>
      </c>
      <c r="H15238" t="s">
        <v>12</v>
      </c>
      <c r="I15238" t="s">
        <v>10</v>
      </c>
    </row>
    <row r="15239" spans="1:9" x14ac:dyDescent="0.25">
      <c r="A15239" t="str">
        <f t="shared" si="349"/>
        <v>89301000</v>
      </c>
      <c r="B15239" t="str">
        <f>"9601294846"</f>
        <v>9601294846</v>
      </c>
      <c r="C15239" s="1">
        <v>45162</v>
      </c>
      <c r="D15239" s="1">
        <v>45163</v>
      </c>
      <c r="E15239">
        <v>1</v>
      </c>
      <c r="F15239" t="str">
        <f>"11-M05-02"</f>
        <v>11-M05-02</v>
      </c>
      <c r="G15239">
        <v>0.6694</v>
      </c>
      <c r="H15239" t="s">
        <v>12</v>
      </c>
      <c r="I15239" t="s">
        <v>10</v>
      </c>
    </row>
    <row r="15240" spans="1:9" x14ac:dyDescent="0.25">
      <c r="A15240" t="str">
        <f t="shared" si="349"/>
        <v>89301000</v>
      </c>
      <c r="B15240" t="str">
        <f>"9601580527"</f>
        <v>9601580527</v>
      </c>
      <c r="C15240" s="1">
        <v>45015</v>
      </c>
      <c r="D15240" s="1">
        <v>45018</v>
      </c>
      <c r="E15240">
        <v>1</v>
      </c>
      <c r="F15240" t="str">
        <f>"05-I30-01"</f>
        <v>05-I30-01</v>
      </c>
      <c r="G15240">
        <v>0.60309999999999997</v>
      </c>
      <c r="H15240" t="s">
        <v>12</v>
      </c>
      <c r="I15240" t="s">
        <v>10</v>
      </c>
    </row>
    <row r="15241" spans="1:9" x14ac:dyDescent="0.25">
      <c r="A15241" t="str">
        <f t="shared" si="349"/>
        <v>89301000</v>
      </c>
      <c r="B15241" t="str">
        <f>"9602105700"</f>
        <v>9602105700</v>
      </c>
      <c r="C15241" s="1">
        <v>45252</v>
      </c>
      <c r="D15241" s="1">
        <v>45252</v>
      </c>
      <c r="E15241">
        <v>1</v>
      </c>
      <c r="F15241" t="str">
        <f>"08-I18-02"</f>
        <v>08-I18-02</v>
      </c>
      <c r="G15241">
        <v>0.3422</v>
      </c>
      <c r="H15241" t="s">
        <v>12</v>
      </c>
      <c r="I15241" t="s">
        <v>10</v>
      </c>
    </row>
    <row r="15242" spans="1:9" x14ac:dyDescent="0.25">
      <c r="A15242" t="str">
        <f t="shared" si="349"/>
        <v>89301000</v>
      </c>
      <c r="B15242" t="str">
        <f>"9602126149"</f>
        <v>9602126149</v>
      </c>
      <c r="C15242" s="1">
        <v>45239</v>
      </c>
      <c r="D15242" s="1">
        <v>45240</v>
      </c>
      <c r="E15242">
        <v>1</v>
      </c>
      <c r="F15242" t="str">
        <f>"01-D01-03"</f>
        <v>01-D01-03</v>
      </c>
      <c r="G15242">
        <v>0.16200000000000001</v>
      </c>
      <c r="H15242" t="s">
        <v>11</v>
      </c>
      <c r="I15242" t="s">
        <v>10</v>
      </c>
    </row>
    <row r="15243" spans="1:9" x14ac:dyDescent="0.25">
      <c r="A15243" t="str">
        <f t="shared" si="349"/>
        <v>89301000</v>
      </c>
      <c r="B15243" t="str">
        <f>"9602126149"</f>
        <v>9602126149</v>
      </c>
      <c r="C15243" s="1">
        <v>45030</v>
      </c>
      <c r="D15243" s="1">
        <v>45031</v>
      </c>
      <c r="E15243">
        <v>1</v>
      </c>
      <c r="F15243" t="str">
        <f>"12-I13-01"</f>
        <v>12-I13-01</v>
      </c>
      <c r="G15243">
        <v>0.8367</v>
      </c>
      <c r="H15243" t="s">
        <v>9</v>
      </c>
      <c r="I15243" t="s">
        <v>10</v>
      </c>
    </row>
    <row r="15244" spans="1:9" x14ac:dyDescent="0.25">
      <c r="A15244" t="str">
        <f t="shared" si="349"/>
        <v>89301000</v>
      </c>
      <c r="B15244" t="str">
        <f>"9602165705"</f>
        <v>9602165705</v>
      </c>
      <c r="C15244" s="1">
        <v>45174</v>
      </c>
      <c r="D15244" s="1">
        <v>45181</v>
      </c>
      <c r="E15244">
        <v>6</v>
      </c>
      <c r="F15244" t="str">
        <f>"06-I12-03"</f>
        <v>06-I12-03</v>
      </c>
      <c r="G15244">
        <v>1.9540999999999999</v>
      </c>
      <c r="H15244" t="s">
        <v>11</v>
      </c>
      <c r="I15244" t="s">
        <v>10</v>
      </c>
    </row>
    <row r="15245" spans="1:9" x14ac:dyDescent="0.25">
      <c r="A15245" t="str">
        <f t="shared" si="349"/>
        <v>89301000</v>
      </c>
      <c r="B15245" t="str">
        <f>"9604035716"</f>
        <v>9604035716</v>
      </c>
      <c r="C15245" s="1">
        <v>45231</v>
      </c>
      <c r="D15245" s="1">
        <v>45239</v>
      </c>
      <c r="E15245">
        <v>1</v>
      </c>
      <c r="F15245" t="str">
        <f>"01-K01-02"</f>
        <v>01-K01-02</v>
      </c>
      <c r="G15245">
        <v>0.50829999999999997</v>
      </c>
      <c r="H15245" t="s">
        <v>11</v>
      </c>
      <c r="I15245" t="s">
        <v>10</v>
      </c>
    </row>
    <row r="15246" spans="1:9" x14ac:dyDescent="0.25">
      <c r="A15246" t="str">
        <f t="shared" si="349"/>
        <v>89301000</v>
      </c>
      <c r="B15246" t="str">
        <f>"9604035716"</f>
        <v>9604035716</v>
      </c>
      <c r="C15246" s="1">
        <v>45078</v>
      </c>
      <c r="D15246" s="1">
        <v>45082</v>
      </c>
      <c r="E15246">
        <v>1</v>
      </c>
      <c r="F15246" t="str">
        <f>"01-K01-02"</f>
        <v>01-K01-02</v>
      </c>
      <c r="G15246">
        <v>0.442</v>
      </c>
      <c r="H15246" t="s">
        <v>11</v>
      </c>
      <c r="I15246" t="s">
        <v>10</v>
      </c>
    </row>
    <row r="15247" spans="1:9" x14ac:dyDescent="0.25">
      <c r="A15247" t="str">
        <f t="shared" si="349"/>
        <v>89301000</v>
      </c>
      <c r="B15247" t="str">
        <f>"9604084842"</f>
        <v>9604084842</v>
      </c>
      <c r="C15247" s="1">
        <v>45194</v>
      </c>
      <c r="D15247" s="1">
        <v>45197</v>
      </c>
      <c r="E15247">
        <v>1</v>
      </c>
      <c r="F15247" t="str">
        <f>"06-I21-03"</f>
        <v>06-I21-03</v>
      </c>
      <c r="G15247">
        <v>0.4572</v>
      </c>
      <c r="H15247" t="s">
        <v>12</v>
      </c>
      <c r="I15247" t="s">
        <v>10</v>
      </c>
    </row>
    <row r="15248" spans="1:9" x14ac:dyDescent="0.25">
      <c r="A15248" t="str">
        <f t="shared" si="349"/>
        <v>89301000</v>
      </c>
      <c r="B15248" t="str">
        <f>"9604135739"</f>
        <v>9604135739</v>
      </c>
      <c r="C15248" s="1">
        <v>45148</v>
      </c>
      <c r="D15248" s="1">
        <v>45156</v>
      </c>
      <c r="E15248">
        <v>1</v>
      </c>
      <c r="F15248" t="str">
        <f>"19-K03-03"</f>
        <v>19-K03-03</v>
      </c>
      <c r="G15248">
        <v>0.90410000000000001</v>
      </c>
      <c r="H15248" t="s">
        <v>15</v>
      </c>
      <c r="I15248" t="s">
        <v>10</v>
      </c>
    </row>
    <row r="15249" spans="1:9" x14ac:dyDescent="0.25">
      <c r="A15249" t="str">
        <f t="shared" si="349"/>
        <v>89301000</v>
      </c>
      <c r="B15249" t="str">
        <f>"9604135739"</f>
        <v>9604135739</v>
      </c>
      <c r="C15249" s="1">
        <v>45024</v>
      </c>
      <c r="D15249" s="1">
        <v>45033</v>
      </c>
      <c r="E15249">
        <v>1</v>
      </c>
      <c r="F15249" t="str">
        <f>"19-K03-01"</f>
        <v>19-K03-01</v>
      </c>
      <c r="G15249">
        <v>1.2786</v>
      </c>
      <c r="H15249" t="s">
        <v>15</v>
      </c>
      <c r="I15249" t="s">
        <v>10</v>
      </c>
    </row>
    <row r="15250" spans="1:9" x14ac:dyDescent="0.25">
      <c r="A15250" t="str">
        <f t="shared" si="349"/>
        <v>89301000</v>
      </c>
      <c r="B15250" t="str">
        <f>"9605085710"</f>
        <v>9605085710</v>
      </c>
      <c r="C15250" s="1">
        <v>44985</v>
      </c>
      <c r="D15250" s="1">
        <v>44991</v>
      </c>
      <c r="E15250">
        <v>1</v>
      </c>
      <c r="F15250" t="str">
        <f>"06-I17-02"</f>
        <v>06-I17-02</v>
      </c>
      <c r="G15250">
        <v>1.0106999999999999</v>
      </c>
      <c r="H15250" t="s">
        <v>12</v>
      </c>
      <c r="I15250" t="s">
        <v>10</v>
      </c>
    </row>
    <row r="15251" spans="1:9" x14ac:dyDescent="0.25">
      <c r="A15251" t="str">
        <f t="shared" si="349"/>
        <v>89301000</v>
      </c>
      <c r="B15251" t="str">
        <f>"9605085710"</f>
        <v>9605085710</v>
      </c>
      <c r="C15251" s="1">
        <v>45182</v>
      </c>
      <c r="D15251" s="1">
        <v>45184</v>
      </c>
      <c r="E15251">
        <v>1</v>
      </c>
      <c r="F15251" t="str">
        <f>"08-I32-00"</f>
        <v>08-I32-00</v>
      </c>
      <c r="G15251">
        <v>0.4093</v>
      </c>
      <c r="H15251" t="s">
        <v>11</v>
      </c>
      <c r="I15251" t="s">
        <v>10</v>
      </c>
    </row>
    <row r="15252" spans="1:9" x14ac:dyDescent="0.25">
      <c r="A15252" t="str">
        <f t="shared" si="349"/>
        <v>89301000</v>
      </c>
      <c r="B15252" t="str">
        <f>"9606106180"</f>
        <v>9606106180</v>
      </c>
      <c r="C15252" s="1">
        <v>44986</v>
      </c>
      <c r="D15252" s="1">
        <v>44988</v>
      </c>
      <c r="E15252">
        <v>1</v>
      </c>
      <c r="F15252" t="str">
        <f>"23-I10-00"</f>
        <v>23-I10-00</v>
      </c>
      <c r="G15252">
        <v>0.57330000000000003</v>
      </c>
      <c r="H15252" t="s">
        <v>11</v>
      </c>
      <c r="I15252" t="s">
        <v>10</v>
      </c>
    </row>
    <row r="15253" spans="1:9" x14ac:dyDescent="0.25">
      <c r="A15253" t="str">
        <f t="shared" si="349"/>
        <v>89301000</v>
      </c>
      <c r="B15253" t="str">
        <f>"9606124858"</f>
        <v>9606124858</v>
      </c>
      <c r="C15253" s="1">
        <v>45042</v>
      </c>
      <c r="D15253" s="1">
        <v>45046</v>
      </c>
      <c r="E15253">
        <v>1</v>
      </c>
      <c r="F15253" t="str">
        <f>"03-I12-03"</f>
        <v>03-I12-03</v>
      </c>
      <c r="G15253">
        <v>1.0075000000000001</v>
      </c>
      <c r="H15253" t="s">
        <v>12</v>
      </c>
      <c r="I15253" t="s">
        <v>10</v>
      </c>
    </row>
    <row r="15254" spans="1:9" x14ac:dyDescent="0.25">
      <c r="A15254" t="str">
        <f t="shared" si="349"/>
        <v>89301000</v>
      </c>
      <c r="B15254" t="str">
        <f>"9606275767"</f>
        <v>9606275767</v>
      </c>
      <c r="C15254" s="1">
        <v>45166</v>
      </c>
      <c r="D15254" s="1">
        <v>45177</v>
      </c>
      <c r="E15254">
        <v>1</v>
      </c>
      <c r="F15254" t="str">
        <f>"24-M06-02"</f>
        <v>24-M06-02</v>
      </c>
      <c r="G15254">
        <v>1.0699000000000001</v>
      </c>
      <c r="H15254" t="s">
        <v>11</v>
      </c>
      <c r="I15254" t="s">
        <v>10</v>
      </c>
    </row>
    <row r="15255" spans="1:9" x14ac:dyDescent="0.25">
      <c r="A15255" t="str">
        <f t="shared" si="349"/>
        <v>89301000</v>
      </c>
      <c r="B15255" t="str">
        <f>"9606275767"</f>
        <v>9606275767</v>
      </c>
      <c r="C15255" s="1">
        <v>45129</v>
      </c>
      <c r="D15255" s="1">
        <v>45133</v>
      </c>
      <c r="E15255">
        <v>5</v>
      </c>
      <c r="F15255" t="str">
        <f>"25-I02-02"</f>
        <v>25-I02-02</v>
      </c>
      <c r="G15255">
        <v>4.8798000000000004</v>
      </c>
      <c r="H15255" t="s">
        <v>14</v>
      </c>
      <c r="I15255" t="s">
        <v>10</v>
      </c>
    </row>
    <row r="15256" spans="1:9" x14ac:dyDescent="0.25">
      <c r="A15256" t="str">
        <f t="shared" si="349"/>
        <v>89301000</v>
      </c>
      <c r="B15256" t="str">
        <f>"9606285711"</f>
        <v>9606285711</v>
      </c>
      <c r="C15256" s="1">
        <v>44949</v>
      </c>
      <c r="D15256" s="1">
        <v>44953</v>
      </c>
      <c r="E15256">
        <v>1</v>
      </c>
      <c r="F15256" t="str">
        <f>"09-K01-04"</f>
        <v>09-K01-04</v>
      </c>
      <c r="G15256">
        <v>0.59330000000000005</v>
      </c>
      <c r="H15256" t="s">
        <v>11</v>
      </c>
      <c r="I15256" t="s">
        <v>10</v>
      </c>
    </row>
    <row r="15257" spans="1:9" x14ac:dyDescent="0.25">
      <c r="A15257" t="str">
        <f t="shared" si="349"/>
        <v>89301000</v>
      </c>
      <c r="B15257" t="str">
        <f>"9607175699"</f>
        <v>9607175699</v>
      </c>
      <c r="C15257" s="1">
        <v>45153</v>
      </c>
      <c r="D15257" s="1">
        <v>45168</v>
      </c>
      <c r="E15257">
        <v>1</v>
      </c>
      <c r="F15257" t="str">
        <f>"19-K05-02"</f>
        <v>19-K05-02</v>
      </c>
      <c r="G15257">
        <v>1.7688999999999999</v>
      </c>
      <c r="H15257" t="s">
        <v>15</v>
      </c>
      <c r="I15257" t="s">
        <v>10</v>
      </c>
    </row>
    <row r="15258" spans="1:9" x14ac:dyDescent="0.25">
      <c r="A15258" t="str">
        <f t="shared" si="349"/>
        <v>89301000</v>
      </c>
      <c r="B15258" t="str">
        <f>"9607215706"</f>
        <v>9607215706</v>
      </c>
      <c r="C15258" s="1">
        <v>45271</v>
      </c>
      <c r="D15258" s="1">
        <v>45273</v>
      </c>
      <c r="E15258">
        <v>1</v>
      </c>
      <c r="F15258" t="str">
        <f>"08-I32-00"</f>
        <v>08-I32-00</v>
      </c>
      <c r="G15258">
        <v>0.4093</v>
      </c>
      <c r="H15258" t="s">
        <v>11</v>
      </c>
      <c r="I15258" t="s">
        <v>10</v>
      </c>
    </row>
    <row r="15259" spans="1:9" x14ac:dyDescent="0.25">
      <c r="A15259" t="str">
        <f t="shared" si="349"/>
        <v>89301000</v>
      </c>
      <c r="B15259" t="str">
        <f>"9608055369"</f>
        <v>9608055369</v>
      </c>
      <c r="C15259" s="1">
        <v>45060</v>
      </c>
      <c r="D15259" s="1">
        <v>45063</v>
      </c>
      <c r="E15259">
        <v>1</v>
      </c>
      <c r="F15259" t="str">
        <f>"08-M03-04"</f>
        <v>08-M03-04</v>
      </c>
      <c r="G15259">
        <v>0.87760000000000005</v>
      </c>
      <c r="H15259" t="s">
        <v>11</v>
      </c>
      <c r="I15259" t="s">
        <v>10</v>
      </c>
    </row>
    <row r="15260" spans="1:9" x14ac:dyDescent="0.25">
      <c r="A15260" t="str">
        <f t="shared" si="349"/>
        <v>89301000</v>
      </c>
      <c r="B15260" t="str">
        <f>"9608056139"</f>
        <v>9608056139</v>
      </c>
      <c r="C15260" s="1">
        <v>45107</v>
      </c>
      <c r="D15260" s="1">
        <v>45114</v>
      </c>
      <c r="E15260">
        <v>1</v>
      </c>
      <c r="F15260" t="str">
        <f>"02-I04-00"</f>
        <v>02-I04-00</v>
      </c>
      <c r="G15260">
        <v>0.97260000000000002</v>
      </c>
      <c r="H15260" t="s">
        <v>12</v>
      </c>
      <c r="I15260" t="s">
        <v>10</v>
      </c>
    </row>
    <row r="15261" spans="1:9" x14ac:dyDescent="0.25">
      <c r="A15261" t="str">
        <f t="shared" si="349"/>
        <v>89301000</v>
      </c>
      <c r="B15261" t="str">
        <f>"9608084849"</f>
        <v>9608084849</v>
      </c>
      <c r="C15261" s="1">
        <v>45083</v>
      </c>
      <c r="D15261" s="1">
        <v>45084</v>
      </c>
      <c r="E15261">
        <v>1</v>
      </c>
      <c r="F15261" t="str">
        <f>"09-I09-05"</f>
        <v>09-I09-05</v>
      </c>
      <c r="G15261">
        <v>0.46870000000000001</v>
      </c>
      <c r="H15261" t="s">
        <v>12</v>
      </c>
      <c r="I15261" t="s">
        <v>10</v>
      </c>
    </row>
    <row r="15262" spans="1:9" x14ac:dyDescent="0.25">
      <c r="A15262" t="str">
        <f t="shared" si="349"/>
        <v>89301000</v>
      </c>
      <c r="B15262" t="str">
        <f>"9608234108"</f>
        <v>9608234108</v>
      </c>
      <c r="C15262" s="1">
        <v>45204</v>
      </c>
      <c r="D15262" s="1">
        <v>45209</v>
      </c>
      <c r="E15262">
        <v>1</v>
      </c>
      <c r="F15262" t="str">
        <f>"20-K03-03"</f>
        <v>20-K03-03</v>
      </c>
      <c r="G15262">
        <v>0.94020000000000004</v>
      </c>
      <c r="H15262" t="s">
        <v>11</v>
      </c>
      <c r="I15262" t="s">
        <v>10</v>
      </c>
    </row>
    <row r="15263" spans="1:9" x14ac:dyDescent="0.25">
      <c r="A15263" t="str">
        <f t="shared" si="349"/>
        <v>89301000</v>
      </c>
      <c r="B15263" t="str">
        <f>"9608234108"</f>
        <v>9608234108</v>
      </c>
      <c r="C15263" s="1">
        <v>44951</v>
      </c>
      <c r="D15263" s="1">
        <v>44962</v>
      </c>
      <c r="E15263">
        <v>1</v>
      </c>
      <c r="F15263" t="str">
        <f>"20-K04-02"</f>
        <v>20-K04-02</v>
      </c>
      <c r="G15263">
        <v>1.3379000000000001</v>
      </c>
      <c r="H15263" t="s">
        <v>11</v>
      </c>
      <c r="I15263" t="s">
        <v>10</v>
      </c>
    </row>
    <row r="15264" spans="1:9" x14ac:dyDescent="0.25">
      <c r="A15264" t="str">
        <f t="shared" si="349"/>
        <v>89301000</v>
      </c>
      <c r="B15264" t="str">
        <f>"9609034853"</f>
        <v>9609034853</v>
      </c>
      <c r="C15264" s="1">
        <v>45048</v>
      </c>
      <c r="D15264" s="1">
        <v>45056</v>
      </c>
      <c r="E15264">
        <v>1</v>
      </c>
      <c r="F15264" t="str">
        <f>"06-I18-05"</f>
        <v>06-I18-05</v>
      </c>
      <c r="G15264">
        <v>0.99080000000000001</v>
      </c>
      <c r="H15264" t="s">
        <v>9</v>
      </c>
      <c r="I15264" t="s">
        <v>10</v>
      </c>
    </row>
    <row r="15265" spans="1:9" x14ac:dyDescent="0.25">
      <c r="A15265" t="str">
        <f t="shared" si="349"/>
        <v>89301000</v>
      </c>
      <c r="B15265" t="str">
        <f>"9609045699"</f>
        <v>9609045699</v>
      </c>
      <c r="C15265" s="1">
        <v>45242</v>
      </c>
      <c r="D15265" s="1">
        <v>45245</v>
      </c>
      <c r="E15265">
        <v>1</v>
      </c>
      <c r="F15265" t="str">
        <f>"08-M03-04"</f>
        <v>08-M03-04</v>
      </c>
      <c r="G15265">
        <v>0.87760000000000005</v>
      </c>
      <c r="H15265" t="s">
        <v>11</v>
      </c>
      <c r="I15265" t="s">
        <v>10</v>
      </c>
    </row>
    <row r="15266" spans="1:9" x14ac:dyDescent="0.25">
      <c r="A15266" t="str">
        <f t="shared" si="349"/>
        <v>89301000</v>
      </c>
      <c r="B15266" t="str">
        <f>"9609224482"</f>
        <v>9609224482</v>
      </c>
      <c r="C15266" s="1">
        <v>45281</v>
      </c>
      <c r="D15266" s="1">
        <v>45281</v>
      </c>
      <c r="E15266">
        <v>1</v>
      </c>
      <c r="F15266" t="str">
        <f>"08-C04-02"</f>
        <v>08-C04-02</v>
      </c>
      <c r="G15266">
        <v>0.1477</v>
      </c>
      <c r="H15266" t="s">
        <v>11</v>
      </c>
      <c r="I15266" t="s">
        <v>10</v>
      </c>
    </row>
    <row r="15267" spans="1:9" x14ac:dyDescent="0.25">
      <c r="A15267" t="str">
        <f t="shared" si="349"/>
        <v>89301000</v>
      </c>
      <c r="B15267" t="str">
        <f>"9609224482"</f>
        <v>9609224482</v>
      </c>
      <c r="C15267" s="1">
        <v>45222</v>
      </c>
      <c r="D15267" s="1">
        <v>45227</v>
      </c>
      <c r="E15267">
        <v>1</v>
      </c>
      <c r="F15267" t="str">
        <f>"08-K01-02"</f>
        <v>08-K01-02</v>
      </c>
      <c r="G15267">
        <v>0.91659999999999997</v>
      </c>
      <c r="H15267" t="s">
        <v>11</v>
      </c>
      <c r="I15267" t="s">
        <v>10</v>
      </c>
    </row>
    <row r="15268" spans="1:9" x14ac:dyDescent="0.25">
      <c r="A15268" t="str">
        <f t="shared" si="349"/>
        <v>89301000</v>
      </c>
      <c r="B15268" t="str">
        <f>"9609224482"</f>
        <v>9609224482</v>
      </c>
      <c r="C15268" s="1">
        <v>45239</v>
      </c>
      <c r="D15268" s="1">
        <v>45240</v>
      </c>
      <c r="E15268">
        <v>1</v>
      </c>
      <c r="F15268" t="str">
        <f>"08-C04-02"</f>
        <v>08-C04-02</v>
      </c>
      <c r="G15268">
        <v>0.28699999999999998</v>
      </c>
      <c r="H15268" t="s">
        <v>11</v>
      </c>
      <c r="I15268" t="s">
        <v>10</v>
      </c>
    </row>
    <row r="15269" spans="1:9" x14ac:dyDescent="0.25">
      <c r="A15269" t="str">
        <f t="shared" si="349"/>
        <v>89301000</v>
      </c>
      <c r="B15269" t="str">
        <f>"9609224482"</f>
        <v>9609224482</v>
      </c>
      <c r="C15269" s="1">
        <v>45253</v>
      </c>
      <c r="D15269" s="1">
        <v>45254</v>
      </c>
      <c r="E15269">
        <v>1</v>
      </c>
      <c r="F15269" t="str">
        <f>"08-C04-02"</f>
        <v>08-C04-02</v>
      </c>
      <c r="G15269">
        <v>0.28699999999999998</v>
      </c>
      <c r="H15269" t="s">
        <v>11</v>
      </c>
      <c r="I15269" t="s">
        <v>10</v>
      </c>
    </row>
    <row r="15270" spans="1:9" x14ac:dyDescent="0.25">
      <c r="A15270" t="str">
        <f t="shared" si="349"/>
        <v>89301000</v>
      </c>
      <c r="B15270" t="str">
        <f>"9609235988"</f>
        <v>9609235988</v>
      </c>
      <c r="C15270" s="1">
        <v>45076</v>
      </c>
      <c r="D15270" s="1">
        <v>45078</v>
      </c>
      <c r="E15270">
        <v>1</v>
      </c>
      <c r="F15270" t="str">
        <f>"06-I21-03"</f>
        <v>06-I21-03</v>
      </c>
      <c r="G15270">
        <v>0.4572</v>
      </c>
      <c r="H15270" t="s">
        <v>12</v>
      </c>
      <c r="I15270" t="s">
        <v>10</v>
      </c>
    </row>
    <row r="15271" spans="1:9" x14ac:dyDescent="0.25">
      <c r="A15271" t="str">
        <f t="shared" si="349"/>
        <v>89301000</v>
      </c>
      <c r="B15271" t="str">
        <f>"9609285719"</f>
        <v>9609285719</v>
      </c>
      <c r="C15271" s="1">
        <v>45079</v>
      </c>
      <c r="D15271" s="1">
        <v>45082</v>
      </c>
      <c r="E15271">
        <v>1</v>
      </c>
      <c r="F15271" t="str">
        <f>"04-K03-01"</f>
        <v>04-K03-01</v>
      </c>
      <c r="G15271">
        <v>1.3734</v>
      </c>
      <c r="H15271" t="s">
        <v>11</v>
      </c>
      <c r="I15271" t="s">
        <v>10</v>
      </c>
    </row>
    <row r="15272" spans="1:9" x14ac:dyDescent="0.25">
      <c r="A15272" t="str">
        <f t="shared" si="349"/>
        <v>89301000</v>
      </c>
      <c r="B15272" t="str">
        <f>"9609294849"</f>
        <v>9609294849</v>
      </c>
      <c r="C15272" s="1">
        <v>44969</v>
      </c>
      <c r="D15272" s="1">
        <v>44970</v>
      </c>
      <c r="E15272">
        <v>1</v>
      </c>
      <c r="F15272" t="str">
        <f>"08-I19-03"</f>
        <v>08-I19-03</v>
      </c>
      <c r="G15272">
        <v>0.59130000000000005</v>
      </c>
      <c r="H15272" t="s">
        <v>12</v>
      </c>
      <c r="I15272" t="s">
        <v>10</v>
      </c>
    </row>
    <row r="15273" spans="1:9" x14ac:dyDescent="0.25">
      <c r="A15273" t="str">
        <f t="shared" si="349"/>
        <v>89301000</v>
      </c>
      <c r="B15273" t="str">
        <f>"9610016086"</f>
        <v>9610016086</v>
      </c>
      <c r="C15273" s="1">
        <v>45269</v>
      </c>
      <c r="D15273" s="1">
        <v>45269</v>
      </c>
      <c r="E15273">
        <v>1</v>
      </c>
      <c r="F15273" t="str">
        <f>"20-K01-04"</f>
        <v>20-K01-04</v>
      </c>
      <c r="G15273">
        <v>0.20200000000000001</v>
      </c>
      <c r="H15273" t="s">
        <v>11</v>
      </c>
      <c r="I15273" t="s">
        <v>10</v>
      </c>
    </row>
    <row r="15274" spans="1:9" x14ac:dyDescent="0.25">
      <c r="A15274" t="str">
        <f t="shared" si="349"/>
        <v>89301000</v>
      </c>
      <c r="B15274" t="str">
        <f>"9610125712"</f>
        <v>9610125712</v>
      </c>
      <c r="C15274" s="1">
        <v>45168</v>
      </c>
      <c r="D15274" s="1">
        <v>45173</v>
      </c>
      <c r="E15274">
        <v>1</v>
      </c>
      <c r="F15274" t="str">
        <f>"06-K06-01"</f>
        <v>06-K06-01</v>
      </c>
      <c r="G15274">
        <v>1.1567000000000001</v>
      </c>
      <c r="H15274" t="s">
        <v>11</v>
      </c>
      <c r="I15274" t="s">
        <v>10</v>
      </c>
    </row>
    <row r="15275" spans="1:9" x14ac:dyDescent="0.25">
      <c r="A15275" t="str">
        <f t="shared" si="349"/>
        <v>89301000</v>
      </c>
      <c r="B15275" t="str">
        <f>"9611076156"</f>
        <v>9611076156</v>
      </c>
      <c r="C15275" s="1">
        <v>45036</v>
      </c>
      <c r="D15275" s="1">
        <v>45037</v>
      </c>
      <c r="E15275">
        <v>1</v>
      </c>
      <c r="F15275" t="str">
        <f>"12-I14-00"</f>
        <v>12-I14-00</v>
      </c>
      <c r="G15275">
        <v>0.42920000000000003</v>
      </c>
      <c r="H15275" t="s">
        <v>11</v>
      </c>
      <c r="I15275" t="s">
        <v>10</v>
      </c>
    </row>
    <row r="15276" spans="1:9" x14ac:dyDescent="0.25">
      <c r="A15276" t="str">
        <f t="shared" si="349"/>
        <v>89301000</v>
      </c>
      <c r="B15276" t="str">
        <f>"9611145731"</f>
        <v>9611145731</v>
      </c>
      <c r="C15276" s="1">
        <v>44937</v>
      </c>
      <c r="D15276" s="1">
        <v>44943</v>
      </c>
      <c r="E15276">
        <v>1</v>
      </c>
      <c r="F15276" t="str">
        <f>"09-K01-02"</f>
        <v>09-K01-02</v>
      </c>
      <c r="G15276">
        <v>1.0348999999999999</v>
      </c>
      <c r="H15276" t="s">
        <v>11</v>
      </c>
      <c r="I15276" t="s">
        <v>10</v>
      </c>
    </row>
    <row r="15277" spans="1:9" x14ac:dyDescent="0.25">
      <c r="A15277" t="str">
        <f t="shared" si="349"/>
        <v>89301000</v>
      </c>
      <c r="B15277" t="str">
        <f>"9612046147"</f>
        <v>9612046147</v>
      </c>
      <c r="C15277" s="1">
        <v>45028</v>
      </c>
      <c r="D15277" s="1">
        <v>45037</v>
      </c>
      <c r="E15277">
        <v>1</v>
      </c>
      <c r="F15277" t="str">
        <f>"04-I08-03"</f>
        <v>04-I08-03</v>
      </c>
      <c r="G15277">
        <v>1.6777</v>
      </c>
      <c r="H15277" t="s">
        <v>11</v>
      </c>
      <c r="I15277" t="s">
        <v>10</v>
      </c>
    </row>
    <row r="15278" spans="1:9" x14ac:dyDescent="0.25">
      <c r="A15278" t="str">
        <f t="shared" si="349"/>
        <v>89301000</v>
      </c>
      <c r="B15278" t="str">
        <f>"9651075962"</f>
        <v>9651075962</v>
      </c>
      <c r="C15278" s="1">
        <v>45104</v>
      </c>
      <c r="D15278" s="1">
        <v>45107</v>
      </c>
      <c r="E15278">
        <v>1</v>
      </c>
      <c r="F15278" t="str">
        <f>"14-M01-05"</f>
        <v>14-M01-05</v>
      </c>
      <c r="G15278">
        <v>0.56289999999999996</v>
      </c>
      <c r="H15278" t="s">
        <v>13</v>
      </c>
      <c r="I15278" t="s">
        <v>10</v>
      </c>
    </row>
    <row r="15279" spans="1:9" x14ac:dyDescent="0.25">
      <c r="A15279" t="str">
        <f t="shared" si="349"/>
        <v>89301000</v>
      </c>
      <c r="B15279" t="str">
        <f>"9651095718"</f>
        <v>9651095718</v>
      </c>
      <c r="C15279" s="1">
        <v>45153</v>
      </c>
      <c r="D15279" s="1">
        <v>45156</v>
      </c>
      <c r="E15279">
        <v>1</v>
      </c>
      <c r="F15279" t="str">
        <f>"14-M01-05"</f>
        <v>14-M01-05</v>
      </c>
      <c r="G15279">
        <v>0.56289999999999996</v>
      </c>
      <c r="H15279" t="s">
        <v>13</v>
      </c>
      <c r="I15279" t="s">
        <v>10</v>
      </c>
    </row>
    <row r="15280" spans="1:9" x14ac:dyDescent="0.25">
      <c r="A15280" t="str">
        <f t="shared" si="349"/>
        <v>89301000</v>
      </c>
      <c r="B15280" t="str">
        <f>"9651175732"</f>
        <v>9651175732</v>
      </c>
      <c r="C15280" s="1">
        <v>45158</v>
      </c>
      <c r="D15280" s="1">
        <v>45161</v>
      </c>
      <c r="E15280">
        <v>1</v>
      </c>
      <c r="F15280" t="str">
        <f>"14-M01-02"</f>
        <v>14-M01-02</v>
      </c>
      <c r="G15280">
        <v>0.80049999999999999</v>
      </c>
      <c r="H15280" t="s">
        <v>13</v>
      </c>
      <c r="I15280" t="s">
        <v>10</v>
      </c>
    </row>
    <row r="15281" spans="1:9" x14ac:dyDescent="0.25">
      <c r="A15281" t="str">
        <f t="shared" si="349"/>
        <v>89301000</v>
      </c>
      <c r="B15281" t="str">
        <f>"9651175732"</f>
        <v>9651175732</v>
      </c>
      <c r="C15281" s="1">
        <v>45210</v>
      </c>
      <c r="D15281" s="1">
        <v>45211</v>
      </c>
      <c r="E15281">
        <v>1</v>
      </c>
      <c r="F15281" t="str">
        <f>"14-I08-03"</f>
        <v>14-I08-03</v>
      </c>
      <c r="G15281">
        <v>0.2437</v>
      </c>
      <c r="H15281" t="s">
        <v>11</v>
      </c>
      <c r="I15281" t="s">
        <v>10</v>
      </c>
    </row>
    <row r="15282" spans="1:9" x14ac:dyDescent="0.25">
      <c r="A15282" t="str">
        <f t="shared" si="349"/>
        <v>89301000</v>
      </c>
      <c r="B15282" t="str">
        <f>"9651176139"</f>
        <v>9651176139</v>
      </c>
      <c r="C15282" s="1">
        <v>45007</v>
      </c>
      <c r="D15282" s="1">
        <v>45013</v>
      </c>
      <c r="E15282">
        <v>1</v>
      </c>
      <c r="F15282" t="str">
        <f>"19-K03-03"</f>
        <v>19-K03-03</v>
      </c>
      <c r="G15282">
        <v>0.90410000000000001</v>
      </c>
      <c r="H15282" t="s">
        <v>15</v>
      </c>
      <c r="I15282" t="s">
        <v>10</v>
      </c>
    </row>
    <row r="15283" spans="1:9" x14ac:dyDescent="0.25">
      <c r="A15283" t="str">
        <f t="shared" si="349"/>
        <v>89301000</v>
      </c>
      <c r="B15283" t="str">
        <f>"9651176150"</f>
        <v>9651176150</v>
      </c>
      <c r="C15283" s="1">
        <v>45194</v>
      </c>
      <c r="D15283" s="1">
        <v>45197</v>
      </c>
      <c r="E15283">
        <v>1</v>
      </c>
      <c r="F15283" t="str">
        <f>"19-K02-03"</f>
        <v>19-K02-03</v>
      </c>
      <c r="G15283">
        <v>0.71950000000000003</v>
      </c>
      <c r="H15283" t="s">
        <v>15</v>
      </c>
      <c r="I15283" t="s">
        <v>10</v>
      </c>
    </row>
    <row r="15284" spans="1:9" x14ac:dyDescent="0.25">
      <c r="A15284" t="str">
        <f t="shared" si="349"/>
        <v>89301000</v>
      </c>
      <c r="B15284" t="str">
        <f>"9651184851"</f>
        <v>9651184851</v>
      </c>
      <c r="C15284" s="1">
        <v>44981</v>
      </c>
      <c r="D15284" s="1">
        <v>44981</v>
      </c>
      <c r="E15284">
        <v>1</v>
      </c>
      <c r="F15284" t="str">
        <f>"14-K03-02"</f>
        <v>14-K03-02</v>
      </c>
      <c r="G15284">
        <v>0.15079999999999999</v>
      </c>
      <c r="H15284" t="s">
        <v>11</v>
      </c>
      <c r="I15284" t="s">
        <v>10</v>
      </c>
    </row>
    <row r="15285" spans="1:9" x14ac:dyDescent="0.25">
      <c r="A15285" t="str">
        <f t="shared" si="349"/>
        <v>89301000</v>
      </c>
      <c r="B15285" t="str">
        <f>"9651184851"</f>
        <v>9651184851</v>
      </c>
      <c r="C15285" s="1">
        <v>44984</v>
      </c>
      <c r="D15285" s="1">
        <v>44987</v>
      </c>
      <c r="E15285">
        <v>1</v>
      </c>
      <c r="F15285" t="str">
        <f>"14-M01-05"</f>
        <v>14-M01-05</v>
      </c>
      <c r="G15285">
        <v>0.56589999999999996</v>
      </c>
      <c r="H15285" t="s">
        <v>13</v>
      </c>
      <c r="I15285" t="s">
        <v>10</v>
      </c>
    </row>
    <row r="15286" spans="1:9" x14ac:dyDescent="0.25">
      <c r="A15286" t="str">
        <f t="shared" si="349"/>
        <v>89301000</v>
      </c>
      <c r="B15286" t="str">
        <f>"9651205751"</f>
        <v>9651205751</v>
      </c>
      <c r="C15286" s="1">
        <v>45190</v>
      </c>
      <c r="D15286" s="1">
        <v>45193</v>
      </c>
      <c r="E15286">
        <v>1</v>
      </c>
      <c r="F15286" t="str">
        <f>"14-M01-05"</f>
        <v>14-M01-05</v>
      </c>
      <c r="G15286">
        <v>0.56589999999999996</v>
      </c>
      <c r="H15286" t="s">
        <v>13</v>
      </c>
      <c r="I15286" t="s">
        <v>10</v>
      </c>
    </row>
    <row r="15287" spans="1:9" x14ac:dyDescent="0.25">
      <c r="A15287" t="str">
        <f t="shared" si="349"/>
        <v>89301000</v>
      </c>
      <c r="B15287" t="str">
        <f>"9651225573"</f>
        <v>9651225573</v>
      </c>
      <c r="C15287" s="1">
        <v>45194</v>
      </c>
      <c r="D15287" s="1">
        <v>45198</v>
      </c>
      <c r="E15287">
        <v>1</v>
      </c>
      <c r="F15287" t="str">
        <f>"14-I01-05"</f>
        <v>14-I01-05</v>
      </c>
      <c r="G15287">
        <v>0.83340000000000003</v>
      </c>
      <c r="H15287" t="s">
        <v>13</v>
      </c>
      <c r="I15287" t="s">
        <v>10</v>
      </c>
    </row>
    <row r="15288" spans="1:9" x14ac:dyDescent="0.25">
      <c r="A15288" t="str">
        <f t="shared" si="349"/>
        <v>89301000</v>
      </c>
      <c r="B15288" t="str">
        <f>"9651245703"</f>
        <v>9651245703</v>
      </c>
      <c r="C15288" s="1">
        <v>45041</v>
      </c>
      <c r="D15288" s="1">
        <v>45049</v>
      </c>
      <c r="E15288">
        <v>1</v>
      </c>
      <c r="F15288" t="str">
        <f>"06-K02-04"</f>
        <v>06-K02-04</v>
      </c>
      <c r="G15288">
        <v>0.48959999999999998</v>
      </c>
      <c r="H15288" t="s">
        <v>11</v>
      </c>
      <c r="I15288" t="s">
        <v>10</v>
      </c>
    </row>
    <row r="15289" spans="1:9" x14ac:dyDescent="0.25">
      <c r="A15289" t="str">
        <f t="shared" si="349"/>
        <v>89301000</v>
      </c>
      <c r="B15289" t="str">
        <f>"9652015703"</f>
        <v>9652015703</v>
      </c>
      <c r="C15289" s="1">
        <v>44949</v>
      </c>
      <c r="D15289" s="1">
        <v>44953</v>
      </c>
      <c r="E15289">
        <v>1</v>
      </c>
      <c r="F15289" t="str">
        <f>"14-M01-05"</f>
        <v>14-M01-05</v>
      </c>
      <c r="G15289">
        <v>0.56589999999999996</v>
      </c>
      <c r="H15289" t="s">
        <v>13</v>
      </c>
      <c r="I15289" t="s">
        <v>10</v>
      </c>
    </row>
    <row r="15290" spans="1:9" x14ac:dyDescent="0.25">
      <c r="A15290" t="str">
        <f t="shared" si="349"/>
        <v>89301000</v>
      </c>
      <c r="B15290" t="str">
        <f>"9652056150"</f>
        <v>9652056150</v>
      </c>
      <c r="C15290" s="1">
        <v>45071</v>
      </c>
      <c r="D15290" s="1">
        <v>45074</v>
      </c>
      <c r="E15290">
        <v>1</v>
      </c>
      <c r="F15290" t="str">
        <f>"14-M01-05"</f>
        <v>14-M01-05</v>
      </c>
      <c r="G15290">
        <v>0.56289999999999996</v>
      </c>
      <c r="H15290" t="s">
        <v>13</v>
      </c>
      <c r="I15290" t="s">
        <v>10</v>
      </c>
    </row>
    <row r="15291" spans="1:9" x14ac:dyDescent="0.25">
      <c r="A15291" t="str">
        <f t="shared" si="349"/>
        <v>89301000</v>
      </c>
      <c r="B15291" t="str">
        <f>"9652085718"</f>
        <v>9652085718</v>
      </c>
      <c r="C15291" s="1">
        <v>44945</v>
      </c>
      <c r="D15291" s="1">
        <v>44950</v>
      </c>
      <c r="E15291">
        <v>1</v>
      </c>
      <c r="F15291" t="str">
        <f>"14-I01-02"</f>
        <v>14-I01-02</v>
      </c>
      <c r="G15291">
        <v>1.2988999999999999</v>
      </c>
      <c r="H15291" t="s">
        <v>13</v>
      </c>
      <c r="I15291" t="s">
        <v>10</v>
      </c>
    </row>
    <row r="15292" spans="1:9" x14ac:dyDescent="0.25">
      <c r="A15292" t="str">
        <f t="shared" si="349"/>
        <v>89301000</v>
      </c>
      <c r="B15292" t="str">
        <f>"9652095706"</f>
        <v>9652095706</v>
      </c>
      <c r="C15292" s="1">
        <v>45255</v>
      </c>
      <c r="D15292" s="1">
        <v>45258</v>
      </c>
      <c r="E15292">
        <v>1</v>
      </c>
      <c r="F15292" t="str">
        <f>"14-M01-05"</f>
        <v>14-M01-05</v>
      </c>
      <c r="G15292">
        <v>0.56289999999999996</v>
      </c>
      <c r="H15292" t="s">
        <v>13</v>
      </c>
      <c r="I15292" t="s">
        <v>10</v>
      </c>
    </row>
    <row r="15293" spans="1:9" x14ac:dyDescent="0.25">
      <c r="A15293" t="str">
        <f t="shared" si="349"/>
        <v>89301000</v>
      </c>
      <c r="B15293" t="str">
        <f>"9652143259"</f>
        <v>9652143259</v>
      </c>
      <c r="C15293" s="1">
        <v>45234</v>
      </c>
      <c r="D15293" s="1">
        <v>45235</v>
      </c>
      <c r="E15293">
        <v>6</v>
      </c>
      <c r="F15293" t="str">
        <f>"14-M01-01"</f>
        <v>14-M01-01</v>
      </c>
      <c r="G15293">
        <v>0.81010000000000004</v>
      </c>
      <c r="H15293" t="s">
        <v>13</v>
      </c>
      <c r="I15293" t="s">
        <v>10</v>
      </c>
    </row>
    <row r="15294" spans="1:9" x14ac:dyDescent="0.25">
      <c r="A15294" t="str">
        <f t="shared" si="349"/>
        <v>89301000</v>
      </c>
      <c r="B15294" t="str">
        <f>"9652215727"</f>
        <v>9652215727</v>
      </c>
      <c r="C15294" s="1">
        <v>45001</v>
      </c>
      <c r="D15294" s="1">
        <v>45002</v>
      </c>
      <c r="E15294">
        <v>1</v>
      </c>
      <c r="F15294" t="str">
        <f>"09-K04-02"</f>
        <v>09-K04-02</v>
      </c>
      <c r="G15294">
        <v>0.64849999999999997</v>
      </c>
      <c r="H15294" t="s">
        <v>11</v>
      </c>
      <c r="I15294" t="s">
        <v>10</v>
      </c>
    </row>
    <row r="15295" spans="1:9" x14ac:dyDescent="0.25">
      <c r="A15295" t="str">
        <f t="shared" si="349"/>
        <v>89301000</v>
      </c>
      <c r="B15295" t="str">
        <f>"9652286171"</f>
        <v>9652286171</v>
      </c>
      <c r="C15295" s="1">
        <v>44954</v>
      </c>
      <c r="D15295" s="1">
        <v>44957</v>
      </c>
      <c r="E15295">
        <v>1</v>
      </c>
      <c r="F15295" t="str">
        <f>"14-M01-05"</f>
        <v>14-M01-05</v>
      </c>
      <c r="G15295">
        <v>0.56589999999999996</v>
      </c>
      <c r="H15295" t="s">
        <v>13</v>
      </c>
      <c r="I15295" t="s">
        <v>10</v>
      </c>
    </row>
    <row r="15296" spans="1:9" x14ac:dyDescent="0.25">
      <c r="A15296" t="str">
        <f t="shared" si="349"/>
        <v>89301000</v>
      </c>
      <c r="B15296" t="str">
        <f>"9653024854"</f>
        <v>9653024854</v>
      </c>
      <c r="C15296" s="1">
        <v>44936</v>
      </c>
      <c r="D15296" s="1">
        <v>44937</v>
      </c>
      <c r="E15296">
        <v>1</v>
      </c>
      <c r="F15296" t="str">
        <f>"01-K18-04"</f>
        <v>01-K18-04</v>
      </c>
      <c r="G15296">
        <v>0.54610000000000003</v>
      </c>
      <c r="H15296" t="s">
        <v>11</v>
      </c>
      <c r="I15296" t="s">
        <v>10</v>
      </c>
    </row>
    <row r="15297" spans="1:9" x14ac:dyDescent="0.25">
      <c r="A15297" t="str">
        <f t="shared" si="349"/>
        <v>89301000</v>
      </c>
      <c r="B15297" t="str">
        <f>"9653044841"</f>
        <v>9653044841</v>
      </c>
      <c r="C15297" s="1">
        <v>45051</v>
      </c>
      <c r="D15297" s="1">
        <v>45054</v>
      </c>
      <c r="E15297">
        <v>1</v>
      </c>
      <c r="F15297" t="str">
        <f>"14-M01-05"</f>
        <v>14-M01-05</v>
      </c>
      <c r="G15297">
        <v>0.56289999999999996</v>
      </c>
      <c r="H15297" t="s">
        <v>13</v>
      </c>
      <c r="I15297" t="s">
        <v>10</v>
      </c>
    </row>
    <row r="15298" spans="1:9" x14ac:dyDescent="0.25">
      <c r="A15298" t="str">
        <f t="shared" si="349"/>
        <v>89301000</v>
      </c>
      <c r="B15298" t="str">
        <f>"9653045754"</f>
        <v>9653045754</v>
      </c>
      <c r="C15298" s="1">
        <v>45146</v>
      </c>
      <c r="D15298" s="1">
        <v>45149</v>
      </c>
      <c r="E15298">
        <v>1</v>
      </c>
      <c r="F15298" t="str">
        <f>"05-I30-01"</f>
        <v>05-I30-01</v>
      </c>
      <c r="G15298">
        <v>0.60309999999999997</v>
      </c>
      <c r="H15298" t="s">
        <v>12</v>
      </c>
      <c r="I15298" t="s">
        <v>10</v>
      </c>
    </row>
    <row r="15299" spans="1:9" x14ac:dyDescent="0.25">
      <c r="A15299" t="str">
        <f t="shared" si="349"/>
        <v>89301000</v>
      </c>
      <c r="B15299" t="str">
        <f>"9653045754"</f>
        <v>9653045754</v>
      </c>
      <c r="C15299" s="1">
        <v>45039</v>
      </c>
      <c r="D15299" s="1">
        <v>45042</v>
      </c>
      <c r="E15299">
        <v>1</v>
      </c>
      <c r="F15299" t="str">
        <f>"05-I30-01"</f>
        <v>05-I30-01</v>
      </c>
      <c r="G15299">
        <v>0.60309999999999997</v>
      </c>
      <c r="H15299" t="s">
        <v>12</v>
      </c>
      <c r="I15299" t="s">
        <v>10</v>
      </c>
    </row>
    <row r="15300" spans="1:9" x14ac:dyDescent="0.25">
      <c r="A15300" t="str">
        <f t="shared" si="349"/>
        <v>89301000</v>
      </c>
      <c r="B15300" t="str">
        <f>"9653085728"</f>
        <v>9653085728</v>
      </c>
      <c r="C15300" s="1">
        <v>45137</v>
      </c>
      <c r="D15300" s="1">
        <v>45139</v>
      </c>
      <c r="E15300">
        <v>1</v>
      </c>
      <c r="F15300" t="str">
        <f>"14-M01-05"</f>
        <v>14-M01-05</v>
      </c>
      <c r="G15300">
        <v>0.56289999999999996</v>
      </c>
      <c r="H15300" t="s">
        <v>13</v>
      </c>
      <c r="I15300" t="s">
        <v>10</v>
      </c>
    </row>
    <row r="15301" spans="1:9" x14ac:dyDescent="0.25">
      <c r="A15301" t="str">
        <f t="shared" si="349"/>
        <v>89301000</v>
      </c>
      <c r="B15301" t="str">
        <f>"9653124217"</f>
        <v>9653124217</v>
      </c>
      <c r="C15301" s="1">
        <v>44963</v>
      </c>
      <c r="D15301" s="1">
        <v>44964</v>
      </c>
      <c r="E15301">
        <v>1</v>
      </c>
      <c r="F15301" t="str">
        <f>"10-K04-04"</f>
        <v>10-K04-04</v>
      </c>
      <c r="G15301">
        <v>0.53949999999999998</v>
      </c>
      <c r="H15301" t="s">
        <v>11</v>
      </c>
      <c r="I15301" t="s">
        <v>10</v>
      </c>
    </row>
    <row r="15302" spans="1:9" x14ac:dyDescent="0.25">
      <c r="A15302" t="str">
        <f t="shared" ref="A15302:A15365" si="350">"89301000"</f>
        <v>89301000</v>
      </c>
      <c r="B15302" t="str">
        <f>"9653135756"</f>
        <v>9653135756</v>
      </c>
      <c r="C15302" s="1">
        <v>44957</v>
      </c>
      <c r="D15302" s="1">
        <v>44972</v>
      </c>
      <c r="E15302">
        <v>1</v>
      </c>
      <c r="F15302" t="str">
        <f>"14-K05-03"</f>
        <v>14-K05-03</v>
      </c>
      <c r="G15302">
        <v>0.97650000000000003</v>
      </c>
      <c r="H15302" t="s">
        <v>11</v>
      </c>
      <c r="I15302" t="s">
        <v>10</v>
      </c>
    </row>
    <row r="15303" spans="1:9" x14ac:dyDescent="0.25">
      <c r="A15303" t="str">
        <f t="shared" si="350"/>
        <v>89301000</v>
      </c>
      <c r="B15303" t="str">
        <f>"9653135756"</f>
        <v>9653135756</v>
      </c>
      <c r="C15303" s="1">
        <v>44949</v>
      </c>
      <c r="D15303" s="1">
        <v>44953</v>
      </c>
      <c r="E15303">
        <v>1</v>
      </c>
      <c r="F15303" t="str">
        <f>"14-I01-05"</f>
        <v>14-I01-05</v>
      </c>
      <c r="G15303">
        <v>0.83</v>
      </c>
      <c r="H15303" t="s">
        <v>13</v>
      </c>
      <c r="I15303" t="s">
        <v>10</v>
      </c>
    </row>
    <row r="15304" spans="1:9" x14ac:dyDescent="0.25">
      <c r="A15304" t="str">
        <f t="shared" si="350"/>
        <v>89301000</v>
      </c>
      <c r="B15304" t="str">
        <f>"9654054850"</f>
        <v>9654054850</v>
      </c>
      <c r="C15304" s="1">
        <v>45190</v>
      </c>
      <c r="D15304" s="1">
        <v>45191</v>
      </c>
      <c r="E15304">
        <v>1</v>
      </c>
      <c r="F15304" t="str">
        <f>"03-K13-02"</f>
        <v>03-K13-02</v>
      </c>
      <c r="G15304">
        <v>0.24440000000000001</v>
      </c>
      <c r="H15304" t="s">
        <v>11</v>
      </c>
      <c r="I15304" t="s">
        <v>10</v>
      </c>
    </row>
    <row r="15305" spans="1:9" x14ac:dyDescent="0.25">
      <c r="A15305" t="str">
        <f t="shared" si="350"/>
        <v>89301000</v>
      </c>
      <c r="B15305" t="str">
        <f>"9654095715"</f>
        <v>9654095715</v>
      </c>
      <c r="C15305" s="1">
        <v>45120</v>
      </c>
      <c r="D15305" s="1">
        <v>45121</v>
      </c>
      <c r="E15305">
        <v>1</v>
      </c>
      <c r="F15305" t="str">
        <f>"01-K18-03"</f>
        <v>01-K18-03</v>
      </c>
      <c r="G15305">
        <v>0.93169999999999997</v>
      </c>
      <c r="H15305" t="s">
        <v>11</v>
      </c>
      <c r="I15305" t="s">
        <v>10</v>
      </c>
    </row>
    <row r="15306" spans="1:9" x14ac:dyDescent="0.25">
      <c r="A15306" t="str">
        <f t="shared" si="350"/>
        <v>89301000</v>
      </c>
      <c r="B15306" t="str">
        <f>"9654164300"</f>
        <v>9654164300</v>
      </c>
      <c r="C15306" s="1">
        <v>45119</v>
      </c>
      <c r="D15306" s="1">
        <v>45125</v>
      </c>
      <c r="E15306">
        <v>1</v>
      </c>
      <c r="F15306" t="str">
        <f>"14-I01-02"</f>
        <v>14-I01-02</v>
      </c>
      <c r="G15306">
        <v>1.2935000000000001</v>
      </c>
      <c r="H15306" t="s">
        <v>13</v>
      </c>
      <c r="I15306" t="s">
        <v>10</v>
      </c>
    </row>
    <row r="15307" spans="1:9" x14ac:dyDescent="0.25">
      <c r="A15307" t="str">
        <f t="shared" si="350"/>
        <v>89301000</v>
      </c>
      <c r="B15307" t="str">
        <f>"9654204846"</f>
        <v>9654204846</v>
      </c>
      <c r="C15307" s="1">
        <v>45012</v>
      </c>
      <c r="D15307" s="1">
        <v>45051</v>
      </c>
      <c r="E15307">
        <v>1</v>
      </c>
      <c r="F15307" t="str">
        <f>"19-K08-02"</f>
        <v>19-K08-02</v>
      </c>
      <c r="G15307">
        <v>4.4416000000000002</v>
      </c>
      <c r="H15307" t="s">
        <v>15</v>
      </c>
      <c r="I15307" t="s">
        <v>10</v>
      </c>
    </row>
    <row r="15308" spans="1:9" x14ac:dyDescent="0.25">
      <c r="A15308" t="str">
        <f t="shared" si="350"/>
        <v>89301000</v>
      </c>
      <c r="B15308" t="str">
        <f>"9654224877"</f>
        <v>9654224877</v>
      </c>
      <c r="C15308" s="1">
        <v>45211</v>
      </c>
      <c r="D15308" s="1">
        <v>45215</v>
      </c>
      <c r="E15308">
        <v>1</v>
      </c>
      <c r="F15308" t="str">
        <f>"13-I14-03"</f>
        <v>13-I14-03</v>
      </c>
      <c r="G15308">
        <v>0.87760000000000005</v>
      </c>
      <c r="H15308" t="s">
        <v>9</v>
      </c>
      <c r="I15308" t="s">
        <v>10</v>
      </c>
    </row>
    <row r="15309" spans="1:9" x14ac:dyDescent="0.25">
      <c r="A15309" t="str">
        <f t="shared" si="350"/>
        <v>89301000</v>
      </c>
      <c r="B15309" t="str">
        <f>"9654256150"</f>
        <v>9654256150</v>
      </c>
      <c r="C15309" s="1">
        <v>45042</v>
      </c>
      <c r="D15309" s="1">
        <v>45049</v>
      </c>
      <c r="E15309">
        <v>1</v>
      </c>
      <c r="F15309" t="str">
        <f>"14-M01-05"</f>
        <v>14-M01-05</v>
      </c>
      <c r="G15309">
        <v>0.63339999999999996</v>
      </c>
      <c r="H15309" t="s">
        <v>13</v>
      </c>
      <c r="I15309" t="s">
        <v>10</v>
      </c>
    </row>
    <row r="15310" spans="1:9" x14ac:dyDescent="0.25">
      <c r="A15310" t="str">
        <f t="shared" si="350"/>
        <v>89301000</v>
      </c>
      <c r="B15310" t="str">
        <f>"9655065728"</f>
        <v>9655065728</v>
      </c>
      <c r="C15310" s="1">
        <v>45073</v>
      </c>
      <c r="D15310" s="1">
        <v>45077</v>
      </c>
      <c r="E15310">
        <v>1</v>
      </c>
      <c r="F15310" t="str">
        <f>"14-M01-05"</f>
        <v>14-M01-05</v>
      </c>
      <c r="G15310">
        <v>0.58320000000000005</v>
      </c>
      <c r="H15310" t="s">
        <v>13</v>
      </c>
      <c r="I15310" t="s">
        <v>10</v>
      </c>
    </row>
    <row r="15311" spans="1:9" x14ac:dyDescent="0.25">
      <c r="A15311" t="str">
        <f t="shared" si="350"/>
        <v>89301000</v>
      </c>
      <c r="B15311" t="str">
        <f>"9655130958"</f>
        <v>9655130958</v>
      </c>
      <c r="C15311" s="1">
        <v>45252</v>
      </c>
      <c r="D15311" s="1">
        <v>45258</v>
      </c>
      <c r="E15311">
        <v>1</v>
      </c>
      <c r="F15311" t="str">
        <f>"13-I12-00"</f>
        <v>13-I12-00</v>
      </c>
      <c r="G15311">
        <v>1.8030999999999999</v>
      </c>
      <c r="H15311" t="s">
        <v>9</v>
      </c>
      <c r="I15311" t="s">
        <v>10</v>
      </c>
    </row>
    <row r="15312" spans="1:9" x14ac:dyDescent="0.25">
      <c r="A15312" t="str">
        <f t="shared" si="350"/>
        <v>89301000</v>
      </c>
      <c r="B15312" t="str">
        <f>"9655145709"</f>
        <v>9655145709</v>
      </c>
      <c r="C15312" s="1">
        <v>45107</v>
      </c>
      <c r="D15312" s="1">
        <v>45110</v>
      </c>
      <c r="E15312">
        <v>1</v>
      </c>
      <c r="F15312" t="str">
        <f>"14-M01-05"</f>
        <v>14-M01-05</v>
      </c>
      <c r="G15312">
        <v>0.56589999999999996</v>
      </c>
      <c r="H15312" t="s">
        <v>13</v>
      </c>
      <c r="I15312" t="s">
        <v>10</v>
      </c>
    </row>
    <row r="15313" spans="1:9" x14ac:dyDescent="0.25">
      <c r="A15313" t="str">
        <f t="shared" si="350"/>
        <v>89301000</v>
      </c>
      <c r="B15313" t="str">
        <f>"9655236140"</f>
        <v>9655236140</v>
      </c>
      <c r="C15313" s="1">
        <v>45260</v>
      </c>
      <c r="D15313" s="1">
        <v>45264</v>
      </c>
      <c r="E15313">
        <v>1</v>
      </c>
      <c r="F15313" t="str">
        <f>"14-I01-05"</f>
        <v>14-I01-05</v>
      </c>
      <c r="G15313">
        <v>0.83</v>
      </c>
      <c r="H15313" t="s">
        <v>13</v>
      </c>
      <c r="I15313" t="s">
        <v>10</v>
      </c>
    </row>
    <row r="15314" spans="1:9" x14ac:dyDescent="0.25">
      <c r="A15314" t="str">
        <f t="shared" si="350"/>
        <v>89301000</v>
      </c>
      <c r="B15314" t="str">
        <f>"9655295716"</f>
        <v>9655295716</v>
      </c>
      <c r="C15314" s="1">
        <v>45044</v>
      </c>
      <c r="D15314" s="1">
        <v>45047</v>
      </c>
      <c r="E15314">
        <v>1</v>
      </c>
      <c r="F15314" t="str">
        <f>"14-M01-05"</f>
        <v>14-M01-05</v>
      </c>
      <c r="G15314">
        <v>0.56289999999999996</v>
      </c>
      <c r="H15314" t="s">
        <v>13</v>
      </c>
      <c r="I15314" t="s">
        <v>10</v>
      </c>
    </row>
    <row r="15315" spans="1:9" x14ac:dyDescent="0.25">
      <c r="A15315" t="str">
        <f t="shared" si="350"/>
        <v>89301000</v>
      </c>
      <c r="B15315" t="str">
        <f>"9656034102"</f>
        <v>9656034102</v>
      </c>
      <c r="C15315" s="1">
        <v>44945</v>
      </c>
      <c r="D15315" s="1">
        <v>44947</v>
      </c>
      <c r="E15315">
        <v>1</v>
      </c>
      <c r="F15315" t="str">
        <f>"06-I18-05"</f>
        <v>06-I18-05</v>
      </c>
      <c r="G15315">
        <v>0.82420000000000004</v>
      </c>
      <c r="H15315" t="s">
        <v>9</v>
      </c>
      <c r="I15315" t="s">
        <v>10</v>
      </c>
    </row>
    <row r="15316" spans="1:9" x14ac:dyDescent="0.25">
      <c r="A15316" t="str">
        <f t="shared" si="350"/>
        <v>89301000</v>
      </c>
      <c r="B15316" t="str">
        <f>"9656065716"</f>
        <v>9656065716</v>
      </c>
      <c r="C15316" s="1">
        <v>45200</v>
      </c>
      <c r="D15316" s="1">
        <v>45203</v>
      </c>
      <c r="E15316">
        <v>1</v>
      </c>
      <c r="F15316" t="str">
        <f>"14-M01-05"</f>
        <v>14-M01-05</v>
      </c>
      <c r="G15316">
        <v>0.56289999999999996</v>
      </c>
      <c r="H15316" t="s">
        <v>13</v>
      </c>
      <c r="I15316" t="s">
        <v>10</v>
      </c>
    </row>
    <row r="15317" spans="1:9" x14ac:dyDescent="0.25">
      <c r="A15317" t="str">
        <f t="shared" si="350"/>
        <v>89301000</v>
      </c>
      <c r="B15317" t="str">
        <f>"9656074934"</f>
        <v>9656074934</v>
      </c>
      <c r="C15317" s="1">
        <v>45202</v>
      </c>
      <c r="D15317" s="1">
        <v>45207</v>
      </c>
      <c r="E15317">
        <v>1</v>
      </c>
      <c r="F15317" t="str">
        <f>"18-K02-03"</f>
        <v>18-K02-03</v>
      </c>
      <c r="G15317">
        <v>0.9234</v>
      </c>
      <c r="H15317" t="s">
        <v>11</v>
      </c>
      <c r="I15317" t="s">
        <v>10</v>
      </c>
    </row>
    <row r="15318" spans="1:9" x14ac:dyDescent="0.25">
      <c r="A15318" t="str">
        <f t="shared" si="350"/>
        <v>89301000</v>
      </c>
      <c r="B15318" t="str">
        <f>"9656075748"</f>
        <v>9656075748</v>
      </c>
      <c r="C15318" s="1">
        <v>45246</v>
      </c>
      <c r="D15318" s="1">
        <v>45249</v>
      </c>
      <c r="E15318">
        <v>1</v>
      </c>
      <c r="F15318" t="str">
        <f>"14-M01-05"</f>
        <v>14-M01-05</v>
      </c>
      <c r="G15318">
        <v>0.56289999999999996</v>
      </c>
      <c r="H15318" t="s">
        <v>13</v>
      </c>
      <c r="I15318" t="s">
        <v>10</v>
      </c>
    </row>
    <row r="15319" spans="1:9" x14ac:dyDescent="0.25">
      <c r="A15319" t="str">
        <f t="shared" si="350"/>
        <v>89301000</v>
      </c>
      <c r="B15319" t="str">
        <f>"9656115821"</f>
        <v>9656115821</v>
      </c>
      <c r="C15319" s="1">
        <v>45153</v>
      </c>
      <c r="D15319" s="1">
        <v>45157</v>
      </c>
      <c r="E15319">
        <v>1</v>
      </c>
      <c r="F15319" t="str">
        <f>"14-M01-05"</f>
        <v>14-M01-05</v>
      </c>
      <c r="G15319">
        <v>0.56289999999999996</v>
      </c>
      <c r="H15319" t="s">
        <v>13</v>
      </c>
      <c r="I15319" t="s">
        <v>10</v>
      </c>
    </row>
    <row r="15320" spans="1:9" x14ac:dyDescent="0.25">
      <c r="A15320" t="str">
        <f t="shared" si="350"/>
        <v>89301000</v>
      </c>
      <c r="B15320" t="str">
        <f>"9656125754"</f>
        <v>9656125754</v>
      </c>
      <c r="C15320" s="1">
        <v>44972</v>
      </c>
      <c r="D15320" s="1">
        <v>44974</v>
      </c>
      <c r="E15320">
        <v>1</v>
      </c>
      <c r="F15320" t="str">
        <f>"08-M03-05"</f>
        <v>08-M03-05</v>
      </c>
      <c r="G15320">
        <v>0.46810000000000002</v>
      </c>
      <c r="H15320" t="s">
        <v>11</v>
      </c>
      <c r="I15320" t="s">
        <v>10</v>
      </c>
    </row>
    <row r="15321" spans="1:9" x14ac:dyDescent="0.25">
      <c r="A15321" t="str">
        <f t="shared" si="350"/>
        <v>89301000</v>
      </c>
      <c r="B15321" t="str">
        <f>"9656146148"</f>
        <v>9656146148</v>
      </c>
      <c r="C15321" s="1">
        <v>45272</v>
      </c>
      <c r="D15321" s="1">
        <v>45276</v>
      </c>
      <c r="E15321">
        <v>1</v>
      </c>
      <c r="F15321" t="str">
        <f>"14-I01-05"</f>
        <v>14-I01-05</v>
      </c>
      <c r="G15321">
        <v>0.83340000000000003</v>
      </c>
      <c r="H15321" t="s">
        <v>13</v>
      </c>
      <c r="I15321" t="s">
        <v>10</v>
      </c>
    </row>
    <row r="15322" spans="1:9" x14ac:dyDescent="0.25">
      <c r="A15322" t="str">
        <f t="shared" si="350"/>
        <v>89301000</v>
      </c>
      <c r="B15322" t="str">
        <f>"9656256214"</f>
        <v>9656256214</v>
      </c>
      <c r="C15322" s="1">
        <v>45095</v>
      </c>
      <c r="D15322" s="1">
        <v>45103</v>
      </c>
      <c r="E15322">
        <v>1</v>
      </c>
      <c r="F15322" t="str">
        <f>"14-M01-02"</f>
        <v>14-M01-02</v>
      </c>
      <c r="G15322">
        <v>0.89459999999999995</v>
      </c>
      <c r="H15322" t="s">
        <v>13</v>
      </c>
      <c r="I15322" t="s">
        <v>10</v>
      </c>
    </row>
    <row r="15323" spans="1:9" x14ac:dyDescent="0.25">
      <c r="A15323" t="str">
        <f t="shared" si="350"/>
        <v>89301000</v>
      </c>
      <c r="B15323" t="str">
        <f>"9657095712"</f>
        <v>9657095712</v>
      </c>
      <c r="C15323" s="1">
        <v>45033</v>
      </c>
      <c r="D15323" s="1">
        <v>45035</v>
      </c>
      <c r="E15323">
        <v>1</v>
      </c>
      <c r="F15323" t="str">
        <f>"08-I32-00"</f>
        <v>08-I32-00</v>
      </c>
      <c r="G15323">
        <v>0.4093</v>
      </c>
      <c r="H15323" t="s">
        <v>11</v>
      </c>
      <c r="I15323" t="s">
        <v>10</v>
      </c>
    </row>
    <row r="15324" spans="1:9" x14ac:dyDescent="0.25">
      <c r="A15324" t="str">
        <f t="shared" si="350"/>
        <v>89301000</v>
      </c>
      <c r="B15324" t="str">
        <f>"9657095734"</f>
        <v>9657095734</v>
      </c>
      <c r="C15324" s="1">
        <v>44988</v>
      </c>
      <c r="D15324" s="1">
        <v>44990</v>
      </c>
      <c r="E15324">
        <v>1</v>
      </c>
      <c r="F15324" t="str">
        <f>"14-M01-02"</f>
        <v>14-M01-02</v>
      </c>
      <c r="G15324">
        <v>0.80049999999999999</v>
      </c>
      <c r="H15324" t="s">
        <v>13</v>
      </c>
      <c r="I15324" t="s">
        <v>10</v>
      </c>
    </row>
    <row r="15325" spans="1:9" x14ac:dyDescent="0.25">
      <c r="A15325" t="str">
        <f t="shared" si="350"/>
        <v>89301000</v>
      </c>
      <c r="B15325" t="str">
        <f>"9657126160"</f>
        <v>9657126160</v>
      </c>
      <c r="C15325" s="1">
        <v>45077</v>
      </c>
      <c r="D15325" s="1">
        <v>45083</v>
      </c>
      <c r="E15325">
        <v>1</v>
      </c>
      <c r="F15325" t="str">
        <f>"14-M01-05"</f>
        <v>14-M01-05</v>
      </c>
      <c r="G15325">
        <v>0.56289999999999996</v>
      </c>
      <c r="H15325" t="s">
        <v>13</v>
      </c>
      <c r="I15325" t="s">
        <v>10</v>
      </c>
    </row>
    <row r="15326" spans="1:9" x14ac:dyDescent="0.25">
      <c r="A15326" t="str">
        <f t="shared" si="350"/>
        <v>89301000</v>
      </c>
      <c r="B15326" t="str">
        <f>"9657145718"</f>
        <v>9657145718</v>
      </c>
      <c r="C15326" s="1">
        <v>45103</v>
      </c>
      <c r="D15326" s="1">
        <v>45108</v>
      </c>
      <c r="E15326">
        <v>1</v>
      </c>
      <c r="F15326" t="str">
        <f>"01-K07-03"</f>
        <v>01-K07-03</v>
      </c>
      <c r="G15326">
        <v>0.48680000000000001</v>
      </c>
      <c r="H15326" t="s">
        <v>11</v>
      </c>
      <c r="I15326" t="s">
        <v>10</v>
      </c>
    </row>
    <row r="15327" spans="1:9" x14ac:dyDescent="0.25">
      <c r="A15327" t="str">
        <f t="shared" si="350"/>
        <v>89301000</v>
      </c>
      <c r="B15327" t="str">
        <f>"9657185714"</f>
        <v>9657185714</v>
      </c>
      <c r="C15327" s="1">
        <v>45017</v>
      </c>
      <c r="D15327" s="1">
        <v>45021</v>
      </c>
      <c r="E15327">
        <v>1</v>
      </c>
      <c r="F15327" t="str">
        <f t="shared" ref="F15327:F15332" si="351">"14-M01-05"</f>
        <v>14-M01-05</v>
      </c>
      <c r="G15327">
        <v>0.56289999999999996</v>
      </c>
      <c r="H15327" t="s">
        <v>13</v>
      </c>
      <c r="I15327" t="s">
        <v>10</v>
      </c>
    </row>
    <row r="15328" spans="1:9" x14ac:dyDescent="0.25">
      <c r="A15328" t="str">
        <f t="shared" si="350"/>
        <v>89301000</v>
      </c>
      <c r="B15328" t="str">
        <f>"9657205712"</f>
        <v>9657205712</v>
      </c>
      <c r="C15328" s="1">
        <v>45169</v>
      </c>
      <c r="D15328" s="1">
        <v>45172</v>
      </c>
      <c r="E15328">
        <v>1</v>
      </c>
      <c r="F15328" t="str">
        <f t="shared" si="351"/>
        <v>14-M01-05</v>
      </c>
      <c r="G15328">
        <v>0.56589999999999996</v>
      </c>
      <c r="H15328" t="s">
        <v>13</v>
      </c>
      <c r="I15328" t="s">
        <v>10</v>
      </c>
    </row>
    <row r="15329" spans="1:9" x14ac:dyDescent="0.25">
      <c r="A15329" t="str">
        <f t="shared" si="350"/>
        <v>89301000</v>
      </c>
      <c r="B15329" t="str">
        <f>"9657235390"</f>
        <v>9657235390</v>
      </c>
      <c r="C15329" s="1">
        <v>45015</v>
      </c>
      <c r="D15329" s="1">
        <v>45020</v>
      </c>
      <c r="E15329">
        <v>1</v>
      </c>
      <c r="F15329" t="str">
        <f t="shared" si="351"/>
        <v>14-M01-05</v>
      </c>
      <c r="G15329">
        <v>0.56289999999999996</v>
      </c>
      <c r="H15329" t="s">
        <v>13</v>
      </c>
      <c r="I15329" t="s">
        <v>10</v>
      </c>
    </row>
    <row r="15330" spans="1:9" x14ac:dyDescent="0.25">
      <c r="A15330" t="str">
        <f t="shared" si="350"/>
        <v>89301000</v>
      </c>
      <c r="B15330" t="str">
        <f>"9657235731"</f>
        <v>9657235731</v>
      </c>
      <c r="C15330" s="1">
        <v>45004</v>
      </c>
      <c r="D15330" s="1">
        <v>45007</v>
      </c>
      <c r="E15330">
        <v>1</v>
      </c>
      <c r="F15330" t="str">
        <f t="shared" si="351"/>
        <v>14-M01-05</v>
      </c>
      <c r="G15330">
        <v>0.56589999999999996</v>
      </c>
      <c r="H15330" t="s">
        <v>13</v>
      </c>
      <c r="I15330" t="s">
        <v>10</v>
      </c>
    </row>
    <row r="15331" spans="1:9" x14ac:dyDescent="0.25">
      <c r="A15331" t="str">
        <f t="shared" si="350"/>
        <v>89301000</v>
      </c>
      <c r="B15331" t="str">
        <f>"9657314843"</f>
        <v>9657314843</v>
      </c>
      <c r="C15331" s="1">
        <v>45117</v>
      </c>
      <c r="D15331" s="1">
        <v>45121</v>
      </c>
      <c r="E15331">
        <v>1</v>
      </c>
      <c r="F15331" t="str">
        <f t="shared" si="351"/>
        <v>14-M01-05</v>
      </c>
      <c r="G15331">
        <v>0.56289999999999996</v>
      </c>
      <c r="H15331" t="s">
        <v>13</v>
      </c>
      <c r="I15331" t="s">
        <v>10</v>
      </c>
    </row>
    <row r="15332" spans="1:9" x14ac:dyDescent="0.25">
      <c r="A15332" t="str">
        <f t="shared" si="350"/>
        <v>89301000</v>
      </c>
      <c r="B15332" t="str">
        <f>"9658026180"</f>
        <v>9658026180</v>
      </c>
      <c r="C15332" s="1">
        <v>45164</v>
      </c>
      <c r="D15332" s="1">
        <v>45168</v>
      </c>
      <c r="E15332">
        <v>1</v>
      </c>
      <c r="F15332" t="str">
        <f t="shared" si="351"/>
        <v>14-M01-05</v>
      </c>
      <c r="G15332">
        <v>0.56289999999999996</v>
      </c>
      <c r="H15332" t="s">
        <v>13</v>
      </c>
      <c r="I15332" t="s">
        <v>10</v>
      </c>
    </row>
    <row r="15333" spans="1:9" x14ac:dyDescent="0.25">
      <c r="A15333" t="str">
        <f t="shared" si="350"/>
        <v>89301000</v>
      </c>
      <c r="B15333" t="str">
        <f>"9658065703"</f>
        <v>9658065703</v>
      </c>
      <c r="C15333" s="1">
        <v>44979</v>
      </c>
      <c r="D15333" s="1">
        <v>44982</v>
      </c>
      <c r="E15333">
        <v>1</v>
      </c>
      <c r="F15333" t="str">
        <f>"11-M05-02"</f>
        <v>11-M05-02</v>
      </c>
      <c r="G15333">
        <v>0.6694</v>
      </c>
      <c r="H15333" t="s">
        <v>12</v>
      </c>
      <c r="I15333" t="s">
        <v>10</v>
      </c>
    </row>
    <row r="15334" spans="1:9" x14ac:dyDescent="0.25">
      <c r="A15334" t="str">
        <f t="shared" si="350"/>
        <v>89301000</v>
      </c>
      <c r="B15334" t="str">
        <f>"9658085712"</f>
        <v>9658085712</v>
      </c>
      <c r="C15334" s="1">
        <v>45033</v>
      </c>
      <c r="D15334" s="1">
        <v>45037</v>
      </c>
      <c r="E15334">
        <v>1</v>
      </c>
      <c r="F15334" t="str">
        <f>"14-M01-05"</f>
        <v>14-M01-05</v>
      </c>
      <c r="G15334">
        <v>0.56289999999999996</v>
      </c>
      <c r="H15334" t="s">
        <v>13</v>
      </c>
      <c r="I15334" t="s">
        <v>10</v>
      </c>
    </row>
    <row r="15335" spans="1:9" x14ac:dyDescent="0.25">
      <c r="A15335" t="str">
        <f t="shared" si="350"/>
        <v>89301000</v>
      </c>
      <c r="B15335" t="str">
        <f>"9658115720"</f>
        <v>9658115720</v>
      </c>
      <c r="C15335" s="1">
        <v>45082</v>
      </c>
      <c r="D15335" s="1">
        <v>45084</v>
      </c>
      <c r="E15335">
        <v>1</v>
      </c>
      <c r="F15335" t="str">
        <f>"09-I09-04"</f>
        <v>09-I09-04</v>
      </c>
      <c r="G15335">
        <v>0.82010000000000005</v>
      </c>
      <c r="H15335" t="s">
        <v>12</v>
      </c>
      <c r="I15335" t="s">
        <v>10</v>
      </c>
    </row>
    <row r="15336" spans="1:9" x14ac:dyDescent="0.25">
      <c r="A15336" t="str">
        <f t="shared" si="350"/>
        <v>89301000</v>
      </c>
      <c r="B15336" t="str">
        <f>"9658125719"</f>
        <v>9658125719</v>
      </c>
      <c r="C15336" s="1">
        <v>45127</v>
      </c>
      <c r="D15336" s="1">
        <v>45131</v>
      </c>
      <c r="E15336">
        <v>1</v>
      </c>
      <c r="F15336" t="str">
        <f>"14-I01-05"</f>
        <v>14-I01-05</v>
      </c>
      <c r="G15336">
        <v>0.83340000000000003</v>
      </c>
      <c r="H15336" t="s">
        <v>13</v>
      </c>
      <c r="I15336" t="s">
        <v>10</v>
      </c>
    </row>
    <row r="15337" spans="1:9" x14ac:dyDescent="0.25">
      <c r="A15337" t="str">
        <f t="shared" si="350"/>
        <v>89301000</v>
      </c>
      <c r="B15337" t="str">
        <f>"9658145717"</f>
        <v>9658145717</v>
      </c>
      <c r="C15337" s="1">
        <v>45126</v>
      </c>
      <c r="D15337" s="1">
        <v>45131</v>
      </c>
      <c r="E15337">
        <v>1</v>
      </c>
      <c r="F15337" t="str">
        <f>"11-K02-03"</f>
        <v>11-K02-03</v>
      </c>
      <c r="G15337">
        <v>0.84279999999999999</v>
      </c>
      <c r="H15337" t="s">
        <v>11</v>
      </c>
      <c r="I15337" t="s">
        <v>10</v>
      </c>
    </row>
    <row r="15338" spans="1:9" x14ac:dyDescent="0.25">
      <c r="A15338" t="str">
        <f t="shared" si="350"/>
        <v>89301000</v>
      </c>
      <c r="B15338" t="str">
        <f>"9658173778"</f>
        <v>9658173778</v>
      </c>
      <c r="C15338" s="1">
        <v>45286</v>
      </c>
      <c r="D15338" s="1">
        <v>45288</v>
      </c>
      <c r="E15338">
        <v>1</v>
      </c>
      <c r="F15338" t="str">
        <f>"14-M01-05"</f>
        <v>14-M01-05</v>
      </c>
      <c r="G15338">
        <v>0.56289999999999996</v>
      </c>
      <c r="H15338" t="s">
        <v>13</v>
      </c>
      <c r="I15338" t="s">
        <v>10</v>
      </c>
    </row>
    <row r="15339" spans="1:9" x14ac:dyDescent="0.25">
      <c r="A15339" t="str">
        <f t="shared" si="350"/>
        <v>89301000</v>
      </c>
      <c r="B15339" t="str">
        <f>"9658315293"</f>
        <v>9658315293</v>
      </c>
      <c r="C15339" s="1">
        <v>45124</v>
      </c>
      <c r="D15339" s="1">
        <v>45127</v>
      </c>
      <c r="E15339">
        <v>1</v>
      </c>
      <c r="F15339" t="str">
        <f>"14-M01-05"</f>
        <v>14-M01-05</v>
      </c>
      <c r="G15339">
        <v>0.56289999999999996</v>
      </c>
      <c r="H15339" t="s">
        <v>13</v>
      </c>
      <c r="I15339" t="s">
        <v>10</v>
      </c>
    </row>
    <row r="15340" spans="1:9" x14ac:dyDescent="0.25">
      <c r="A15340" t="str">
        <f t="shared" si="350"/>
        <v>89301000</v>
      </c>
      <c r="B15340" t="str">
        <f>"9659025717"</f>
        <v>9659025717</v>
      </c>
      <c r="C15340" s="1">
        <v>45217</v>
      </c>
      <c r="D15340" s="1">
        <v>45219</v>
      </c>
      <c r="E15340">
        <v>1</v>
      </c>
      <c r="F15340" t="str">
        <f>"08-I04-03"</f>
        <v>08-I04-03</v>
      </c>
      <c r="G15340">
        <v>1.3045</v>
      </c>
      <c r="H15340" t="s">
        <v>14</v>
      </c>
      <c r="I15340" t="s">
        <v>10</v>
      </c>
    </row>
    <row r="15341" spans="1:9" x14ac:dyDescent="0.25">
      <c r="A15341" t="str">
        <f t="shared" si="350"/>
        <v>89301000</v>
      </c>
      <c r="B15341" t="str">
        <f>"9659025717"</f>
        <v>9659025717</v>
      </c>
      <c r="C15341" s="1">
        <v>44974</v>
      </c>
      <c r="D15341" s="1">
        <v>44984</v>
      </c>
      <c r="E15341">
        <v>1</v>
      </c>
      <c r="F15341" t="str">
        <f>"08-K08-00"</f>
        <v>08-K08-00</v>
      </c>
      <c r="G15341">
        <v>0.5272</v>
      </c>
      <c r="H15341" t="s">
        <v>11</v>
      </c>
      <c r="I15341" t="s">
        <v>10</v>
      </c>
    </row>
    <row r="15342" spans="1:9" x14ac:dyDescent="0.25">
      <c r="A15342" t="str">
        <f t="shared" si="350"/>
        <v>89301000</v>
      </c>
      <c r="B15342" t="str">
        <f>"9659025717"</f>
        <v>9659025717</v>
      </c>
      <c r="C15342" s="1">
        <v>45027</v>
      </c>
      <c r="D15342" s="1">
        <v>45042</v>
      </c>
      <c r="E15342">
        <v>1</v>
      </c>
      <c r="F15342" t="str">
        <f>"24-M07-02"</f>
        <v>24-M07-02</v>
      </c>
      <c r="G15342">
        <v>1.5729</v>
      </c>
      <c r="H15342" t="s">
        <v>11</v>
      </c>
      <c r="I15342" t="s">
        <v>10</v>
      </c>
    </row>
    <row r="15343" spans="1:9" x14ac:dyDescent="0.25">
      <c r="A15343" t="str">
        <f t="shared" si="350"/>
        <v>89301000</v>
      </c>
      <c r="B15343" t="str">
        <f>"9659025717"</f>
        <v>9659025717</v>
      </c>
      <c r="C15343" s="1">
        <v>45268</v>
      </c>
      <c r="D15343" s="1">
        <v>45273</v>
      </c>
      <c r="E15343">
        <v>1</v>
      </c>
      <c r="F15343" t="str">
        <f>"08-I03-04"</f>
        <v>08-I03-04</v>
      </c>
      <c r="G15343">
        <v>4.6750999999999996</v>
      </c>
      <c r="H15343" t="s">
        <v>9</v>
      </c>
      <c r="I15343" t="s">
        <v>10</v>
      </c>
    </row>
    <row r="15344" spans="1:9" x14ac:dyDescent="0.25">
      <c r="A15344" t="str">
        <f t="shared" si="350"/>
        <v>89301000</v>
      </c>
      <c r="B15344" t="str">
        <f>"9659034869"</f>
        <v>9659034869</v>
      </c>
      <c r="C15344" s="1">
        <v>45252</v>
      </c>
      <c r="D15344" s="1">
        <v>45254</v>
      </c>
      <c r="E15344">
        <v>1</v>
      </c>
      <c r="F15344" t="str">
        <f>"14-M01-05"</f>
        <v>14-M01-05</v>
      </c>
      <c r="G15344">
        <v>0.56289999999999996</v>
      </c>
      <c r="H15344" t="s">
        <v>13</v>
      </c>
      <c r="I15344" t="s">
        <v>10</v>
      </c>
    </row>
    <row r="15345" spans="1:9" x14ac:dyDescent="0.25">
      <c r="A15345" t="str">
        <f t="shared" si="350"/>
        <v>89301000</v>
      </c>
      <c r="B15345" t="str">
        <f>"9659045726"</f>
        <v>9659045726</v>
      </c>
      <c r="C15345" s="1">
        <v>44980</v>
      </c>
      <c r="D15345" s="1">
        <v>44985</v>
      </c>
      <c r="E15345">
        <v>1</v>
      </c>
      <c r="F15345" t="str">
        <f>"03-I16-02"</f>
        <v>03-I16-02</v>
      </c>
      <c r="G15345">
        <v>0.92979999999999996</v>
      </c>
      <c r="H15345" t="s">
        <v>9</v>
      </c>
      <c r="I15345" t="s">
        <v>10</v>
      </c>
    </row>
    <row r="15346" spans="1:9" x14ac:dyDescent="0.25">
      <c r="A15346" t="str">
        <f t="shared" si="350"/>
        <v>89301000</v>
      </c>
      <c r="B15346" t="str">
        <f>"9659205699"</f>
        <v>9659205699</v>
      </c>
      <c r="C15346" s="1">
        <v>45236</v>
      </c>
      <c r="D15346" s="1">
        <v>45245</v>
      </c>
      <c r="E15346">
        <v>1</v>
      </c>
      <c r="F15346" t="str">
        <f>"10-R02-01"</f>
        <v>10-R02-01</v>
      </c>
      <c r="G15346">
        <v>0.92279999999999995</v>
      </c>
      <c r="H15346" t="s">
        <v>9</v>
      </c>
      <c r="I15346" t="s">
        <v>10</v>
      </c>
    </row>
    <row r="15347" spans="1:9" x14ac:dyDescent="0.25">
      <c r="A15347" t="str">
        <f t="shared" si="350"/>
        <v>89301000</v>
      </c>
      <c r="B15347" t="str">
        <f>"9659255705"</f>
        <v>9659255705</v>
      </c>
      <c r="C15347" s="1">
        <v>45036</v>
      </c>
      <c r="D15347" s="1">
        <v>45040</v>
      </c>
      <c r="E15347">
        <v>1</v>
      </c>
      <c r="F15347" t="str">
        <f>"14-I01-02"</f>
        <v>14-I01-02</v>
      </c>
      <c r="G15347">
        <v>1.2988999999999999</v>
      </c>
      <c r="H15347" t="s">
        <v>13</v>
      </c>
      <c r="I15347" t="s">
        <v>10</v>
      </c>
    </row>
    <row r="15348" spans="1:9" x14ac:dyDescent="0.25">
      <c r="A15348" t="str">
        <f t="shared" si="350"/>
        <v>89301000</v>
      </c>
      <c r="B15348" t="str">
        <f>"9660104850"</f>
        <v>9660104850</v>
      </c>
      <c r="C15348" s="1">
        <v>45104</v>
      </c>
      <c r="D15348" s="1">
        <v>45108</v>
      </c>
      <c r="E15348">
        <v>1</v>
      </c>
      <c r="F15348" t="str">
        <f>"14-M01-02"</f>
        <v>14-M01-02</v>
      </c>
      <c r="G15348">
        <v>0.80049999999999999</v>
      </c>
      <c r="H15348" t="s">
        <v>13</v>
      </c>
      <c r="I15348" t="s">
        <v>10</v>
      </c>
    </row>
    <row r="15349" spans="1:9" x14ac:dyDescent="0.25">
      <c r="A15349" t="str">
        <f t="shared" si="350"/>
        <v>89301000</v>
      </c>
      <c r="B15349" t="str">
        <f>"9660155714"</f>
        <v>9660155714</v>
      </c>
      <c r="C15349" s="1">
        <v>45048</v>
      </c>
      <c r="D15349" s="1">
        <v>45051</v>
      </c>
      <c r="E15349">
        <v>1</v>
      </c>
      <c r="F15349" t="str">
        <f>"14-M01-05"</f>
        <v>14-M01-05</v>
      </c>
      <c r="G15349">
        <v>0.56289999999999996</v>
      </c>
      <c r="H15349" t="s">
        <v>13</v>
      </c>
      <c r="I15349" t="s">
        <v>10</v>
      </c>
    </row>
    <row r="15350" spans="1:9" x14ac:dyDescent="0.25">
      <c r="A15350" t="str">
        <f t="shared" si="350"/>
        <v>89301000</v>
      </c>
      <c r="B15350" t="str">
        <f>"9660206149"</f>
        <v>9660206149</v>
      </c>
      <c r="C15350" s="1">
        <v>45179</v>
      </c>
      <c r="D15350" s="1">
        <v>45181</v>
      </c>
      <c r="E15350">
        <v>1</v>
      </c>
      <c r="F15350" t="str">
        <f>"07-I10-06"</f>
        <v>07-I10-06</v>
      </c>
      <c r="G15350">
        <v>0.98419999999999996</v>
      </c>
      <c r="H15350" t="s">
        <v>12</v>
      </c>
      <c r="I15350" t="s">
        <v>10</v>
      </c>
    </row>
    <row r="15351" spans="1:9" x14ac:dyDescent="0.25">
      <c r="A15351" t="str">
        <f t="shared" si="350"/>
        <v>89301000</v>
      </c>
      <c r="B15351" t="str">
        <f>"9661045702"</f>
        <v>9661045702</v>
      </c>
      <c r="C15351" s="1">
        <v>44937</v>
      </c>
      <c r="D15351" s="1">
        <v>44940</v>
      </c>
      <c r="E15351">
        <v>1</v>
      </c>
      <c r="F15351" t="str">
        <f>"03-I24-00"</f>
        <v>03-I24-00</v>
      </c>
      <c r="G15351">
        <v>0.40899999999999997</v>
      </c>
      <c r="H15351" t="s">
        <v>11</v>
      </c>
      <c r="I15351" t="s">
        <v>10</v>
      </c>
    </row>
    <row r="15352" spans="1:9" x14ac:dyDescent="0.25">
      <c r="A15352" t="str">
        <f t="shared" si="350"/>
        <v>89301000</v>
      </c>
      <c r="B15352" t="str">
        <f>"9661136144"</f>
        <v>9661136144</v>
      </c>
      <c r="C15352" s="1">
        <v>45172</v>
      </c>
      <c r="D15352" s="1">
        <v>45175</v>
      </c>
      <c r="E15352">
        <v>1</v>
      </c>
      <c r="F15352" t="str">
        <f>"05-I30-01"</f>
        <v>05-I30-01</v>
      </c>
      <c r="G15352">
        <v>0.60309999999999997</v>
      </c>
      <c r="H15352" t="s">
        <v>12</v>
      </c>
      <c r="I15352" t="s">
        <v>10</v>
      </c>
    </row>
    <row r="15353" spans="1:9" x14ac:dyDescent="0.25">
      <c r="A15353" t="str">
        <f t="shared" si="350"/>
        <v>89301000</v>
      </c>
      <c r="B15353" t="str">
        <f>"9661144471"</f>
        <v>9661144471</v>
      </c>
      <c r="C15353" s="1">
        <v>45210</v>
      </c>
      <c r="D15353" s="1">
        <v>45231</v>
      </c>
      <c r="E15353">
        <v>1</v>
      </c>
      <c r="F15353" t="str">
        <f>"19-K06-02"</f>
        <v>19-K06-02</v>
      </c>
      <c r="G15353">
        <v>2.2334999999999998</v>
      </c>
      <c r="H15353" t="s">
        <v>15</v>
      </c>
      <c r="I15353" t="s">
        <v>10</v>
      </c>
    </row>
    <row r="15354" spans="1:9" x14ac:dyDescent="0.25">
      <c r="A15354" t="str">
        <f t="shared" si="350"/>
        <v>89301000</v>
      </c>
      <c r="B15354" t="str">
        <f>"9661204597"</f>
        <v>9661204597</v>
      </c>
      <c r="C15354" s="1">
        <v>45048</v>
      </c>
      <c r="D15354" s="1">
        <v>45051</v>
      </c>
      <c r="E15354">
        <v>1</v>
      </c>
      <c r="F15354" t="str">
        <f>"01-D01-02"</f>
        <v>01-D01-02</v>
      </c>
      <c r="G15354">
        <v>0.4461</v>
      </c>
      <c r="H15354" t="s">
        <v>11</v>
      </c>
      <c r="I15354" t="s">
        <v>10</v>
      </c>
    </row>
    <row r="15355" spans="1:9" x14ac:dyDescent="0.25">
      <c r="A15355" t="str">
        <f t="shared" si="350"/>
        <v>89301000</v>
      </c>
      <c r="B15355" t="str">
        <f>"9661205774"</f>
        <v>9661205774</v>
      </c>
      <c r="C15355" s="1">
        <v>45060</v>
      </c>
      <c r="D15355" s="1">
        <v>45061</v>
      </c>
      <c r="E15355">
        <v>1</v>
      </c>
      <c r="F15355" t="str">
        <f>"21-K05-03"</f>
        <v>21-K05-03</v>
      </c>
      <c r="G15355">
        <v>0.45729999999999998</v>
      </c>
      <c r="H15355" t="s">
        <v>11</v>
      </c>
      <c r="I15355" t="s">
        <v>10</v>
      </c>
    </row>
    <row r="15356" spans="1:9" x14ac:dyDescent="0.25">
      <c r="A15356" t="str">
        <f t="shared" si="350"/>
        <v>89301000</v>
      </c>
      <c r="B15356" t="str">
        <f>"9661296161"</f>
        <v>9661296161</v>
      </c>
      <c r="C15356" s="1">
        <v>45195</v>
      </c>
      <c r="D15356" s="1">
        <v>45201</v>
      </c>
      <c r="E15356">
        <v>1</v>
      </c>
      <c r="F15356" t="str">
        <f>"14-I01-05"</f>
        <v>14-I01-05</v>
      </c>
      <c r="G15356">
        <v>0.88180000000000003</v>
      </c>
      <c r="H15356" t="s">
        <v>13</v>
      </c>
      <c r="I15356" t="s">
        <v>10</v>
      </c>
    </row>
    <row r="15357" spans="1:9" x14ac:dyDescent="0.25">
      <c r="A15357" t="str">
        <f t="shared" si="350"/>
        <v>89301000</v>
      </c>
      <c r="B15357" t="str">
        <f>"9662095718"</f>
        <v>9662095718</v>
      </c>
      <c r="C15357" s="1">
        <v>45226</v>
      </c>
      <c r="D15357" s="1">
        <v>45230</v>
      </c>
      <c r="E15357">
        <v>1</v>
      </c>
      <c r="F15357" t="str">
        <f>"14-M01-05"</f>
        <v>14-M01-05</v>
      </c>
      <c r="G15357">
        <v>0.56289999999999996</v>
      </c>
      <c r="H15357" t="s">
        <v>13</v>
      </c>
      <c r="I15357" t="s">
        <v>10</v>
      </c>
    </row>
    <row r="15358" spans="1:9" x14ac:dyDescent="0.25">
      <c r="A15358" t="str">
        <f t="shared" si="350"/>
        <v>89301000</v>
      </c>
      <c r="B15358" t="str">
        <f>"9662115507"</f>
        <v>9662115507</v>
      </c>
      <c r="C15358" s="1">
        <v>45013</v>
      </c>
      <c r="D15358" s="1">
        <v>45051</v>
      </c>
      <c r="E15358">
        <v>1</v>
      </c>
      <c r="F15358" t="str">
        <f>"19-K08-02"</f>
        <v>19-K08-02</v>
      </c>
      <c r="G15358">
        <v>4.4416000000000002</v>
      </c>
      <c r="H15358" t="s">
        <v>15</v>
      </c>
      <c r="I15358" t="s">
        <v>10</v>
      </c>
    </row>
    <row r="15359" spans="1:9" x14ac:dyDescent="0.25">
      <c r="A15359" t="str">
        <f t="shared" si="350"/>
        <v>89301000</v>
      </c>
      <c r="B15359" t="str">
        <f>"9662116167"</f>
        <v>9662116167</v>
      </c>
      <c r="C15359" s="1">
        <v>45166</v>
      </c>
      <c r="D15359" s="1">
        <v>45169</v>
      </c>
      <c r="E15359">
        <v>1</v>
      </c>
      <c r="F15359" t="str">
        <f>"14-I01-05"</f>
        <v>14-I01-05</v>
      </c>
      <c r="G15359">
        <v>0.83340000000000003</v>
      </c>
      <c r="H15359" t="s">
        <v>13</v>
      </c>
      <c r="I15359" t="s">
        <v>10</v>
      </c>
    </row>
    <row r="15360" spans="1:9" x14ac:dyDescent="0.25">
      <c r="A15360" t="str">
        <f t="shared" si="350"/>
        <v>89301000</v>
      </c>
      <c r="B15360" t="str">
        <f>"9662135725"</f>
        <v>9662135725</v>
      </c>
      <c r="C15360" s="1">
        <v>45155</v>
      </c>
      <c r="D15360" s="1">
        <v>45157</v>
      </c>
      <c r="E15360">
        <v>1</v>
      </c>
      <c r="F15360" t="str">
        <f>"08-I15-03"</f>
        <v>08-I15-03</v>
      </c>
      <c r="G15360">
        <v>0.94059999999999999</v>
      </c>
      <c r="H15360" t="s">
        <v>12</v>
      </c>
      <c r="I15360" t="s">
        <v>10</v>
      </c>
    </row>
    <row r="15361" spans="1:9" x14ac:dyDescent="0.25">
      <c r="A15361" t="str">
        <f t="shared" si="350"/>
        <v>89301000</v>
      </c>
      <c r="B15361" t="str">
        <f>"9662246231"</f>
        <v>9662246231</v>
      </c>
      <c r="C15361" s="1">
        <v>45150</v>
      </c>
      <c r="D15361" s="1">
        <v>45155</v>
      </c>
      <c r="E15361">
        <v>1</v>
      </c>
      <c r="F15361" t="str">
        <f>"14-I01-05"</f>
        <v>14-I01-05</v>
      </c>
      <c r="G15361">
        <v>0.83</v>
      </c>
      <c r="H15361" t="s">
        <v>13</v>
      </c>
      <c r="I15361" t="s">
        <v>10</v>
      </c>
    </row>
    <row r="15362" spans="1:9" x14ac:dyDescent="0.25">
      <c r="A15362" t="str">
        <f t="shared" si="350"/>
        <v>89301000</v>
      </c>
      <c r="B15362" t="str">
        <f>"9662254844"</f>
        <v>9662254844</v>
      </c>
      <c r="C15362" s="1">
        <v>45246</v>
      </c>
      <c r="D15362" s="1">
        <v>45251</v>
      </c>
      <c r="E15362">
        <v>1</v>
      </c>
      <c r="F15362" t="str">
        <f>"14-M01-05"</f>
        <v>14-M01-05</v>
      </c>
      <c r="G15362">
        <v>0.56589999999999996</v>
      </c>
      <c r="H15362" t="s">
        <v>13</v>
      </c>
      <c r="I15362" t="s">
        <v>10</v>
      </c>
    </row>
    <row r="15363" spans="1:9" x14ac:dyDescent="0.25">
      <c r="A15363" t="str">
        <f t="shared" si="350"/>
        <v>89301000</v>
      </c>
      <c r="B15363" t="str">
        <f>"9701235742"</f>
        <v>9701235742</v>
      </c>
      <c r="C15363" s="1">
        <v>45240</v>
      </c>
      <c r="D15363" s="1">
        <v>45241</v>
      </c>
      <c r="E15363">
        <v>1</v>
      </c>
      <c r="F15363" t="str">
        <f>"12-I13-01"</f>
        <v>12-I13-01</v>
      </c>
      <c r="G15363">
        <v>0.78059999999999996</v>
      </c>
      <c r="H15363" t="s">
        <v>9</v>
      </c>
      <c r="I15363" t="s">
        <v>10</v>
      </c>
    </row>
    <row r="15364" spans="1:9" x14ac:dyDescent="0.25">
      <c r="A15364" t="str">
        <f t="shared" si="350"/>
        <v>89301000</v>
      </c>
      <c r="B15364" t="str">
        <f>"9701296143"</f>
        <v>9701296143</v>
      </c>
      <c r="C15364" s="1">
        <v>45021</v>
      </c>
      <c r="D15364" s="1">
        <v>45027</v>
      </c>
      <c r="E15364">
        <v>1</v>
      </c>
      <c r="F15364" t="str">
        <f>"19-K03-03"</f>
        <v>19-K03-03</v>
      </c>
      <c r="G15364">
        <v>0.90410000000000001</v>
      </c>
      <c r="H15364" t="s">
        <v>15</v>
      </c>
      <c r="I15364" t="s">
        <v>10</v>
      </c>
    </row>
    <row r="15365" spans="1:9" x14ac:dyDescent="0.25">
      <c r="A15365" t="str">
        <f t="shared" si="350"/>
        <v>89301000</v>
      </c>
      <c r="B15365" t="str">
        <f>"9701296143"</f>
        <v>9701296143</v>
      </c>
      <c r="C15365" s="1">
        <v>45178</v>
      </c>
      <c r="D15365" s="1">
        <v>45179</v>
      </c>
      <c r="E15365">
        <v>6</v>
      </c>
      <c r="F15365" t="str">
        <f>"08-K11-02"</f>
        <v>08-K11-02</v>
      </c>
      <c r="G15365">
        <v>0.57420000000000004</v>
      </c>
      <c r="H15365" t="s">
        <v>11</v>
      </c>
      <c r="I15365" t="s">
        <v>10</v>
      </c>
    </row>
    <row r="15366" spans="1:9" x14ac:dyDescent="0.25">
      <c r="A15366" t="str">
        <f t="shared" ref="A15366:A15428" si="352">"89301000"</f>
        <v>89301000</v>
      </c>
      <c r="B15366" t="str">
        <f>"9701296143"</f>
        <v>9701296143</v>
      </c>
      <c r="C15366" s="1">
        <v>45199</v>
      </c>
      <c r="D15366" s="1">
        <v>45200</v>
      </c>
      <c r="E15366">
        <v>6</v>
      </c>
      <c r="F15366" t="str">
        <f>"01-K16-06"</f>
        <v>01-K16-06</v>
      </c>
      <c r="G15366">
        <v>0.2727</v>
      </c>
      <c r="H15366" t="s">
        <v>11</v>
      </c>
      <c r="I15366" t="s">
        <v>10</v>
      </c>
    </row>
    <row r="15367" spans="1:9" x14ac:dyDescent="0.25">
      <c r="A15367" t="str">
        <f t="shared" si="352"/>
        <v>89301000</v>
      </c>
      <c r="B15367" t="str">
        <f>"9701296143"</f>
        <v>9701296143</v>
      </c>
      <c r="C15367" s="1">
        <v>45244</v>
      </c>
      <c r="D15367" s="1">
        <v>45251</v>
      </c>
      <c r="E15367">
        <v>1</v>
      </c>
      <c r="F15367" t="str">
        <f>"20-K03-03"</f>
        <v>20-K03-03</v>
      </c>
      <c r="G15367">
        <v>0.94020000000000004</v>
      </c>
      <c r="H15367" t="s">
        <v>11</v>
      </c>
      <c r="I15367" t="s">
        <v>10</v>
      </c>
    </row>
    <row r="15368" spans="1:9" x14ac:dyDescent="0.25">
      <c r="A15368" t="str">
        <f t="shared" si="352"/>
        <v>89301000</v>
      </c>
      <c r="B15368" t="str">
        <f>"9701315745"</f>
        <v>9701315745</v>
      </c>
      <c r="C15368" s="1">
        <v>44928</v>
      </c>
      <c r="D15368" s="1">
        <v>44929</v>
      </c>
      <c r="E15368">
        <v>1</v>
      </c>
      <c r="F15368" t="str">
        <f>"08-I15-03"</f>
        <v>08-I15-03</v>
      </c>
      <c r="G15368">
        <v>0.94059999999999999</v>
      </c>
      <c r="H15368" t="s">
        <v>12</v>
      </c>
      <c r="I15368" t="s">
        <v>10</v>
      </c>
    </row>
    <row r="15369" spans="1:9" x14ac:dyDescent="0.25">
      <c r="A15369" t="str">
        <f t="shared" si="352"/>
        <v>89301000</v>
      </c>
      <c r="B15369" t="str">
        <f>"9702205755"</f>
        <v>9702205755</v>
      </c>
      <c r="C15369" s="1">
        <v>44940</v>
      </c>
      <c r="D15369" s="1">
        <v>44964</v>
      </c>
      <c r="E15369">
        <v>1</v>
      </c>
      <c r="F15369" t="str">
        <f>"19-K06-02"</f>
        <v>19-K06-02</v>
      </c>
      <c r="G15369">
        <v>2.2334999999999998</v>
      </c>
      <c r="H15369" t="s">
        <v>15</v>
      </c>
      <c r="I15369" t="s">
        <v>10</v>
      </c>
    </row>
    <row r="15370" spans="1:9" x14ac:dyDescent="0.25">
      <c r="A15370" t="str">
        <f t="shared" si="352"/>
        <v>89301000</v>
      </c>
      <c r="B15370" t="str">
        <f>"9702264847"</f>
        <v>9702264847</v>
      </c>
      <c r="C15370" s="1">
        <v>44937</v>
      </c>
      <c r="D15370" s="1">
        <v>44941</v>
      </c>
      <c r="E15370">
        <v>1</v>
      </c>
      <c r="F15370" t="str">
        <f>"03-I17-00"</f>
        <v>03-I17-00</v>
      </c>
      <c r="G15370">
        <v>0.83489999999999998</v>
      </c>
      <c r="H15370" t="s">
        <v>9</v>
      </c>
      <c r="I15370" t="s">
        <v>10</v>
      </c>
    </row>
    <row r="15371" spans="1:9" x14ac:dyDescent="0.25">
      <c r="A15371" t="str">
        <f t="shared" si="352"/>
        <v>89301000</v>
      </c>
      <c r="B15371" t="str">
        <f>"9703206150"</f>
        <v>9703206150</v>
      </c>
      <c r="C15371" s="1">
        <v>45174</v>
      </c>
      <c r="D15371" s="1">
        <v>45184</v>
      </c>
      <c r="E15371">
        <v>1</v>
      </c>
      <c r="F15371" t="str">
        <f>"06-I07-06"</f>
        <v>06-I07-06</v>
      </c>
      <c r="G15371">
        <v>2.3725000000000001</v>
      </c>
      <c r="H15371" t="s">
        <v>12</v>
      </c>
      <c r="I15371" t="s">
        <v>10</v>
      </c>
    </row>
    <row r="15372" spans="1:9" x14ac:dyDescent="0.25">
      <c r="A15372" t="str">
        <f t="shared" si="352"/>
        <v>89301000</v>
      </c>
      <c r="B15372" t="str">
        <f>"9703235707"</f>
        <v>9703235707</v>
      </c>
      <c r="C15372" s="1">
        <v>44965</v>
      </c>
      <c r="D15372" s="1">
        <v>44967</v>
      </c>
      <c r="E15372">
        <v>1</v>
      </c>
      <c r="F15372" t="str">
        <f>"08-I19-03"</f>
        <v>08-I19-03</v>
      </c>
      <c r="G15372">
        <v>0.59130000000000005</v>
      </c>
      <c r="H15372" t="s">
        <v>12</v>
      </c>
      <c r="I15372" t="s">
        <v>10</v>
      </c>
    </row>
    <row r="15373" spans="1:9" x14ac:dyDescent="0.25">
      <c r="A15373" t="str">
        <f t="shared" si="352"/>
        <v>89301000</v>
      </c>
      <c r="B15373" t="str">
        <f>"9703265715"</f>
        <v>9703265715</v>
      </c>
      <c r="C15373" s="1">
        <v>45067</v>
      </c>
      <c r="D15373" s="1">
        <v>45069</v>
      </c>
      <c r="E15373">
        <v>1</v>
      </c>
      <c r="F15373" t="str">
        <f>"08-I17-02"</f>
        <v>08-I17-02</v>
      </c>
      <c r="G15373">
        <v>0.89680000000000004</v>
      </c>
      <c r="H15373" t="s">
        <v>11</v>
      </c>
      <c r="I15373" t="s">
        <v>10</v>
      </c>
    </row>
    <row r="15374" spans="1:9" x14ac:dyDescent="0.25">
      <c r="A15374" t="str">
        <f t="shared" si="352"/>
        <v>89301000</v>
      </c>
      <c r="B15374" t="str">
        <f>"9704285734"</f>
        <v>9704285734</v>
      </c>
      <c r="C15374" s="1">
        <v>45178</v>
      </c>
      <c r="D15374" s="1">
        <v>45181</v>
      </c>
      <c r="E15374">
        <v>1</v>
      </c>
      <c r="F15374" t="str">
        <f>"08-I19-03"</f>
        <v>08-I19-03</v>
      </c>
      <c r="G15374">
        <v>0.59130000000000005</v>
      </c>
      <c r="H15374" t="s">
        <v>12</v>
      </c>
      <c r="I15374" t="s">
        <v>10</v>
      </c>
    </row>
    <row r="15375" spans="1:9" x14ac:dyDescent="0.25">
      <c r="A15375" t="str">
        <f t="shared" si="352"/>
        <v>89301000</v>
      </c>
      <c r="B15375" t="str">
        <f>"9704296195"</f>
        <v>9704296195</v>
      </c>
      <c r="C15375" s="1">
        <v>45040</v>
      </c>
      <c r="D15375" s="1">
        <v>45041</v>
      </c>
      <c r="E15375">
        <v>1</v>
      </c>
      <c r="F15375" t="str">
        <f>"06-M01-03"</f>
        <v>06-M01-03</v>
      </c>
      <c r="G15375">
        <v>0.82350000000000001</v>
      </c>
      <c r="H15375" t="s">
        <v>11</v>
      </c>
      <c r="I15375" t="s">
        <v>10</v>
      </c>
    </row>
    <row r="15376" spans="1:9" x14ac:dyDescent="0.25">
      <c r="A15376" t="str">
        <f t="shared" si="352"/>
        <v>89301000</v>
      </c>
      <c r="B15376" t="str">
        <f>"9704296195"</f>
        <v>9704296195</v>
      </c>
      <c r="C15376" s="1">
        <v>44988</v>
      </c>
      <c r="D15376" s="1">
        <v>44990</v>
      </c>
      <c r="E15376">
        <v>1</v>
      </c>
      <c r="F15376" t="str">
        <f>"06-K06-02"</f>
        <v>06-K06-02</v>
      </c>
      <c r="G15376">
        <v>0.71719999999999995</v>
      </c>
      <c r="H15376" t="s">
        <v>11</v>
      </c>
      <c r="I15376" t="s">
        <v>10</v>
      </c>
    </row>
    <row r="15377" spans="1:9" x14ac:dyDescent="0.25">
      <c r="A15377" t="str">
        <f t="shared" si="352"/>
        <v>89301000</v>
      </c>
      <c r="B15377" t="str">
        <f>"9705065722"</f>
        <v>9705065722</v>
      </c>
      <c r="C15377" s="1">
        <v>45075</v>
      </c>
      <c r="D15377" s="1">
        <v>45076</v>
      </c>
      <c r="E15377">
        <v>1</v>
      </c>
      <c r="F15377" t="str">
        <f>"08-I16-04"</f>
        <v>08-I16-04</v>
      </c>
      <c r="G15377">
        <v>0.83040000000000003</v>
      </c>
      <c r="H15377" t="s">
        <v>12</v>
      </c>
      <c r="I15377" t="s">
        <v>10</v>
      </c>
    </row>
    <row r="15378" spans="1:9" x14ac:dyDescent="0.25">
      <c r="A15378" t="str">
        <f t="shared" si="352"/>
        <v>89301000</v>
      </c>
      <c r="B15378" t="str">
        <f>"9705175700"</f>
        <v>9705175700</v>
      </c>
      <c r="C15378" s="1">
        <v>45033</v>
      </c>
      <c r="D15378" s="1">
        <v>45036</v>
      </c>
      <c r="E15378">
        <v>1</v>
      </c>
      <c r="F15378" t="str">
        <f>"07-I10-06"</f>
        <v>07-I10-06</v>
      </c>
      <c r="G15378">
        <v>0.98419999999999996</v>
      </c>
      <c r="H15378" t="s">
        <v>12</v>
      </c>
      <c r="I15378" t="s">
        <v>10</v>
      </c>
    </row>
    <row r="15379" spans="1:9" x14ac:dyDescent="0.25">
      <c r="A15379" t="str">
        <f t="shared" si="352"/>
        <v>89301000</v>
      </c>
      <c r="B15379" t="str">
        <f>"9705255703"</f>
        <v>9705255703</v>
      </c>
      <c r="C15379" s="1">
        <v>45239</v>
      </c>
      <c r="D15379" s="1">
        <v>45246</v>
      </c>
      <c r="E15379">
        <v>1</v>
      </c>
      <c r="F15379" t="str">
        <f>"20-K03-03"</f>
        <v>20-K03-03</v>
      </c>
      <c r="G15379">
        <v>0.94020000000000004</v>
      </c>
      <c r="H15379" t="s">
        <v>11</v>
      </c>
      <c r="I15379" t="s">
        <v>10</v>
      </c>
    </row>
    <row r="15380" spans="1:9" x14ac:dyDescent="0.25">
      <c r="A15380" t="str">
        <f t="shared" si="352"/>
        <v>89301000</v>
      </c>
      <c r="B15380" t="str">
        <f>"9705305709"</f>
        <v>9705305709</v>
      </c>
      <c r="C15380" s="1">
        <v>44986</v>
      </c>
      <c r="D15380" s="1">
        <v>44991</v>
      </c>
      <c r="E15380">
        <v>1</v>
      </c>
      <c r="F15380" t="str">
        <f>"01-K05-02"</f>
        <v>01-K05-02</v>
      </c>
      <c r="G15380">
        <v>0.57299999999999995</v>
      </c>
      <c r="H15380" t="s">
        <v>11</v>
      </c>
      <c r="I15380" t="s">
        <v>10</v>
      </c>
    </row>
    <row r="15381" spans="1:9" x14ac:dyDescent="0.25">
      <c r="A15381" t="str">
        <f t="shared" si="352"/>
        <v>89301000</v>
      </c>
      <c r="B15381" t="str">
        <f>"9705312298"</f>
        <v>9705312298</v>
      </c>
      <c r="C15381" s="1">
        <v>45090</v>
      </c>
      <c r="D15381" s="1">
        <v>45092</v>
      </c>
      <c r="E15381">
        <v>1</v>
      </c>
      <c r="F15381" t="str">
        <f>"08-I32-00"</f>
        <v>08-I32-00</v>
      </c>
      <c r="G15381">
        <v>0.40870000000000001</v>
      </c>
      <c r="H15381" t="s">
        <v>11</v>
      </c>
      <c r="I15381" t="s">
        <v>10</v>
      </c>
    </row>
    <row r="15382" spans="1:9" x14ac:dyDescent="0.25">
      <c r="A15382" t="str">
        <f t="shared" si="352"/>
        <v>89301000</v>
      </c>
      <c r="B15382" t="str">
        <f>"9706095762"</f>
        <v>9706095762</v>
      </c>
      <c r="C15382" s="1">
        <v>45137</v>
      </c>
      <c r="D15382" s="1">
        <v>45141</v>
      </c>
      <c r="E15382">
        <v>1</v>
      </c>
      <c r="F15382" t="str">
        <f>"19-K02-03"</f>
        <v>19-K02-03</v>
      </c>
      <c r="G15382">
        <v>0.71950000000000003</v>
      </c>
      <c r="H15382" t="s">
        <v>15</v>
      </c>
      <c r="I15382" t="s">
        <v>10</v>
      </c>
    </row>
    <row r="15383" spans="1:9" x14ac:dyDescent="0.25">
      <c r="A15383" t="str">
        <f t="shared" si="352"/>
        <v>89301000</v>
      </c>
      <c r="B15383" t="str">
        <f>"9706095762"</f>
        <v>9706095762</v>
      </c>
      <c r="C15383" s="1">
        <v>45180</v>
      </c>
      <c r="D15383" s="1">
        <v>45194</v>
      </c>
      <c r="E15383">
        <v>4</v>
      </c>
      <c r="F15383" t="str">
        <f>"19-K04-01"</f>
        <v>19-K04-01</v>
      </c>
      <c r="G15383">
        <v>1.5724</v>
      </c>
      <c r="H15383" t="s">
        <v>15</v>
      </c>
      <c r="I15383" t="s">
        <v>10</v>
      </c>
    </row>
    <row r="15384" spans="1:9" x14ac:dyDescent="0.25">
      <c r="A15384" t="str">
        <f t="shared" si="352"/>
        <v>89301000</v>
      </c>
      <c r="B15384" t="str">
        <f>"9706175710"</f>
        <v>9706175710</v>
      </c>
      <c r="C15384" s="1">
        <v>45028</v>
      </c>
      <c r="D15384" s="1">
        <v>45032</v>
      </c>
      <c r="E15384">
        <v>1</v>
      </c>
      <c r="F15384" t="str">
        <f>"03-I17-00"</f>
        <v>03-I17-00</v>
      </c>
      <c r="G15384">
        <v>0.83489999999999998</v>
      </c>
      <c r="H15384" t="s">
        <v>9</v>
      </c>
      <c r="I15384" t="s">
        <v>10</v>
      </c>
    </row>
    <row r="15385" spans="1:9" x14ac:dyDescent="0.25">
      <c r="A15385" t="str">
        <f t="shared" si="352"/>
        <v>89301000</v>
      </c>
      <c r="B15385" t="str">
        <f>"9706223945"</f>
        <v>9706223945</v>
      </c>
      <c r="C15385" s="1">
        <v>44971</v>
      </c>
      <c r="D15385" s="1">
        <v>45002</v>
      </c>
      <c r="E15385">
        <v>1</v>
      </c>
      <c r="F15385" t="str">
        <f>"19-K07-02"</f>
        <v>19-K07-02</v>
      </c>
      <c r="G15385">
        <v>2.5350000000000001</v>
      </c>
      <c r="H15385" t="s">
        <v>15</v>
      </c>
      <c r="I15385" t="s">
        <v>10</v>
      </c>
    </row>
    <row r="15386" spans="1:9" x14ac:dyDescent="0.25">
      <c r="A15386" t="str">
        <f t="shared" si="352"/>
        <v>89301000</v>
      </c>
      <c r="B15386" t="str">
        <f>"9706245978"</f>
        <v>9706245978</v>
      </c>
      <c r="C15386" s="1">
        <v>44935</v>
      </c>
      <c r="D15386" s="1">
        <v>44938</v>
      </c>
      <c r="E15386">
        <v>5</v>
      </c>
      <c r="F15386" t="str">
        <f>"25-I02-01"</f>
        <v>25-I02-01</v>
      </c>
      <c r="G15386">
        <v>5.8799000000000001</v>
      </c>
      <c r="H15386" t="s">
        <v>14</v>
      </c>
      <c r="I15386" t="s">
        <v>10</v>
      </c>
    </row>
    <row r="15387" spans="1:9" x14ac:dyDescent="0.25">
      <c r="A15387" t="str">
        <f t="shared" si="352"/>
        <v>89301000</v>
      </c>
      <c r="B15387" t="str">
        <f>"9707156250"</f>
        <v>9707156250</v>
      </c>
      <c r="C15387" s="1">
        <v>44998</v>
      </c>
      <c r="D15387" s="1">
        <v>45001</v>
      </c>
      <c r="E15387">
        <v>1</v>
      </c>
      <c r="F15387" t="str">
        <f>"20-K01-05"</f>
        <v>20-K01-05</v>
      </c>
      <c r="G15387">
        <v>0.3952</v>
      </c>
      <c r="H15387" t="s">
        <v>11</v>
      </c>
      <c r="I15387" t="s">
        <v>10</v>
      </c>
    </row>
    <row r="15388" spans="1:9" x14ac:dyDescent="0.25">
      <c r="A15388" t="str">
        <f t="shared" si="352"/>
        <v>89301000</v>
      </c>
      <c r="B15388" t="str">
        <f>"9707215705"</f>
        <v>9707215705</v>
      </c>
      <c r="C15388" s="1">
        <v>44967</v>
      </c>
      <c r="D15388" s="1">
        <v>44968</v>
      </c>
      <c r="E15388">
        <v>1</v>
      </c>
      <c r="F15388" t="str">
        <f>"03-K06-01"</f>
        <v>03-K06-01</v>
      </c>
      <c r="G15388">
        <v>0.4713</v>
      </c>
      <c r="H15388" t="s">
        <v>11</v>
      </c>
      <c r="I15388" t="s">
        <v>10</v>
      </c>
    </row>
    <row r="15389" spans="1:9" x14ac:dyDescent="0.25">
      <c r="A15389" t="str">
        <f t="shared" si="352"/>
        <v>89301000</v>
      </c>
      <c r="B15389" t="str">
        <f>"9707296148"</f>
        <v>9707296148</v>
      </c>
      <c r="C15389" s="1">
        <v>45136</v>
      </c>
      <c r="D15389" s="1">
        <v>45145</v>
      </c>
      <c r="E15389">
        <v>1</v>
      </c>
      <c r="F15389" t="str">
        <f>"04-I05-03"</f>
        <v>04-I05-03</v>
      </c>
      <c r="G15389">
        <v>2.1093999999999999</v>
      </c>
      <c r="H15389" t="s">
        <v>14</v>
      </c>
      <c r="I15389" t="s">
        <v>10</v>
      </c>
    </row>
    <row r="15390" spans="1:9" x14ac:dyDescent="0.25">
      <c r="A15390" t="str">
        <f t="shared" si="352"/>
        <v>89301000</v>
      </c>
      <c r="B15390" t="str">
        <f>"9708254765"</f>
        <v>9708254765</v>
      </c>
      <c r="C15390" s="1">
        <v>45230</v>
      </c>
      <c r="D15390" s="1">
        <v>45233</v>
      </c>
      <c r="E15390">
        <v>1</v>
      </c>
      <c r="F15390" t="str">
        <f>"06-K02-02"</f>
        <v>06-K02-02</v>
      </c>
      <c r="G15390">
        <v>0.85289999999999999</v>
      </c>
      <c r="H15390" t="s">
        <v>11</v>
      </c>
      <c r="I15390" t="s">
        <v>10</v>
      </c>
    </row>
    <row r="15391" spans="1:9" x14ac:dyDescent="0.25">
      <c r="A15391" t="str">
        <f t="shared" si="352"/>
        <v>89301000</v>
      </c>
      <c r="B15391" t="str">
        <f>"9708255722"</f>
        <v>9708255722</v>
      </c>
      <c r="C15391" s="1">
        <v>45174</v>
      </c>
      <c r="D15391" s="1">
        <v>45180</v>
      </c>
      <c r="E15391">
        <v>1</v>
      </c>
      <c r="F15391" t="str">
        <f>"04-I08-04"</f>
        <v>04-I08-04</v>
      </c>
      <c r="G15391">
        <v>0.8659</v>
      </c>
      <c r="H15391" t="s">
        <v>11</v>
      </c>
      <c r="I15391" t="s">
        <v>10</v>
      </c>
    </row>
    <row r="15392" spans="1:9" x14ac:dyDescent="0.25">
      <c r="A15392" t="str">
        <f t="shared" si="352"/>
        <v>89301000</v>
      </c>
      <c r="B15392" t="str">
        <f>"9708295091"</f>
        <v>9708295091</v>
      </c>
      <c r="C15392" s="1">
        <v>45119</v>
      </c>
      <c r="D15392" s="1">
        <v>45120</v>
      </c>
      <c r="E15392">
        <v>1</v>
      </c>
      <c r="F15392" t="str">
        <f>"20-K02-03"</f>
        <v>20-K02-03</v>
      </c>
      <c r="G15392">
        <v>0.38350000000000001</v>
      </c>
      <c r="H15392" t="s">
        <v>11</v>
      </c>
      <c r="I15392" t="s">
        <v>10</v>
      </c>
    </row>
    <row r="15393" spans="1:9" x14ac:dyDescent="0.25">
      <c r="A15393" t="str">
        <f t="shared" si="352"/>
        <v>89301000</v>
      </c>
      <c r="B15393" t="str">
        <f>"9709245711"</f>
        <v>9709245711</v>
      </c>
      <c r="C15393" s="1">
        <v>45077</v>
      </c>
      <c r="D15393" s="1">
        <v>45080</v>
      </c>
      <c r="E15393">
        <v>1</v>
      </c>
      <c r="F15393" t="str">
        <f>"08-M03-04"</f>
        <v>08-M03-04</v>
      </c>
      <c r="G15393">
        <v>0.87760000000000005</v>
      </c>
      <c r="H15393" t="s">
        <v>11</v>
      </c>
      <c r="I15393" t="s">
        <v>10</v>
      </c>
    </row>
    <row r="15394" spans="1:9" x14ac:dyDescent="0.25">
      <c r="A15394" t="str">
        <f t="shared" si="352"/>
        <v>89301000</v>
      </c>
      <c r="B15394" t="str">
        <f>"9711105294"</f>
        <v>9711105294</v>
      </c>
      <c r="C15394" s="1">
        <v>45214</v>
      </c>
      <c r="D15394" s="1">
        <v>45215</v>
      </c>
      <c r="E15394">
        <v>1</v>
      </c>
      <c r="F15394" t="str">
        <f>"03-K12-01"</f>
        <v>03-K12-01</v>
      </c>
      <c r="G15394">
        <v>0.37140000000000001</v>
      </c>
      <c r="H15394" t="s">
        <v>11</v>
      </c>
      <c r="I15394" t="s">
        <v>10</v>
      </c>
    </row>
    <row r="15395" spans="1:9" x14ac:dyDescent="0.25">
      <c r="A15395" t="str">
        <f t="shared" si="352"/>
        <v>89301000</v>
      </c>
      <c r="B15395" t="str">
        <f>"9712225710"</f>
        <v>9712225710</v>
      </c>
      <c r="C15395" s="1">
        <v>45243</v>
      </c>
      <c r="D15395" s="1">
        <v>45246</v>
      </c>
      <c r="E15395">
        <v>1</v>
      </c>
      <c r="F15395" t="str">
        <f>"08-M03-02"</f>
        <v>08-M03-02</v>
      </c>
      <c r="G15395">
        <v>0.91359999999999997</v>
      </c>
      <c r="H15395" t="s">
        <v>11</v>
      </c>
      <c r="I15395" t="s">
        <v>10</v>
      </c>
    </row>
    <row r="15396" spans="1:9" x14ac:dyDescent="0.25">
      <c r="A15396" t="str">
        <f t="shared" si="352"/>
        <v>89301000</v>
      </c>
      <c r="B15396" t="str">
        <f>"9751096157"</f>
        <v>9751096157</v>
      </c>
      <c r="C15396" s="1">
        <v>44937</v>
      </c>
      <c r="D15396" s="1">
        <v>44941</v>
      </c>
      <c r="E15396">
        <v>1</v>
      </c>
      <c r="F15396" t="str">
        <f>"14-M01-02"</f>
        <v>14-M01-02</v>
      </c>
      <c r="G15396">
        <v>0.78449999999999998</v>
      </c>
      <c r="H15396" t="s">
        <v>13</v>
      </c>
      <c r="I15396" t="s">
        <v>10</v>
      </c>
    </row>
    <row r="15397" spans="1:9" x14ac:dyDescent="0.25">
      <c r="A15397" t="str">
        <f t="shared" si="352"/>
        <v>89301000</v>
      </c>
      <c r="B15397" t="str">
        <f>"9751105419"</f>
        <v>9751105419</v>
      </c>
      <c r="C15397" s="1">
        <v>44994</v>
      </c>
      <c r="D15397" s="1">
        <v>44997</v>
      </c>
      <c r="E15397">
        <v>1</v>
      </c>
      <c r="F15397" t="str">
        <f>"14-M01-05"</f>
        <v>14-M01-05</v>
      </c>
      <c r="G15397">
        <v>0.56589999999999996</v>
      </c>
      <c r="H15397" t="s">
        <v>13</v>
      </c>
      <c r="I15397" t="s">
        <v>10</v>
      </c>
    </row>
    <row r="15398" spans="1:9" x14ac:dyDescent="0.25">
      <c r="A15398" t="str">
        <f t="shared" si="352"/>
        <v>89301000</v>
      </c>
      <c r="B15398" t="str">
        <f>"9751205706"</f>
        <v>9751205706</v>
      </c>
      <c r="C15398" s="1">
        <v>45153</v>
      </c>
      <c r="D15398" s="1">
        <v>45157</v>
      </c>
      <c r="E15398">
        <v>1</v>
      </c>
      <c r="F15398" t="str">
        <f>"14-M01-05"</f>
        <v>14-M01-05</v>
      </c>
      <c r="G15398">
        <v>0.56589999999999996</v>
      </c>
      <c r="H15398" t="s">
        <v>13</v>
      </c>
      <c r="I15398" t="s">
        <v>10</v>
      </c>
    </row>
    <row r="15399" spans="1:9" x14ac:dyDescent="0.25">
      <c r="A15399" t="str">
        <f t="shared" si="352"/>
        <v>89301000</v>
      </c>
      <c r="B15399" t="str">
        <f>"9751295741"</f>
        <v>9751295741</v>
      </c>
      <c r="C15399" s="1">
        <v>44998</v>
      </c>
      <c r="D15399" s="1">
        <v>45002</v>
      </c>
      <c r="E15399">
        <v>1</v>
      </c>
      <c r="F15399" t="str">
        <f>"03-I11-01"</f>
        <v>03-I11-01</v>
      </c>
      <c r="G15399">
        <v>2.2117</v>
      </c>
      <c r="H15399" t="s">
        <v>12</v>
      </c>
      <c r="I15399" t="s">
        <v>10</v>
      </c>
    </row>
    <row r="15400" spans="1:9" x14ac:dyDescent="0.25">
      <c r="A15400" t="str">
        <f t="shared" si="352"/>
        <v>89301000</v>
      </c>
      <c r="B15400" t="str">
        <f>"9751305707"</f>
        <v>9751305707</v>
      </c>
      <c r="C15400" s="1">
        <v>45208</v>
      </c>
      <c r="D15400" s="1">
        <v>45211</v>
      </c>
      <c r="E15400">
        <v>1</v>
      </c>
      <c r="F15400" t="str">
        <f>"14-M01-05"</f>
        <v>14-M01-05</v>
      </c>
      <c r="G15400">
        <v>0.56589999999999996</v>
      </c>
      <c r="H15400" t="s">
        <v>13</v>
      </c>
      <c r="I15400" t="s">
        <v>10</v>
      </c>
    </row>
    <row r="15401" spans="1:9" x14ac:dyDescent="0.25">
      <c r="A15401" t="str">
        <f t="shared" si="352"/>
        <v>89301000</v>
      </c>
      <c r="B15401" t="str">
        <f>"9752105924"</f>
        <v>9752105924</v>
      </c>
      <c r="C15401" s="1">
        <v>45217</v>
      </c>
      <c r="D15401" s="1">
        <v>45219</v>
      </c>
      <c r="E15401">
        <v>1</v>
      </c>
      <c r="F15401" t="str">
        <f>"08-I32-00"</f>
        <v>08-I32-00</v>
      </c>
      <c r="G15401">
        <v>0.40870000000000001</v>
      </c>
      <c r="H15401" t="s">
        <v>11</v>
      </c>
      <c r="I15401" t="s">
        <v>10</v>
      </c>
    </row>
    <row r="15402" spans="1:9" x14ac:dyDescent="0.25">
      <c r="A15402" t="str">
        <f t="shared" si="352"/>
        <v>89301000</v>
      </c>
      <c r="B15402" t="str">
        <f>"9752175719"</f>
        <v>9752175719</v>
      </c>
      <c r="C15402" s="1">
        <v>45084</v>
      </c>
      <c r="D15402" s="1">
        <v>45085</v>
      </c>
      <c r="E15402">
        <v>1</v>
      </c>
      <c r="F15402" t="str">
        <f>"13-I19-00"</f>
        <v>13-I19-00</v>
      </c>
      <c r="G15402">
        <v>0.28249999999999997</v>
      </c>
      <c r="H15402" t="s">
        <v>11</v>
      </c>
      <c r="I15402" t="s">
        <v>10</v>
      </c>
    </row>
    <row r="15403" spans="1:9" x14ac:dyDescent="0.25">
      <c r="A15403" t="str">
        <f t="shared" si="352"/>
        <v>89301000</v>
      </c>
      <c r="B15403" t="str">
        <f>"9752215704"</f>
        <v>9752215704</v>
      </c>
      <c r="C15403" s="1">
        <v>45195</v>
      </c>
      <c r="D15403" s="1">
        <v>45199</v>
      </c>
      <c r="E15403">
        <v>1</v>
      </c>
      <c r="F15403" t="str">
        <f>"14-M01-05"</f>
        <v>14-M01-05</v>
      </c>
      <c r="G15403">
        <v>0.56589999999999996</v>
      </c>
      <c r="H15403" t="s">
        <v>13</v>
      </c>
      <c r="I15403" t="s">
        <v>10</v>
      </c>
    </row>
    <row r="15404" spans="1:9" x14ac:dyDescent="0.25">
      <c r="A15404" t="str">
        <f t="shared" si="352"/>
        <v>89301000</v>
      </c>
      <c r="B15404" t="str">
        <f>"9753065641"</f>
        <v>9753065641</v>
      </c>
      <c r="C15404" s="1">
        <v>45209</v>
      </c>
      <c r="D15404" s="1">
        <v>45212</v>
      </c>
      <c r="E15404">
        <v>1</v>
      </c>
      <c r="F15404" t="str">
        <f>"08-M03-04"</f>
        <v>08-M03-04</v>
      </c>
      <c r="G15404">
        <v>0.87760000000000005</v>
      </c>
      <c r="H15404" t="s">
        <v>11</v>
      </c>
      <c r="I15404" t="s">
        <v>10</v>
      </c>
    </row>
    <row r="15405" spans="1:9" x14ac:dyDescent="0.25">
      <c r="A15405" t="str">
        <f t="shared" si="352"/>
        <v>89301000</v>
      </c>
      <c r="B15405" t="str">
        <f>"9753074386"</f>
        <v>9753074386</v>
      </c>
      <c r="C15405" s="1">
        <v>44946</v>
      </c>
      <c r="D15405" s="1">
        <v>44950</v>
      </c>
      <c r="E15405">
        <v>1</v>
      </c>
      <c r="F15405" t="str">
        <f>"14-M01-05"</f>
        <v>14-M01-05</v>
      </c>
      <c r="G15405">
        <v>0.56589999999999996</v>
      </c>
      <c r="H15405" t="s">
        <v>13</v>
      </c>
      <c r="I15405" t="s">
        <v>10</v>
      </c>
    </row>
    <row r="15406" spans="1:9" x14ac:dyDescent="0.25">
      <c r="A15406" t="str">
        <f t="shared" si="352"/>
        <v>89301000</v>
      </c>
      <c r="B15406" t="str">
        <f>"9753075717"</f>
        <v>9753075717</v>
      </c>
      <c r="C15406" s="1">
        <v>45252</v>
      </c>
      <c r="D15406" s="1">
        <v>45255</v>
      </c>
      <c r="E15406">
        <v>1</v>
      </c>
      <c r="F15406" t="str">
        <f>"06-I14-02"</f>
        <v>06-I14-02</v>
      </c>
      <c r="G15406">
        <v>1.4552</v>
      </c>
      <c r="H15406" t="s">
        <v>11</v>
      </c>
      <c r="I15406" t="s">
        <v>10</v>
      </c>
    </row>
    <row r="15407" spans="1:9" x14ac:dyDescent="0.25">
      <c r="A15407" t="str">
        <f t="shared" si="352"/>
        <v>89301000</v>
      </c>
      <c r="B15407" t="str">
        <f>"9753083857"</f>
        <v>9753083857</v>
      </c>
      <c r="C15407" s="1">
        <v>45072</v>
      </c>
      <c r="D15407" s="1">
        <v>45077</v>
      </c>
      <c r="E15407">
        <v>1</v>
      </c>
      <c r="F15407" t="str">
        <f>"14-M01-05"</f>
        <v>14-M01-05</v>
      </c>
      <c r="G15407">
        <v>0.56289999999999996</v>
      </c>
      <c r="H15407" t="s">
        <v>13</v>
      </c>
      <c r="I15407" t="s">
        <v>10</v>
      </c>
    </row>
    <row r="15408" spans="1:9" x14ac:dyDescent="0.25">
      <c r="A15408" t="str">
        <f t="shared" si="352"/>
        <v>89301000</v>
      </c>
      <c r="B15408" t="str">
        <f>"9753124843"</f>
        <v>9753124843</v>
      </c>
      <c r="C15408" s="1">
        <v>44931</v>
      </c>
      <c r="D15408" s="1">
        <v>44933</v>
      </c>
      <c r="E15408">
        <v>1</v>
      </c>
      <c r="F15408" t="str">
        <f>"14-M01-05"</f>
        <v>14-M01-05</v>
      </c>
      <c r="G15408">
        <v>0.56289999999999996</v>
      </c>
      <c r="H15408" t="s">
        <v>13</v>
      </c>
      <c r="I15408" t="s">
        <v>10</v>
      </c>
    </row>
    <row r="15409" spans="1:9" x14ac:dyDescent="0.25">
      <c r="A15409" t="str">
        <f t="shared" si="352"/>
        <v>89301000</v>
      </c>
      <c r="B15409" t="str">
        <f>"9753215725"</f>
        <v>9753215725</v>
      </c>
      <c r="C15409" s="1">
        <v>45075</v>
      </c>
      <c r="D15409" s="1">
        <v>45079</v>
      </c>
      <c r="E15409">
        <v>1</v>
      </c>
      <c r="F15409" t="str">
        <f>"01-K18-04"</f>
        <v>01-K18-04</v>
      </c>
      <c r="G15409">
        <v>0.54610000000000003</v>
      </c>
      <c r="H15409" t="s">
        <v>11</v>
      </c>
      <c r="I15409" t="s">
        <v>10</v>
      </c>
    </row>
    <row r="15410" spans="1:9" x14ac:dyDescent="0.25">
      <c r="A15410" t="str">
        <f t="shared" si="352"/>
        <v>89301000</v>
      </c>
      <c r="B15410" t="str">
        <f>"9753235701"</f>
        <v>9753235701</v>
      </c>
      <c r="C15410" s="1">
        <v>45014</v>
      </c>
      <c r="D15410" s="1">
        <v>45016</v>
      </c>
      <c r="E15410">
        <v>1</v>
      </c>
      <c r="F15410" t="str">
        <f>"14-I04-00"</f>
        <v>14-I04-00</v>
      </c>
      <c r="G15410">
        <v>0.79159999999999997</v>
      </c>
      <c r="H15410" t="s">
        <v>9</v>
      </c>
      <c r="I15410" t="s">
        <v>10</v>
      </c>
    </row>
    <row r="15411" spans="1:9" x14ac:dyDescent="0.25">
      <c r="A15411" t="str">
        <f t="shared" si="352"/>
        <v>89301000</v>
      </c>
      <c r="B15411" t="str">
        <f>"9753255721"</f>
        <v>9753255721</v>
      </c>
      <c r="C15411" s="1">
        <v>45141</v>
      </c>
      <c r="D15411" s="1">
        <v>45147</v>
      </c>
      <c r="E15411">
        <v>1</v>
      </c>
      <c r="F15411" t="str">
        <f>"14-I01-05"</f>
        <v>14-I01-05</v>
      </c>
      <c r="G15411">
        <v>0.83340000000000003</v>
      </c>
      <c r="H15411" t="s">
        <v>13</v>
      </c>
      <c r="I15411" t="s">
        <v>10</v>
      </c>
    </row>
    <row r="15412" spans="1:9" x14ac:dyDescent="0.25">
      <c r="A15412" t="str">
        <f t="shared" si="352"/>
        <v>89301000</v>
      </c>
      <c r="B15412" t="str">
        <f>"9753276071"</f>
        <v>9753276071</v>
      </c>
      <c r="C15412" s="1">
        <v>44998</v>
      </c>
      <c r="D15412" s="1">
        <v>45000</v>
      </c>
      <c r="E15412">
        <v>1</v>
      </c>
      <c r="F15412" t="str">
        <f>"13-I14-03"</f>
        <v>13-I14-03</v>
      </c>
      <c r="G15412">
        <v>0.87760000000000005</v>
      </c>
      <c r="H15412" t="s">
        <v>9</v>
      </c>
      <c r="I15412" t="s">
        <v>10</v>
      </c>
    </row>
    <row r="15413" spans="1:9" x14ac:dyDescent="0.25">
      <c r="A15413" t="str">
        <f t="shared" si="352"/>
        <v>89301000</v>
      </c>
      <c r="B15413" t="str">
        <f>"9753284849"</f>
        <v>9753284849</v>
      </c>
      <c r="C15413" s="1">
        <v>45168</v>
      </c>
      <c r="D15413" s="1">
        <v>45173</v>
      </c>
      <c r="E15413">
        <v>1</v>
      </c>
      <c r="F15413" t="str">
        <f>"19-K03-03"</f>
        <v>19-K03-03</v>
      </c>
      <c r="G15413">
        <v>0.90410000000000001</v>
      </c>
      <c r="H15413" t="s">
        <v>15</v>
      </c>
      <c r="I15413" t="s">
        <v>10</v>
      </c>
    </row>
    <row r="15414" spans="1:9" x14ac:dyDescent="0.25">
      <c r="A15414" t="str">
        <f t="shared" si="352"/>
        <v>89301000</v>
      </c>
      <c r="B15414" t="str">
        <f>"9753284849"</f>
        <v>9753284849</v>
      </c>
      <c r="C15414" s="1">
        <v>45202</v>
      </c>
      <c r="D15414" s="1">
        <v>45238</v>
      </c>
      <c r="E15414">
        <v>1</v>
      </c>
      <c r="F15414" t="str">
        <f>"19-K08-02"</f>
        <v>19-K08-02</v>
      </c>
      <c r="G15414">
        <v>4.4416000000000002</v>
      </c>
      <c r="H15414" t="s">
        <v>15</v>
      </c>
      <c r="I15414" t="s">
        <v>10</v>
      </c>
    </row>
    <row r="15415" spans="1:9" x14ac:dyDescent="0.25">
      <c r="A15415" t="str">
        <f t="shared" si="352"/>
        <v>89301000</v>
      </c>
      <c r="B15415" t="str">
        <f>"9754025710"</f>
        <v>9754025710</v>
      </c>
      <c r="C15415" s="1">
        <v>45230</v>
      </c>
      <c r="D15415" s="1">
        <v>45233</v>
      </c>
      <c r="E15415">
        <v>1</v>
      </c>
      <c r="F15415" t="str">
        <f>"14-M01-05"</f>
        <v>14-M01-05</v>
      </c>
      <c r="G15415">
        <v>0.56289999999999996</v>
      </c>
      <c r="H15415" t="s">
        <v>13</v>
      </c>
      <c r="I15415" t="s">
        <v>10</v>
      </c>
    </row>
    <row r="15416" spans="1:9" x14ac:dyDescent="0.25">
      <c r="A15416" t="str">
        <f t="shared" si="352"/>
        <v>89301000</v>
      </c>
      <c r="B15416" t="str">
        <f>"9754065717"</f>
        <v>9754065717</v>
      </c>
      <c r="C15416" s="1">
        <v>45066</v>
      </c>
      <c r="D15416" s="1">
        <v>45071</v>
      </c>
      <c r="E15416">
        <v>1</v>
      </c>
      <c r="F15416" t="str">
        <f>"14-M01-05"</f>
        <v>14-M01-05</v>
      </c>
      <c r="G15416">
        <v>0.56289999999999996</v>
      </c>
      <c r="H15416" t="s">
        <v>13</v>
      </c>
      <c r="I15416" t="s">
        <v>10</v>
      </c>
    </row>
    <row r="15417" spans="1:9" x14ac:dyDescent="0.25">
      <c r="A15417" t="str">
        <f t="shared" si="352"/>
        <v>89301000</v>
      </c>
      <c r="B15417" t="str">
        <f>"9754066146"</f>
        <v>9754066146</v>
      </c>
      <c r="C15417" s="1">
        <v>45073</v>
      </c>
      <c r="D15417" s="1">
        <v>45078</v>
      </c>
      <c r="E15417">
        <v>1</v>
      </c>
      <c r="F15417" t="str">
        <f>"14-I01-02"</f>
        <v>14-I01-02</v>
      </c>
      <c r="G15417">
        <v>1.2988999999999999</v>
      </c>
      <c r="H15417" t="s">
        <v>13</v>
      </c>
      <c r="I15417" t="s">
        <v>10</v>
      </c>
    </row>
    <row r="15418" spans="1:9" x14ac:dyDescent="0.25">
      <c r="A15418" t="str">
        <f t="shared" si="352"/>
        <v>89301000</v>
      </c>
      <c r="B15418" t="str">
        <f>"9754115723"</f>
        <v>9754115723</v>
      </c>
      <c r="C15418" s="1">
        <v>44964</v>
      </c>
      <c r="D15418" s="1">
        <v>44967</v>
      </c>
      <c r="E15418">
        <v>1</v>
      </c>
      <c r="F15418" t="str">
        <f>"14-M01-05"</f>
        <v>14-M01-05</v>
      </c>
      <c r="G15418">
        <v>0.56289999999999996</v>
      </c>
      <c r="H15418" t="s">
        <v>13</v>
      </c>
      <c r="I15418" t="s">
        <v>10</v>
      </c>
    </row>
    <row r="15419" spans="1:9" x14ac:dyDescent="0.25">
      <c r="A15419" t="str">
        <f t="shared" si="352"/>
        <v>89301000</v>
      </c>
      <c r="B15419" t="str">
        <f>"9754175706"</f>
        <v>9754175706</v>
      </c>
      <c r="C15419" s="1">
        <v>45271</v>
      </c>
      <c r="D15419" s="1">
        <v>45273</v>
      </c>
      <c r="E15419">
        <v>1</v>
      </c>
      <c r="F15419" t="str">
        <f>"14-M01-05"</f>
        <v>14-M01-05</v>
      </c>
      <c r="G15419">
        <v>0.56289999999999996</v>
      </c>
      <c r="H15419" t="s">
        <v>13</v>
      </c>
      <c r="I15419" t="s">
        <v>10</v>
      </c>
    </row>
    <row r="15420" spans="1:9" x14ac:dyDescent="0.25">
      <c r="A15420" t="str">
        <f t="shared" si="352"/>
        <v>89301000</v>
      </c>
      <c r="B15420" t="str">
        <f>"9754185705"</f>
        <v>9754185705</v>
      </c>
      <c r="C15420" s="1">
        <v>45197</v>
      </c>
      <c r="D15420" s="1">
        <v>45201</v>
      </c>
      <c r="E15420">
        <v>1</v>
      </c>
      <c r="F15420" t="str">
        <f>"14-M01-05"</f>
        <v>14-M01-05</v>
      </c>
      <c r="G15420">
        <v>0.56289999999999996</v>
      </c>
      <c r="H15420" t="s">
        <v>13</v>
      </c>
      <c r="I15420" t="s">
        <v>10</v>
      </c>
    </row>
    <row r="15421" spans="1:9" x14ac:dyDescent="0.25">
      <c r="A15421" t="str">
        <f t="shared" si="352"/>
        <v>89301000</v>
      </c>
      <c r="B15421" t="str">
        <f>"9754235733"</f>
        <v>9754235733</v>
      </c>
      <c r="C15421" s="1">
        <v>44927</v>
      </c>
      <c r="D15421" s="1">
        <v>44940</v>
      </c>
      <c r="E15421">
        <v>1</v>
      </c>
      <c r="F15421" t="str">
        <f>"14-M01-01"</f>
        <v>14-M01-01</v>
      </c>
      <c r="G15421">
        <v>0.95109999999999995</v>
      </c>
      <c r="H15421" t="s">
        <v>13</v>
      </c>
      <c r="I15421" t="s">
        <v>10</v>
      </c>
    </row>
    <row r="15422" spans="1:9" x14ac:dyDescent="0.25">
      <c r="A15422" t="str">
        <f t="shared" si="352"/>
        <v>89301000</v>
      </c>
      <c r="B15422" t="str">
        <f>"9755146181"</f>
        <v>9755146181</v>
      </c>
      <c r="C15422" s="1">
        <v>44931</v>
      </c>
      <c r="D15422" s="1">
        <v>44932</v>
      </c>
      <c r="E15422">
        <v>1</v>
      </c>
      <c r="F15422" t="str">
        <f>"08-I31-04"</f>
        <v>08-I31-04</v>
      </c>
      <c r="G15422">
        <v>0.49170000000000003</v>
      </c>
      <c r="H15422" t="s">
        <v>11</v>
      </c>
      <c r="I15422" t="s">
        <v>10</v>
      </c>
    </row>
    <row r="15423" spans="1:9" x14ac:dyDescent="0.25">
      <c r="A15423" t="str">
        <f t="shared" si="352"/>
        <v>89301000</v>
      </c>
      <c r="B15423" t="str">
        <f>"9755155707"</f>
        <v>9755155707</v>
      </c>
      <c r="C15423" s="1">
        <v>44970</v>
      </c>
      <c r="D15423" s="1">
        <v>44974</v>
      </c>
      <c r="E15423">
        <v>1</v>
      </c>
      <c r="F15423" t="str">
        <f>"09-K14-02"</f>
        <v>09-K14-02</v>
      </c>
      <c r="G15423">
        <v>0.5</v>
      </c>
      <c r="H15423" t="s">
        <v>11</v>
      </c>
      <c r="I15423" t="s">
        <v>10</v>
      </c>
    </row>
    <row r="15424" spans="1:9" x14ac:dyDescent="0.25">
      <c r="A15424" t="str">
        <f t="shared" si="352"/>
        <v>89301000</v>
      </c>
      <c r="B15424" t="str">
        <f>"9755215712"</f>
        <v>9755215712</v>
      </c>
      <c r="C15424" s="1">
        <v>45149</v>
      </c>
      <c r="D15424" s="1">
        <v>45153</v>
      </c>
      <c r="E15424">
        <v>1</v>
      </c>
      <c r="F15424" t="str">
        <f>"14-M01-05"</f>
        <v>14-M01-05</v>
      </c>
      <c r="G15424">
        <v>0.56289999999999996</v>
      </c>
      <c r="H15424" t="s">
        <v>13</v>
      </c>
      <c r="I15424" t="s">
        <v>10</v>
      </c>
    </row>
    <row r="15425" spans="1:9" x14ac:dyDescent="0.25">
      <c r="A15425" t="str">
        <f t="shared" si="352"/>
        <v>89301000</v>
      </c>
      <c r="B15425" t="str">
        <f>"9755275002"</f>
        <v>9755275002</v>
      </c>
      <c r="C15425" s="1">
        <v>45090</v>
      </c>
      <c r="D15425" s="1">
        <v>45092</v>
      </c>
      <c r="E15425">
        <v>1</v>
      </c>
      <c r="F15425" t="str">
        <f>"03-I24-00"</f>
        <v>03-I24-00</v>
      </c>
      <c r="G15425">
        <v>0.40899999999999997</v>
      </c>
      <c r="H15425" t="s">
        <v>11</v>
      </c>
      <c r="I15425" t="s">
        <v>10</v>
      </c>
    </row>
    <row r="15426" spans="1:9" x14ac:dyDescent="0.25">
      <c r="A15426" t="str">
        <f t="shared" si="352"/>
        <v>89301000</v>
      </c>
      <c r="B15426" t="str">
        <f>"9756045728"</f>
        <v>9756045728</v>
      </c>
      <c r="C15426" s="1">
        <v>44933</v>
      </c>
      <c r="D15426" s="1">
        <v>44935</v>
      </c>
      <c r="E15426">
        <v>1</v>
      </c>
      <c r="F15426" t="str">
        <f>"08-I15-03"</f>
        <v>08-I15-03</v>
      </c>
      <c r="G15426">
        <v>0.94059999999999999</v>
      </c>
      <c r="H15426" t="s">
        <v>12</v>
      </c>
      <c r="I15426" t="s">
        <v>10</v>
      </c>
    </row>
    <row r="15427" spans="1:9" x14ac:dyDescent="0.25">
      <c r="A15427" t="str">
        <f t="shared" si="352"/>
        <v>89301000</v>
      </c>
      <c r="B15427" t="str">
        <f>"9756285979"</f>
        <v>9756285979</v>
      </c>
      <c r="C15427" s="1">
        <v>45114</v>
      </c>
      <c r="D15427" s="1">
        <v>45115</v>
      </c>
      <c r="E15427">
        <v>1</v>
      </c>
      <c r="F15427" t="str">
        <f>"08-K11-02"</f>
        <v>08-K11-02</v>
      </c>
      <c r="G15427">
        <v>0.57040000000000002</v>
      </c>
      <c r="H15427" t="s">
        <v>11</v>
      </c>
      <c r="I15427" t="s">
        <v>10</v>
      </c>
    </row>
    <row r="15428" spans="1:9" x14ac:dyDescent="0.25">
      <c r="A15428" t="str">
        <f t="shared" si="352"/>
        <v>89301000</v>
      </c>
      <c r="B15428" t="str">
        <f>"9757024860"</f>
        <v>9757024860</v>
      </c>
      <c r="C15428" s="1">
        <v>44954</v>
      </c>
      <c r="D15428" s="1">
        <v>44957</v>
      </c>
      <c r="E15428">
        <v>1</v>
      </c>
      <c r="F15428" t="str">
        <f>"14-M01-05"</f>
        <v>14-M01-05</v>
      </c>
      <c r="G15428">
        <v>0.56289999999999996</v>
      </c>
      <c r="H15428" t="s">
        <v>13</v>
      </c>
      <c r="I15428" t="s">
        <v>10</v>
      </c>
    </row>
    <row r="15429" spans="1:9" x14ac:dyDescent="0.25">
      <c r="A15429" t="str">
        <f t="shared" ref="A15429:A15492" si="353">"89301000"</f>
        <v>89301000</v>
      </c>
      <c r="B15429" t="str">
        <f>"9757065714"</f>
        <v>9757065714</v>
      </c>
      <c r="C15429" s="1">
        <v>45110</v>
      </c>
      <c r="D15429" s="1">
        <v>45112</v>
      </c>
      <c r="E15429">
        <v>1</v>
      </c>
      <c r="F15429" t="str">
        <f>"14-M01-05"</f>
        <v>14-M01-05</v>
      </c>
      <c r="G15429">
        <v>0.56289999999999996</v>
      </c>
      <c r="H15429" t="s">
        <v>13</v>
      </c>
      <c r="I15429" t="s">
        <v>10</v>
      </c>
    </row>
    <row r="15430" spans="1:9" x14ac:dyDescent="0.25">
      <c r="A15430" t="str">
        <f t="shared" si="353"/>
        <v>89301000</v>
      </c>
      <c r="B15430" t="str">
        <f>"9757095733"</f>
        <v>9757095733</v>
      </c>
      <c r="C15430" s="1">
        <v>45213</v>
      </c>
      <c r="D15430" s="1">
        <v>45217</v>
      </c>
      <c r="E15430">
        <v>1</v>
      </c>
      <c r="F15430" t="str">
        <f>"07-K02-03"</f>
        <v>07-K02-03</v>
      </c>
      <c r="G15430">
        <v>0.78139999999999998</v>
      </c>
      <c r="H15430" t="s">
        <v>11</v>
      </c>
      <c r="I15430" t="s">
        <v>10</v>
      </c>
    </row>
    <row r="15431" spans="1:9" x14ac:dyDescent="0.25">
      <c r="A15431" t="str">
        <f t="shared" si="353"/>
        <v>89301000</v>
      </c>
      <c r="B15431" t="str">
        <f>"9757095733"</f>
        <v>9757095733</v>
      </c>
      <c r="C15431" s="1">
        <v>45078</v>
      </c>
      <c r="D15431" s="1">
        <v>45082</v>
      </c>
      <c r="E15431">
        <v>1</v>
      </c>
      <c r="F15431" t="str">
        <f>"14-I01-05"</f>
        <v>14-I01-05</v>
      </c>
      <c r="G15431">
        <v>0.83340000000000003</v>
      </c>
      <c r="H15431" t="s">
        <v>13</v>
      </c>
      <c r="I15431" t="s">
        <v>10</v>
      </c>
    </row>
    <row r="15432" spans="1:9" x14ac:dyDescent="0.25">
      <c r="A15432" t="str">
        <f t="shared" si="353"/>
        <v>89301000</v>
      </c>
      <c r="B15432" t="str">
        <f>"9757175703"</f>
        <v>9757175703</v>
      </c>
      <c r="C15432" s="1">
        <v>45088</v>
      </c>
      <c r="D15432" s="1">
        <v>45091</v>
      </c>
      <c r="E15432">
        <v>1</v>
      </c>
      <c r="F15432" t="str">
        <f>"14-M01-05"</f>
        <v>14-M01-05</v>
      </c>
      <c r="G15432">
        <v>0.56289999999999996</v>
      </c>
      <c r="H15432" t="s">
        <v>13</v>
      </c>
      <c r="I15432" t="s">
        <v>10</v>
      </c>
    </row>
    <row r="15433" spans="1:9" x14ac:dyDescent="0.25">
      <c r="A15433" t="str">
        <f t="shared" si="353"/>
        <v>89301000</v>
      </c>
      <c r="B15433" t="str">
        <f>"9757265705"</f>
        <v>9757265705</v>
      </c>
      <c r="C15433" s="1">
        <v>45238</v>
      </c>
      <c r="D15433" s="1">
        <v>45239</v>
      </c>
      <c r="E15433">
        <v>1</v>
      </c>
      <c r="F15433" t="str">
        <f>"13-I19-00"</f>
        <v>13-I19-00</v>
      </c>
      <c r="G15433">
        <v>0.28249999999999997</v>
      </c>
      <c r="H15433" t="s">
        <v>11</v>
      </c>
      <c r="I15433" t="s">
        <v>10</v>
      </c>
    </row>
    <row r="15434" spans="1:9" x14ac:dyDescent="0.25">
      <c r="A15434" t="str">
        <f t="shared" si="353"/>
        <v>89301000</v>
      </c>
      <c r="B15434" t="str">
        <f>"9757274659"</f>
        <v>9757274659</v>
      </c>
      <c r="C15434" s="1">
        <v>45119</v>
      </c>
      <c r="D15434" s="1">
        <v>45124</v>
      </c>
      <c r="E15434">
        <v>1</v>
      </c>
      <c r="F15434" t="str">
        <f>"23-K05-01"</f>
        <v>23-K05-01</v>
      </c>
      <c r="G15434">
        <v>0.56269999999999998</v>
      </c>
      <c r="H15434" t="s">
        <v>11</v>
      </c>
      <c r="I15434" t="s">
        <v>10</v>
      </c>
    </row>
    <row r="15435" spans="1:9" x14ac:dyDescent="0.25">
      <c r="A15435" t="str">
        <f t="shared" si="353"/>
        <v>89301000</v>
      </c>
      <c r="B15435" t="str">
        <f>"9758045649"</f>
        <v>9758045649</v>
      </c>
      <c r="C15435" s="1">
        <v>45030</v>
      </c>
      <c r="D15435" s="1">
        <v>45056</v>
      </c>
      <c r="E15435">
        <v>4</v>
      </c>
      <c r="F15435" t="str">
        <f>"00-M02-01"</f>
        <v>00-M02-01</v>
      </c>
      <c r="G15435">
        <v>22.650099999999998</v>
      </c>
      <c r="H15435" t="s">
        <v>11</v>
      </c>
      <c r="I15435" t="s">
        <v>10</v>
      </c>
    </row>
    <row r="15436" spans="1:9" x14ac:dyDescent="0.25">
      <c r="A15436" t="str">
        <f t="shared" si="353"/>
        <v>89301000</v>
      </c>
      <c r="B15436" t="str">
        <f>"9758045649"</f>
        <v>9758045649</v>
      </c>
      <c r="C15436" s="1">
        <v>45253</v>
      </c>
      <c r="D15436" s="1">
        <v>45254</v>
      </c>
      <c r="E15436">
        <v>4</v>
      </c>
      <c r="F15436" t="str">
        <f>"23-K05-02"</f>
        <v>23-K05-02</v>
      </c>
      <c r="G15436">
        <v>0.44479999999999997</v>
      </c>
      <c r="H15436" t="s">
        <v>11</v>
      </c>
      <c r="I15436" t="s">
        <v>10</v>
      </c>
    </row>
    <row r="15437" spans="1:9" x14ac:dyDescent="0.25">
      <c r="A15437" t="str">
        <f t="shared" si="353"/>
        <v>89301000</v>
      </c>
      <c r="B15437" t="str">
        <f>"9758206139"</f>
        <v>9758206139</v>
      </c>
      <c r="C15437" s="1">
        <v>45190</v>
      </c>
      <c r="D15437" s="1">
        <v>45193</v>
      </c>
      <c r="E15437">
        <v>1</v>
      </c>
      <c r="F15437" t="str">
        <f>"14-M01-05"</f>
        <v>14-M01-05</v>
      </c>
      <c r="G15437">
        <v>0.56289999999999996</v>
      </c>
      <c r="H15437" t="s">
        <v>13</v>
      </c>
      <c r="I15437" t="s">
        <v>10</v>
      </c>
    </row>
    <row r="15438" spans="1:9" x14ac:dyDescent="0.25">
      <c r="A15438" t="str">
        <f t="shared" si="353"/>
        <v>89301000</v>
      </c>
      <c r="B15438" t="str">
        <f>"9758216193"</f>
        <v>9758216193</v>
      </c>
      <c r="C15438" s="1">
        <v>45250</v>
      </c>
      <c r="D15438" s="1">
        <v>45253</v>
      </c>
      <c r="E15438">
        <v>6</v>
      </c>
      <c r="F15438" t="str">
        <f>"03-I19-02"</f>
        <v>03-I19-02</v>
      </c>
      <c r="G15438">
        <v>0.7016</v>
      </c>
      <c r="H15438" t="s">
        <v>11</v>
      </c>
      <c r="I15438" t="s">
        <v>10</v>
      </c>
    </row>
    <row r="15439" spans="1:9" x14ac:dyDescent="0.25">
      <c r="A15439" t="str">
        <f t="shared" si="353"/>
        <v>89301000</v>
      </c>
      <c r="B15439" t="str">
        <f>"9758275714"</f>
        <v>9758275714</v>
      </c>
      <c r="C15439" s="1">
        <v>45203</v>
      </c>
      <c r="D15439" s="1">
        <v>45208</v>
      </c>
      <c r="E15439">
        <v>1</v>
      </c>
      <c r="F15439" t="str">
        <f>"14-M01-05"</f>
        <v>14-M01-05</v>
      </c>
      <c r="G15439">
        <v>0.56589999999999996</v>
      </c>
      <c r="H15439" t="s">
        <v>13</v>
      </c>
      <c r="I15439" t="s">
        <v>10</v>
      </c>
    </row>
    <row r="15440" spans="1:9" x14ac:dyDescent="0.25">
      <c r="A15440" t="str">
        <f t="shared" si="353"/>
        <v>89301000</v>
      </c>
      <c r="B15440" t="str">
        <f>"9759025727"</f>
        <v>9759025727</v>
      </c>
      <c r="C15440" s="1">
        <v>45266</v>
      </c>
      <c r="D15440" s="1">
        <v>45269</v>
      </c>
      <c r="E15440">
        <v>1</v>
      </c>
      <c r="F15440" t="str">
        <f>"14-M01-05"</f>
        <v>14-M01-05</v>
      </c>
      <c r="G15440">
        <v>0.56589999999999996</v>
      </c>
      <c r="H15440" t="s">
        <v>13</v>
      </c>
      <c r="I15440" t="s">
        <v>10</v>
      </c>
    </row>
    <row r="15441" spans="1:9" x14ac:dyDescent="0.25">
      <c r="A15441" t="str">
        <f t="shared" si="353"/>
        <v>89301000</v>
      </c>
      <c r="B15441" t="str">
        <f>"9759025727"</f>
        <v>9759025727</v>
      </c>
      <c r="C15441" s="1">
        <v>45100</v>
      </c>
      <c r="D15441" s="1">
        <v>45102</v>
      </c>
      <c r="E15441">
        <v>1</v>
      </c>
      <c r="F15441" t="str">
        <f>"13-I14-03"</f>
        <v>13-I14-03</v>
      </c>
      <c r="G15441">
        <v>0.87760000000000005</v>
      </c>
      <c r="H15441" t="s">
        <v>9</v>
      </c>
      <c r="I15441" t="s">
        <v>10</v>
      </c>
    </row>
    <row r="15442" spans="1:9" x14ac:dyDescent="0.25">
      <c r="A15442" t="str">
        <f t="shared" si="353"/>
        <v>89301000</v>
      </c>
      <c r="B15442" t="str">
        <f>"9759045703"</f>
        <v>9759045703</v>
      </c>
      <c r="C15442" s="1">
        <v>45256</v>
      </c>
      <c r="D15442" s="1">
        <v>45270</v>
      </c>
      <c r="E15442">
        <v>1</v>
      </c>
      <c r="F15442" t="str">
        <f>"14-K03-01"</f>
        <v>14-K03-01</v>
      </c>
      <c r="G15442">
        <v>0.65380000000000005</v>
      </c>
      <c r="H15442" t="s">
        <v>11</v>
      </c>
      <c r="I15442" t="s">
        <v>10</v>
      </c>
    </row>
    <row r="15443" spans="1:9" x14ac:dyDescent="0.25">
      <c r="A15443" t="str">
        <f t="shared" si="353"/>
        <v>89301000</v>
      </c>
      <c r="B15443" t="str">
        <f>"9759046165"</f>
        <v>9759046165</v>
      </c>
      <c r="C15443" s="1">
        <v>45150</v>
      </c>
      <c r="D15443" s="1">
        <v>45153</v>
      </c>
      <c r="E15443">
        <v>1</v>
      </c>
      <c r="F15443" t="str">
        <f>"14-M01-05"</f>
        <v>14-M01-05</v>
      </c>
      <c r="G15443">
        <v>0.56289999999999996</v>
      </c>
      <c r="H15443" t="s">
        <v>13</v>
      </c>
      <c r="I15443" t="s">
        <v>10</v>
      </c>
    </row>
    <row r="15444" spans="1:9" x14ac:dyDescent="0.25">
      <c r="A15444" t="str">
        <f t="shared" si="353"/>
        <v>89301000</v>
      </c>
      <c r="B15444" t="str">
        <f>"9759085820"</f>
        <v>9759085820</v>
      </c>
      <c r="C15444" s="1">
        <v>44933</v>
      </c>
      <c r="D15444" s="1">
        <v>44934</v>
      </c>
      <c r="E15444">
        <v>6</v>
      </c>
      <c r="F15444" t="str">
        <f>"01-K03-08"</f>
        <v>01-K03-08</v>
      </c>
      <c r="G15444">
        <v>0.38290000000000002</v>
      </c>
      <c r="H15444" t="s">
        <v>11</v>
      </c>
      <c r="I15444" t="s">
        <v>10</v>
      </c>
    </row>
    <row r="15445" spans="1:9" x14ac:dyDescent="0.25">
      <c r="A15445" t="str">
        <f t="shared" si="353"/>
        <v>89301000</v>
      </c>
      <c r="B15445" t="str">
        <f>"9759105719"</f>
        <v>9759105719</v>
      </c>
      <c r="C15445" s="1">
        <v>45002</v>
      </c>
      <c r="D15445" s="1">
        <v>45012</v>
      </c>
      <c r="E15445">
        <v>1</v>
      </c>
      <c r="F15445" t="str">
        <f>"14-M01-02"</f>
        <v>14-M01-02</v>
      </c>
      <c r="G15445">
        <v>1.0669</v>
      </c>
      <c r="H15445" t="s">
        <v>13</v>
      </c>
      <c r="I15445" t="s">
        <v>10</v>
      </c>
    </row>
    <row r="15446" spans="1:9" x14ac:dyDescent="0.25">
      <c r="A15446" t="str">
        <f t="shared" si="353"/>
        <v>89301000</v>
      </c>
      <c r="B15446" t="str">
        <f>"9759155703"</f>
        <v>9759155703</v>
      </c>
      <c r="C15446" s="1">
        <v>45104</v>
      </c>
      <c r="D15446" s="1">
        <v>45107</v>
      </c>
      <c r="E15446">
        <v>1</v>
      </c>
      <c r="F15446" t="str">
        <f>"14-M01-05"</f>
        <v>14-M01-05</v>
      </c>
      <c r="G15446">
        <v>0.56589999999999996</v>
      </c>
      <c r="H15446" t="s">
        <v>13</v>
      </c>
      <c r="I15446" t="s">
        <v>10</v>
      </c>
    </row>
    <row r="15447" spans="1:9" x14ac:dyDescent="0.25">
      <c r="A15447" t="str">
        <f t="shared" si="353"/>
        <v>89301000</v>
      </c>
      <c r="B15447" t="str">
        <f>"9759205731"</f>
        <v>9759205731</v>
      </c>
      <c r="C15447" s="1">
        <v>45016</v>
      </c>
      <c r="D15447" s="1">
        <v>45019</v>
      </c>
      <c r="E15447">
        <v>1</v>
      </c>
      <c r="F15447" t="str">
        <f>"14-K03-02"</f>
        <v>14-K03-02</v>
      </c>
      <c r="G15447">
        <v>0.30149999999999999</v>
      </c>
      <c r="H15447" t="s">
        <v>11</v>
      </c>
      <c r="I15447" t="s">
        <v>10</v>
      </c>
    </row>
    <row r="15448" spans="1:9" x14ac:dyDescent="0.25">
      <c r="A15448" t="str">
        <f t="shared" si="353"/>
        <v>89301000</v>
      </c>
      <c r="B15448" t="str">
        <f>"9759225707"</f>
        <v>9759225707</v>
      </c>
      <c r="C15448" s="1">
        <v>45266</v>
      </c>
      <c r="D15448" s="1">
        <v>45270</v>
      </c>
      <c r="E15448">
        <v>1</v>
      </c>
      <c r="F15448" t="str">
        <f>"07-I03-02"</f>
        <v>07-I03-02</v>
      </c>
      <c r="G15448">
        <v>3.5718999999999999</v>
      </c>
      <c r="H15448" t="s">
        <v>14</v>
      </c>
      <c r="I15448" t="s">
        <v>10</v>
      </c>
    </row>
    <row r="15449" spans="1:9" x14ac:dyDescent="0.25">
      <c r="A15449" t="str">
        <f t="shared" si="353"/>
        <v>89301000</v>
      </c>
      <c r="B15449" t="str">
        <f>"9760066228"</f>
        <v>9760066228</v>
      </c>
      <c r="C15449" s="1">
        <v>45168</v>
      </c>
      <c r="D15449" s="1">
        <v>45198</v>
      </c>
      <c r="E15449">
        <v>1</v>
      </c>
      <c r="F15449" t="str">
        <f>"19-K07-01"</f>
        <v>19-K07-01</v>
      </c>
      <c r="G15449">
        <v>2.9567000000000001</v>
      </c>
      <c r="H15449" t="s">
        <v>15</v>
      </c>
      <c r="I15449" t="s">
        <v>16</v>
      </c>
    </row>
    <row r="15450" spans="1:9" x14ac:dyDescent="0.25">
      <c r="A15450" t="str">
        <f t="shared" si="353"/>
        <v>89301000</v>
      </c>
      <c r="B15450" t="str">
        <f>"9760205708"</f>
        <v>9760205708</v>
      </c>
      <c r="C15450" s="1">
        <v>45060</v>
      </c>
      <c r="D15450" s="1">
        <v>45063</v>
      </c>
      <c r="E15450">
        <v>1</v>
      </c>
      <c r="F15450" t="str">
        <f>"14-M01-05"</f>
        <v>14-M01-05</v>
      </c>
      <c r="G15450">
        <v>0.56289999999999996</v>
      </c>
      <c r="H15450" t="s">
        <v>13</v>
      </c>
      <c r="I15450" t="s">
        <v>10</v>
      </c>
    </row>
    <row r="15451" spans="1:9" x14ac:dyDescent="0.25">
      <c r="A15451" t="str">
        <f t="shared" si="353"/>
        <v>89301000</v>
      </c>
      <c r="B15451" t="str">
        <f>"9760305731"</f>
        <v>9760305731</v>
      </c>
      <c r="C15451" s="1">
        <v>45123</v>
      </c>
      <c r="D15451" s="1">
        <v>45128</v>
      </c>
      <c r="E15451">
        <v>1</v>
      </c>
      <c r="F15451" t="str">
        <f>"14-I01-05"</f>
        <v>14-I01-05</v>
      </c>
      <c r="G15451">
        <v>0.83</v>
      </c>
      <c r="H15451" t="s">
        <v>13</v>
      </c>
      <c r="I15451" t="s">
        <v>10</v>
      </c>
    </row>
    <row r="15452" spans="1:9" x14ac:dyDescent="0.25">
      <c r="A15452" t="str">
        <f t="shared" si="353"/>
        <v>89301000</v>
      </c>
      <c r="B15452" t="str">
        <f>"9761124505"</f>
        <v>9761124505</v>
      </c>
      <c r="C15452" s="1">
        <v>45193</v>
      </c>
      <c r="D15452" s="1">
        <v>45195</v>
      </c>
      <c r="E15452">
        <v>1</v>
      </c>
      <c r="F15452" t="str">
        <f>"08-M03-02"</f>
        <v>08-M03-02</v>
      </c>
      <c r="G15452">
        <v>0.91359999999999997</v>
      </c>
      <c r="H15452" t="s">
        <v>11</v>
      </c>
      <c r="I15452" t="s">
        <v>10</v>
      </c>
    </row>
    <row r="15453" spans="1:9" x14ac:dyDescent="0.25">
      <c r="A15453" t="str">
        <f t="shared" si="353"/>
        <v>89301000</v>
      </c>
      <c r="B15453" t="str">
        <f>"9761205740"</f>
        <v>9761205740</v>
      </c>
      <c r="C15453" s="1">
        <v>45082</v>
      </c>
      <c r="D15453" s="1">
        <v>45083</v>
      </c>
      <c r="E15453">
        <v>1</v>
      </c>
      <c r="F15453" t="str">
        <f>"08-I17-02"</f>
        <v>08-I17-02</v>
      </c>
      <c r="G15453">
        <v>0.89680000000000004</v>
      </c>
      <c r="H15453" t="s">
        <v>11</v>
      </c>
      <c r="I15453" t="s">
        <v>10</v>
      </c>
    </row>
    <row r="15454" spans="1:9" x14ac:dyDescent="0.25">
      <c r="A15454" t="str">
        <f t="shared" si="353"/>
        <v>89301000</v>
      </c>
      <c r="B15454" t="str">
        <f>"9762114868"</f>
        <v>9762114868</v>
      </c>
      <c r="C15454" s="1">
        <v>45212</v>
      </c>
      <c r="D15454" s="1">
        <v>45216</v>
      </c>
      <c r="E15454">
        <v>1</v>
      </c>
      <c r="F15454" t="str">
        <f>"14-M01-05"</f>
        <v>14-M01-05</v>
      </c>
      <c r="G15454">
        <v>0.56289999999999996</v>
      </c>
      <c r="H15454" t="s">
        <v>13</v>
      </c>
      <c r="I15454" t="s">
        <v>10</v>
      </c>
    </row>
    <row r="15455" spans="1:9" x14ac:dyDescent="0.25">
      <c r="A15455" t="str">
        <f t="shared" si="353"/>
        <v>89301000</v>
      </c>
      <c r="B15455" t="str">
        <f>"9762135735"</f>
        <v>9762135735</v>
      </c>
      <c r="C15455" s="1">
        <v>45002</v>
      </c>
      <c r="D15455" s="1">
        <v>45006</v>
      </c>
      <c r="E15455">
        <v>1</v>
      </c>
      <c r="F15455" t="str">
        <f>"14-M01-05"</f>
        <v>14-M01-05</v>
      </c>
      <c r="G15455">
        <v>0.56589999999999996</v>
      </c>
      <c r="H15455" t="s">
        <v>13</v>
      </c>
      <c r="I15455" t="s">
        <v>10</v>
      </c>
    </row>
    <row r="15456" spans="1:9" x14ac:dyDescent="0.25">
      <c r="A15456" t="str">
        <f t="shared" si="353"/>
        <v>89301000</v>
      </c>
      <c r="B15456" t="str">
        <f>"9762135735"</f>
        <v>9762135735</v>
      </c>
      <c r="C15456" s="1">
        <v>44991</v>
      </c>
      <c r="D15456" s="1">
        <v>44993</v>
      </c>
      <c r="E15456">
        <v>1</v>
      </c>
      <c r="F15456" t="str">
        <f>"14-K03-02"</f>
        <v>14-K03-02</v>
      </c>
      <c r="G15456">
        <v>0.30230000000000001</v>
      </c>
      <c r="H15456" t="s">
        <v>11</v>
      </c>
      <c r="I15456" t="s">
        <v>10</v>
      </c>
    </row>
    <row r="15457" spans="1:9" x14ac:dyDescent="0.25">
      <c r="A15457" t="str">
        <f t="shared" si="353"/>
        <v>89301000</v>
      </c>
      <c r="B15457" t="str">
        <f>"9762135735"</f>
        <v>9762135735</v>
      </c>
      <c r="C15457" s="1">
        <v>44955</v>
      </c>
      <c r="D15457" s="1">
        <v>44960</v>
      </c>
      <c r="E15457">
        <v>1</v>
      </c>
      <c r="F15457" t="str">
        <f>"14-K03-02"</f>
        <v>14-K03-02</v>
      </c>
      <c r="G15457">
        <v>0.30230000000000001</v>
      </c>
      <c r="H15457" t="s">
        <v>11</v>
      </c>
      <c r="I15457" t="s">
        <v>10</v>
      </c>
    </row>
    <row r="15458" spans="1:9" x14ac:dyDescent="0.25">
      <c r="A15458" t="str">
        <f t="shared" si="353"/>
        <v>89301000</v>
      </c>
      <c r="B15458" t="str">
        <f>"9762186159"</f>
        <v>9762186159</v>
      </c>
      <c r="C15458" s="1">
        <v>44999</v>
      </c>
      <c r="D15458" s="1">
        <v>45003</v>
      </c>
      <c r="E15458">
        <v>1</v>
      </c>
      <c r="F15458" t="str">
        <f>"14-M01-05"</f>
        <v>14-M01-05</v>
      </c>
      <c r="G15458">
        <v>0.56589999999999996</v>
      </c>
      <c r="H15458" t="s">
        <v>13</v>
      </c>
      <c r="I15458" t="s">
        <v>10</v>
      </c>
    </row>
    <row r="15459" spans="1:9" x14ac:dyDescent="0.25">
      <c r="A15459" t="str">
        <f t="shared" si="353"/>
        <v>89301000</v>
      </c>
      <c r="B15459" t="str">
        <f>"9801055704"</f>
        <v>9801055704</v>
      </c>
      <c r="C15459" s="1">
        <v>44950</v>
      </c>
      <c r="D15459" s="1">
        <v>44952</v>
      </c>
      <c r="E15459">
        <v>1</v>
      </c>
      <c r="F15459" t="str">
        <f>"08-I32-00"</f>
        <v>08-I32-00</v>
      </c>
      <c r="G15459">
        <v>0.4093</v>
      </c>
      <c r="H15459" t="s">
        <v>11</v>
      </c>
      <c r="I15459" t="s">
        <v>10</v>
      </c>
    </row>
    <row r="15460" spans="1:9" x14ac:dyDescent="0.25">
      <c r="A15460" t="str">
        <f t="shared" si="353"/>
        <v>89301000</v>
      </c>
      <c r="B15460" t="str">
        <f>"9801145706"</f>
        <v>9801145706</v>
      </c>
      <c r="C15460" s="1">
        <v>45006</v>
      </c>
      <c r="D15460" s="1">
        <v>45009</v>
      </c>
      <c r="E15460">
        <v>1</v>
      </c>
      <c r="F15460" t="str">
        <f>"06-M01-02"</f>
        <v>06-M01-02</v>
      </c>
      <c r="G15460">
        <v>1.2206999999999999</v>
      </c>
      <c r="H15460" t="s">
        <v>11</v>
      </c>
      <c r="I15460" t="s">
        <v>10</v>
      </c>
    </row>
    <row r="15461" spans="1:9" x14ac:dyDescent="0.25">
      <c r="A15461" t="str">
        <f t="shared" si="353"/>
        <v>89301000</v>
      </c>
      <c r="B15461" t="str">
        <f>"9802095710"</f>
        <v>9802095710</v>
      </c>
      <c r="C15461" s="1">
        <v>45081</v>
      </c>
      <c r="D15461" s="1">
        <v>45083</v>
      </c>
      <c r="E15461">
        <v>1</v>
      </c>
      <c r="F15461" t="str">
        <f>"21-K05-04"</f>
        <v>21-K05-04</v>
      </c>
      <c r="G15461">
        <v>0.24859999999999999</v>
      </c>
      <c r="H15461" t="s">
        <v>11</v>
      </c>
      <c r="I15461" t="s">
        <v>10</v>
      </c>
    </row>
    <row r="15462" spans="1:9" x14ac:dyDescent="0.25">
      <c r="A15462" t="str">
        <f t="shared" si="353"/>
        <v>89301000</v>
      </c>
      <c r="B15462" t="str">
        <f>"9802103784"</f>
        <v>9802103784</v>
      </c>
      <c r="C15462" s="1">
        <v>45107</v>
      </c>
      <c r="D15462" s="1">
        <v>45118</v>
      </c>
      <c r="E15462">
        <v>1</v>
      </c>
      <c r="F15462" t="str">
        <f>"06-I21-03"</f>
        <v>06-I21-03</v>
      </c>
      <c r="G15462">
        <v>0.79710000000000003</v>
      </c>
      <c r="H15462" t="s">
        <v>12</v>
      </c>
      <c r="I15462" t="s">
        <v>10</v>
      </c>
    </row>
    <row r="15463" spans="1:9" x14ac:dyDescent="0.25">
      <c r="A15463" t="str">
        <f t="shared" si="353"/>
        <v>89301000</v>
      </c>
      <c r="B15463" t="str">
        <f>"9802116159"</f>
        <v>9802116159</v>
      </c>
      <c r="C15463" s="1">
        <v>44971</v>
      </c>
      <c r="D15463" s="1">
        <v>44972</v>
      </c>
      <c r="E15463">
        <v>1</v>
      </c>
      <c r="F15463" t="str">
        <f>"08-I32-00"</f>
        <v>08-I32-00</v>
      </c>
      <c r="G15463">
        <v>0.4093</v>
      </c>
      <c r="H15463" t="s">
        <v>11</v>
      </c>
      <c r="I15463" t="s">
        <v>10</v>
      </c>
    </row>
    <row r="15464" spans="1:9" x14ac:dyDescent="0.25">
      <c r="A15464" t="str">
        <f t="shared" si="353"/>
        <v>89301000</v>
      </c>
      <c r="B15464" t="str">
        <f>"9802275725"</f>
        <v>9802275725</v>
      </c>
      <c r="C15464" s="1">
        <v>45007</v>
      </c>
      <c r="D15464" s="1">
        <v>45008</v>
      </c>
      <c r="E15464">
        <v>1</v>
      </c>
      <c r="F15464" t="str">
        <f>"10-K04-04"</f>
        <v>10-K04-04</v>
      </c>
      <c r="G15464">
        <v>0.53949999999999998</v>
      </c>
      <c r="H15464" t="s">
        <v>11</v>
      </c>
      <c r="I15464" t="s">
        <v>10</v>
      </c>
    </row>
    <row r="15465" spans="1:9" x14ac:dyDescent="0.25">
      <c r="A15465" t="str">
        <f t="shared" si="353"/>
        <v>89301000</v>
      </c>
      <c r="B15465" t="str">
        <f>"9804010095"</f>
        <v>9804010095</v>
      </c>
      <c r="C15465" s="1">
        <v>45085</v>
      </c>
      <c r="D15465" s="1">
        <v>45087</v>
      </c>
      <c r="E15465">
        <v>1</v>
      </c>
      <c r="F15465" t="str">
        <f>"08-M03-05"</f>
        <v>08-M03-05</v>
      </c>
      <c r="G15465">
        <v>0.46910000000000002</v>
      </c>
      <c r="H15465" t="s">
        <v>11</v>
      </c>
      <c r="I15465" t="s">
        <v>10</v>
      </c>
    </row>
    <row r="15466" spans="1:9" x14ac:dyDescent="0.25">
      <c r="A15466" t="str">
        <f t="shared" si="353"/>
        <v>89301000</v>
      </c>
      <c r="B15466" t="str">
        <f>"9804205708"</f>
        <v>9804205708</v>
      </c>
      <c r="C15466" s="1">
        <v>45278</v>
      </c>
      <c r="D15466" s="1">
        <v>45278</v>
      </c>
      <c r="E15466">
        <v>6</v>
      </c>
      <c r="F15466" t="str">
        <f>"05-K02-02"</f>
        <v>05-K02-02</v>
      </c>
      <c r="G15466">
        <v>0.38219999999999998</v>
      </c>
      <c r="H15466" t="s">
        <v>11</v>
      </c>
      <c r="I15466" t="s">
        <v>10</v>
      </c>
    </row>
    <row r="15467" spans="1:9" x14ac:dyDescent="0.25">
      <c r="A15467" t="str">
        <f t="shared" si="353"/>
        <v>89301000</v>
      </c>
      <c r="B15467" t="str">
        <f>"9804214849"</f>
        <v>9804214849</v>
      </c>
      <c r="C15467" s="1">
        <v>45274</v>
      </c>
      <c r="D15467" s="1">
        <v>45276</v>
      </c>
      <c r="E15467">
        <v>1</v>
      </c>
      <c r="F15467" t="str">
        <f>"08-M03-03"</f>
        <v>08-M03-03</v>
      </c>
      <c r="G15467">
        <v>0.56640000000000001</v>
      </c>
      <c r="H15467" t="s">
        <v>11</v>
      </c>
      <c r="I15467" t="s">
        <v>10</v>
      </c>
    </row>
    <row r="15468" spans="1:9" x14ac:dyDescent="0.25">
      <c r="A15468" t="str">
        <f t="shared" si="353"/>
        <v>89301000</v>
      </c>
      <c r="B15468" t="str">
        <f>"9805194850"</f>
        <v>9805194850</v>
      </c>
      <c r="C15468" s="1">
        <v>44963</v>
      </c>
      <c r="D15468" s="1">
        <v>44967</v>
      </c>
      <c r="E15468">
        <v>1</v>
      </c>
      <c r="F15468" t="str">
        <f>"08-K04-03"</f>
        <v>08-K04-03</v>
      </c>
      <c r="G15468">
        <v>0.42399999999999999</v>
      </c>
      <c r="H15468" t="s">
        <v>11</v>
      </c>
      <c r="I15468" t="s">
        <v>10</v>
      </c>
    </row>
    <row r="15469" spans="1:9" x14ac:dyDescent="0.25">
      <c r="A15469" t="str">
        <f t="shared" si="353"/>
        <v>89301000</v>
      </c>
      <c r="B15469" t="str">
        <f>"9806196070"</f>
        <v>9806196070</v>
      </c>
      <c r="C15469" s="1">
        <v>45106</v>
      </c>
      <c r="D15469" s="1">
        <v>45107</v>
      </c>
      <c r="E15469">
        <v>5</v>
      </c>
      <c r="F15469" t="str">
        <f>"09-K13-01"</f>
        <v>09-K13-01</v>
      </c>
      <c r="G15469">
        <v>0.53720000000000001</v>
      </c>
      <c r="H15469" t="s">
        <v>11</v>
      </c>
      <c r="I15469" t="s">
        <v>10</v>
      </c>
    </row>
    <row r="15470" spans="1:9" x14ac:dyDescent="0.25">
      <c r="A15470" t="str">
        <f t="shared" si="353"/>
        <v>89301000</v>
      </c>
      <c r="B15470" t="str">
        <f>"9807086157"</f>
        <v>9807086157</v>
      </c>
      <c r="C15470" s="1">
        <v>45206</v>
      </c>
      <c r="D15470" s="1">
        <v>45209</v>
      </c>
      <c r="E15470">
        <v>1</v>
      </c>
      <c r="F15470" t="str">
        <f>"03-I11-03"</f>
        <v>03-I11-03</v>
      </c>
      <c r="G15470">
        <v>1.1267</v>
      </c>
      <c r="H15470" t="s">
        <v>12</v>
      </c>
      <c r="I15470" t="s">
        <v>10</v>
      </c>
    </row>
    <row r="15471" spans="1:9" x14ac:dyDescent="0.25">
      <c r="A15471" t="str">
        <f t="shared" si="353"/>
        <v>89301000</v>
      </c>
      <c r="B15471" t="str">
        <f>"9807175301"</f>
        <v>9807175301</v>
      </c>
      <c r="C15471" s="1">
        <v>44966</v>
      </c>
      <c r="D15471" s="1">
        <v>44969</v>
      </c>
      <c r="E15471">
        <v>1</v>
      </c>
      <c r="F15471" t="str">
        <f>"06-I21-03"</f>
        <v>06-I21-03</v>
      </c>
      <c r="G15471">
        <v>0.4572</v>
      </c>
      <c r="H15471" t="s">
        <v>12</v>
      </c>
      <c r="I15471" t="s">
        <v>10</v>
      </c>
    </row>
    <row r="15472" spans="1:9" x14ac:dyDescent="0.25">
      <c r="A15472" t="str">
        <f t="shared" si="353"/>
        <v>89301000</v>
      </c>
      <c r="B15472" t="str">
        <f>"9808024479"</f>
        <v>9808024479</v>
      </c>
      <c r="C15472" s="1">
        <v>45152</v>
      </c>
      <c r="D15472" s="1">
        <v>45155</v>
      </c>
      <c r="E15472">
        <v>1</v>
      </c>
      <c r="F15472" t="str">
        <f>"08-I03-07"</f>
        <v>08-I03-07</v>
      </c>
      <c r="G15472">
        <v>3.3094999999999999</v>
      </c>
      <c r="H15472" t="s">
        <v>9</v>
      </c>
      <c r="I15472" t="s">
        <v>10</v>
      </c>
    </row>
    <row r="15473" spans="1:9" x14ac:dyDescent="0.25">
      <c r="A15473" t="str">
        <f t="shared" si="353"/>
        <v>89301000</v>
      </c>
      <c r="B15473" t="str">
        <f>"9808054861"</f>
        <v>9808054861</v>
      </c>
      <c r="C15473" s="1">
        <v>45186</v>
      </c>
      <c r="D15473" s="1">
        <v>45188</v>
      </c>
      <c r="E15473">
        <v>1</v>
      </c>
      <c r="F15473" t="str">
        <f>"06-K11-00"</f>
        <v>06-K11-00</v>
      </c>
      <c r="G15473">
        <v>0.34639999999999999</v>
      </c>
      <c r="H15473" t="s">
        <v>11</v>
      </c>
      <c r="I15473" t="s">
        <v>10</v>
      </c>
    </row>
    <row r="15474" spans="1:9" x14ac:dyDescent="0.25">
      <c r="A15474" t="str">
        <f t="shared" si="353"/>
        <v>89301000</v>
      </c>
      <c r="B15474" t="str">
        <f>"9808115746"</f>
        <v>9808115746</v>
      </c>
      <c r="C15474" s="1">
        <v>44943</v>
      </c>
      <c r="D15474" s="1">
        <v>44946</v>
      </c>
      <c r="E15474">
        <v>1</v>
      </c>
      <c r="F15474" t="str">
        <f>"03-I17-00"</f>
        <v>03-I17-00</v>
      </c>
      <c r="G15474">
        <v>0.83489999999999998</v>
      </c>
      <c r="H15474" t="s">
        <v>9</v>
      </c>
      <c r="I15474" t="s">
        <v>10</v>
      </c>
    </row>
    <row r="15475" spans="1:9" x14ac:dyDescent="0.25">
      <c r="A15475" t="str">
        <f t="shared" si="353"/>
        <v>89301000</v>
      </c>
      <c r="B15475" t="str">
        <f>"9808145699"</f>
        <v>9808145699</v>
      </c>
      <c r="C15475" s="1">
        <v>45097</v>
      </c>
      <c r="D15475" s="1">
        <v>45099</v>
      </c>
      <c r="E15475">
        <v>1</v>
      </c>
      <c r="F15475" t="str">
        <f>"01-D01-03"</f>
        <v>01-D01-03</v>
      </c>
      <c r="G15475">
        <v>0.16200000000000001</v>
      </c>
      <c r="H15475" t="s">
        <v>11</v>
      </c>
      <c r="I15475" t="s">
        <v>10</v>
      </c>
    </row>
    <row r="15476" spans="1:9" x14ac:dyDescent="0.25">
      <c r="A15476" t="str">
        <f t="shared" si="353"/>
        <v>89301000</v>
      </c>
      <c r="B15476" t="str">
        <f>"9808145699"</f>
        <v>9808145699</v>
      </c>
      <c r="C15476" s="1">
        <v>45029</v>
      </c>
      <c r="D15476" s="1">
        <v>45035</v>
      </c>
      <c r="E15476">
        <v>5</v>
      </c>
      <c r="F15476" t="str">
        <f>"04-I08-03"</f>
        <v>04-I08-03</v>
      </c>
      <c r="G15476">
        <v>1.6777</v>
      </c>
      <c r="H15476" t="s">
        <v>11</v>
      </c>
      <c r="I15476" t="s">
        <v>10</v>
      </c>
    </row>
    <row r="15477" spans="1:9" x14ac:dyDescent="0.25">
      <c r="A15477" t="str">
        <f t="shared" si="353"/>
        <v>89301000</v>
      </c>
      <c r="B15477" t="str">
        <f>"9808205924"</f>
        <v>9808205924</v>
      </c>
      <c r="C15477" s="1">
        <v>45242</v>
      </c>
      <c r="D15477" s="1">
        <v>45245</v>
      </c>
      <c r="E15477">
        <v>1</v>
      </c>
      <c r="F15477" t="str">
        <f>"08-M03-04"</f>
        <v>08-M03-04</v>
      </c>
      <c r="G15477">
        <v>0.87760000000000005</v>
      </c>
      <c r="H15477" t="s">
        <v>11</v>
      </c>
      <c r="I15477" t="s">
        <v>10</v>
      </c>
    </row>
    <row r="15478" spans="1:9" x14ac:dyDescent="0.25">
      <c r="A15478" t="str">
        <f t="shared" si="353"/>
        <v>89301000</v>
      </c>
      <c r="B15478" t="str">
        <f>"9809085715"</f>
        <v>9809085715</v>
      </c>
      <c r="C15478" s="1">
        <v>44969</v>
      </c>
      <c r="D15478" s="1">
        <v>44971</v>
      </c>
      <c r="E15478">
        <v>1</v>
      </c>
      <c r="F15478" t="str">
        <f>"01-K03-08"</f>
        <v>01-K03-08</v>
      </c>
      <c r="G15478">
        <v>0.38290000000000002</v>
      </c>
      <c r="H15478" t="s">
        <v>11</v>
      </c>
      <c r="I15478" t="s">
        <v>10</v>
      </c>
    </row>
    <row r="15479" spans="1:9" x14ac:dyDescent="0.25">
      <c r="A15479" t="str">
        <f t="shared" si="353"/>
        <v>89301000</v>
      </c>
      <c r="B15479" t="str">
        <f>"9809216109"</f>
        <v>9809216109</v>
      </c>
      <c r="C15479" s="1">
        <v>45153</v>
      </c>
      <c r="D15479" s="1">
        <v>45160</v>
      </c>
      <c r="E15479">
        <v>1</v>
      </c>
      <c r="F15479" t="str">
        <f>"06-I12-03"</f>
        <v>06-I12-03</v>
      </c>
      <c r="G15479">
        <v>1.9540999999999999</v>
      </c>
      <c r="H15479" t="s">
        <v>11</v>
      </c>
      <c r="I15479" t="s">
        <v>10</v>
      </c>
    </row>
    <row r="15480" spans="1:9" x14ac:dyDescent="0.25">
      <c r="A15480" t="str">
        <f t="shared" si="353"/>
        <v>89301000</v>
      </c>
      <c r="B15480" t="str">
        <f>"9810085725"</f>
        <v>9810085725</v>
      </c>
      <c r="C15480" s="1">
        <v>45215</v>
      </c>
      <c r="D15480" s="1">
        <v>45216</v>
      </c>
      <c r="E15480">
        <v>1</v>
      </c>
      <c r="F15480" t="str">
        <f>"12-I14-00"</f>
        <v>12-I14-00</v>
      </c>
      <c r="G15480">
        <v>0.42920000000000003</v>
      </c>
      <c r="H15480" t="s">
        <v>11</v>
      </c>
      <c r="I15480" t="s">
        <v>10</v>
      </c>
    </row>
    <row r="15481" spans="1:9" x14ac:dyDescent="0.25">
      <c r="A15481" t="str">
        <f t="shared" si="353"/>
        <v>89301000</v>
      </c>
      <c r="B15481" t="str">
        <f>"9810224842"</f>
        <v>9810224842</v>
      </c>
      <c r="C15481" s="1">
        <v>45120</v>
      </c>
      <c r="D15481" s="1">
        <v>45125</v>
      </c>
      <c r="E15481">
        <v>1</v>
      </c>
      <c r="F15481" t="str">
        <f>"09-K14-01"</f>
        <v>09-K14-01</v>
      </c>
      <c r="G15481">
        <v>0.95530000000000004</v>
      </c>
      <c r="H15481" t="s">
        <v>11</v>
      </c>
      <c r="I15481" t="s">
        <v>10</v>
      </c>
    </row>
    <row r="15482" spans="1:9" x14ac:dyDescent="0.25">
      <c r="A15482" t="str">
        <f t="shared" si="353"/>
        <v>89301000</v>
      </c>
      <c r="B15482" t="str">
        <f>"9810225821"</f>
        <v>9810225821</v>
      </c>
      <c r="C15482" s="1">
        <v>45253</v>
      </c>
      <c r="D15482" s="1">
        <v>45255</v>
      </c>
      <c r="E15482">
        <v>1</v>
      </c>
      <c r="F15482" t="str">
        <f>"08-M03-03"</f>
        <v>08-M03-03</v>
      </c>
      <c r="G15482">
        <v>0.56640000000000001</v>
      </c>
      <c r="H15482" t="s">
        <v>11</v>
      </c>
      <c r="I15482" t="s">
        <v>10</v>
      </c>
    </row>
    <row r="15483" spans="1:9" x14ac:dyDescent="0.25">
      <c r="A15483" t="str">
        <f t="shared" si="353"/>
        <v>89301000</v>
      </c>
      <c r="B15483" t="str">
        <f>"9811124851"</f>
        <v>9811124851</v>
      </c>
      <c r="C15483" s="1">
        <v>45068</v>
      </c>
      <c r="D15483" s="1">
        <v>45072</v>
      </c>
      <c r="E15483">
        <v>1</v>
      </c>
      <c r="F15483" t="str">
        <f>"11-I17-03"</f>
        <v>11-I17-03</v>
      </c>
      <c r="G15483">
        <v>0.50139999999999996</v>
      </c>
      <c r="H15483" t="s">
        <v>11</v>
      </c>
      <c r="I15483" t="s">
        <v>10</v>
      </c>
    </row>
    <row r="15484" spans="1:9" x14ac:dyDescent="0.25">
      <c r="A15484" t="str">
        <f t="shared" si="353"/>
        <v>89301000</v>
      </c>
      <c r="B15484" t="str">
        <f>"9811124851"</f>
        <v>9811124851</v>
      </c>
      <c r="C15484" s="1">
        <v>44987</v>
      </c>
      <c r="D15484" s="1">
        <v>44999</v>
      </c>
      <c r="E15484">
        <v>1</v>
      </c>
      <c r="F15484" t="str">
        <f>"11-I12-00"</f>
        <v>11-I12-00</v>
      </c>
      <c r="G15484">
        <v>1.72</v>
      </c>
      <c r="H15484" t="s">
        <v>12</v>
      </c>
      <c r="I15484" t="s">
        <v>10</v>
      </c>
    </row>
    <row r="15485" spans="1:9" x14ac:dyDescent="0.25">
      <c r="A15485" t="str">
        <f t="shared" si="353"/>
        <v>89301000</v>
      </c>
      <c r="B15485" t="str">
        <f>"9811124851"</f>
        <v>9811124851</v>
      </c>
      <c r="C15485" s="1">
        <v>45048</v>
      </c>
      <c r="D15485" s="1">
        <v>45051</v>
      </c>
      <c r="E15485">
        <v>1</v>
      </c>
      <c r="F15485" t="str">
        <f>"11-K05-00"</f>
        <v>11-K05-00</v>
      </c>
      <c r="G15485">
        <v>0.36609999999999998</v>
      </c>
      <c r="H15485" t="s">
        <v>11</v>
      </c>
      <c r="I15485" t="s">
        <v>10</v>
      </c>
    </row>
    <row r="15486" spans="1:9" x14ac:dyDescent="0.25">
      <c r="A15486" t="str">
        <f t="shared" si="353"/>
        <v>89301000</v>
      </c>
      <c r="B15486" t="str">
        <f>"9811234851"</f>
        <v>9811234851</v>
      </c>
      <c r="C15486" s="1">
        <v>44941</v>
      </c>
      <c r="D15486" s="1">
        <v>44944</v>
      </c>
      <c r="E15486">
        <v>1</v>
      </c>
      <c r="F15486" t="str">
        <f>"03-I11-03"</f>
        <v>03-I11-03</v>
      </c>
      <c r="G15486">
        <v>1.1267</v>
      </c>
      <c r="H15486" t="s">
        <v>12</v>
      </c>
      <c r="I15486" t="s">
        <v>10</v>
      </c>
    </row>
    <row r="15487" spans="1:9" x14ac:dyDescent="0.25">
      <c r="A15487" t="str">
        <f t="shared" si="353"/>
        <v>89301000</v>
      </c>
      <c r="B15487" t="str">
        <f>"9812235708"</f>
        <v>9812235708</v>
      </c>
      <c r="C15487" s="1">
        <v>44965</v>
      </c>
      <c r="D15487" s="1">
        <v>44966</v>
      </c>
      <c r="E15487">
        <v>1</v>
      </c>
      <c r="F15487" t="str">
        <f>"03-K13-02"</f>
        <v>03-K13-02</v>
      </c>
      <c r="G15487">
        <v>0.24440000000000001</v>
      </c>
      <c r="H15487" t="s">
        <v>11</v>
      </c>
      <c r="I15487" t="s">
        <v>10</v>
      </c>
    </row>
    <row r="15488" spans="1:9" x14ac:dyDescent="0.25">
      <c r="A15488" t="str">
        <f t="shared" si="353"/>
        <v>89301000</v>
      </c>
      <c r="B15488" t="str">
        <f>"9812285703"</f>
        <v>9812285703</v>
      </c>
      <c r="C15488" s="1">
        <v>45080</v>
      </c>
      <c r="D15488" s="1">
        <v>45084</v>
      </c>
      <c r="E15488">
        <v>1</v>
      </c>
      <c r="F15488" t="str">
        <f>"08-I16-04"</f>
        <v>08-I16-04</v>
      </c>
      <c r="G15488">
        <v>0.83040000000000003</v>
      </c>
      <c r="H15488" t="s">
        <v>12</v>
      </c>
      <c r="I15488" t="s">
        <v>10</v>
      </c>
    </row>
    <row r="15489" spans="1:9" x14ac:dyDescent="0.25">
      <c r="A15489" t="str">
        <f t="shared" si="353"/>
        <v>89301000</v>
      </c>
      <c r="B15489" t="str">
        <f>"9851144303"</f>
        <v>9851144303</v>
      </c>
      <c r="C15489" s="1">
        <v>44948</v>
      </c>
      <c r="D15489" s="1">
        <v>44952</v>
      </c>
      <c r="E15489">
        <v>1</v>
      </c>
      <c r="F15489" t="str">
        <f>"14-M01-05"</f>
        <v>14-M01-05</v>
      </c>
      <c r="G15489">
        <v>0.56589999999999996</v>
      </c>
      <c r="H15489" t="s">
        <v>13</v>
      </c>
      <c r="I15489" t="s">
        <v>10</v>
      </c>
    </row>
    <row r="15490" spans="1:9" x14ac:dyDescent="0.25">
      <c r="A15490" t="str">
        <f t="shared" si="353"/>
        <v>89301000</v>
      </c>
      <c r="B15490" t="str">
        <f>"9851216155"</f>
        <v>9851216155</v>
      </c>
      <c r="C15490" s="1">
        <v>45274</v>
      </c>
      <c r="D15490" s="1">
        <v>45278</v>
      </c>
      <c r="E15490">
        <v>1</v>
      </c>
      <c r="F15490" t="str">
        <f>"14-M01-01"</f>
        <v>14-M01-01</v>
      </c>
      <c r="G15490">
        <v>0.81010000000000004</v>
      </c>
      <c r="H15490" t="s">
        <v>13</v>
      </c>
      <c r="I15490" t="s">
        <v>10</v>
      </c>
    </row>
    <row r="15491" spans="1:9" x14ac:dyDescent="0.25">
      <c r="A15491" t="str">
        <f t="shared" si="353"/>
        <v>89301000</v>
      </c>
      <c r="B15491" t="str">
        <f>"9852032586"</f>
        <v>9852032586</v>
      </c>
      <c r="C15491" s="1">
        <v>44953</v>
      </c>
      <c r="D15491" s="1">
        <v>44955</v>
      </c>
      <c r="E15491">
        <v>1</v>
      </c>
      <c r="F15491" t="str">
        <f>"14-M01-05"</f>
        <v>14-M01-05</v>
      </c>
      <c r="G15491">
        <v>0.56589999999999996</v>
      </c>
      <c r="H15491" t="s">
        <v>13</v>
      </c>
      <c r="I15491" t="s">
        <v>10</v>
      </c>
    </row>
    <row r="15492" spans="1:9" x14ac:dyDescent="0.25">
      <c r="A15492" t="str">
        <f t="shared" si="353"/>
        <v>89301000</v>
      </c>
      <c r="B15492" t="str">
        <f>"9852065707"</f>
        <v>9852065707</v>
      </c>
      <c r="C15492" s="1">
        <v>45200</v>
      </c>
      <c r="D15492" s="1">
        <v>45202</v>
      </c>
      <c r="E15492">
        <v>1</v>
      </c>
      <c r="F15492" t="str">
        <f>"14-M01-05"</f>
        <v>14-M01-05</v>
      </c>
      <c r="G15492">
        <v>0.56289999999999996</v>
      </c>
      <c r="H15492" t="s">
        <v>13</v>
      </c>
      <c r="I15492" t="s">
        <v>10</v>
      </c>
    </row>
    <row r="15493" spans="1:9" x14ac:dyDescent="0.25">
      <c r="A15493" t="str">
        <f t="shared" ref="A15493:A15555" si="354">"89301000"</f>
        <v>89301000</v>
      </c>
      <c r="B15493" t="str">
        <f>"9852195716"</f>
        <v>9852195716</v>
      </c>
      <c r="C15493" s="1">
        <v>45285</v>
      </c>
      <c r="D15493" s="1">
        <v>45289</v>
      </c>
      <c r="E15493">
        <v>1</v>
      </c>
      <c r="F15493" t="str">
        <f>"14-M01-05"</f>
        <v>14-M01-05</v>
      </c>
      <c r="G15493">
        <v>0.56589999999999996</v>
      </c>
      <c r="H15493" t="s">
        <v>13</v>
      </c>
      <c r="I15493" t="s">
        <v>10</v>
      </c>
    </row>
    <row r="15494" spans="1:9" x14ac:dyDescent="0.25">
      <c r="A15494" t="str">
        <f t="shared" si="354"/>
        <v>89301000</v>
      </c>
      <c r="B15494" t="str">
        <f>"9852225372"</f>
        <v>9852225372</v>
      </c>
      <c r="C15494" s="1">
        <v>44961</v>
      </c>
      <c r="D15494" s="1">
        <v>44964</v>
      </c>
      <c r="E15494">
        <v>1</v>
      </c>
      <c r="F15494" t="str">
        <f>"14-M01-05"</f>
        <v>14-M01-05</v>
      </c>
      <c r="G15494">
        <v>0.56289999999999996</v>
      </c>
      <c r="H15494" t="s">
        <v>13</v>
      </c>
      <c r="I15494" t="s">
        <v>10</v>
      </c>
    </row>
    <row r="15495" spans="1:9" x14ac:dyDescent="0.25">
      <c r="A15495" t="str">
        <f t="shared" si="354"/>
        <v>89301000</v>
      </c>
      <c r="B15495" t="str">
        <f>"9852273772"</f>
        <v>9852273772</v>
      </c>
      <c r="C15495" s="1">
        <v>45224</v>
      </c>
      <c r="D15495" s="1">
        <v>45234</v>
      </c>
      <c r="E15495">
        <v>1</v>
      </c>
      <c r="F15495" t="str">
        <f>"13-K02-00"</f>
        <v>13-K02-00</v>
      </c>
      <c r="G15495">
        <v>0.70750000000000002</v>
      </c>
      <c r="H15495" t="s">
        <v>11</v>
      </c>
      <c r="I15495" t="s">
        <v>10</v>
      </c>
    </row>
    <row r="15496" spans="1:9" x14ac:dyDescent="0.25">
      <c r="A15496" t="str">
        <f t="shared" si="354"/>
        <v>89301000</v>
      </c>
      <c r="B15496" t="str">
        <f>"9852275708"</f>
        <v>9852275708</v>
      </c>
      <c r="C15496" s="1">
        <v>45027</v>
      </c>
      <c r="D15496" s="1">
        <v>45029</v>
      </c>
      <c r="E15496">
        <v>1</v>
      </c>
      <c r="F15496" t="str">
        <f>"06-K06-02"</f>
        <v>06-K06-02</v>
      </c>
      <c r="G15496">
        <v>0.71179999999999999</v>
      </c>
      <c r="H15496" t="s">
        <v>11</v>
      </c>
      <c r="I15496" t="s">
        <v>10</v>
      </c>
    </row>
    <row r="15497" spans="1:9" x14ac:dyDescent="0.25">
      <c r="A15497" t="str">
        <f t="shared" si="354"/>
        <v>89301000</v>
      </c>
      <c r="B15497" t="str">
        <f>"9852275708"</f>
        <v>9852275708</v>
      </c>
      <c r="C15497" s="1">
        <v>45136</v>
      </c>
      <c r="D15497" s="1">
        <v>45137</v>
      </c>
      <c r="E15497">
        <v>1</v>
      </c>
      <c r="F15497" t="str">
        <f>"06-K06-02"</f>
        <v>06-K06-02</v>
      </c>
      <c r="G15497">
        <v>0.67559999999999998</v>
      </c>
      <c r="H15497" t="s">
        <v>11</v>
      </c>
      <c r="I15497" t="s">
        <v>10</v>
      </c>
    </row>
    <row r="15498" spans="1:9" x14ac:dyDescent="0.25">
      <c r="A15498" t="str">
        <f t="shared" si="354"/>
        <v>89301000</v>
      </c>
      <c r="B15498" t="str">
        <f>"9852275708"</f>
        <v>9852275708</v>
      </c>
      <c r="C15498" s="1">
        <v>45167</v>
      </c>
      <c r="D15498" s="1">
        <v>45170</v>
      </c>
      <c r="E15498">
        <v>1</v>
      </c>
      <c r="F15498" t="str">
        <f>"06-K06-01"</f>
        <v>06-K06-01</v>
      </c>
      <c r="G15498">
        <v>1.1567000000000001</v>
      </c>
      <c r="H15498" t="s">
        <v>11</v>
      </c>
      <c r="I15498" t="s">
        <v>10</v>
      </c>
    </row>
    <row r="15499" spans="1:9" x14ac:dyDescent="0.25">
      <c r="A15499" t="str">
        <f t="shared" si="354"/>
        <v>89301000</v>
      </c>
      <c r="B15499" t="str">
        <f>"9852275708"</f>
        <v>9852275708</v>
      </c>
      <c r="C15499" s="1">
        <v>45191</v>
      </c>
      <c r="D15499" s="1">
        <v>45210</v>
      </c>
      <c r="E15499">
        <v>1</v>
      </c>
      <c r="F15499" t="str">
        <f>"06-I07-03"</f>
        <v>06-I07-03</v>
      </c>
      <c r="G15499">
        <v>5.3734999999999999</v>
      </c>
      <c r="H15499" t="s">
        <v>12</v>
      </c>
      <c r="I15499" t="s">
        <v>10</v>
      </c>
    </row>
    <row r="15500" spans="1:9" x14ac:dyDescent="0.25">
      <c r="A15500" t="str">
        <f t="shared" si="354"/>
        <v>89301000</v>
      </c>
      <c r="B15500" t="str">
        <f>"9853105702"</f>
        <v>9853105702</v>
      </c>
      <c r="C15500" s="1">
        <v>45283</v>
      </c>
      <c r="D15500" s="1">
        <v>45284</v>
      </c>
      <c r="E15500">
        <v>1</v>
      </c>
      <c r="F15500" t="str">
        <f>"14-M01-05"</f>
        <v>14-M01-05</v>
      </c>
      <c r="G15500">
        <v>0.56289999999999996</v>
      </c>
      <c r="H15500" t="s">
        <v>13</v>
      </c>
      <c r="I15500" t="s">
        <v>10</v>
      </c>
    </row>
    <row r="15501" spans="1:9" x14ac:dyDescent="0.25">
      <c r="A15501" t="str">
        <f t="shared" si="354"/>
        <v>89301000</v>
      </c>
      <c r="B15501" t="str">
        <f>"9853115140"</f>
        <v>9853115140</v>
      </c>
      <c r="C15501" s="1">
        <v>45012</v>
      </c>
      <c r="D15501" s="1">
        <v>45051</v>
      </c>
      <c r="E15501">
        <v>1</v>
      </c>
      <c r="F15501" t="str">
        <f>"19-K08-02"</f>
        <v>19-K08-02</v>
      </c>
      <c r="G15501">
        <v>4.4416000000000002</v>
      </c>
      <c r="H15501" t="s">
        <v>15</v>
      </c>
      <c r="I15501" t="s">
        <v>10</v>
      </c>
    </row>
    <row r="15502" spans="1:9" x14ac:dyDescent="0.25">
      <c r="A15502" t="str">
        <f t="shared" si="354"/>
        <v>89301000</v>
      </c>
      <c r="B15502" t="str">
        <f>"9853225712"</f>
        <v>9853225712</v>
      </c>
      <c r="C15502" s="1">
        <v>45044</v>
      </c>
      <c r="D15502" s="1">
        <v>45050</v>
      </c>
      <c r="E15502">
        <v>1</v>
      </c>
      <c r="F15502" t="str">
        <f>"14-I01-02"</f>
        <v>14-I01-02</v>
      </c>
      <c r="G15502">
        <v>1.2988999999999999</v>
      </c>
      <c r="H15502" t="s">
        <v>13</v>
      </c>
      <c r="I15502" t="s">
        <v>10</v>
      </c>
    </row>
    <row r="15503" spans="1:9" x14ac:dyDescent="0.25">
      <c r="A15503" t="str">
        <f t="shared" si="354"/>
        <v>89301000</v>
      </c>
      <c r="B15503" t="str">
        <f>"9853295716"</f>
        <v>9853295716</v>
      </c>
      <c r="C15503" s="1">
        <v>45018</v>
      </c>
      <c r="D15503" s="1">
        <v>45022</v>
      </c>
      <c r="E15503">
        <v>1</v>
      </c>
      <c r="F15503" t="str">
        <f>"14-M01-05"</f>
        <v>14-M01-05</v>
      </c>
      <c r="G15503">
        <v>0.56289999999999996</v>
      </c>
      <c r="H15503" t="s">
        <v>13</v>
      </c>
      <c r="I15503" t="s">
        <v>10</v>
      </c>
    </row>
    <row r="15504" spans="1:9" x14ac:dyDescent="0.25">
      <c r="A15504" t="str">
        <f t="shared" si="354"/>
        <v>89301000</v>
      </c>
      <c r="B15504" t="str">
        <f>"9853305638"</f>
        <v>9853305638</v>
      </c>
      <c r="C15504" s="1">
        <v>45152</v>
      </c>
      <c r="D15504" s="1">
        <v>45157</v>
      </c>
      <c r="E15504">
        <v>1</v>
      </c>
      <c r="F15504" t="str">
        <f>"14-M01-05"</f>
        <v>14-M01-05</v>
      </c>
      <c r="G15504">
        <v>0.56589999999999996</v>
      </c>
      <c r="H15504" t="s">
        <v>13</v>
      </c>
      <c r="I15504" t="s">
        <v>10</v>
      </c>
    </row>
    <row r="15505" spans="1:9" x14ac:dyDescent="0.25">
      <c r="A15505" t="str">
        <f t="shared" si="354"/>
        <v>89301000</v>
      </c>
      <c r="B15505" t="str">
        <f>"9854025720"</f>
        <v>9854025720</v>
      </c>
      <c r="C15505" s="1">
        <v>45077</v>
      </c>
      <c r="D15505" s="1">
        <v>45080</v>
      </c>
      <c r="E15505">
        <v>1</v>
      </c>
      <c r="F15505" t="str">
        <f>"08-I31-04"</f>
        <v>08-I31-04</v>
      </c>
      <c r="G15505">
        <v>0.49170000000000003</v>
      </c>
      <c r="H15505" t="s">
        <v>11</v>
      </c>
      <c r="I15505" t="s">
        <v>10</v>
      </c>
    </row>
    <row r="15506" spans="1:9" x14ac:dyDescent="0.25">
      <c r="A15506" t="str">
        <f t="shared" si="354"/>
        <v>89301000</v>
      </c>
      <c r="B15506" t="str">
        <f>"9854125710"</f>
        <v>9854125710</v>
      </c>
      <c r="C15506" s="1">
        <v>44930</v>
      </c>
      <c r="D15506" s="1">
        <v>44954</v>
      </c>
      <c r="E15506">
        <v>1</v>
      </c>
      <c r="F15506" t="str">
        <f>"17-C03-03"</f>
        <v>17-C03-03</v>
      </c>
      <c r="G15506">
        <v>2.9337</v>
      </c>
      <c r="H15506" t="s">
        <v>11</v>
      </c>
      <c r="I15506" t="s">
        <v>10</v>
      </c>
    </row>
    <row r="15507" spans="1:9" x14ac:dyDescent="0.25">
      <c r="A15507" t="str">
        <f t="shared" si="354"/>
        <v>89301000</v>
      </c>
      <c r="B15507" t="str">
        <f>"9854175705"</f>
        <v>9854175705</v>
      </c>
      <c r="C15507" s="1">
        <v>45028</v>
      </c>
      <c r="D15507" s="1">
        <v>45031</v>
      </c>
      <c r="E15507">
        <v>1</v>
      </c>
      <c r="F15507" t="str">
        <f>"14-M01-05"</f>
        <v>14-M01-05</v>
      </c>
      <c r="G15507">
        <v>0.56589999999999996</v>
      </c>
      <c r="H15507" t="s">
        <v>13</v>
      </c>
      <c r="I15507" t="s">
        <v>10</v>
      </c>
    </row>
    <row r="15508" spans="1:9" x14ac:dyDescent="0.25">
      <c r="A15508" t="str">
        <f t="shared" si="354"/>
        <v>89301000</v>
      </c>
      <c r="B15508" t="str">
        <f>"9854195714"</f>
        <v>9854195714</v>
      </c>
      <c r="C15508" s="1">
        <v>45035</v>
      </c>
      <c r="D15508" s="1">
        <v>45038</v>
      </c>
      <c r="E15508">
        <v>1</v>
      </c>
      <c r="F15508" t="str">
        <f>"14-I01-05"</f>
        <v>14-I01-05</v>
      </c>
      <c r="G15508">
        <v>0.83340000000000003</v>
      </c>
      <c r="H15508" t="s">
        <v>13</v>
      </c>
      <c r="I15508" t="s">
        <v>10</v>
      </c>
    </row>
    <row r="15509" spans="1:9" x14ac:dyDescent="0.25">
      <c r="A15509" t="str">
        <f t="shared" si="354"/>
        <v>89301000</v>
      </c>
      <c r="B15509" t="str">
        <f>"9854245709"</f>
        <v>9854245709</v>
      </c>
      <c r="C15509" s="1">
        <v>45214</v>
      </c>
      <c r="D15509" s="1">
        <v>45215</v>
      </c>
      <c r="E15509">
        <v>1</v>
      </c>
      <c r="F15509" t="str">
        <f>"14-K03-02"</f>
        <v>14-K03-02</v>
      </c>
      <c r="G15509">
        <v>0.30149999999999999</v>
      </c>
      <c r="H15509" t="s">
        <v>11</v>
      </c>
      <c r="I15509" t="s">
        <v>10</v>
      </c>
    </row>
    <row r="15510" spans="1:9" x14ac:dyDescent="0.25">
      <c r="A15510" t="str">
        <f t="shared" si="354"/>
        <v>89301000</v>
      </c>
      <c r="B15510" t="str">
        <f>"9854265718"</f>
        <v>9854265718</v>
      </c>
      <c r="C15510" s="1">
        <v>44991</v>
      </c>
      <c r="D15510" s="1">
        <v>44995</v>
      </c>
      <c r="E15510">
        <v>1</v>
      </c>
      <c r="F15510" t="str">
        <f>"14-I01-02"</f>
        <v>14-I01-02</v>
      </c>
      <c r="G15510">
        <v>1.2988999999999999</v>
      </c>
      <c r="H15510" t="s">
        <v>13</v>
      </c>
      <c r="I15510" t="s">
        <v>10</v>
      </c>
    </row>
    <row r="15511" spans="1:9" x14ac:dyDescent="0.25">
      <c r="A15511" t="str">
        <f t="shared" si="354"/>
        <v>89301000</v>
      </c>
      <c r="B15511" t="str">
        <f>"9854284847"</f>
        <v>9854284847</v>
      </c>
      <c r="C15511" s="1">
        <v>45037</v>
      </c>
      <c r="D15511" s="1">
        <v>45039</v>
      </c>
      <c r="E15511">
        <v>1</v>
      </c>
      <c r="F15511" t="str">
        <f>"14-K05-01"</f>
        <v>14-K05-01</v>
      </c>
      <c r="G15511">
        <v>0.26</v>
      </c>
      <c r="H15511" t="s">
        <v>11</v>
      </c>
      <c r="I15511" t="s">
        <v>10</v>
      </c>
    </row>
    <row r="15512" spans="1:9" x14ac:dyDescent="0.25">
      <c r="A15512" t="str">
        <f t="shared" si="354"/>
        <v>89301000</v>
      </c>
      <c r="B15512" t="str">
        <f>"9855095701"</f>
        <v>9855095701</v>
      </c>
      <c r="C15512" s="1">
        <v>45085</v>
      </c>
      <c r="D15512" s="1">
        <v>45089</v>
      </c>
      <c r="E15512">
        <v>1</v>
      </c>
      <c r="F15512" t="str">
        <f>"14-M01-05"</f>
        <v>14-M01-05</v>
      </c>
      <c r="G15512">
        <v>0.56289999999999996</v>
      </c>
      <c r="H15512" t="s">
        <v>13</v>
      </c>
      <c r="I15512" t="s">
        <v>10</v>
      </c>
    </row>
    <row r="15513" spans="1:9" x14ac:dyDescent="0.25">
      <c r="A15513" t="str">
        <f t="shared" si="354"/>
        <v>89301000</v>
      </c>
      <c r="B15513" t="str">
        <f>"9855155728"</f>
        <v>9855155728</v>
      </c>
      <c r="C15513" s="1">
        <v>45052</v>
      </c>
      <c r="D15513" s="1">
        <v>45053</v>
      </c>
      <c r="E15513">
        <v>1</v>
      </c>
      <c r="F15513" t="str">
        <f>"01-K16-06"</f>
        <v>01-K16-06</v>
      </c>
      <c r="G15513">
        <v>0.27150000000000002</v>
      </c>
      <c r="H15513" t="s">
        <v>11</v>
      </c>
      <c r="I15513" t="s">
        <v>10</v>
      </c>
    </row>
    <row r="15514" spans="1:9" x14ac:dyDescent="0.25">
      <c r="A15514" t="str">
        <f t="shared" si="354"/>
        <v>89301000</v>
      </c>
      <c r="B15514" t="str">
        <f>"9855191665"</f>
        <v>9855191665</v>
      </c>
      <c r="C15514" s="1">
        <v>45015</v>
      </c>
      <c r="D15514" s="1">
        <v>45017</v>
      </c>
      <c r="E15514">
        <v>1</v>
      </c>
      <c r="F15514" t="str">
        <f>"03-K06-01"</f>
        <v>03-K06-01</v>
      </c>
      <c r="G15514">
        <v>0.4713</v>
      </c>
      <c r="H15514" t="s">
        <v>11</v>
      </c>
      <c r="I15514" t="s">
        <v>10</v>
      </c>
    </row>
    <row r="15515" spans="1:9" x14ac:dyDescent="0.25">
      <c r="A15515" t="str">
        <f t="shared" si="354"/>
        <v>89301000</v>
      </c>
      <c r="B15515" t="str">
        <f>"9855194844"</f>
        <v>9855194844</v>
      </c>
      <c r="C15515" s="1">
        <v>45189</v>
      </c>
      <c r="D15515" s="1">
        <v>45194</v>
      </c>
      <c r="E15515">
        <v>1</v>
      </c>
      <c r="F15515" t="str">
        <f>"14-I01-02"</f>
        <v>14-I01-02</v>
      </c>
      <c r="G15515">
        <v>1.2935000000000001</v>
      </c>
      <c r="H15515" t="s">
        <v>13</v>
      </c>
      <c r="I15515" t="s">
        <v>10</v>
      </c>
    </row>
    <row r="15516" spans="1:9" x14ac:dyDescent="0.25">
      <c r="A15516" t="str">
        <f t="shared" si="354"/>
        <v>89301000</v>
      </c>
      <c r="B15516" t="str">
        <f>"9855195295"</f>
        <v>9855195295</v>
      </c>
      <c r="C15516" s="1">
        <v>45068</v>
      </c>
      <c r="D15516" s="1">
        <v>45071</v>
      </c>
      <c r="E15516">
        <v>1</v>
      </c>
      <c r="F15516" t="str">
        <f>"06-K02-04"</f>
        <v>06-K02-04</v>
      </c>
      <c r="G15516">
        <v>0.37659999999999999</v>
      </c>
      <c r="H15516" t="s">
        <v>11</v>
      </c>
      <c r="I15516" t="s">
        <v>10</v>
      </c>
    </row>
    <row r="15517" spans="1:9" x14ac:dyDescent="0.25">
      <c r="A15517" t="str">
        <f t="shared" si="354"/>
        <v>89301000</v>
      </c>
      <c r="B15517" t="str">
        <f>"9855196230"</f>
        <v>9855196230</v>
      </c>
      <c r="C15517" s="1">
        <v>45057</v>
      </c>
      <c r="D15517" s="1">
        <v>45059</v>
      </c>
      <c r="E15517">
        <v>1</v>
      </c>
      <c r="F15517" t="str">
        <f>"08-I32-00"</f>
        <v>08-I32-00</v>
      </c>
      <c r="G15517">
        <v>0.4093</v>
      </c>
      <c r="H15517" t="s">
        <v>11</v>
      </c>
      <c r="I15517" t="s">
        <v>10</v>
      </c>
    </row>
    <row r="15518" spans="1:9" x14ac:dyDescent="0.25">
      <c r="A15518" t="str">
        <f t="shared" si="354"/>
        <v>89301000</v>
      </c>
      <c r="B15518" t="str">
        <f>"9855215711"</f>
        <v>9855215711</v>
      </c>
      <c r="C15518" s="1">
        <v>45219</v>
      </c>
      <c r="D15518" s="1">
        <v>45224</v>
      </c>
      <c r="E15518">
        <v>1</v>
      </c>
      <c r="F15518" t="str">
        <f>"14-I01-05"</f>
        <v>14-I01-05</v>
      </c>
      <c r="G15518">
        <v>0.83340000000000003</v>
      </c>
      <c r="H15518" t="s">
        <v>13</v>
      </c>
      <c r="I15518" t="s">
        <v>10</v>
      </c>
    </row>
    <row r="15519" spans="1:9" x14ac:dyDescent="0.25">
      <c r="A15519" t="str">
        <f t="shared" si="354"/>
        <v>89301000</v>
      </c>
      <c r="B15519" t="str">
        <f>"9855296143"</f>
        <v>9855296143</v>
      </c>
      <c r="C15519" s="1">
        <v>45230</v>
      </c>
      <c r="D15519" s="1">
        <v>45232</v>
      </c>
      <c r="E15519">
        <v>1</v>
      </c>
      <c r="F15519" t="str">
        <f>"14-M01-05"</f>
        <v>14-M01-05</v>
      </c>
      <c r="G15519">
        <v>0.56289999999999996</v>
      </c>
      <c r="H15519" t="s">
        <v>13</v>
      </c>
      <c r="I15519" t="s">
        <v>10</v>
      </c>
    </row>
    <row r="15520" spans="1:9" x14ac:dyDescent="0.25">
      <c r="A15520" t="str">
        <f t="shared" si="354"/>
        <v>89301000</v>
      </c>
      <c r="B15520" t="str">
        <f>"9855760530"</f>
        <v>9855760530</v>
      </c>
      <c r="C15520" s="1">
        <v>45135</v>
      </c>
      <c r="D15520" s="1">
        <v>45138</v>
      </c>
      <c r="E15520">
        <v>1</v>
      </c>
      <c r="F15520" t="str">
        <f>"08-I15-03"</f>
        <v>08-I15-03</v>
      </c>
      <c r="G15520">
        <v>0.94059999999999999</v>
      </c>
      <c r="H15520" t="s">
        <v>12</v>
      </c>
      <c r="I15520" t="s">
        <v>10</v>
      </c>
    </row>
    <row r="15521" spans="1:9" x14ac:dyDescent="0.25">
      <c r="A15521" t="str">
        <f t="shared" si="354"/>
        <v>89301000</v>
      </c>
      <c r="B15521" t="str">
        <f>"9856105710"</f>
        <v>9856105710</v>
      </c>
      <c r="C15521" s="1">
        <v>45036</v>
      </c>
      <c r="D15521" s="1">
        <v>45037</v>
      </c>
      <c r="E15521">
        <v>1</v>
      </c>
      <c r="F15521" t="str">
        <f>"13-I19-00"</f>
        <v>13-I19-00</v>
      </c>
      <c r="G15521">
        <v>0.28249999999999997</v>
      </c>
      <c r="H15521" t="s">
        <v>11</v>
      </c>
      <c r="I15521" t="s">
        <v>10</v>
      </c>
    </row>
    <row r="15522" spans="1:9" x14ac:dyDescent="0.25">
      <c r="A15522" t="str">
        <f t="shared" si="354"/>
        <v>89301000</v>
      </c>
      <c r="B15522" t="str">
        <f>"9856105710"</f>
        <v>9856105710</v>
      </c>
      <c r="C15522" s="1">
        <v>45194</v>
      </c>
      <c r="D15522" s="1">
        <v>45195</v>
      </c>
      <c r="E15522">
        <v>1</v>
      </c>
      <c r="F15522" t="str">
        <f>"08-I18-02"</f>
        <v>08-I18-02</v>
      </c>
      <c r="G15522">
        <v>0.62509999999999999</v>
      </c>
      <c r="H15522" t="s">
        <v>12</v>
      </c>
      <c r="I15522" t="s">
        <v>10</v>
      </c>
    </row>
    <row r="15523" spans="1:9" x14ac:dyDescent="0.25">
      <c r="A15523" t="str">
        <f t="shared" si="354"/>
        <v>89301000</v>
      </c>
      <c r="B15523" t="str">
        <f>"9856145717"</f>
        <v>9856145717</v>
      </c>
      <c r="C15523" s="1">
        <v>44997</v>
      </c>
      <c r="D15523" s="1">
        <v>45000</v>
      </c>
      <c r="E15523">
        <v>1</v>
      </c>
      <c r="F15523" t="str">
        <f>"08-I15-03"</f>
        <v>08-I15-03</v>
      </c>
      <c r="G15523">
        <v>0.94059999999999999</v>
      </c>
      <c r="H15523" t="s">
        <v>12</v>
      </c>
      <c r="I15523" t="s">
        <v>10</v>
      </c>
    </row>
    <row r="15524" spans="1:9" x14ac:dyDescent="0.25">
      <c r="A15524" t="str">
        <f t="shared" si="354"/>
        <v>89301000</v>
      </c>
      <c r="B15524" t="str">
        <f>"9856165704"</f>
        <v>9856165704</v>
      </c>
      <c r="C15524" s="1">
        <v>45004</v>
      </c>
      <c r="D15524" s="1">
        <v>45007</v>
      </c>
      <c r="E15524">
        <v>1</v>
      </c>
      <c r="F15524" t="str">
        <f>"13-I14-03"</f>
        <v>13-I14-03</v>
      </c>
      <c r="G15524">
        <v>0.87760000000000005</v>
      </c>
      <c r="H15524" t="s">
        <v>9</v>
      </c>
      <c r="I15524" t="s">
        <v>10</v>
      </c>
    </row>
    <row r="15525" spans="1:9" x14ac:dyDescent="0.25">
      <c r="A15525" t="str">
        <f t="shared" si="354"/>
        <v>89301000</v>
      </c>
      <c r="B15525" t="str">
        <f>"9856165715"</f>
        <v>9856165715</v>
      </c>
      <c r="C15525" s="1">
        <v>44979</v>
      </c>
      <c r="D15525" s="1">
        <v>44980</v>
      </c>
      <c r="E15525">
        <v>1</v>
      </c>
      <c r="F15525" t="str">
        <f>"14-K03-02"</f>
        <v>14-K03-02</v>
      </c>
      <c r="G15525">
        <v>0.30149999999999999</v>
      </c>
      <c r="H15525" t="s">
        <v>11</v>
      </c>
      <c r="I15525" t="s">
        <v>10</v>
      </c>
    </row>
    <row r="15526" spans="1:9" x14ac:dyDescent="0.25">
      <c r="A15526" t="str">
        <f t="shared" si="354"/>
        <v>89301000</v>
      </c>
      <c r="B15526" t="str">
        <f>"9856255717"</f>
        <v>9856255717</v>
      </c>
      <c r="C15526" s="1">
        <v>45243</v>
      </c>
      <c r="D15526" s="1">
        <v>45245</v>
      </c>
      <c r="E15526">
        <v>1</v>
      </c>
      <c r="F15526" t="str">
        <f>"08-I24-02"</f>
        <v>08-I24-02</v>
      </c>
      <c r="G15526">
        <v>0.73599999999999999</v>
      </c>
      <c r="H15526" t="s">
        <v>11</v>
      </c>
      <c r="I15526" t="s">
        <v>10</v>
      </c>
    </row>
    <row r="15527" spans="1:9" x14ac:dyDescent="0.25">
      <c r="A15527" t="str">
        <f t="shared" si="354"/>
        <v>89301000</v>
      </c>
      <c r="B15527" t="str">
        <f>"9857054845"</f>
        <v>9857054845</v>
      </c>
      <c r="C15527" s="1">
        <v>45133</v>
      </c>
      <c r="D15527" s="1">
        <v>45134</v>
      </c>
      <c r="E15527">
        <v>1</v>
      </c>
      <c r="F15527" t="str">
        <f>"21-K01-00"</f>
        <v>21-K01-00</v>
      </c>
      <c r="G15527">
        <v>0.60270000000000001</v>
      </c>
      <c r="H15527" t="s">
        <v>11</v>
      </c>
      <c r="I15527" t="s">
        <v>10</v>
      </c>
    </row>
    <row r="15528" spans="1:9" x14ac:dyDescent="0.25">
      <c r="A15528" t="str">
        <f t="shared" si="354"/>
        <v>89301000</v>
      </c>
      <c r="B15528" t="str">
        <f>"9857055571"</f>
        <v>9857055571</v>
      </c>
      <c r="C15528" s="1">
        <v>44995</v>
      </c>
      <c r="D15528" s="1">
        <v>44995</v>
      </c>
      <c r="E15528">
        <v>1</v>
      </c>
      <c r="F15528" t="str">
        <f>"14-I08-03"</f>
        <v>14-I08-03</v>
      </c>
      <c r="G15528">
        <v>0.123</v>
      </c>
      <c r="H15528" t="s">
        <v>11</v>
      </c>
      <c r="I15528" t="s">
        <v>10</v>
      </c>
    </row>
    <row r="15529" spans="1:9" x14ac:dyDescent="0.25">
      <c r="A15529" t="str">
        <f t="shared" si="354"/>
        <v>89301000</v>
      </c>
      <c r="B15529" t="str">
        <f>"9857055571"</f>
        <v>9857055571</v>
      </c>
      <c r="C15529" s="1">
        <v>45286</v>
      </c>
      <c r="D15529" s="1">
        <v>45290</v>
      </c>
      <c r="E15529">
        <v>1</v>
      </c>
      <c r="F15529" t="str">
        <f>"14-K03-02"</f>
        <v>14-K03-02</v>
      </c>
      <c r="G15529">
        <v>0.35089999999999999</v>
      </c>
      <c r="H15529" t="s">
        <v>11</v>
      </c>
      <c r="I15529" t="s">
        <v>10</v>
      </c>
    </row>
    <row r="15530" spans="1:9" x14ac:dyDescent="0.25">
      <c r="A15530" t="str">
        <f t="shared" si="354"/>
        <v>89301000</v>
      </c>
      <c r="B15530" t="str">
        <f>"9857055703"</f>
        <v>9857055703</v>
      </c>
      <c r="C15530" s="1">
        <v>45222</v>
      </c>
      <c r="D15530" s="1">
        <v>45223</v>
      </c>
      <c r="E15530">
        <v>1</v>
      </c>
      <c r="F15530" t="str">
        <f>"07-M02-04"</f>
        <v>07-M02-04</v>
      </c>
      <c r="G15530">
        <v>0.77339999999999998</v>
      </c>
      <c r="H15530" t="s">
        <v>12</v>
      </c>
      <c r="I15530" t="s">
        <v>10</v>
      </c>
    </row>
    <row r="15531" spans="1:9" x14ac:dyDescent="0.25">
      <c r="A15531" t="str">
        <f t="shared" si="354"/>
        <v>89301000</v>
      </c>
      <c r="B15531" t="str">
        <f>"9857055703"</f>
        <v>9857055703</v>
      </c>
      <c r="C15531" s="1">
        <v>45230</v>
      </c>
      <c r="D15531" s="1">
        <v>45232</v>
      </c>
      <c r="E15531">
        <v>1</v>
      </c>
      <c r="F15531" t="str">
        <f>"07-M02-04"</f>
        <v>07-M02-04</v>
      </c>
      <c r="G15531">
        <v>0.77339999999999998</v>
      </c>
      <c r="H15531" t="s">
        <v>12</v>
      </c>
      <c r="I15531" t="s">
        <v>10</v>
      </c>
    </row>
    <row r="15532" spans="1:9" x14ac:dyDescent="0.25">
      <c r="A15532" t="str">
        <f t="shared" si="354"/>
        <v>89301000</v>
      </c>
      <c r="B15532" t="str">
        <f>"9857121516"</f>
        <v>9857121516</v>
      </c>
      <c r="C15532" s="1">
        <v>45103</v>
      </c>
      <c r="D15532" s="1">
        <v>45105</v>
      </c>
      <c r="E15532">
        <v>1</v>
      </c>
      <c r="F15532" t="str">
        <f>"01-K03-08"</f>
        <v>01-K03-08</v>
      </c>
      <c r="G15532">
        <v>0.38290000000000002</v>
      </c>
      <c r="H15532" t="s">
        <v>11</v>
      </c>
      <c r="I15532" t="s">
        <v>10</v>
      </c>
    </row>
    <row r="15533" spans="1:9" x14ac:dyDescent="0.25">
      <c r="A15533" t="str">
        <f t="shared" si="354"/>
        <v>89301000</v>
      </c>
      <c r="B15533" t="str">
        <f>"9857175713"</f>
        <v>9857175713</v>
      </c>
      <c r="C15533" s="1">
        <v>45149</v>
      </c>
      <c r="D15533" s="1">
        <v>45151</v>
      </c>
      <c r="E15533">
        <v>1</v>
      </c>
      <c r="F15533" t="str">
        <f>"14-M01-05"</f>
        <v>14-M01-05</v>
      </c>
      <c r="G15533">
        <v>0.56289999999999996</v>
      </c>
      <c r="H15533" t="s">
        <v>13</v>
      </c>
      <c r="I15533" t="s">
        <v>10</v>
      </c>
    </row>
    <row r="15534" spans="1:9" x14ac:dyDescent="0.25">
      <c r="A15534" t="str">
        <f t="shared" si="354"/>
        <v>89301000</v>
      </c>
      <c r="B15534" t="str">
        <f>"9857205743"</f>
        <v>9857205743</v>
      </c>
      <c r="C15534" s="1">
        <v>45239</v>
      </c>
      <c r="D15534" s="1">
        <v>45242</v>
      </c>
      <c r="E15534">
        <v>1</v>
      </c>
      <c r="F15534" t="str">
        <f>"14-M01-05"</f>
        <v>14-M01-05</v>
      </c>
      <c r="G15534">
        <v>0.56289999999999996</v>
      </c>
      <c r="H15534" t="s">
        <v>13</v>
      </c>
      <c r="I15534" t="s">
        <v>10</v>
      </c>
    </row>
    <row r="15535" spans="1:9" x14ac:dyDescent="0.25">
      <c r="A15535" t="str">
        <f t="shared" si="354"/>
        <v>89301000</v>
      </c>
      <c r="B15535" t="str">
        <f>"9857266067"</f>
        <v>9857266067</v>
      </c>
      <c r="C15535" s="1">
        <v>45177</v>
      </c>
      <c r="D15535" s="1">
        <v>45181</v>
      </c>
      <c r="E15535">
        <v>1</v>
      </c>
      <c r="F15535" t="str">
        <f>"14-M01-05"</f>
        <v>14-M01-05</v>
      </c>
      <c r="G15535">
        <v>0.56589999999999996</v>
      </c>
      <c r="H15535" t="s">
        <v>13</v>
      </c>
      <c r="I15535" t="s">
        <v>10</v>
      </c>
    </row>
    <row r="15536" spans="1:9" x14ac:dyDescent="0.25">
      <c r="A15536" t="str">
        <f t="shared" si="354"/>
        <v>89301000</v>
      </c>
      <c r="B15536" t="str">
        <f>"9857305711"</f>
        <v>9857305711</v>
      </c>
      <c r="C15536" s="1">
        <v>44950</v>
      </c>
      <c r="D15536" s="1">
        <v>44951</v>
      </c>
      <c r="E15536">
        <v>1</v>
      </c>
      <c r="F15536" t="str">
        <f>"21-K05-03"</f>
        <v>21-K05-03</v>
      </c>
      <c r="G15536">
        <v>0.45729999999999998</v>
      </c>
      <c r="H15536" t="s">
        <v>11</v>
      </c>
      <c r="I15536" t="s">
        <v>10</v>
      </c>
    </row>
    <row r="15537" spans="1:9" x14ac:dyDescent="0.25">
      <c r="A15537" t="str">
        <f t="shared" si="354"/>
        <v>89301000</v>
      </c>
      <c r="B15537" t="str">
        <f>"9857305755"</f>
        <v>9857305755</v>
      </c>
      <c r="C15537" s="1">
        <v>45166</v>
      </c>
      <c r="D15537" s="1">
        <v>45181</v>
      </c>
      <c r="E15537">
        <v>1</v>
      </c>
      <c r="F15537" t="str">
        <f>"19-K04-02"</f>
        <v>19-K04-02</v>
      </c>
      <c r="G15537">
        <v>1.3379000000000001</v>
      </c>
      <c r="H15537" t="s">
        <v>15</v>
      </c>
      <c r="I15537" t="s">
        <v>10</v>
      </c>
    </row>
    <row r="15538" spans="1:9" x14ac:dyDescent="0.25">
      <c r="A15538" t="str">
        <f t="shared" si="354"/>
        <v>89301000</v>
      </c>
      <c r="B15538" t="str">
        <f>"9858085369"</f>
        <v>9858085369</v>
      </c>
      <c r="C15538" s="1">
        <v>45096</v>
      </c>
      <c r="D15538" s="1">
        <v>45097</v>
      </c>
      <c r="E15538">
        <v>1</v>
      </c>
      <c r="F15538" t="str">
        <f>"14-I08-03"</f>
        <v>14-I08-03</v>
      </c>
      <c r="G15538">
        <v>0.2414</v>
      </c>
      <c r="H15538" t="s">
        <v>11</v>
      </c>
      <c r="I15538" t="s">
        <v>10</v>
      </c>
    </row>
    <row r="15539" spans="1:9" x14ac:dyDescent="0.25">
      <c r="A15539" t="str">
        <f t="shared" si="354"/>
        <v>89301000</v>
      </c>
      <c r="B15539" t="str">
        <f>"9858085369"</f>
        <v>9858085369</v>
      </c>
      <c r="C15539" s="1">
        <v>45269</v>
      </c>
      <c r="D15539" s="1">
        <v>45272</v>
      </c>
      <c r="E15539">
        <v>1</v>
      </c>
      <c r="F15539" t="str">
        <f>"14-I08-03"</f>
        <v>14-I08-03</v>
      </c>
      <c r="G15539">
        <v>0.31609999999999999</v>
      </c>
      <c r="H15539" t="s">
        <v>11</v>
      </c>
      <c r="I15539" t="s">
        <v>10</v>
      </c>
    </row>
    <row r="15540" spans="1:9" x14ac:dyDescent="0.25">
      <c r="A15540" t="str">
        <f t="shared" si="354"/>
        <v>89301000</v>
      </c>
      <c r="B15540" t="str">
        <f>"9858124848"</f>
        <v>9858124848</v>
      </c>
      <c r="C15540" s="1">
        <v>45220</v>
      </c>
      <c r="D15540" s="1">
        <v>45223</v>
      </c>
      <c r="E15540">
        <v>1</v>
      </c>
      <c r="F15540" t="str">
        <f>"14-M01-05"</f>
        <v>14-M01-05</v>
      </c>
      <c r="G15540">
        <v>0.56289999999999996</v>
      </c>
      <c r="H15540" t="s">
        <v>13</v>
      </c>
      <c r="I15540" t="s">
        <v>10</v>
      </c>
    </row>
    <row r="15541" spans="1:9" x14ac:dyDescent="0.25">
      <c r="A15541" t="str">
        <f t="shared" si="354"/>
        <v>89301000</v>
      </c>
      <c r="B15541" t="str">
        <f>"9858135716"</f>
        <v>9858135716</v>
      </c>
      <c r="C15541" s="1">
        <v>45290</v>
      </c>
      <c r="D15541" s="1">
        <v>45291</v>
      </c>
      <c r="E15541">
        <v>6</v>
      </c>
      <c r="F15541" t="str">
        <f>"14-K03-02"</f>
        <v>14-K03-02</v>
      </c>
      <c r="G15541">
        <v>0.30149999999999999</v>
      </c>
      <c r="H15541" t="s">
        <v>11</v>
      </c>
      <c r="I15541" t="s">
        <v>10</v>
      </c>
    </row>
    <row r="15542" spans="1:9" x14ac:dyDescent="0.25">
      <c r="A15542" t="str">
        <f t="shared" si="354"/>
        <v>89301000</v>
      </c>
      <c r="B15542" t="str">
        <f>"9858186140"</f>
        <v>9858186140</v>
      </c>
      <c r="C15542" s="1">
        <v>45136</v>
      </c>
      <c r="D15542" s="1">
        <v>45139</v>
      </c>
      <c r="E15542">
        <v>1</v>
      </c>
      <c r="F15542" t="str">
        <f>"14-M01-05"</f>
        <v>14-M01-05</v>
      </c>
      <c r="G15542">
        <v>0.56289999999999996</v>
      </c>
      <c r="H15542" t="s">
        <v>13</v>
      </c>
      <c r="I15542" t="s">
        <v>10</v>
      </c>
    </row>
    <row r="15543" spans="1:9" x14ac:dyDescent="0.25">
      <c r="A15543" t="str">
        <f t="shared" si="354"/>
        <v>89301000</v>
      </c>
      <c r="B15543" t="str">
        <f>"9858195721"</f>
        <v>9858195721</v>
      </c>
      <c r="C15543" s="1">
        <v>45285</v>
      </c>
      <c r="D15543" s="1">
        <v>45287</v>
      </c>
      <c r="E15543">
        <v>1</v>
      </c>
      <c r="F15543" t="str">
        <f>"11-K06-02"</f>
        <v>11-K06-02</v>
      </c>
      <c r="G15543">
        <v>0.22489999999999999</v>
      </c>
      <c r="H15543" t="s">
        <v>11</v>
      </c>
      <c r="I15543" t="s">
        <v>10</v>
      </c>
    </row>
    <row r="15544" spans="1:9" x14ac:dyDescent="0.25">
      <c r="A15544" t="str">
        <f t="shared" si="354"/>
        <v>89301000</v>
      </c>
      <c r="B15544" t="str">
        <f>"9858195721"</f>
        <v>9858195721</v>
      </c>
      <c r="C15544" s="1">
        <v>45043</v>
      </c>
      <c r="D15544" s="1">
        <v>45045</v>
      </c>
      <c r="E15544">
        <v>1</v>
      </c>
      <c r="F15544" t="str">
        <f>"08-I32-00"</f>
        <v>08-I32-00</v>
      </c>
      <c r="G15544">
        <v>0.4093</v>
      </c>
      <c r="H15544" t="s">
        <v>11</v>
      </c>
      <c r="I15544" t="s">
        <v>10</v>
      </c>
    </row>
    <row r="15545" spans="1:9" x14ac:dyDescent="0.25">
      <c r="A15545" t="str">
        <f t="shared" si="354"/>
        <v>89301000</v>
      </c>
      <c r="B15545" t="str">
        <f>"9858216170"</f>
        <v>9858216170</v>
      </c>
      <c r="C15545" s="1">
        <v>45264</v>
      </c>
      <c r="D15545" s="1">
        <v>45266</v>
      </c>
      <c r="E15545">
        <v>1</v>
      </c>
      <c r="F15545" t="str">
        <f>"14-K03-02"</f>
        <v>14-K03-02</v>
      </c>
      <c r="G15545">
        <v>0.30149999999999999</v>
      </c>
      <c r="H15545" t="s">
        <v>11</v>
      </c>
      <c r="I15545" t="s">
        <v>10</v>
      </c>
    </row>
    <row r="15546" spans="1:9" x14ac:dyDescent="0.25">
      <c r="A15546" t="str">
        <f t="shared" si="354"/>
        <v>89301000</v>
      </c>
      <c r="B15546" t="str">
        <f>"9858245749"</f>
        <v>9858245749</v>
      </c>
      <c r="C15546" s="1">
        <v>44971</v>
      </c>
      <c r="D15546" s="1">
        <v>44974</v>
      </c>
      <c r="E15546">
        <v>1</v>
      </c>
      <c r="F15546" t="str">
        <f>"01-K01-02"</f>
        <v>01-K01-02</v>
      </c>
      <c r="G15546">
        <v>0.442</v>
      </c>
      <c r="H15546" t="s">
        <v>11</v>
      </c>
      <c r="I15546" t="s">
        <v>10</v>
      </c>
    </row>
    <row r="15547" spans="1:9" x14ac:dyDescent="0.25">
      <c r="A15547" t="str">
        <f t="shared" si="354"/>
        <v>89301000</v>
      </c>
      <c r="B15547" t="str">
        <f>"9859015771"</f>
        <v>9859015771</v>
      </c>
      <c r="C15547" s="1">
        <v>45115</v>
      </c>
      <c r="D15547" s="1">
        <v>45120</v>
      </c>
      <c r="E15547">
        <v>1</v>
      </c>
      <c r="F15547" t="str">
        <f>"14-M01-05"</f>
        <v>14-M01-05</v>
      </c>
      <c r="G15547">
        <v>0.56289999999999996</v>
      </c>
      <c r="H15547" t="s">
        <v>13</v>
      </c>
      <c r="I15547" t="s">
        <v>10</v>
      </c>
    </row>
    <row r="15548" spans="1:9" x14ac:dyDescent="0.25">
      <c r="A15548" t="str">
        <f t="shared" si="354"/>
        <v>89301000</v>
      </c>
      <c r="B15548" t="str">
        <f>"9859145725"</f>
        <v>9859145725</v>
      </c>
      <c r="C15548" s="1">
        <v>45135</v>
      </c>
      <c r="D15548" s="1">
        <v>45138</v>
      </c>
      <c r="E15548">
        <v>1</v>
      </c>
      <c r="F15548" t="str">
        <f>"14-I01-05"</f>
        <v>14-I01-05</v>
      </c>
      <c r="G15548">
        <v>0.83340000000000003</v>
      </c>
      <c r="H15548" t="s">
        <v>13</v>
      </c>
      <c r="I15548" t="s">
        <v>10</v>
      </c>
    </row>
    <row r="15549" spans="1:9" x14ac:dyDescent="0.25">
      <c r="A15549" t="str">
        <f t="shared" si="354"/>
        <v>89301000</v>
      </c>
      <c r="B15549" t="str">
        <f>"9859164843"</f>
        <v>9859164843</v>
      </c>
      <c r="C15549" s="1">
        <v>45053</v>
      </c>
      <c r="D15549" s="1">
        <v>45056</v>
      </c>
      <c r="E15549">
        <v>1</v>
      </c>
      <c r="F15549" t="str">
        <f>"06-I18-05"</f>
        <v>06-I18-05</v>
      </c>
      <c r="G15549">
        <v>0.82420000000000004</v>
      </c>
      <c r="H15549" t="s">
        <v>9</v>
      </c>
      <c r="I15549" t="s">
        <v>10</v>
      </c>
    </row>
    <row r="15550" spans="1:9" x14ac:dyDescent="0.25">
      <c r="A15550" t="str">
        <f t="shared" si="354"/>
        <v>89301000</v>
      </c>
      <c r="B15550" t="str">
        <f>"9859175733"</f>
        <v>9859175733</v>
      </c>
      <c r="C15550" s="1">
        <v>44949</v>
      </c>
      <c r="D15550" s="1">
        <v>44951</v>
      </c>
      <c r="E15550">
        <v>1</v>
      </c>
      <c r="F15550" t="str">
        <f>"03-I21-00"</f>
        <v>03-I21-00</v>
      </c>
      <c r="G15550">
        <v>0.42449999999999999</v>
      </c>
      <c r="H15550" t="s">
        <v>11</v>
      </c>
      <c r="I15550" t="s">
        <v>10</v>
      </c>
    </row>
    <row r="15551" spans="1:9" x14ac:dyDescent="0.25">
      <c r="A15551" t="str">
        <f t="shared" si="354"/>
        <v>89301000</v>
      </c>
      <c r="B15551" t="str">
        <f>"9859214189"</f>
        <v>9859214189</v>
      </c>
      <c r="C15551" s="1">
        <v>45122</v>
      </c>
      <c r="D15551" s="1">
        <v>45127</v>
      </c>
      <c r="E15551">
        <v>1</v>
      </c>
      <c r="F15551" t="str">
        <f>"06-K02-04"</f>
        <v>06-K02-04</v>
      </c>
      <c r="G15551">
        <v>0.38679999999999998</v>
      </c>
      <c r="H15551" t="s">
        <v>11</v>
      </c>
      <c r="I15551" t="s">
        <v>10</v>
      </c>
    </row>
    <row r="15552" spans="1:9" x14ac:dyDescent="0.25">
      <c r="A15552" t="str">
        <f t="shared" si="354"/>
        <v>89301000</v>
      </c>
      <c r="B15552" t="str">
        <f>"9859275811"</f>
        <v>9859275811</v>
      </c>
      <c r="C15552" s="1">
        <v>45042</v>
      </c>
      <c r="D15552" s="1">
        <v>45050</v>
      </c>
      <c r="E15552">
        <v>1</v>
      </c>
      <c r="F15552" t="str">
        <f>"14-M01-05"</f>
        <v>14-M01-05</v>
      </c>
      <c r="G15552">
        <v>0.69799999999999995</v>
      </c>
      <c r="H15552" t="s">
        <v>13</v>
      </c>
      <c r="I15552" t="s">
        <v>10</v>
      </c>
    </row>
    <row r="15553" spans="1:9" x14ac:dyDescent="0.25">
      <c r="A15553" t="str">
        <f t="shared" si="354"/>
        <v>89301000</v>
      </c>
      <c r="B15553" t="str">
        <f>"9860025736"</f>
        <v>9860025736</v>
      </c>
      <c r="C15553" s="1">
        <v>44940</v>
      </c>
      <c r="D15553" s="1">
        <v>44943</v>
      </c>
      <c r="E15553">
        <v>1</v>
      </c>
      <c r="F15553" t="str">
        <f>"14-M01-05"</f>
        <v>14-M01-05</v>
      </c>
      <c r="G15553">
        <v>0.56289999999999996</v>
      </c>
      <c r="H15553" t="s">
        <v>13</v>
      </c>
      <c r="I15553" t="s">
        <v>10</v>
      </c>
    </row>
    <row r="15554" spans="1:9" x14ac:dyDescent="0.25">
      <c r="A15554" t="str">
        <f t="shared" si="354"/>
        <v>89301000</v>
      </c>
      <c r="B15554" t="str">
        <f>"9860055733"</f>
        <v>9860055733</v>
      </c>
      <c r="C15554" s="1">
        <v>45240</v>
      </c>
      <c r="D15554" s="1">
        <v>45241</v>
      </c>
      <c r="E15554">
        <v>1</v>
      </c>
      <c r="F15554" t="str">
        <f>"14-K03-02"</f>
        <v>14-K03-02</v>
      </c>
      <c r="G15554">
        <v>0.30149999999999999</v>
      </c>
      <c r="H15554" t="s">
        <v>11</v>
      </c>
      <c r="I15554" t="s">
        <v>10</v>
      </c>
    </row>
    <row r="15555" spans="1:9" x14ac:dyDescent="0.25">
      <c r="A15555" t="str">
        <f t="shared" si="354"/>
        <v>89301000</v>
      </c>
      <c r="B15555" t="str">
        <f>"9861175720"</f>
        <v>9861175720</v>
      </c>
      <c r="C15555" s="1">
        <v>44966</v>
      </c>
      <c r="D15555" s="1">
        <v>44970</v>
      </c>
      <c r="E15555">
        <v>1</v>
      </c>
      <c r="F15555" t="str">
        <f>"13-I14-03"</f>
        <v>13-I14-03</v>
      </c>
      <c r="G15555">
        <v>0.87760000000000005</v>
      </c>
      <c r="H15555" t="s">
        <v>9</v>
      </c>
      <c r="I15555" t="s">
        <v>10</v>
      </c>
    </row>
    <row r="15556" spans="1:9" x14ac:dyDescent="0.25">
      <c r="A15556" t="str">
        <f t="shared" ref="A15556:A15619" si="355">"89301000"</f>
        <v>89301000</v>
      </c>
      <c r="B15556" t="str">
        <f>"9861285709"</f>
        <v>9861285709</v>
      </c>
      <c r="C15556" s="1">
        <v>45195</v>
      </c>
      <c r="D15556" s="1">
        <v>45197</v>
      </c>
      <c r="E15556">
        <v>1</v>
      </c>
      <c r="F15556" t="str">
        <f>"13-I14-03"</f>
        <v>13-I14-03</v>
      </c>
      <c r="G15556">
        <v>0.87760000000000005</v>
      </c>
      <c r="H15556" t="s">
        <v>9</v>
      </c>
      <c r="I15556" t="s">
        <v>10</v>
      </c>
    </row>
    <row r="15557" spans="1:9" x14ac:dyDescent="0.25">
      <c r="A15557" t="str">
        <f t="shared" si="355"/>
        <v>89301000</v>
      </c>
      <c r="B15557" t="str">
        <f>"9862015702"</f>
        <v>9862015702</v>
      </c>
      <c r="C15557" s="1">
        <v>45123</v>
      </c>
      <c r="D15557" s="1">
        <v>45126</v>
      </c>
      <c r="E15557">
        <v>1</v>
      </c>
      <c r="F15557" t="str">
        <f>"14-M01-05"</f>
        <v>14-M01-05</v>
      </c>
      <c r="G15557">
        <v>0.56289999999999996</v>
      </c>
      <c r="H15557" t="s">
        <v>13</v>
      </c>
      <c r="I15557" t="s">
        <v>10</v>
      </c>
    </row>
    <row r="15558" spans="1:9" x14ac:dyDescent="0.25">
      <c r="A15558" t="str">
        <f t="shared" si="355"/>
        <v>89301000</v>
      </c>
      <c r="B15558" t="str">
        <f>"9862056171"</f>
        <v>9862056171</v>
      </c>
      <c r="C15558" s="1">
        <v>45072</v>
      </c>
      <c r="D15558" s="1">
        <v>45076</v>
      </c>
      <c r="E15558">
        <v>1</v>
      </c>
      <c r="F15558" t="str">
        <f>"14-K03-02"</f>
        <v>14-K03-02</v>
      </c>
      <c r="G15558">
        <v>0.30149999999999999</v>
      </c>
      <c r="H15558" t="s">
        <v>11</v>
      </c>
      <c r="I15558" t="s">
        <v>10</v>
      </c>
    </row>
    <row r="15559" spans="1:9" x14ac:dyDescent="0.25">
      <c r="A15559" t="str">
        <f t="shared" si="355"/>
        <v>89301000</v>
      </c>
      <c r="B15559" t="str">
        <f>"9862056171"</f>
        <v>9862056171</v>
      </c>
      <c r="C15559" s="1">
        <v>45089</v>
      </c>
      <c r="D15559" s="1">
        <v>45092</v>
      </c>
      <c r="E15559">
        <v>6</v>
      </c>
      <c r="F15559" t="str">
        <f>"14-I01-05"</f>
        <v>14-I01-05</v>
      </c>
      <c r="G15559">
        <v>0.83340000000000003</v>
      </c>
      <c r="H15559" t="s">
        <v>13</v>
      </c>
      <c r="I15559" t="s">
        <v>10</v>
      </c>
    </row>
    <row r="15560" spans="1:9" x14ac:dyDescent="0.25">
      <c r="A15560" t="str">
        <f t="shared" si="355"/>
        <v>89301000</v>
      </c>
      <c r="B15560" t="str">
        <f>"9862091305"</f>
        <v>9862091305</v>
      </c>
      <c r="C15560" s="1">
        <v>45183</v>
      </c>
      <c r="D15560" s="1">
        <v>45189</v>
      </c>
      <c r="E15560">
        <v>1</v>
      </c>
      <c r="F15560" t="str">
        <f>"09-I07-01"</f>
        <v>09-I07-01</v>
      </c>
      <c r="G15560">
        <v>1.6956</v>
      </c>
      <c r="H15560" t="s">
        <v>14</v>
      </c>
      <c r="I15560" t="s">
        <v>10</v>
      </c>
    </row>
    <row r="15561" spans="1:9" x14ac:dyDescent="0.25">
      <c r="A15561" t="str">
        <f t="shared" si="355"/>
        <v>89301000</v>
      </c>
      <c r="B15561" t="str">
        <f>"9862186147"</f>
        <v>9862186147</v>
      </c>
      <c r="C15561" s="1">
        <v>45238</v>
      </c>
      <c r="D15561" s="1">
        <v>45245</v>
      </c>
      <c r="E15561">
        <v>1</v>
      </c>
      <c r="F15561" t="str">
        <f>"03-I18-03"</f>
        <v>03-I18-03</v>
      </c>
      <c r="G15561">
        <v>1.0576000000000001</v>
      </c>
      <c r="H15561" t="s">
        <v>9</v>
      </c>
      <c r="I15561" t="s">
        <v>10</v>
      </c>
    </row>
    <row r="15562" spans="1:9" x14ac:dyDescent="0.25">
      <c r="A15562" t="str">
        <f t="shared" si="355"/>
        <v>89301000</v>
      </c>
      <c r="B15562" t="str">
        <f>"9862600517"</f>
        <v>9862600517</v>
      </c>
      <c r="C15562" s="1">
        <v>45107</v>
      </c>
      <c r="D15562" s="1">
        <v>45110</v>
      </c>
      <c r="E15562">
        <v>1</v>
      </c>
      <c r="F15562" t="str">
        <f>"13-I18-03"</f>
        <v>13-I18-03</v>
      </c>
      <c r="G15562">
        <v>0.62870000000000004</v>
      </c>
      <c r="H15562" t="s">
        <v>11</v>
      </c>
      <c r="I15562" t="s">
        <v>10</v>
      </c>
    </row>
    <row r="15563" spans="1:9" x14ac:dyDescent="0.25">
      <c r="A15563" t="str">
        <f t="shared" si="355"/>
        <v>89301000</v>
      </c>
      <c r="B15563" t="str">
        <f>"9904044458"</f>
        <v>9904044458</v>
      </c>
      <c r="C15563" s="1">
        <v>45119</v>
      </c>
      <c r="D15563" s="1">
        <v>45122</v>
      </c>
      <c r="E15563">
        <v>1</v>
      </c>
      <c r="F15563" t="str">
        <f>"08-M03-04"</f>
        <v>08-M03-04</v>
      </c>
      <c r="G15563">
        <v>0.87760000000000005</v>
      </c>
      <c r="H15563" t="s">
        <v>11</v>
      </c>
      <c r="I15563" t="s">
        <v>10</v>
      </c>
    </row>
    <row r="15564" spans="1:9" x14ac:dyDescent="0.25">
      <c r="A15564" t="str">
        <f t="shared" si="355"/>
        <v>89301000</v>
      </c>
      <c r="B15564" t="str">
        <f>"9904055711"</f>
        <v>9904055711</v>
      </c>
      <c r="C15564" s="1">
        <v>45252</v>
      </c>
      <c r="D15564" s="1">
        <v>45254</v>
      </c>
      <c r="E15564">
        <v>1</v>
      </c>
      <c r="F15564" t="str">
        <f>"01-K08-02"</f>
        <v>01-K08-02</v>
      </c>
      <c r="G15564">
        <v>0.60619999999999996</v>
      </c>
      <c r="H15564" t="s">
        <v>11</v>
      </c>
      <c r="I15564" t="s">
        <v>10</v>
      </c>
    </row>
    <row r="15565" spans="1:9" x14ac:dyDescent="0.25">
      <c r="A15565" t="str">
        <f t="shared" si="355"/>
        <v>89301000</v>
      </c>
      <c r="B15565" t="str">
        <f>"9905035712"</f>
        <v>9905035712</v>
      </c>
      <c r="C15565" s="1">
        <v>45059</v>
      </c>
      <c r="D15565" s="1">
        <v>45064</v>
      </c>
      <c r="E15565">
        <v>1</v>
      </c>
      <c r="F15565" t="str">
        <f>"03-I11-03"</f>
        <v>03-I11-03</v>
      </c>
      <c r="G15565">
        <v>1.1267</v>
      </c>
      <c r="H15565" t="s">
        <v>12</v>
      </c>
      <c r="I15565" t="s">
        <v>10</v>
      </c>
    </row>
    <row r="15566" spans="1:9" x14ac:dyDescent="0.25">
      <c r="A15566" t="str">
        <f t="shared" si="355"/>
        <v>89301000</v>
      </c>
      <c r="B15566" t="str">
        <f>"9905160397"</f>
        <v>9905160397</v>
      </c>
      <c r="C15566" s="1">
        <v>44935</v>
      </c>
      <c r="D15566" s="1">
        <v>44936</v>
      </c>
      <c r="E15566">
        <v>1</v>
      </c>
      <c r="F15566" t="str">
        <f>"06-K08-02"</f>
        <v>06-K08-02</v>
      </c>
      <c r="G15566">
        <v>0.43049999999999999</v>
      </c>
      <c r="H15566" t="s">
        <v>11</v>
      </c>
      <c r="I15566" t="s">
        <v>10</v>
      </c>
    </row>
    <row r="15567" spans="1:9" x14ac:dyDescent="0.25">
      <c r="A15567" t="str">
        <f t="shared" si="355"/>
        <v>89301000</v>
      </c>
      <c r="B15567" t="str">
        <f>"9905160397"</f>
        <v>9905160397</v>
      </c>
      <c r="C15567" s="1">
        <v>44992</v>
      </c>
      <c r="D15567" s="1">
        <v>44993</v>
      </c>
      <c r="E15567">
        <v>1</v>
      </c>
      <c r="F15567" t="str">
        <f>"06-M01-03"</f>
        <v>06-M01-03</v>
      </c>
      <c r="G15567">
        <v>0.82350000000000001</v>
      </c>
      <c r="H15567" t="s">
        <v>11</v>
      </c>
      <c r="I15567" t="s">
        <v>10</v>
      </c>
    </row>
    <row r="15568" spans="1:9" x14ac:dyDescent="0.25">
      <c r="A15568" t="str">
        <f t="shared" si="355"/>
        <v>89301000</v>
      </c>
      <c r="B15568" t="str">
        <f>"9905195729"</f>
        <v>9905195729</v>
      </c>
      <c r="C15568" s="1">
        <v>45166</v>
      </c>
      <c r="D15568" s="1">
        <v>45167</v>
      </c>
      <c r="E15568">
        <v>1</v>
      </c>
      <c r="F15568" t="str">
        <f>"12-I13-01"</f>
        <v>12-I13-01</v>
      </c>
      <c r="G15568">
        <v>0.78059999999999996</v>
      </c>
      <c r="H15568" t="s">
        <v>9</v>
      </c>
      <c r="I15568" t="s">
        <v>10</v>
      </c>
    </row>
    <row r="15569" spans="1:9" x14ac:dyDescent="0.25">
      <c r="A15569" t="str">
        <f t="shared" si="355"/>
        <v>89301000</v>
      </c>
      <c r="B15569" t="str">
        <f>"9906246064"</f>
        <v>9906246064</v>
      </c>
      <c r="C15569" s="1">
        <v>45267</v>
      </c>
      <c r="D15569" s="1">
        <v>45273</v>
      </c>
      <c r="E15569">
        <v>1</v>
      </c>
      <c r="F15569" t="str">
        <f>"05-I24-04"</f>
        <v>05-I24-04</v>
      </c>
      <c r="G15569">
        <v>2.1032000000000002</v>
      </c>
      <c r="H15569" t="s">
        <v>12</v>
      </c>
      <c r="I15569" t="s">
        <v>10</v>
      </c>
    </row>
    <row r="15570" spans="1:9" x14ac:dyDescent="0.25">
      <c r="A15570" t="str">
        <f t="shared" si="355"/>
        <v>89301000</v>
      </c>
      <c r="B15570" t="str">
        <f>"9907046149"</f>
        <v>9907046149</v>
      </c>
      <c r="C15570" s="1">
        <v>45103</v>
      </c>
      <c r="D15570" s="1">
        <v>45106</v>
      </c>
      <c r="E15570">
        <v>1</v>
      </c>
      <c r="F15570" t="str">
        <f>"03-K12-01"</f>
        <v>03-K12-01</v>
      </c>
      <c r="G15570">
        <v>0.37140000000000001</v>
      </c>
      <c r="H15570" t="s">
        <v>11</v>
      </c>
      <c r="I15570" t="s">
        <v>10</v>
      </c>
    </row>
    <row r="15571" spans="1:9" x14ac:dyDescent="0.25">
      <c r="A15571" t="str">
        <f t="shared" si="355"/>
        <v>89301000</v>
      </c>
      <c r="B15571" t="str">
        <f>"9907066147"</f>
        <v>9907066147</v>
      </c>
      <c r="C15571" s="1">
        <v>45126</v>
      </c>
      <c r="D15571" s="1">
        <v>45135</v>
      </c>
      <c r="E15571">
        <v>1</v>
      </c>
      <c r="F15571" t="str">
        <f>"05-I18-02"</f>
        <v>05-I18-02</v>
      </c>
      <c r="G15571">
        <v>8.4535</v>
      </c>
      <c r="H15571" t="s">
        <v>12</v>
      </c>
      <c r="I15571" t="s">
        <v>10</v>
      </c>
    </row>
    <row r="15572" spans="1:9" x14ac:dyDescent="0.25">
      <c r="A15572" t="str">
        <f t="shared" si="355"/>
        <v>89301000</v>
      </c>
      <c r="B15572" t="str">
        <f>"9907145721"</f>
        <v>9907145721</v>
      </c>
      <c r="C15572" s="1">
        <v>45278</v>
      </c>
      <c r="D15572" s="1">
        <v>45282</v>
      </c>
      <c r="E15572">
        <v>1</v>
      </c>
      <c r="F15572" t="str">
        <f>"08-K01-02"</f>
        <v>08-K01-02</v>
      </c>
      <c r="G15572">
        <v>0.90180000000000005</v>
      </c>
      <c r="H15572" t="s">
        <v>11</v>
      </c>
      <c r="I15572" t="s">
        <v>10</v>
      </c>
    </row>
    <row r="15573" spans="1:9" x14ac:dyDescent="0.25">
      <c r="A15573" t="str">
        <f t="shared" si="355"/>
        <v>89301000</v>
      </c>
      <c r="B15573" t="str">
        <f>"9907155709"</f>
        <v>9907155709</v>
      </c>
      <c r="C15573" s="1">
        <v>45096</v>
      </c>
      <c r="D15573" s="1">
        <v>45120</v>
      </c>
      <c r="E15573">
        <v>1</v>
      </c>
      <c r="F15573" t="str">
        <f>"19-K05-01"</f>
        <v>19-K05-01</v>
      </c>
      <c r="G15573">
        <v>1.9512</v>
      </c>
      <c r="H15573" t="s">
        <v>15</v>
      </c>
      <c r="I15573" t="s">
        <v>10</v>
      </c>
    </row>
    <row r="15574" spans="1:9" x14ac:dyDescent="0.25">
      <c r="A15574" t="str">
        <f t="shared" si="355"/>
        <v>89301000</v>
      </c>
      <c r="B15574" t="str">
        <f>"9907171461"</f>
        <v>9907171461</v>
      </c>
      <c r="C15574" s="1">
        <v>45237</v>
      </c>
      <c r="D15574" s="1">
        <v>45240</v>
      </c>
      <c r="E15574">
        <v>1</v>
      </c>
      <c r="F15574" t="str">
        <f>"08-I23-02"</f>
        <v>08-I23-02</v>
      </c>
      <c r="G15574">
        <v>0.91059999999999997</v>
      </c>
      <c r="H15574" t="s">
        <v>12</v>
      </c>
      <c r="I15574" t="s">
        <v>10</v>
      </c>
    </row>
    <row r="15575" spans="1:9" x14ac:dyDescent="0.25">
      <c r="A15575" t="str">
        <f t="shared" si="355"/>
        <v>89301000</v>
      </c>
      <c r="B15575" t="str">
        <f>"9907206210"</f>
        <v>9907206210</v>
      </c>
      <c r="C15575" s="1">
        <v>45252</v>
      </c>
      <c r="D15575" s="1">
        <v>45265</v>
      </c>
      <c r="E15575">
        <v>1</v>
      </c>
      <c r="F15575" t="str">
        <f>"20-K04-02"</f>
        <v>20-K04-02</v>
      </c>
      <c r="G15575">
        <v>1.3379000000000001</v>
      </c>
      <c r="H15575" t="s">
        <v>11</v>
      </c>
      <c r="I15575" t="s">
        <v>10</v>
      </c>
    </row>
    <row r="15576" spans="1:9" x14ac:dyDescent="0.25">
      <c r="A15576" t="str">
        <f t="shared" si="355"/>
        <v>89301000</v>
      </c>
      <c r="B15576" t="str">
        <f>"9908134841"</f>
        <v>9908134841</v>
      </c>
      <c r="C15576" s="1">
        <v>44952</v>
      </c>
      <c r="D15576" s="1">
        <v>44957</v>
      </c>
      <c r="E15576">
        <v>1</v>
      </c>
      <c r="F15576" t="str">
        <f>"09-I13-04"</f>
        <v>09-I13-04</v>
      </c>
      <c r="G15576">
        <v>0.54139999999999999</v>
      </c>
      <c r="H15576" t="s">
        <v>11</v>
      </c>
      <c r="I15576" t="s">
        <v>10</v>
      </c>
    </row>
    <row r="15577" spans="1:9" x14ac:dyDescent="0.25">
      <c r="A15577" t="str">
        <f t="shared" si="355"/>
        <v>89301000</v>
      </c>
      <c r="B15577" t="str">
        <f>"9908225723"</f>
        <v>9908225723</v>
      </c>
      <c r="C15577" s="1">
        <v>45023</v>
      </c>
      <c r="D15577" s="1">
        <v>45027</v>
      </c>
      <c r="E15577">
        <v>1</v>
      </c>
      <c r="F15577" t="str">
        <f>"04-K03-03"</f>
        <v>04-K03-03</v>
      </c>
      <c r="G15577">
        <v>0.56110000000000004</v>
      </c>
      <c r="H15577" t="s">
        <v>11</v>
      </c>
      <c r="I15577" t="s">
        <v>10</v>
      </c>
    </row>
    <row r="15578" spans="1:9" x14ac:dyDescent="0.25">
      <c r="A15578" t="str">
        <f t="shared" si="355"/>
        <v>89301000</v>
      </c>
      <c r="B15578" t="str">
        <f>"9908286146"</f>
        <v>9908286146</v>
      </c>
      <c r="C15578" s="1">
        <v>45173</v>
      </c>
      <c r="D15578" s="1">
        <v>45175</v>
      </c>
      <c r="E15578">
        <v>1</v>
      </c>
      <c r="F15578" t="str">
        <f>"03-K03-02"</f>
        <v>03-K03-02</v>
      </c>
      <c r="G15578">
        <v>0.51060000000000005</v>
      </c>
      <c r="H15578" t="s">
        <v>11</v>
      </c>
      <c r="I15578" t="s">
        <v>10</v>
      </c>
    </row>
    <row r="15579" spans="1:9" x14ac:dyDescent="0.25">
      <c r="A15579" t="str">
        <f t="shared" si="355"/>
        <v>89301000</v>
      </c>
      <c r="B15579" t="str">
        <f>"9909025709"</f>
        <v>9909025709</v>
      </c>
      <c r="C15579" s="1">
        <v>45010</v>
      </c>
      <c r="D15579" s="1">
        <v>45012</v>
      </c>
      <c r="E15579">
        <v>1</v>
      </c>
      <c r="F15579" t="str">
        <f>"03-K06-01"</f>
        <v>03-K06-01</v>
      </c>
      <c r="G15579">
        <v>0.4713</v>
      </c>
      <c r="H15579" t="s">
        <v>11</v>
      </c>
      <c r="I15579" t="s">
        <v>10</v>
      </c>
    </row>
    <row r="15580" spans="1:9" x14ac:dyDescent="0.25">
      <c r="A15580" t="str">
        <f t="shared" si="355"/>
        <v>89301000</v>
      </c>
      <c r="B15580" t="str">
        <f>"9909245720"</f>
        <v>9909245720</v>
      </c>
      <c r="C15580" s="1">
        <v>45033</v>
      </c>
      <c r="D15580" s="1">
        <v>45033</v>
      </c>
      <c r="E15580">
        <v>1</v>
      </c>
      <c r="F15580" t="str">
        <f>"03-K08-00"</f>
        <v>03-K08-00</v>
      </c>
      <c r="G15580">
        <v>0.2276</v>
      </c>
      <c r="H15580" t="s">
        <v>11</v>
      </c>
      <c r="I15580" t="s">
        <v>10</v>
      </c>
    </row>
    <row r="15581" spans="1:9" x14ac:dyDescent="0.25">
      <c r="A15581" t="str">
        <f t="shared" si="355"/>
        <v>89301000</v>
      </c>
      <c r="B15581" t="str">
        <f>"9910025708"</f>
        <v>9910025708</v>
      </c>
      <c r="C15581" s="1">
        <v>45237</v>
      </c>
      <c r="D15581" s="1">
        <v>45239</v>
      </c>
      <c r="E15581">
        <v>4</v>
      </c>
      <c r="F15581" t="str">
        <f>"21-K05-03"</f>
        <v>21-K05-03</v>
      </c>
      <c r="G15581">
        <v>0.45729999999999998</v>
      </c>
      <c r="H15581" t="s">
        <v>11</v>
      </c>
      <c r="I15581" t="s">
        <v>10</v>
      </c>
    </row>
    <row r="15582" spans="1:9" x14ac:dyDescent="0.25">
      <c r="A15582" t="str">
        <f t="shared" si="355"/>
        <v>89301000</v>
      </c>
      <c r="B15582" t="str">
        <f>"9910025708"</f>
        <v>9910025708</v>
      </c>
      <c r="C15582" s="1">
        <v>45223</v>
      </c>
      <c r="D15582" s="1">
        <v>45223</v>
      </c>
      <c r="E15582">
        <v>6</v>
      </c>
      <c r="F15582" t="str">
        <f>"01-K03-08"</f>
        <v>01-K03-08</v>
      </c>
      <c r="G15582">
        <v>0.1915</v>
      </c>
      <c r="H15582" t="s">
        <v>11</v>
      </c>
      <c r="I15582" t="s">
        <v>10</v>
      </c>
    </row>
    <row r="15583" spans="1:9" x14ac:dyDescent="0.25">
      <c r="A15583" t="str">
        <f t="shared" si="355"/>
        <v>89301000</v>
      </c>
      <c r="B15583" t="str">
        <f>"9910025708"</f>
        <v>9910025708</v>
      </c>
      <c r="C15583" s="1">
        <v>45007</v>
      </c>
      <c r="D15583" s="1">
        <v>45016</v>
      </c>
      <c r="E15583">
        <v>1</v>
      </c>
      <c r="F15583" t="str">
        <f>"20-K03-03"</f>
        <v>20-K03-03</v>
      </c>
      <c r="G15583">
        <v>0.94020000000000004</v>
      </c>
      <c r="H15583" t="s">
        <v>11</v>
      </c>
      <c r="I15583" t="s">
        <v>10</v>
      </c>
    </row>
    <row r="15584" spans="1:9" x14ac:dyDescent="0.25">
      <c r="A15584" t="str">
        <f t="shared" si="355"/>
        <v>89301000</v>
      </c>
      <c r="B15584" t="str">
        <f>"9910076143"</f>
        <v>9910076143</v>
      </c>
      <c r="C15584" s="1">
        <v>45191</v>
      </c>
      <c r="D15584" s="1">
        <v>45195</v>
      </c>
      <c r="E15584">
        <v>1</v>
      </c>
      <c r="F15584" t="str">
        <f>"06-I18-05"</f>
        <v>06-I18-05</v>
      </c>
      <c r="G15584">
        <v>0.82420000000000004</v>
      </c>
      <c r="H15584" t="s">
        <v>9</v>
      </c>
      <c r="I15584" t="s">
        <v>10</v>
      </c>
    </row>
    <row r="15585" spans="1:9" x14ac:dyDescent="0.25">
      <c r="A15585" t="str">
        <f t="shared" si="355"/>
        <v>89301000</v>
      </c>
      <c r="B15585" t="str">
        <f>"9910105700"</f>
        <v>9910105700</v>
      </c>
      <c r="C15585" s="1">
        <v>45123</v>
      </c>
      <c r="D15585" s="1">
        <v>45125</v>
      </c>
      <c r="E15585">
        <v>1</v>
      </c>
      <c r="F15585" t="str">
        <f>"08-I18-02"</f>
        <v>08-I18-02</v>
      </c>
      <c r="G15585">
        <v>0.62509999999999999</v>
      </c>
      <c r="H15585" t="s">
        <v>12</v>
      </c>
      <c r="I15585" t="s">
        <v>10</v>
      </c>
    </row>
    <row r="15586" spans="1:9" x14ac:dyDescent="0.25">
      <c r="A15586" t="str">
        <f t="shared" si="355"/>
        <v>89301000</v>
      </c>
      <c r="B15586" t="str">
        <f>"9910314854"</f>
        <v>9910314854</v>
      </c>
      <c r="C15586" s="1">
        <v>45001</v>
      </c>
      <c r="D15586" s="1">
        <v>45002</v>
      </c>
      <c r="E15586">
        <v>1</v>
      </c>
      <c r="F15586" t="str">
        <f>"02-I12-02"</f>
        <v>02-I12-02</v>
      </c>
      <c r="G15586">
        <v>0.78639999999999999</v>
      </c>
      <c r="H15586" t="s">
        <v>11</v>
      </c>
      <c r="I15586" t="s">
        <v>10</v>
      </c>
    </row>
    <row r="15587" spans="1:9" x14ac:dyDescent="0.25">
      <c r="A15587" t="str">
        <f t="shared" si="355"/>
        <v>89301000</v>
      </c>
      <c r="B15587" t="str">
        <f>"9910314854"</f>
        <v>9910314854</v>
      </c>
      <c r="C15587" s="1">
        <v>45015</v>
      </c>
      <c r="D15587" s="1">
        <v>45016</v>
      </c>
      <c r="E15587">
        <v>1</v>
      </c>
      <c r="F15587" t="str">
        <f>"02-I12-02"</f>
        <v>02-I12-02</v>
      </c>
      <c r="G15587">
        <v>0.78639999999999999</v>
      </c>
      <c r="H15587" t="s">
        <v>11</v>
      </c>
      <c r="I15587" t="s">
        <v>10</v>
      </c>
    </row>
    <row r="15588" spans="1:9" x14ac:dyDescent="0.25">
      <c r="A15588" t="str">
        <f t="shared" si="355"/>
        <v>89301000</v>
      </c>
      <c r="B15588" t="str">
        <f>"9911296065"</f>
        <v>9911296065</v>
      </c>
      <c r="C15588" s="1">
        <v>45224</v>
      </c>
      <c r="D15588" s="1">
        <v>45227</v>
      </c>
      <c r="E15588">
        <v>1</v>
      </c>
      <c r="F15588" t="str">
        <f>"08-M03-02"</f>
        <v>08-M03-02</v>
      </c>
      <c r="G15588">
        <v>0.91359999999999997</v>
      </c>
      <c r="H15588" t="s">
        <v>11</v>
      </c>
      <c r="I15588" t="s">
        <v>10</v>
      </c>
    </row>
    <row r="15589" spans="1:9" x14ac:dyDescent="0.25">
      <c r="A15589" t="str">
        <f t="shared" si="355"/>
        <v>89301000</v>
      </c>
      <c r="B15589" t="str">
        <f>"9912264593"</f>
        <v>9912264593</v>
      </c>
      <c r="C15589" s="1">
        <v>45088</v>
      </c>
      <c r="D15589" s="1">
        <v>45090</v>
      </c>
      <c r="E15589">
        <v>1</v>
      </c>
      <c r="F15589" t="str">
        <f>"08-M03-05"</f>
        <v>08-M03-05</v>
      </c>
      <c r="G15589">
        <v>0.46910000000000002</v>
      </c>
      <c r="H15589" t="s">
        <v>11</v>
      </c>
      <c r="I15589" t="s">
        <v>10</v>
      </c>
    </row>
    <row r="15590" spans="1:9" x14ac:dyDescent="0.25">
      <c r="A15590" t="str">
        <f t="shared" si="355"/>
        <v>89301000</v>
      </c>
      <c r="B15590" t="str">
        <f>"9951072329"</f>
        <v>9951072329</v>
      </c>
      <c r="C15590" s="1">
        <v>44985</v>
      </c>
      <c r="D15590" s="1">
        <v>44989</v>
      </c>
      <c r="E15590">
        <v>1</v>
      </c>
      <c r="F15590" t="str">
        <f>"14-I01-05"</f>
        <v>14-I01-05</v>
      </c>
      <c r="G15590">
        <v>0.83340000000000003</v>
      </c>
      <c r="H15590" t="s">
        <v>13</v>
      </c>
      <c r="I15590" t="s">
        <v>10</v>
      </c>
    </row>
    <row r="15591" spans="1:9" x14ac:dyDescent="0.25">
      <c r="A15591" t="str">
        <f t="shared" si="355"/>
        <v>89301000</v>
      </c>
      <c r="B15591" t="str">
        <f>"9951125723"</f>
        <v>9951125723</v>
      </c>
      <c r="C15591" s="1">
        <v>45040</v>
      </c>
      <c r="D15591" s="1">
        <v>45042</v>
      </c>
      <c r="E15591">
        <v>1</v>
      </c>
      <c r="F15591" t="str">
        <f>"03-K01-01"</f>
        <v>03-K01-01</v>
      </c>
      <c r="G15591">
        <v>0.5998</v>
      </c>
      <c r="H15591" t="s">
        <v>11</v>
      </c>
      <c r="I15591" t="s">
        <v>10</v>
      </c>
    </row>
    <row r="15592" spans="1:9" x14ac:dyDescent="0.25">
      <c r="A15592" t="str">
        <f t="shared" si="355"/>
        <v>89301000</v>
      </c>
      <c r="B15592" t="str">
        <f>"9951145292"</f>
        <v>9951145292</v>
      </c>
      <c r="C15592" s="1">
        <v>45251</v>
      </c>
      <c r="D15592" s="1">
        <v>45253</v>
      </c>
      <c r="E15592">
        <v>1</v>
      </c>
      <c r="F15592" t="str">
        <f>"09-K04-02"</f>
        <v>09-K04-02</v>
      </c>
      <c r="G15592">
        <v>0.64849999999999997</v>
      </c>
      <c r="H15592" t="s">
        <v>11</v>
      </c>
      <c r="I15592" t="s">
        <v>10</v>
      </c>
    </row>
    <row r="15593" spans="1:9" x14ac:dyDescent="0.25">
      <c r="A15593" t="str">
        <f t="shared" si="355"/>
        <v>89301000</v>
      </c>
      <c r="B15593" t="str">
        <f>"9951275719"</f>
        <v>9951275719</v>
      </c>
      <c r="C15593" s="1">
        <v>44975</v>
      </c>
      <c r="D15593" s="1">
        <v>44978</v>
      </c>
      <c r="E15593">
        <v>1</v>
      </c>
      <c r="F15593" t="str">
        <f>"14-M01-05"</f>
        <v>14-M01-05</v>
      </c>
      <c r="G15593">
        <v>0.56289999999999996</v>
      </c>
      <c r="H15593" t="s">
        <v>13</v>
      </c>
      <c r="I15593" t="s">
        <v>10</v>
      </c>
    </row>
    <row r="15594" spans="1:9" x14ac:dyDescent="0.25">
      <c r="A15594" t="str">
        <f t="shared" si="355"/>
        <v>89301000</v>
      </c>
      <c r="B15594" t="str">
        <f>"9952015700"</f>
        <v>9952015700</v>
      </c>
      <c r="C15594" s="1">
        <v>45244</v>
      </c>
      <c r="D15594" s="1">
        <v>45247</v>
      </c>
      <c r="E15594">
        <v>1</v>
      </c>
      <c r="F15594" t="str">
        <f>"13-I14-03"</f>
        <v>13-I14-03</v>
      </c>
      <c r="G15594">
        <v>0.87760000000000005</v>
      </c>
      <c r="H15594" t="s">
        <v>9</v>
      </c>
      <c r="I15594" t="s">
        <v>10</v>
      </c>
    </row>
    <row r="15595" spans="1:9" x14ac:dyDescent="0.25">
      <c r="A15595" t="str">
        <f t="shared" si="355"/>
        <v>89301000</v>
      </c>
      <c r="B15595" t="str">
        <f>"9952026172"</f>
        <v>9952026172</v>
      </c>
      <c r="C15595" s="1">
        <v>45009</v>
      </c>
      <c r="D15595" s="1">
        <v>45011</v>
      </c>
      <c r="E15595">
        <v>1</v>
      </c>
      <c r="F15595" t="str">
        <f>"14-M01-05"</f>
        <v>14-M01-05</v>
      </c>
      <c r="G15595">
        <v>0.56289999999999996</v>
      </c>
      <c r="H15595" t="s">
        <v>13</v>
      </c>
      <c r="I15595" t="s">
        <v>10</v>
      </c>
    </row>
    <row r="15596" spans="1:9" x14ac:dyDescent="0.25">
      <c r="A15596" t="str">
        <f t="shared" si="355"/>
        <v>89301000</v>
      </c>
      <c r="B15596" t="str">
        <f>"9952035720"</f>
        <v>9952035720</v>
      </c>
      <c r="C15596" s="1">
        <v>45009</v>
      </c>
      <c r="D15596" s="1">
        <v>45019</v>
      </c>
      <c r="E15596">
        <v>1</v>
      </c>
      <c r="F15596" t="str">
        <f>"06-I18-03"</f>
        <v>06-I18-03</v>
      </c>
      <c r="G15596">
        <v>1.3418000000000001</v>
      </c>
      <c r="H15596" t="s">
        <v>9</v>
      </c>
      <c r="I15596" t="s">
        <v>10</v>
      </c>
    </row>
    <row r="15597" spans="1:9" x14ac:dyDescent="0.25">
      <c r="A15597" t="str">
        <f t="shared" si="355"/>
        <v>89301000</v>
      </c>
      <c r="B15597" t="str">
        <f>"9952035764"</f>
        <v>9952035764</v>
      </c>
      <c r="C15597" s="1">
        <v>45085</v>
      </c>
      <c r="D15597" s="1">
        <v>45087</v>
      </c>
      <c r="E15597">
        <v>1</v>
      </c>
      <c r="F15597" t="str">
        <f>"14-M01-05"</f>
        <v>14-M01-05</v>
      </c>
      <c r="G15597">
        <v>0.56289999999999996</v>
      </c>
      <c r="H15597" t="s">
        <v>13</v>
      </c>
      <c r="I15597" t="s">
        <v>10</v>
      </c>
    </row>
    <row r="15598" spans="1:9" x14ac:dyDescent="0.25">
      <c r="A15598" t="str">
        <f t="shared" si="355"/>
        <v>89301000</v>
      </c>
      <c r="B15598" t="str">
        <f>"9952145643"</f>
        <v>9952145643</v>
      </c>
      <c r="C15598" s="1">
        <v>45019</v>
      </c>
      <c r="D15598" s="1">
        <v>45021</v>
      </c>
      <c r="E15598">
        <v>1</v>
      </c>
      <c r="F15598" t="str">
        <f>"09-K02-00"</f>
        <v>09-K02-00</v>
      </c>
      <c r="G15598">
        <v>0.74660000000000004</v>
      </c>
      <c r="H15598" t="s">
        <v>11</v>
      </c>
      <c r="I15598" t="s">
        <v>10</v>
      </c>
    </row>
    <row r="15599" spans="1:9" x14ac:dyDescent="0.25">
      <c r="A15599" t="str">
        <f t="shared" si="355"/>
        <v>89301000</v>
      </c>
      <c r="B15599" t="str">
        <f>"9952175706"</f>
        <v>9952175706</v>
      </c>
      <c r="C15599" s="1">
        <v>45209</v>
      </c>
      <c r="D15599" s="1">
        <v>45213</v>
      </c>
      <c r="E15599">
        <v>1</v>
      </c>
      <c r="F15599" t="str">
        <f>"14-M01-05"</f>
        <v>14-M01-05</v>
      </c>
      <c r="G15599">
        <v>0.56289999999999996</v>
      </c>
      <c r="H15599" t="s">
        <v>13</v>
      </c>
      <c r="I15599" t="s">
        <v>10</v>
      </c>
    </row>
    <row r="15600" spans="1:9" x14ac:dyDescent="0.25">
      <c r="A15600" t="str">
        <f t="shared" si="355"/>
        <v>89301000</v>
      </c>
      <c r="B15600" t="str">
        <f>"9952195748"</f>
        <v>9952195748</v>
      </c>
      <c r="C15600" s="1">
        <v>44936</v>
      </c>
      <c r="D15600" s="1">
        <v>44937</v>
      </c>
      <c r="E15600">
        <v>1</v>
      </c>
      <c r="F15600" t="str">
        <f>"14-M01-05"</f>
        <v>14-M01-05</v>
      </c>
      <c r="G15600">
        <v>0.56289999999999996</v>
      </c>
      <c r="H15600" t="s">
        <v>13</v>
      </c>
      <c r="I15600" t="s">
        <v>10</v>
      </c>
    </row>
    <row r="15601" spans="1:9" x14ac:dyDescent="0.25">
      <c r="A15601" t="str">
        <f t="shared" si="355"/>
        <v>89301000</v>
      </c>
      <c r="B15601" t="str">
        <f>"9952256160"</f>
        <v>9952256160</v>
      </c>
      <c r="C15601" s="1">
        <v>44943</v>
      </c>
      <c r="D15601" s="1">
        <v>44957</v>
      </c>
      <c r="E15601">
        <v>1</v>
      </c>
      <c r="F15601" t="str">
        <f>"05-I14-04"</f>
        <v>05-I14-04</v>
      </c>
      <c r="G15601">
        <v>6.1106999999999996</v>
      </c>
      <c r="H15601" t="s">
        <v>12</v>
      </c>
      <c r="I15601" t="s">
        <v>10</v>
      </c>
    </row>
    <row r="15602" spans="1:9" x14ac:dyDescent="0.25">
      <c r="A15602" t="str">
        <f t="shared" si="355"/>
        <v>89301000</v>
      </c>
      <c r="B15602" t="str">
        <f>"9953025742"</f>
        <v>9953025742</v>
      </c>
      <c r="C15602" s="1">
        <v>45068</v>
      </c>
      <c r="D15602" s="1">
        <v>45076</v>
      </c>
      <c r="E15602">
        <v>1</v>
      </c>
      <c r="F15602" t="str">
        <f>"11-K01-02"</f>
        <v>11-K01-02</v>
      </c>
      <c r="G15602">
        <v>0.86480000000000001</v>
      </c>
      <c r="H15602" t="s">
        <v>11</v>
      </c>
      <c r="I15602" t="s">
        <v>10</v>
      </c>
    </row>
    <row r="15603" spans="1:9" x14ac:dyDescent="0.25">
      <c r="A15603" t="str">
        <f t="shared" si="355"/>
        <v>89301000</v>
      </c>
      <c r="B15603" t="str">
        <f>"9953204459"</f>
        <v>9953204459</v>
      </c>
      <c r="C15603" s="1">
        <v>44950</v>
      </c>
      <c r="D15603" s="1">
        <v>44952</v>
      </c>
      <c r="E15603">
        <v>1</v>
      </c>
      <c r="F15603" t="str">
        <f>"08-I32-00"</f>
        <v>08-I32-00</v>
      </c>
      <c r="G15603">
        <v>0.4093</v>
      </c>
      <c r="H15603" t="s">
        <v>11</v>
      </c>
      <c r="I15603" t="s">
        <v>10</v>
      </c>
    </row>
    <row r="15604" spans="1:9" x14ac:dyDescent="0.25">
      <c r="A15604" t="str">
        <f t="shared" si="355"/>
        <v>89301000</v>
      </c>
      <c r="B15604" t="str">
        <f>"9954045728"</f>
        <v>9954045728</v>
      </c>
      <c r="C15604" s="1">
        <v>45245</v>
      </c>
      <c r="D15604" s="1">
        <v>45246</v>
      </c>
      <c r="E15604">
        <v>1</v>
      </c>
      <c r="F15604" t="str">
        <f>"05-K15-02"</f>
        <v>05-K15-02</v>
      </c>
      <c r="G15604">
        <v>0.45369999999999999</v>
      </c>
      <c r="H15604" t="s">
        <v>11</v>
      </c>
      <c r="I15604" t="s">
        <v>10</v>
      </c>
    </row>
    <row r="15605" spans="1:9" x14ac:dyDescent="0.25">
      <c r="A15605" t="str">
        <f t="shared" si="355"/>
        <v>89301000</v>
      </c>
      <c r="B15605" t="str">
        <f>"9954096152"</f>
        <v>9954096152</v>
      </c>
      <c r="C15605" s="1">
        <v>45027</v>
      </c>
      <c r="D15605" s="1">
        <v>45031</v>
      </c>
      <c r="E15605">
        <v>1</v>
      </c>
      <c r="F15605" t="str">
        <f>"14-M01-05"</f>
        <v>14-M01-05</v>
      </c>
      <c r="G15605">
        <v>0.56589999999999996</v>
      </c>
      <c r="H15605" t="s">
        <v>13</v>
      </c>
      <c r="I15605" t="s">
        <v>10</v>
      </c>
    </row>
    <row r="15606" spans="1:9" x14ac:dyDescent="0.25">
      <c r="A15606" t="str">
        <f t="shared" si="355"/>
        <v>89301000</v>
      </c>
      <c r="B15606" t="str">
        <f>"9954215645"</f>
        <v>9954215645</v>
      </c>
      <c r="C15606" s="1">
        <v>45182</v>
      </c>
      <c r="D15606" s="1">
        <v>45184</v>
      </c>
      <c r="E15606">
        <v>1</v>
      </c>
      <c r="F15606" t="str">
        <f>"14-M01-05"</f>
        <v>14-M01-05</v>
      </c>
      <c r="G15606">
        <v>0.56289999999999996</v>
      </c>
      <c r="H15606" t="s">
        <v>13</v>
      </c>
      <c r="I15606" t="s">
        <v>10</v>
      </c>
    </row>
    <row r="15607" spans="1:9" x14ac:dyDescent="0.25">
      <c r="A15607" t="str">
        <f t="shared" si="355"/>
        <v>89301000</v>
      </c>
      <c r="B15607" t="str">
        <f>"9954224841"</f>
        <v>9954224841</v>
      </c>
      <c r="C15607" s="1">
        <v>45201</v>
      </c>
      <c r="D15607" s="1">
        <v>45204</v>
      </c>
      <c r="E15607">
        <v>1</v>
      </c>
      <c r="F15607" t="str">
        <f>"14-M01-05"</f>
        <v>14-M01-05</v>
      </c>
      <c r="G15607">
        <v>0.56289999999999996</v>
      </c>
      <c r="H15607" t="s">
        <v>13</v>
      </c>
      <c r="I15607" t="s">
        <v>10</v>
      </c>
    </row>
    <row r="15608" spans="1:9" x14ac:dyDescent="0.25">
      <c r="A15608" t="str">
        <f t="shared" si="355"/>
        <v>89301000</v>
      </c>
      <c r="B15608" t="str">
        <f>"9954236182"</f>
        <v>9954236182</v>
      </c>
      <c r="C15608" s="1">
        <v>45136</v>
      </c>
      <c r="D15608" s="1">
        <v>45138</v>
      </c>
      <c r="E15608">
        <v>1</v>
      </c>
      <c r="F15608" t="str">
        <f>"03-K07-00"</f>
        <v>03-K07-00</v>
      </c>
      <c r="G15608">
        <v>0.39269999999999999</v>
      </c>
      <c r="H15608" t="s">
        <v>11</v>
      </c>
      <c r="I15608" t="s">
        <v>10</v>
      </c>
    </row>
    <row r="15609" spans="1:9" x14ac:dyDescent="0.25">
      <c r="A15609" t="str">
        <f t="shared" si="355"/>
        <v>89301000</v>
      </c>
      <c r="B15609" t="str">
        <f>"9955025740"</f>
        <v>9955025740</v>
      </c>
      <c r="C15609" s="1">
        <v>45023</v>
      </c>
      <c r="D15609" s="1">
        <v>45026</v>
      </c>
      <c r="E15609">
        <v>1</v>
      </c>
      <c r="F15609" t="str">
        <f>"14-M01-05"</f>
        <v>14-M01-05</v>
      </c>
      <c r="G15609">
        <v>0.56589999999999996</v>
      </c>
      <c r="H15609" t="s">
        <v>13</v>
      </c>
      <c r="I15609" t="s">
        <v>10</v>
      </c>
    </row>
    <row r="15610" spans="1:9" x14ac:dyDescent="0.25">
      <c r="A15610" t="str">
        <f t="shared" si="355"/>
        <v>89301000</v>
      </c>
      <c r="B15610" t="str">
        <f>"9955035706"</f>
        <v>9955035706</v>
      </c>
      <c r="C15610" s="1">
        <v>45114</v>
      </c>
      <c r="D15610" s="1">
        <v>45117</v>
      </c>
      <c r="E15610">
        <v>1</v>
      </c>
      <c r="F15610" t="str">
        <f>"14-M01-05"</f>
        <v>14-M01-05</v>
      </c>
      <c r="G15610">
        <v>0.61619999999999997</v>
      </c>
      <c r="H15610" t="s">
        <v>13</v>
      </c>
      <c r="I15610" t="s">
        <v>10</v>
      </c>
    </row>
    <row r="15611" spans="1:9" x14ac:dyDescent="0.25">
      <c r="A15611" t="str">
        <f t="shared" si="355"/>
        <v>89301000</v>
      </c>
      <c r="B15611" t="str">
        <f>"9955066066"</f>
        <v>9955066066</v>
      </c>
      <c r="C15611" s="1">
        <v>45132</v>
      </c>
      <c r="D15611" s="1">
        <v>45135</v>
      </c>
      <c r="E15611">
        <v>1</v>
      </c>
      <c r="F15611" t="str">
        <f>"14-M01-05"</f>
        <v>14-M01-05</v>
      </c>
      <c r="G15611">
        <v>0.56289999999999996</v>
      </c>
      <c r="H15611" t="s">
        <v>13</v>
      </c>
      <c r="I15611" t="s">
        <v>10</v>
      </c>
    </row>
    <row r="15612" spans="1:9" x14ac:dyDescent="0.25">
      <c r="A15612" t="str">
        <f t="shared" si="355"/>
        <v>89301000</v>
      </c>
      <c r="B15612" t="str">
        <f>"9955316074"</f>
        <v>9955316074</v>
      </c>
      <c r="C15612" s="1">
        <v>45132</v>
      </c>
      <c r="D15612" s="1">
        <v>45138</v>
      </c>
      <c r="E15612">
        <v>1</v>
      </c>
      <c r="F15612" t="str">
        <f>"18-K02-04"</f>
        <v>18-K02-04</v>
      </c>
      <c r="G15612">
        <v>0.73280000000000001</v>
      </c>
      <c r="H15612" t="s">
        <v>11</v>
      </c>
      <c r="I15612" t="s">
        <v>10</v>
      </c>
    </row>
    <row r="15613" spans="1:9" x14ac:dyDescent="0.25">
      <c r="A15613" t="str">
        <f t="shared" si="355"/>
        <v>89301000</v>
      </c>
      <c r="B15613" t="str">
        <f>"9956045726"</f>
        <v>9956045726</v>
      </c>
      <c r="C15613" s="1">
        <v>44936</v>
      </c>
      <c r="D15613" s="1">
        <v>44939</v>
      </c>
      <c r="E15613">
        <v>1</v>
      </c>
      <c r="F15613" t="str">
        <f>"08-M03-04"</f>
        <v>08-M03-04</v>
      </c>
      <c r="G15613">
        <v>0.87760000000000005</v>
      </c>
      <c r="H15613" t="s">
        <v>11</v>
      </c>
      <c r="I15613" t="s">
        <v>10</v>
      </c>
    </row>
    <row r="15614" spans="1:9" x14ac:dyDescent="0.25">
      <c r="A15614" t="str">
        <f t="shared" si="355"/>
        <v>89301000</v>
      </c>
      <c r="B15614" t="str">
        <f>"9956064844"</f>
        <v>9956064844</v>
      </c>
      <c r="C15614" s="1">
        <v>45032</v>
      </c>
      <c r="D15614" s="1">
        <v>45037</v>
      </c>
      <c r="E15614">
        <v>1</v>
      </c>
      <c r="F15614" t="str">
        <f>"14-I01-05"</f>
        <v>14-I01-05</v>
      </c>
      <c r="G15614">
        <v>0.83340000000000003</v>
      </c>
      <c r="H15614" t="s">
        <v>13</v>
      </c>
      <c r="I15614" t="s">
        <v>10</v>
      </c>
    </row>
    <row r="15615" spans="1:9" x14ac:dyDescent="0.25">
      <c r="A15615" t="str">
        <f t="shared" si="355"/>
        <v>89301000</v>
      </c>
      <c r="B15615" t="str">
        <f>"9956076207"</f>
        <v>9956076207</v>
      </c>
      <c r="C15615" s="1">
        <v>45033</v>
      </c>
      <c r="D15615" s="1">
        <v>45035</v>
      </c>
      <c r="E15615">
        <v>1</v>
      </c>
      <c r="F15615" t="str">
        <f>"03-I19-03"</f>
        <v>03-I19-03</v>
      </c>
      <c r="G15615">
        <v>0.53420000000000001</v>
      </c>
      <c r="H15615" t="s">
        <v>11</v>
      </c>
      <c r="I15615" t="s">
        <v>10</v>
      </c>
    </row>
    <row r="15616" spans="1:9" x14ac:dyDescent="0.25">
      <c r="A15616" t="str">
        <f t="shared" si="355"/>
        <v>89301000</v>
      </c>
      <c r="B15616" t="str">
        <f>"9956165725"</f>
        <v>9956165725</v>
      </c>
      <c r="C15616" s="1">
        <v>45099</v>
      </c>
      <c r="D15616" s="1">
        <v>45100</v>
      </c>
      <c r="E15616">
        <v>1</v>
      </c>
      <c r="F15616" t="str">
        <f>"23-K03-02"</f>
        <v>23-K03-02</v>
      </c>
      <c r="G15616">
        <v>0.32540000000000002</v>
      </c>
      <c r="H15616" t="s">
        <v>11</v>
      </c>
      <c r="I15616" t="s">
        <v>10</v>
      </c>
    </row>
    <row r="15617" spans="1:9" x14ac:dyDescent="0.25">
      <c r="A15617" t="str">
        <f t="shared" si="355"/>
        <v>89301000</v>
      </c>
      <c r="B15617" t="str">
        <f>"9956215731"</f>
        <v>9956215731</v>
      </c>
      <c r="C15617" s="1">
        <v>45244</v>
      </c>
      <c r="D15617" s="1">
        <v>45278</v>
      </c>
      <c r="E15617">
        <v>6</v>
      </c>
      <c r="F15617" t="str">
        <f>"19-K07-02"</f>
        <v>19-K07-02</v>
      </c>
      <c r="G15617">
        <v>2.5350000000000001</v>
      </c>
      <c r="H15617" t="s">
        <v>15</v>
      </c>
      <c r="I15617" t="s">
        <v>10</v>
      </c>
    </row>
    <row r="15618" spans="1:9" x14ac:dyDescent="0.25">
      <c r="A15618" t="str">
        <f t="shared" si="355"/>
        <v>89301000</v>
      </c>
      <c r="B15618" t="str">
        <f>"9956215731"</f>
        <v>9956215731</v>
      </c>
      <c r="C15618" s="1">
        <v>45196</v>
      </c>
      <c r="D15618" s="1">
        <v>45203</v>
      </c>
      <c r="E15618">
        <v>1</v>
      </c>
      <c r="F15618" t="str">
        <f>"19-K03-03"</f>
        <v>19-K03-03</v>
      </c>
      <c r="G15618">
        <v>0.90410000000000001</v>
      </c>
      <c r="H15618" t="s">
        <v>15</v>
      </c>
      <c r="I15618" t="s">
        <v>10</v>
      </c>
    </row>
    <row r="15619" spans="1:9" x14ac:dyDescent="0.25">
      <c r="A15619" t="str">
        <f t="shared" si="355"/>
        <v>89301000</v>
      </c>
      <c r="B15619" t="str">
        <f>"9956215731"</f>
        <v>9956215731</v>
      </c>
      <c r="C15619" s="1">
        <v>45215</v>
      </c>
      <c r="D15619" s="1">
        <v>45226</v>
      </c>
      <c r="E15619">
        <v>1</v>
      </c>
      <c r="F15619" t="str">
        <f>"20-K04-02"</f>
        <v>20-K04-02</v>
      </c>
      <c r="G15619">
        <v>1.3379000000000001</v>
      </c>
      <c r="H15619" t="s">
        <v>11</v>
      </c>
      <c r="I15619" t="s">
        <v>10</v>
      </c>
    </row>
    <row r="15620" spans="1:9" x14ac:dyDescent="0.25">
      <c r="A15620" t="str">
        <f t="shared" ref="A15620:A15661" si="356">"89301000"</f>
        <v>89301000</v>
      </c>
      <c r="B15620" t="str">
        <f>"9956215731"</f>
        <v>9956215731</v>
      </c>
      <c r="C15620" s="1">
        <v>45235</v>
      </c>
      <c r="D15620" s="1">
        <v>45236</v>
      </c>
      <c r="E15620">
        <v>1</v>
      </c>
      <c r="F15620" t="str">
        <f>"21-K05-03"</f>
        <v>21-K05-03</v>
      </c>
      <c r="G15620">
        <v>0.45729999999999998</v>
      </c>
      <c r="H15620" t="s">
        <v>11</v>
      </c>
      <c r="I15620" t="s">
        <v>10</v>
      </c>
    </row>
    <row r="15621" spans="1:9" x14ac:dyDescent="0.25">
      <c r="A15621" t="str">
        <f t="shared" si="356"/>
        <v>89301000</v>
      </c>
      <c r="B15621" t="str">
        <f>"9956273558"</f>
        <v>9956273558</v>
      </c>
      <c r="C15621" s="1">
        <v>45162</v>
      </c>
      <c r="D15621" s="1">
        <v>45166</v>
      </c>
      <c r="E15621">
        <v>1</v>
      </c>
      <c r="F15621" t="str">
        <f>"14-M01-05"</f>
        <v>14-M01-05</v>
      </c>
      <c r="G15621">
        <v>0.56289999999999996</v>
      </c>
      <c r="H15621" t="s">
        <v>13</v>
      </c>
      <c r="I15621" t="s">
        <v>10</v>
      </c>
    </row>
    <row r="15622" spans="1:9" x14ac:dyDescent="0.25">
      <c r="A15622" t="str">
        <f t="shared" si="356"/>
        <v>89301000</v>
      </c>
      <c r="B15622" t="str">
        <f>"9957035726"</f>
        <v>9957035726</v>
      </c>
      <c r="C15622" s="1">
        <v>45105</v>
      </c>
      <c r="D15622" s="1">
        <v>45117</v>
      </c>
      <c r="E15622">
        <v>1</v>
      </c>
      <c r="F15622" t="str">
        <f>"20-K04-02"</f>
        <v>20-K04-02</v>
      </c>
      <c r="G15622">
        <v>1.3379000000000001</v>
      </c>
      <c r="H15622" t="s">
        <v>11</v>
      </c>
      <c r="I15622" t="s">
        <v>10</v>
      </c>
    </row>
    <row r="15623" spans="1:9" x14ac:dyDescent="0.25">
      <c r="A15623" t="str">
        <f t="shared" si="356"/>
        <v>89301000</v>
      </c>
      <c r="B15623" t="str">
        <f>"9957074765"</f>
        <v>9957074765</v>
      </c>
      <c r="C15623" s="1">
        <v>45057</v>
      </c>
      <c r="D15623" s="1">
        <v>45061</v>
      </c>
      <c r="E15623">
        <v>1</v>
      </c>
      <c r="F15623" t="str">
        <f>"14-I01-02"</f>
        <v>14-I01-02</v>
      </c>
      <c r="G15623">
        <v>1.2988999999999999</v>
      </c>
      <c r="H15623" t="s">
        <v>13</v>
      </c>
      <c r="I15623" t="s">
        <v>10</v>
      </c>
    </row>
    <row r="15624" spans="1:9" x14ac:dyDescent="0.25">
      <c r="A15624" t="str">
        <f t="shared" si="356"/>
        <v>89301000</v>
      </c>
      <c r="B15624" t="str">
        <f>"9957075700"</f>
        <v>9957075700</v>
      </c>
      <c r="C15624" s="1">
        <v>45108</v>
      </c>
      <c r="D15624" s="1">
        <v>45108</v>
      </c>
      <c r="E15624">
        <v>1</v>
      </c>
      <c r="F15624" t="str">
        <f>"14-M01-05"</f>
        <v>14-M01-05</v>
      </c>
      <c r="G15624">
        <v>0.28149999999999997</v>
      </c>
      <c r="H15624" t="s">
        <v>13</v>
      </c>
      <c r="I15624" t="s">
        <v>10</v>
      </c>
    </row>
    <row r="15625" spans="1:9" x14ac:dyDescent="0.25">
      <c r="A15625" t="str">
        <f t="shared" si="356"/>
        <v>89301000</v>
      </c>
      <c r="B15625" t="str">
        <f>"9957155703"</f>
        <v>9957155703</v>
      </c>
      <c r="C15625" s="1">
        <v>45037</v>
      </c>
      <c r="D15625" s="1">
        <v>45038</v>
      </c>
      <c r="E15625">
        <v>1</v>
      </c>
      <c r="F15625" t="str">
        <f>"14-M01-05"</f>
        <v>14-M01-05</v>
      </c>
      <c r="G15625">
        <v>0.56589999999999996</v>
      </c>
      <c r="H15625" t="s">
        <v>13</v>
      </c>
      <c r="I15625" t="s">
        <v>10</v>
      </c>
    </row>
    <row r="15626" spans="1:9" x14ac:dyDescent="0.25">
      <c r="A15626" t="str">
        <f t="shared" si="356"/>
        <v>89301000</v>
      </c>
      <c r="B15626" t="str">
        <f>"9957215708"</f>
        <v>9957215708</v>
      </c>
      <c r="C15626" s="1">
        <v>44993</v>
      </c>
      <c r="D15626" s="1">
        <v>44995</v>
      </c>
      <c r="E15626">
        <v>1</v>
      </c>
      <c r="F15626" t="str">
        <f>"06-K11-00"</f>
        <v>06-K11-00</v>
      </c>
      <c r="G15626">
        <v>0.34639999999999999</v>
      </c>
      <c r="H15626" t="s">
        <v>11</v>
      </c>
      <c r="I15626" t="s">
        <v>10</v>
      </c>
    </row>
    <row r="15627" spans="1:9" x14ac:dyDescent="0.25">
      <c r="A15627" t="str">
        <f t="shared" si="356"/>
        <v>89301000</v>
      </c>
      <c r="B15627" t="str">
        <f>"9957245705"</f>
        <v>9957245705</v>
      </c>
      <c r="C15627" s="1">
        <v>45032</v>
      </c>
      <c r="D15627" s="1">
        <v>45035</v>
      </c>
      <c r="E15627">
        <v>1</v>
      </c>
      <c r="F15627" t="str">
        <f>"14-M01-05"</f>
        <v>14-M01-05</v>
      </c>
      <c r="G15627">
        <v>0.56289999999999996</v>
      </c>
      <c r="H15627" t="s">
        <v>13</v>
      </c>
      <c r="I15627" t="s">
        <v>10</v>
      </c>
    </row>
    <row r="15628" spans="1:9" x14ac:dyDescent="0.25">
      <c r="A15628" t="str">
        <f t="shared" si="356"/>
        <v>89301000</v>
      </c>
      <c r="B15628" t="str">
        <f>"9957284854"</f>
        <v>9957284854</v>
      </c>
      <c r="C15628" s="1">
        <v>45124</v>
      </c>
      <c r="D15628" s="1">
        <v>45126</v>
      </c>
      <c r="E15628">
        <v>1</v>
      </c>
      <c r="F15628" t="str">
        <f>"03-I21-00"</f>
        <v>03-I21-00</v>
      </c>
      <c r="G15628">
        <v>0.42449999999999999</v>
      </c>
      <c r="H15628" t="s">
        <v>11</v>
      </c>
      <c r="I15628" t="s">
        <v>10</v>
      </c>
    </row>
    <row r="15629" spans="1:9" x14ac:dyDescent="0.25">
      <c r="A15629" t="str">
        <f t="shared" si="356"/>
        <v>89301000</v>
      </c>
      <c r="B15629" t="str">
        <f>"9957315709"</f>
        <v>9957315709</v>
      </c>
      <c r="C15629" s="1">
        <v>44929</v>
      </c>
      <c r="D15629" s="1">
        <v>44931</v>
      </c>
      <c r="E15629">
        <v>1</v>
      </c>
      <c r="F15629" t="str">
        <f>"01-K07-03"</f>
        <v>01-K07-03</v>
      </c>
      <c r="G15629">
        <v>0.48680000000000001</v>
      </c>
      <c r="H15629" t="s">
        <v>11</v>
      </c>
      <c r="I15629" t="s">
        <v>10</v>
      </c>
    </row>
    <row r="15630" spans="1:9" x14ac:dyDescent="0.25">
      <c r="A15630" t="str">
        <f t="shared" si="356"/>
        <v>89301000</v>
      </c>
      <c r="B15630" t="str">
        <f>"9958036143"</f>
        <v>9958036143</v>
      </c>
      <c r="C15630" s="1">
        <v>45260</v>
      </c>
      <c r="D15630" s="1">
        <v>45268</v>
      </c>
      <c r="E15630">
        <v>1</v>
      </c>
      <c r="F15630" t="str">
        <f>"03-I19-01"</f>
        <v>03-I19-01</v>
      </c>
      <c r="G15630">
        <v>2.5438999999999998</v>
      </c>
      <c r="H15630" t="s">
        <v>11</v>
      </c>
      <c r="I15630" t="s">
        <v>10</v>
      </c>
    </row>
    <row r="15631" spans="1:9" x14ac:dyDescent="0.25">
      <c r="A15631" t="str">
        <f t="shared" si="356"/>
        <v>89301000</v>
      </c>
      <c r="B15631" t="str">
        <f>"9958051752"</f>
        <v>9958051752</v>
      </c>
      <c r="C15631" s="1">
        <v>45198</v>
      </c>
      <c r="D15631" s="1">
        <v>45200</v>
      </c>
      <c r="E15631">
        <v>1</v>
      </c>
      <c r="F15631" t="str">
        <f>"14-I04-00"</f>
        <v>14-I04-00</v>
      </c>
      <c r="G15631">
        <v>0.79159999999999997</v>
      </c>
      <c r="H15631" t="s">
        <v>9</v>
      </c>
      <c r="I15631" t="s">
        <v>10</v>
      </c>
    </row>
    <row r="15632" spans="1:9" x14ac:dyDescent="0.25">
      <c r="A15632" t="str">
        <f t="shared" si="356"/>
        <v>89301000</v>
      </c>
      <c r="B15632" t="str">
        <f>"9958066140"</f>
        <v>9958066140</v>
      </c>
      <c r="C15632" s="1">
        <v>45288</v>
      </c>
      <c r="D15632" s="1">
        <v>45290</v>
      </c>
      <c r="E15632">
        <v>1</v>
      </c>
      <c r="F15632" t="str">
        <f>"14-M01-05"</f>
        <v>14-M01-05</v>
      </c>
      <c r="G15632">
        <v>0.56289999999999996</v>
      </c>
      <c r="H15632" t="s">
        <v>13</v>
      </c>
      <c r="I15632" t="s">
        <v>10</v>
      </c>
    </row>
    <row r="15633" spans="1:9" x14ac:dyDescent="0.25">
      <c r="A15633" t="str">
        <f t="shared" si="356"/>
        <v>89301000</v>
      </c>
      <c r="B15633" t="str">
        <f>"9958085720"</f>
        <v>9958085720</v>
      </c>
      <c r="C15633" s="1">
        <v>45039</v>
      </c>
      <c r="D15633" s="1">
        <v>45064</v>
      </c>
      <c r="E15633">
        <v>1</v>
      </c>
      <c r="F15633" t="str">
        <f>"19-K06-01"</f>
        <v>19-K06-01</v>
      </c>
      <c r="G15633">
        <v>2.4773000000000001</v>
      </c>
      <c r="H15633" t="s">
        <v>15</v>
      </c>
      <c r="I15633" t="s">
        <v>10</v>
      </c>
    </row>
    <row r="15634" spans="1:9" x14ac:dyDescent="0.25">
      <c r="A15634" t="str">
        <f t="shared" si="356"/>
        <v>89301000</v>
      </c>
      <c r="B15634" t="str">
        <f>"9958155702"</f>
        <v>9958155702</v>
      </c>
      <c r="C15634" s="1">
        <v>45201</v>
      </c>
      <c r="D15634" s="1">
        <v>45204</v>
      </c>
      <c r="E15634">
        <v>1</v>
      </c>
      <c r="F15634" t="str">
        <f>"06-I18-05"</f>
        <v>06-I18-05</v>
      </c>
      <c r="G15634">
        <v>0.82420000000000004</v>
      </c>
      <c r="H15634" t="s">
        <v>9</v>
      </c>
      <c r="I15634" t="s">
        <v>10</v>
      </c>
    </row>
    <row r="15635" spans="1:9" x14ac:dyDescent="0.25">
      <c r="A15635" t="str">
        <f t="shared" si="356"/>
        <v>89301000</v>
      </c>
      <c r="B15635" t="str">
        <f>"9958274843"</f>
        <v>9958274843</v>
      </c>
      <c r="C15635" s="1">
        <v>45166</v>
      </c>
      <c r="D15635" s="1">
        <v>45167</v>
      </c>
      <c r="E15635">
        <v>1</v>
      </c>
      <c r="F15635" t="str">
        <f>"03-K13-02"</f>
        <v>03-K13-02</v>
      </c>
      <c r="G15635">
        <v>0.24440000000000001</v>
      </c>
      <c r="H15635" t="s">
        <v>11</v>
      </c>
      <c r="I15635" t="s">
        <v>10</v>
      </c>
    </row>
    <row r="15636" spans="1:9" x14ac:dyDescent="0.25">
      <c r="A15636" t="str">
        <f t="shared" si="356"/>
        <v>89301000</v>
      </c>
      <c r="B15636" t="str">
        <f>"9958306149"</f>
        <v>9958306149</v>
      </c>
      <c r="C15636" s="1">
        <v>44990</v>
      </c>
      <c r="D15636" s="1">
        <v>44993</v>
      </c>
      <c r="E15636">
        <v>1</v>
      </c>
      <c r="F15636" t="str">
        <f>"08-M03-05"</f>
        <v>08-M03-05</v>
      </c>
      <c r="G15636">
        <v>0.46910000000000002</v>
      </c>
      <c r="H15636" t="s">
        <v>11</v>
      </c>
      <c r="I15636" t="s">
        <v>10</v>
      </c>
    </row>
    <row r="15637" spans="1:9" x14ac:dyDescent="0.25">
      <c r="A15637" t="str">
        <f t="shared" si="356"/>
        <v>89301000</v>
      </c>
      <c r="B15637" t="str">
        <f>"9959076072"</f>
        <v>9959076072</v>
      </c>
      <c r="C15637" s="1">
        <v>45056</v>
      </c>
      <c r="D15637" s="1">
        <v>45060</v>
      </c>
      <c r="E15637">
        <v>1</v>
      </c>
      <c r="F15637" t="str">
        <f>"14-I01-05"</f>
        <v>14-I01-05</v>
      </c>
      <c r="G15637">
        <v>0.83340000000000003</v>
      </c>
      <c r="H15637" t="s">
        <v>13</v>
      </c>
      <c r="I15637" t="s">
        <v>10</v>
      </c>
    </row>
    <row r="15638" spans="1:9" x14ac:dyDescent="0.25">
      <c r="A15638" t="str">
        <f t="shared" si="356"/>
        <v>89301000</v>
      </c>
      <c r="B15638" t="str">
        <f>"9959116145"</f>
        <v>9959116145</v>
      </c>
      <c r="C15638" s="1">
        <v>45089</v>
      </c>
      <c r="D15638" s="1">
        <v>45093</v>
      </c>
      <c r="E15638">
        <v>1</v>
      </c>
      <c r="F15638" t="str">
        <f>"14-M01-05"</f>
        <v>14-M01-05</v>
      </c>
      <c r="G15638">
        <v>0.56589999999999996</v>
      </c>
      <c r="H15638" t="s">
        <v>13</v>
      </c>
      <c r="I15638" t="s">
        <v>10</v>
      </c>
    </row>
    <row r="15639" spans="1:9" x14ac:dyDescent="0.25">
      <c r="A15639" t="str">
        <f t="shared" si="356"/>
        <v>89301000</v>
      </c>
      <c r="B15639" t="str">
        <f>"9959124846"</f>
        <v>9959124846</v>
      </c>
      <c r="C15639" s="1">
        <v>44983</v>
      </c>
      <c r="D15639" s="1">
        <v>44988</v>
      </c>
      <c r="E15639">
        <v>1</v>
      </c>
      <c r="F15639" t="str">
        <f>"14-M01-05"</f>
        <v>14-M01-05</v>
      </c>
      <c r="G15639">
        <v>0.56289999999999996</v>
      </c>
      <c r="H15639" t="s">
        <v>13</v>
      </c>
      <c r="I15639" t="s">
        <v>10</v>
      </c>
    </row>
    <row r="15640" spans="1:9" x14ac:dyDescent="0.25">
      <c r="A15640" t="str">
        <f t="shared" si="356"/>
        <v>89301000</v>
      </c>
      <c r="B15640" t="str">
        <f>"9959155723"</f>
        <v>9959155723</v>
      </c>
      <c r="C15640" s="1">
        <v>45180</v>
      </c>
      <c r="D15640" s="1">
        <v>45189</v>
      </c>
      <c r="E15640">
        <v>1</v>
      </c>
      <c r="F15640" t="str">
        <f>"10-R02-01"</f>
        <v>10-R02-01</v>
      </c>
      <c r="G15640">
        <v>0.92279999999999995</v>
      </c>
      <c r="H15640" t="s">
        <v>9</v>
      </c>
      <c r="I15640" t="s">
        <v>10</v>
      </c>
    </row>
    <row r="15641" spans="1:9" x14ac:dyDescent="0.25">
      <c r="A15641" t="str">
        <f t="shared" si="356"/>
        <v>89301000</v>
      </c>
      <c r="B15641" t="str">
        <f>"9959165700"</f>
        <v>9959165700</v>
      </c>
      <c r="C15641" s="1">
        <v>44948</v>
      </c>
      <c r="D15641" s="1">
        <v>44949</v>
      </c>
      <c r="E15641">
        <v>1</v>
      </c>
      <c r="F15641" t="str">
        <f>"14-I08-03"</f>
        <v>14-I08-03</v>
      </c>
      <c r="G15641">
        <v>0.2414</v>
      </c>
      <c r="H15641" t="s">
        <v>11</v>
      </c>
      <c r="I15641" t="s">
        <v>10</v>
      </c>
    </row>
    <row r="15642" spans="1:9" x14ac:dyDescent="0.25">
      <c r="A15642" t="str">
        <f t="shared" si="356"/>
        <v>89301000</v>
      </c>
      <c r="B15642" t="str">
        <f>"9959175710"</f>
        <v>9959175710</v>
      </c>
      <c r="C15642" s="1">
        <v>44978</v>
      </c>
      <c r="D15642" s="1">
        <v>44980</v>
      </c>
      <c r="E15642">
        <v>1</v>
      </c>
      <c r="F15642" t="str">
        <f>"14-M01-05"</f>
        <v>14-M01-05</v>
      </c>
      <c r="G15642">
        <v>0.56289999999999996</v>
      </c>
      <c r="H15642" t="s">
        <v>13</v>
      </c>
      <c r="I15642" t="s">
        <v>10</v>
      </c>
    </row>
    <row r="15643" spans="1:9" x14ac:dyDescent="0.25">
      <c r="A15643" t="str">
        <f t="shared" si="356"/>
        <v>89301000</v>
      </c>
      <c r="B15643" t="str">
        <f>"9959235715"</f>
        <v>9959235715</v>
      </c>
      <c r="C15643" s="1">
        <v>44956</v>
      </c>
      <c r="D15643" s="1">
        <v>44959</v>
      </c>
      <c r="E15643">
        <v>1</v>
      </c>
      <c r="F15643" t="str">
        <f>"08-M03-04"</f>
        <v>08-M03-04</v>
      </c>
      <c r="G15643">
        <v>0.87760000000000005</v>
      </c>
      <c r="H15643" t="s">
        <v>11</v>
      </c>
      <c r="I15643" t="s">
        <v>10</v>
      </c>
    </row>
    <row r="15644" spans="1:9" x14ac:dyDescent="0.25">
      <c r="A15644" t="str">
        <f t="shared" si="356"/>
        <v>89301000</v>
      </c>
      <c r="B15644" t="str">
        <f>"9959245373"</f>
        <v>9959245373</v>
      </c>
      <c r="C15644" s="1">
        <v>44981</v>
      </c>
      <c r="D15644" s="1">
        <v>44988</v>
      </c>
      <c r="E15644">
        <v>1</v>
      </c>
      <c r="F15644" t="str">
        <f>"09-K04-02"</f>
        <v>09-K04-02</v>
      </c>
      <c r="G15644">
        <v>0.64849999999999997</v>
      </c>
      <c r="H15644" t="s">
        <v>11</v>
      </c>
      <c r="I15644" t="s">
        <v>10</v>
      </c>
    </row>
    <row r="15645" spans="1:9" x14ac:dyDescent="0.25">
      <c r="A15645" t="str">
        <f t="shared" si="356"/>
        <v>89301000</v>
      </c>
      <c r="B15645" t="str">
        <f>"9959294851"</f>
        <v>9959294851</v>
      </c>
      <c r="C15645" s="1">
        <v>45243</v>
      </c>
      <c r="D15645" s="1">
        <v>45245</v>
      </c>
      <c r="E15645">
        <v>1</v>
      </c>
      <c r="F15645" t="str">
        <f>"08-I26-03"</f>
        <v>08-I26-03</v>
      </c>
      <c r="G15645">
        <v>0.47699999999999998</v>
      </c>
      <c r="H15645" t="s">
        <v>11</v>
      </c>
      <c r="I15645" t="s">
        <v>10</v>
      </c>
    </row>
    <row r="15646" spans="1:9" x14ac:dyDescent="0.25">
      <c r="A15646" t="str">
        <f t="shared" si="356"/>
        <v>89301000</v>
      </c>
      <c r="B15646" t="str">
        <f>"9960075719"</f>
        <v>9960075719</v>
      </c>
      <c r="C15646" s="1">
        <v>45201</v>
      </c>
      <c r="D15646" s="1">
        <v>45204</v>
      </c>
      <c r="E15646">
        <v>1</v>
      </c>
      <c r="F15646" t="str">
        <f>"14-M01-05"</f>
        <v>14-M01-05</v>
      </c>
      <c r="G15646">
        <v>0.56289999999999996</v>
      </c>
      <c r="H15646" t="s">
        <v>13</v>
      </c>
      <c r="I15646" t="s">
        <v>10</v>
      </c>
    </row>
    <row r="15647" spans="1:9" x14ac:dyDescent="0.25">
      <c r="A15647" t="str">
        <f t="shared" si="356"/>
        <v>89301000</v>
      </c>
      <c r="B15647" t="str">
        <f>"9960115979"</f>
        <v>9960115979</v>
      </c>
      <c r="C15647" s="1">
        <v>45257</v>
      </c>
      <c r="D15647" s="1">
        <v>45259</v>
      </c>
      <c r="E15647">
        <v>1</v>
      </c>
      <c r="F15647" t="str">
        <f>"09-I09-05"</f>
        <v>09-I09-05</v>
      </c>
      <c r="G15647">
        <v>0.4667</v>
      </c>
      <c r="H15647" t="s">
        <v>12</v>
      </c>
      <c r="I15647" t="s">
        <v>10</v>
      </c>
    </row>
    <row r="15648" spans="1:9" x14ac:dyDescent="0.25">
      <c r="A15648" t="str">
        <f t="shared" si="356"/>
        <v>89301000</v>
      </c>
      <c r="B15648" t="str">
        <f>"9960235956"</f>
        <v>9960235956</v>
      </c>
      <c r="C15648" s="1">
        <v>44993</v>
      </c>
      <c r="D15648" s="1">
        <v>44997</v>
      </c>
      <c r="E15648">
        <v>1</v>
      </c>
      <c r="F15648" t="str">
        <f>"06-I18-05"</f>
        <v>06-I18-05</v>
      </c>
      <c r="G15648">
        <v>0.82420000000000004</v>
      </c>
      <c r="H15648" t="s">
        <v>9</v>
      </c>
      <c r="I15648" t="s">
        <v>10</v>
      </c>
    </row>
    <row r="15649" spans="1:9" x14ac:dyDescent="0.25">
      <c r="A15649" t="str">
        <f t="shared" si="356"/>
        <v>89301000</v>
      </c>
      <c r="B15649" t="str">
        <f>"9960243590"</f>
        <v>9960243590</v>
      </c>
      <c r="C15649" s="1">
        <v>45085</v>
      </c>
      <c r="D15649" s="1">
        <v>45092</v>
      </c>
      <c r="E15649">
        <v>1</v>
      </c>
      <c r="F15649" t="str">
        <f>"20-K03-03"</f>
        <v>20-K03-03</v>
      </c>
      <c r="G15649">
        <v>0.94020000000000004</v>
      </c>
      <c r="H15649" t="s">
        <v>11</v>
      </c>
      <c r="I15649" t="s">
        <v>10</v>
      </c>
    </row>
    <row r="15650" spans="1:9" x14ac:dyDescent="0.25">
      <c r="A15650" t="str">
        <f t="shared" si="356"/>
        <v>89301000</v>
      </c>
      <c r="B15650" t="str">
        <f>"9960250047"</f>
        <v>9960250047</v>
      </c>
      <c r="C15650" s="1">
        <v>45070</v>
      </c>
      <c r="D15650" s="1">
        <v>45073</v>
      </c>
      <c r="E15650">
        <v>1</v>
      </c>
      <c r="F15650" t="str">
        <f>"07-I10-05"</f>
        <v>07-I10-05</v>
      </c>
      <c r="G15650">
        <v>1.3592</v>
      </c>
      <c r="H15650" t="s">
        <v>12</v>
      </c>
      <c r="I15650" t="s">
        <v>10</v>
      </c>
    </row>
    <row r="15651" spans="1:9" x14ac:dyDescent="0.25">
      <c r="A15651" t="str">
        <f t="shared" si="356"/>
        <v>89301000</v>
      </c>
      <c r="B15651" t="str">
        <f>"9960315717"</f>
        <v>9960315717</v>
      </c>
      <c r="C15651" s="1">
        <v>45159</v>
      </c>
      <c r="D15651" s="1">
        <v>45162</v>
      </c>
      <c r="E15651">
        <v>1</v>
      </c>
      <c r="F15651" t="str">
        <f>"14-M01-05"</f>
        <v>14-M01-05</v>
      </c>
      <c r="G15651">
        <v>0.56289999999999996</v>
      </c>
      <c r="H15651" t="s">
        <v>13</v>
      </c>
      <c r="I15651" t="s">
        <v>10</v>
      </c>
    </row>
    <row r="15652" spans="1:9" x14ac:dyDescent="0.25">
      <c r="A15652" t="str">
        <f t="shared" si="356"/>
        <v>89301000</v>
      </c>
      <c r="B15652" t="str">
        <f>"9961045699"</f>
        <v>9961045699</v>
      </c>
      <c r="C15652" s="1">
        <v>45242</v>
      </c>
      <c r="D15652" s="1">
        <v>45245</v>
      </c>
      <c r="E15652">
        <v>1</v>
      </c>
      <c r="F15652" t="str">
        <f>"14-M01-05"</f>
        <v>14-M01-05</v>
      </c>
      <c r="G15652">
        <v>0.56289999999999996</v>
      </c>
      <c r="H15652" t="s">
        <v>13</v>
      </c>
      <c r="I15652" t="s">
        <v>10</v>
      </c>
    </row>
    <row r="15653" spans="1:9" x14ac:dyDescent="0.25">
      <c r="A15653" t="str">
        <f t="shared" si="356"/>
        <v>89301000</v>
      </c>
      <c r="B15653" t="str">
        <f>"9961096145"</f>
        <v>9961096145</v>
      </c>
      <c r="C15653" s="1">
        <v>45203</v>
      </c>
      <c r="D15653" s="1">
        <v>45205</v>
      </c>
      <c r="E15653">
        <v>1</v>
      </c>
      <c r="F15653" t="str">
        <f>"03-I24-00"</f>
        <v>03-I24-00</v>
      </c>
      <c r="G15653">
        <v>0.40670000000000001</v>
      </c>
      <c r="H15653" t="s">
        <v>11</v>
      </c>
      <c r="I15653" t="s">
        <v>10</v>
      </c>
    </row>
    <row r="15654" spans="1:9" x14ac:dyDescent="0.25">
      <c r="A15654" t="str">
        <f t="shared" si="356"/>
        <v>89301000</v>
      </c>
      <c r="B15654" t="str">
        <f>"9961115703"</f>
        <v>9961115703</v>
      </c>
      <c r="C15654" s="1">
        <v>45074</v>
      </c>
      <c r="D15654" s="1">
        <v>45075</v>
      </c>
      <c r="E15654">
        <v>1</v>
      </c>
      <c r="F15654" t="str">
        <f>"13-K02-00"</f>
        <v>13-K02-00</v>
      </c>
      <c r="G15654">
        <v>0.2611</v>
      </c>
      <c r="H15654" t="s">
        <v>11</v>
      </c>
      <c r="I15654" t="s">
        <v>10</v>
      </c>
    </row>
    <row r="15655" spans="1:9" x14ac:dyDescent="0.25">
      <c r="A15655" t="str">
        <f t="shared" si="356"/>
        <v>89301000</v>
      </c>
      <c r="B15655" t="str">
        <f>"9961136141"</f>
        <v>9961136141</v>
      </c>
      <c r="C15655" s="1">
        <v>44968</v>
      </c>
      <c r="D15655" s="1">
        <v>44972</v>
      </c>
      <c r="E15655">
        <v>1</v>
      </c>
      <c r="F15655" t="str">
        <f>"14-M01-05"</f>
        <v>14-M01-05</v>
      </c>
      <c r="G15655">
        <v>0.56589999999999996</v>
      </c>
      <c r="H15655" t="s">
        <v>13</v>
      </c>
      <c r="I15655" t="s">
        <v>10</v>
      </c>
    </row>
    <row r="15656" spans="1:9" x14ac:dyDescent="0.25">
      <c r="A15656" t="str">
        <f t="shared" si="356"/>
        <v>89301000</v>
      </c>
      <c r="B15656" t="str">
        <f>"9961176214"</f>
        <v>9961176214</v>
      </c>
      <c r="C15656" s="1">
        <v>45084</v>
      </c>
      <c r="D15656" s="1">
        <v>45086</v>
      </c>
      <c r="E15656">
        <v>1</v>
      </c>
      <c r="F15656" t="str">
        <f>"09-I13-05"</f>
        <v>09-I13-05</v>
      </c>
      <c r="G15656">
        <v>0.42570000000000002</v>
      </c>
      <c r="H15656" t="s">
        <v>11</v>
      </c>
      <c r="I15656" t="s">
        <v>10</v>
      </c>
    </row>
    <row r="15657" spans="1:9" x14ac:dyDescent="0.25">
      <c r="A15657" t="str">
        <f t="shared" si="356"/>
        <v>89301000</v>
      </c>
      <c r="B15657" t="str">
        <f>"9961194771"</f>
        <v>9961194771</v>
      </c>
      <c r="C15657" s="1">
        <v>45264</v>
      </c>
      <c r="D15657" s="1">
        <v>45268</v>
      </c>
      <c r="E15657">
        <v>1</v>
      </c>
      <c r="F15657" t="str">
        <f>"14-I01-05"</f>
        <v>14-I01-05</v>
      </c>
      <c r="G15657">
        <v>0.83340000000000003</v>
      </c>
      <c r="H15657" t="s">
        <v>13</v>
      </c>
      <c r="I15657" t="s">
        <v>10</v>
      </c>
    </row>
    <row r="15658" spans="1:9" x14ac:dyDescent="0.25">
      <c r="A15658" t="str">
        <f t="shared" si="356"/>
        <v>89301000</v>
      </c>
      <c r="B15658" t="str">
        <f>"9962055741"</f>
        <v>9962055741</v>
      </c>
      <c r="C15658" s="1">
        <v>45094</v>
      </c>
      <c r="D15658" s="1">
        <v>45095</v>
      </c>
      <c r="E15658">
        <v>1</v>
      </c>
      <c r="F15658" t="str">
        <f>"14-M01-05"</f>
        <v>14-M01-05</v>
      </c>
      <c r="G15658">
        <v>0.56589999999999996</v>
      </c>
      <c r="H15658" t="s">
        <v>13</v>
      </c>
      <c r="I15658" t="s">
        <v>10</v>
      </c>
    </row>
    <row r="15659" spans="1:9" x14ac:dyDescent="0.25">
      <c r="A15659" t="str">
        <f t="shared" si="356"/>
        <v>89301000</v>
      </c>
      <c r="B15659" t="str">
        <f>"9962106154"</f>
        <v>9962106154</v>
      </c>
      <c r="C15659" s="1">
        <v>44942</v>
      </c>
      <c r="D15659" s="1">
        <v>44944</v>
      </c>
      <c r="E15659">
        <v>1</v>
      </c>
      <c r="F15659" t="str">
        <f>"09-I09-05"</f>
        <v>09-I09-05</v>
      </c>
      <c r="G15659">
        <v>0.46870000000000001</v>
      </c>
      <c r="H15659" t="s">
        <v>12</v>
      </c>
      <c r="I15659" t="s">
        <v>10</v>
      </c>
    </row>
    <row r="15660" spans="1:9" x14ac:dyDescent="0.25">
      <c r="A15660" t="str">
        <f t="shared" si="356"/>
        <v>89301000</v>
      </c>
      <c r="B15660" t="str">
        <f>"9962144863"</f>
        <v>9962144863</v>
      </c>
      <c r="C15660" s="1">
        <v>45210</v>
      </c>
      <c r="D15660" s="1">
        <v>45213</v>
      </c>
      <c r="E15660">
        <v>1</v>
      </c>
      <c r="F15660" t="str">
        <f>"09-I07-02"</f>
        <v>09-I07-02</v>
      </c>
      <c r="G15660">
        <v>1.4079999999999999</v>
      </c>
      <c r="H15660" t="s">
        <v>14</v>
      </c>
      <c r="I15660" t="s">
        <v>10</v>
      </c>
    </row>
    <row r="15661" spans="1:9" x14ac:dyDescent="0.25">
      <c r="A15661" t="str">
        <f t="shared" si="356"/>
        <v>89301000</v>
      </c>
      <c r="B15661" t="str">
        <f>"9962164850"</f>
        <v>9962164850</v>
      </c>
      <c r="C15661" s="1">
        <v>45116</v>
      </c>
      <c r="D15661" s="1">
        <v>45148</v>
      </c>
      <c r="E15661">
        <v>1</v>
      </c>
      <c r="F15661" t="str">
        <f>"19-K07-01"</f>
        <v>19-K07-01</v>
      </c>
      <c r="G15661">
        <v>2.9567000000000001</v>
      </c>
      <c r="H15661" t="s">
        <v>15</v>
      </c>
      <c r="I15661" t="s">
        <v>10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DRGCZ_2023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Korytářová Lenka</dc:creator>
  <cp:lastModifiedBy>Korytářová Lenka</cp:lastModifiedBy>
  <dcterms:created xsi:type="dcterms:W3CDTF">2024-07-11T05:24:47Z</dcterms:created>
  <dcterms:modified xsi:type="dcterms:W3CDTF">2024-07-11T05:24:47Z</dcterms:modified>
</cp:coreProperties>
</file>